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M19" i="1"/>
  <c r="J21" i="1"/>
  <c r="K21" i="1"/>
  <c r="M21" i="1"/>
  <c r="O21" i="1"/>
  <c r="G24" i="1"/>
  <c r="H24" i="1"/>
  <c r="J24" i="1"/>
  <c r="K24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D35" i="1"/>
  <c r="G35" i="1"/>
  <c r="H35" i="1"/>
  <c r="J35" i="1"/>
  <c r="K35" i="1"/>
  <c r="G36" i="1"/>
  <c r="H36" i="1"/>
  <c r="J36" i="1"/>
  <c r="K36" i="1"/>
  <c r="K38" i="1"/>
  <c r="G39" i="1"/>
  <c r="H39" i="1"/>
  <c r="J39" i="1"/>
  <c r="K39" i="1"/>
  <c r="D41" i="1"/>
  <c r="E41" i="1"/>
  <c r="F41" i="1"/>
  <c r="G41" i="1"/>
  <c r="H41" i="1"/>
  <c r="J41" i="1"/>
  <c r="K41" i="1"/>
  <c r="G44" i="1"/>
  <c r="H44" i="1"/>
  <c r="J44" i="1"/>
  <c r="K44" i="1"/>
  <c r="G47" i="1"/>
  <c r="H47" i="1"/>
  <c r="J47" i="1"/>
  <c r="K47" i="1"/>
  <c r="D48" i="1"/>
  <c r="E48" i="1"/>
  <c r="F48" i="1"/>
  <c r="G48" i="1"/>
  <c r="H48" i="1"/>
  <c r="J48" i="1"/>
  <c r="K48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D53" i="1"/>
  <c r="E53" i="1"/>
  <c r="F53" i="1"/>
  <c r="G53" i="1"/>
  <c r="H53" i="1"/>
  <c r="J53" i="1"/>
  <c r="K53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D68" i="1"/>
  <c r="E68" i="1"/>
  <c r="F68" i="1"/>
  <c r="G68" i="1"/>
  <c r="H68" i="1"/>
  <c r="J68" i="1"/>
  <c r="K68" i="1"/>
  <c r="G71" i="1"/>
  <c r="H71" i="1"/>
  <c r="J71" i="1"/>
  <c r="K71" i="1"/>
  <c r="D72" i="1"/>
  <c r="G72" i="1"/>
  <c r="H72" i="1"/>
  <c r="J72" i="1"/>
  <c r="K72" i="1"/>
  <c r="D73" i="1"/>
  <c r="G73" i="1"/>
  <c r="H73" i="1"/>
  <c r="J73" i="1"/>
  <c r="K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G85" i="1"/>
  <c r="H85" i="1"/>
  <c r="J85" i="1"/>
  <c r="K85" i="1"/>
  <c r="M85" i="1"/>
  <c r="J86" i="1"/>
  <c r="K86" i="1"/>
  <c r="M86" i="1"/>
  <c r="N87" i="1"/>
  <c r="O87" i="1"/>
  <c r="G88" i="1"/>
  <c r="H88" i="1"/>
  <c r="J88" i="1"/>
  <c r="K88" i="1"/>
  <c r="G89" i="1"/>
  <c r="H89" i="1"/>
  <c r="J89" i="1"/>
  <c r="K89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8" i="1"/>
  <c r="H98" i="1"/>
  <c r="J98" i="1"/>
  <c r="K98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G105" i="1"/>
  <c r="H105" i="1"/>
  <c r="J105" i="1"/>
  <c r="K105" i="1"/>
  <c r="G106" i="1"/>
  <c r="H106" i="1"/>
  <c r="J106" i="1"/>
  <c r="K106" i="1"/>
  <c r="M106" i="1"/>
  <c r="N106" i="1"/>
  <c r="G107" i="1"/>
  <c r="H107" i="1"/>
  <c r="J107" i="1"/>
  <c r="K107" i="1"/>
  <c r="M107" i="1"/>
  <c r="N107" i="1"/>
  <c r="G108" i="1"/>
  <c r="H108" i="1"/>
  <c r="J108" i="1"/>
  <c r="K108" i="1"/>
  <c r="G109" i="1"/>
  <c r="H109" i="1"/>
  <c r="J109" i="1"/>
  <c r="K109" i="1"/>
  <c r="M109" i="1"/>
  <c r="N109" i="1"/>
  <c r="J111" i="1"/>
  <c r="K111" i="1"/>
  <c r="M111" i="1"/>
  <c r="N111" i="1"/>
  <c r="J112" i="1"/>
  <c r="K112" i="1"/>
  <c r="J113" i="1"/>
  <c r="K113" i="1"/>
  <c r="M113" i="1"/>
  <c r="N113" i="1"/>
  <c r="C116" i="1"/>
  <c r="D116" i="1"/>
  <c r="G116" i="1"/>
  <c r="H116" i="1"/>
  <c r="J116" i="1"/>
  <c r="K116" i="1"/>
  <c r="M116" i="1"/>
  <c r="N116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G125" i="1"/>
  <c r="H125" i="1"/>
  <c r="J125" i="1"/>
  <c r="K125" i="1"/>
  <c r="E126" i="1"/>
  <c r="F126" i="1"/>
  <c r="G126" i="1"/>
  <c r="H126" i="1"/>
  <c r="J126" i="1"/>
  <c r="K126" i="1"/>
  <c r="G127" i="1"/>
  <c r="H127" i="1"/>
  <c r="J127" i="1"/>
  <c r="K127" i="1"/>
  <c r="E129" i="1"/>
  <c r="F129" i="1"/>
  <c r="G129" i="1"/>
  <c r="H129" i="1"/>
  <c r="J129" i="1"/>
  <c r="K129" i="1"/>
  <c r="G130" i="1"/>
  <c r="H130" i="1"/>
  <c r="J130" i="1"/>
  <c r="K130" i="1"/>
  <c r="E133" i="1"/>
  <c r="F133" i="1"/>
  <c r="G133" i="1"/>
  <c r="H133" i="1"/>
  <c r="J133" i="1"/>
  <c r="K133" i="1"/>
  <c r="M133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M140" i="1"/>
  <c r="N140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M147" i="1"/>
  <c r="N147" i="1"/>
  <c r="E148" i="1"/>
  <c r="F148" i="1"/>
  <c r="G148" i="1"/>
  <c r="H148" i="1"/>
  <c r="J148" i="1"/>
  <c r="K148" i="1"/>
  <c r="E149" i="1"/>
  <c r="F149" i="1"/>
  <c r="G149" i="1"/>
  <c r="H149" i="1"/>
  <c r="J149" i="1"/>
  <c r="K149" i="1"/>
  <c r="C150" i="1"/>
  <c r="E150" i="1"/>
  <c r="F150" i="1"/>
  <c r="G150" i="1"/>
  <c r="H150" i="1"/>
  <c r="J150" i="1"/>
  <c r="K150" i="1"/>
  <c r="C153" i="1"/>
  <c r="D153" i="1"/>
  <c r="G153" i="1"/>
  <c r="H153" i="1"/>
  <c r="J153" i="1"/>
  <c r="K153" i="1"/>
  <c r="M153" i="1"/>
  <c r="N153" i="1"/>
  <c r="O153" i="1"/>
  <c r="K157" i="1"/>
  <c r="K158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<sst xmlns="http://schemas.openxmlformats.org/spreadsheetml/2006/main" count="938" uniqueCount="178">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</sst>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4"/>
  <sheetViews>
    <sheetView tabSelected="1" zoomScale="85" zoomScaleNormal="85" workbookViewId="0">
      <pane xSplit="2" ySplit="3" topLeftCell="E109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37180</v>
      </c>
      <c r="F3" s="12">
        <v>37179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123</v>
      </c>
      <c r="C5" s="67">
        <f>2465041-26498</f>
        <v>2438543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2438543</v>
      </c>
      <c r="K5" s="7">
        <f>J5</f>
        <v>2438543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15.99</v>
      </c>
      <c r="F6" s="1">
        <v>16.5</v>
      </c>
      <c r="G6" s="7">
        <f>C6*(E6-F6)</f>
        <v>-509.99999999999977</v>
      </c>
      <c r="H6" s="7">
        <f>C6*(E6-F6)</f>
        <v>-509.99999999999977</v>
      </c>
      <c r="J6" s="7">
        <f>C6*E6</f>
        <v>15990</v>
      </c>
      <c r="K6" s="7">
        <f>J6</f>
        <v>15990</v>
      </c>
      <c r="L6" s="3">
        <v>2</v>
      </c>
    </row>
    <row r="7" spans="1:15" x14ac:dyDescent="0.25">
      <c r="A7" s="30" t="s">
        <v>52</v>
      </c>
      <c r="E7" s="1" t="s">
        <v>177</v>
      </c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 t="s">
        <v>52</v>
      </c>
      <c r="B9" s="62" t="s">
        <v>169</v>
      </c>
      <c r="C9" s="13">
        <v>-5000</v>
      </c>
      <c r="D9" s="13" t="s">
        <v>52</v>
      </c>
      <c r="E9" s="1">
        <v>37.159999999999997</v>
      </c>
      <c r="F9" s="1">
        <v>35.75</v>
      </c>
      <c r="G9" s="7">
        <f t="shared" ref="G9:G14" si="0">C9*(E9-F9)</f>
        <v>-7049.9999999999827</v>
      </c>
      <c r="H9" s="7">
        <f t="shared" ref="H9:H14" si="1">C9*(E9-F9)</f>
        <v>-7049.9999999999827</v>
      </c>
      <c r="J9" s="7">
        <f t="shared" ref="J9:J14" si="2">G9</f>
        <v>-7049.9999999999827</v>
      </c>
      <c r="K9" s="7">
        <f t="shared" ref="K9:K14" si="3">J9</f>
        <v>-7049.9999999999827</v>
      </c>
      <c r="L9" s="3">
        <v>1</v>
      </c>
    </row>
    <row r="10" spans="1:15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E$35</f>
        <v>33.840000000000003</v>
      </c>
      <c r="F10" s="1">
        <f>F$35</f>
        <v>33.17</v>
      </c>
      <c r="G10" s="7">
        <f t="shared" si="0"/>
        <v>-10050.000000000025</v>
      </c>
      <c r="H10" s="7">
        <f t="shared" si="1"/>
        <v>-10050.000000000025</v>
      </c>
      <c r="J10" s="7">
        <f t="shared" si="2"/>
        <v>-10050.000000000025</v>
      </c>
      <c r="K10" s="7">
        <f t="shared" si="3"/>
        <v>-10050.000000000025</v>
      </c>
      <c r="L10" s="3">
        <v>1</v>
      </c>
    </row>
    <row r="11" spans="1:15" x14ac:dyDescent="0.25">
      <c r="A11" s="30"/>
      <c r="B11" s="62" t="s">
        <v>171</v>
      </c>
      <c r="C11" s="13">
        <v>-35000</v>
      </c>
      <c r="D11" s="13" t="s">
        <v>52</v>
      </c>
      <c r="E11" s="1">
        <v>81.58</v>
      </c>
      <c r="F11" s="1">
        <v>78.95</v>
      </c>
      <c r="G11" s="7">
        <f t="shared" si="0"/>
        <v>-92049.99999999984</v>
      </c>
      <c r="H11" s="7">
        <f t="shared" si="1"/>
        <v>-92049.99999999984</v>
      </c>
      <c r="J11" s="7">
        <f t="shared" si="2"/>
        <v>-92049.99999999984</v>
      </c>
      <c r="K11" s="7">
        <f t="shared" si="3"/>
        <v>-92049.99999999984</v>
      </c>
      <c r="L11" s="3">
        <v>1</v>
      </c>
    </row>
    <row r="12" spans="1:15" x14ac:dyDescent="0.25">
      <c r="A12" s="30"/>
      <c r="B12" s="62" t="s">
        <v>174</v>
      </c>
      <c r="C12" s="13">
        <v>-2000</v>
      </c>
      <c r="D12" s="13" t="s">
        <v>52</v>
      </c>
      <c r="E12" s="1">
        <v>93.99</v>
      </c>
      <c r="F12" s="1">
        <v>93.59</v>
      </c>
      <c r="G12" s="7">
        <f t="shared" si="0"/>
        <v>-799.99999999998295</v>
      </c>
      <c r="H12" s="7">
        <f t="shared" si="1"/>
        <v>-799.99999999998295</v>
      </c>
      <c r="J12" s="7">
        <f t="shared" si="2"/>
        <v>-799.99999999998295</v>
      </c>
      <c r="K12" s="7">
        <f t="shared" si="3"/>
        <v>-799.99999999998295</v>
      </c>
      <c r="L12" s="3">
        <v>1</v>
      </c>
    </row>
    <row r="13" spans="1:15" x14ac:dyDescent="0.25">
      <c r="A13" s="30"/>
      <c r="B13" s="62" t="s">
        <v>175</v>
      </c>
      <c r="C13" s="13">
        <v>-2000</v>
      </c>
      <c r="D13" s="13" t="s">
        <v>52</v>
      </c>
      <c r="E13" s="1">
        <v>109.99</v>
      </c>
      <c r="F13" s="1">
        <v>109.34</v>
      </c>
      <c r="G13" s="7">
        <f t="shared" si="0"/>
        <v>-1299.9999999999829</v>
      </c>
      <c r="H13" s="7">
        <f t="shared" si="1"/>
        <v>-1299.9999999999829</v>
      </c>
      <c r="J13" s="7">
        <f t="shared" si="2"/>
        <v>-1299.9999999999829</v>
      </c>
      <c r="K13" s="7">
        <f t="shared" si="3"/>
        <v>-1299.9999999999829</v>
      </c>
      <c r="L13" s="3">
        <v>1</v>
      </c>
    </row>
    <row r="14" spans="1:15" x14ac:dyDescent="0.25">
      <c r="A14" s="30"/>
      <c r="B14" s="62" t="s">
        <v>176</v>
      </c>
      <c r="C14" s="13">
        <v>-5000</v>
      </c>
      <c r="D14" s="13" t="s">
        <v>52</v>
      </c>
      <c r="E14" s="1">
        <v>35.03</v>
      </c>
      <c r="F14" s="1">
        <v>34.35</v>
      </c>
      <c r="G14" s="7">
        <f t="shared" si="0"/>
        <v>-3399.9999999999986</v>
      </c>
      <c r="H14" s="7">
        <f t="shared" si="1"/>
        <v>-3399.9999999999986</v>
      </c>
      <c r="J14" s="7">
        <f t="shared" si="2"/>
        <v>-3399.9999999999986</v>
      </c>
      <c r="K14" s="7">
        <f t="shared" si="3"/>
        <v>-3399.9999999999986</v>
      </c>
      <c r="L14" s="3">
        <v>1</v>
      </c>
    </row>
    <row r="15" spans="1:15" x14ac:dyDescent="0.25">
      <c r="A15" s="30"/>
      <c r="B15" s="62"/>
      <c r="E15" s="1"/>
      <c r="F15" s="1"/>
    </row>
    <row r="16" spans="1:15" x14ac:dyDescent="0.25">
      <c r="A16" s="30"/>
      <c r="B16" s="10" t="s">
        <v>68</v>
      </c>
      <c r="C16" s="13" t="s">
        <v>52</v>
      </c>
      <c r="E16" s="6" t="s">
        <v>52</v>
      </c>
      <c r="F16" s="6" t="s">
        <v>52</v>
      </c>
      <c r="G16" s="6" t="s">
        <v>52</v>
      </c>
      <c r="H16" s="7" t="s">
        <v>52</v>
      </c>
      <c r="J16" s="7" t="s">
        <v>52</v>
      </c>
      <c r="K16" s="7" t="str">
        <f>J16</f>
        <v xml:space="preserve"> </v>
      </c>
    </row>
    <row r="17" spans="1:16" x14ac:dyDescent="0.25">
      <c r="A17" s="30"/>
      <c r="B17" s="2" t="s">
        <v>119</v>
      </c>
      <c r="C17" s="13">
        <v>-1500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N17" s="80" t="s">
        <v>52</v>
      </c>
      <c r="P17" s="13" t="s">
        <v>52</v>
      </c>
    </row>
    <row r="18" spans="1:16" x14ac:dyDescent="0.25">
      <c r="A18" s="30" t="s">
        <v>52</v>
      </c>
      <c r="B18" s="2" t="s">
        <v>118</v>
      </c>
      <c r="C18" s="13">
        <v>-2000</v>
      </c>
      <c r="E18" s="1">
        <v>0</v>
      </c>
      <c r="F18" s="1">
        <v>0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 t="s">
        <v>52</v>
      </c>
      <c r="N18" s="80" t="s">
        <v>52</v>
      </c>
    </row>
    <row r="19" spans="1:16" x14ac:dyDescent="0.25">
      <c r="A19" s="30" t="s">
        <v>52</v>
      </c>
      <c r="B19" s="2" t="s">
        <v>168</v>
      </c>
      <c r="C19" s="13">
        <v>-19000</v>
      </c>
      <c r="E19" s="1">
        <v>3.3</v>
      </c>
      <c r="F19" s="1">
        <v>3.1</v>
      </c>
      <c r="G19" s="7">
        <f>(E19-F19)*C19</f>
        <v>-3799.999999999995</v>
      </c>
      <c r="H19" s="7">
        <f>C19*(E19-F19)</f>
        <v>-3799.999999999995</v>
      </c>
      <c r="J19" s="7">
        <f>G19</f>
        <v>-3799.999999999995</v>
      </c>
      <c r="K19" s="7">
        <f>J19</f>
        <v>-3799.999999999995</v>
      </c>
      <c r="L19" s="3">
        <v>1</v>
      </c>
      <c r="M19" s="80">
        <f>C19*E19*-1</f>
        <v>62700</v>
      </c>
      <c r="N19" s="80" t="s">
        <v>52</v>
      </c>
    </row>
    <row r="20" spans="1:16" x14ac:dyDescent="0.25">
      <c r="A20" s="30"/>
      <c r="E20" s="1"/>
      <c r="F20" s="1"/>
    </row>
    <row r="21" spans="1:16" x14ac:dyDescent="0.25">
      <c r="A21" s="8"/>
      <c r="B21" s="2" t="s">
        <v>67</v>
      </c>
      <c r="C21" s="13">
        <v>0</v>
      </c>
      <c r="D21" s="13" t="s">
        <v>52</v>
      </c>
      <c r="E21" s="27" t="s">
        <v>52</v>
      </c>
      <c r="F21" s="27" t="s">
        <v>52</v>
      </c>
      <c r="G21" s="7" t="s">
        <v>52</v>
      </c>
      <c r="J21" s="7">
        <f>+C21</f>
        <v>0</v>
      </c>
      <c r="K21" s="7">
        <f>J21</f>
        <v>0</v>
      </c>
      <c r="L21" s="3">
        <v>1</v>
      </c>
      <c r="M21" s="80">
        <f>SUM(K5:K21)</f>
        <v>2336083</v>
      </c>
      <c r="N21" s="80">
        <v>2455043</v>
      </c>
      <c r="O21" s="67">
        <f>M21-N21</f>
        <v>-118960</v>
      </c>
    </row>
    <row r="22" spans="1:16" x14ac:dyDescent="0.25">
      <c r="A22" s="8"/>
      <c r="E22" s="27"/>
      <c r="F22" s="27"/>
      <c r="G22" s="15" t="s">
        <v>52</v>
      </c>
      <c r="H22" s="15" t="s">
        <v>52</v>
      </c>
      <c r="M22" s="80" t="s">
        <v>52</v>
      </c>
    </row>
    <row r="23" spans="1:16" x14ac:dyDescent="0.25">
      <c r="A23" s="8" t="s">
        <v>121</v>
      </c>
      <c r="B23" s="5" t="s">
        <v>22</v>
      </c>
      <c r="D23" s="13" t="s">
        <v>52</v>
      </c>
      <c r="E23" s="5" t="s">
        <v>52</v>
      </c>
      <c r="F23" s="5" t="s">
        <v>52</v>
      </c>
      <c r="M23" s="80" t="s">
        <v>52</v>
      </c>
      <c r="N23" s="80" t="s">
        <v>52</v>
      </c>
    </row>
    <row r="24" spans="1:16" x14ac:dyDescent="0.25">
      <c r="A24" s="8" t="s">
        <v>1</v>
      </c>
      <c r="B24" s="2" t="s">
        <v>122</v>
      </c>
      <c r="C24" s="13">
        <v>4055.86</v>
      </c>
      <c r="D24" s="13" t="s">
        <v>52</v>
      </c>
      <c r="E24" s="1">
        <v>1</v>
      </c>
      <c r="F24" s="1">
        <v>1</v>
      </c>
      <c r="G24" s="7">
        <f>C24*(E24-F24)</f>
        <v>0</v>
      </c>
      <c r="H24" s="7">
        <f>C24*(E24-F24)</f>
        <v>0</v>
      </c>
      <c r="J24" s="7">
        <f>C24*E24</f>
        <v>4055.86</v>
      </c>
      <c r="K24" s="7">
        <f>J24</f>
        <v>4055.86</v>
      </c>
      <c r="L24" s="3">
        <v>1</v>
      </c>
      <c r="M24" s="80" t="s">
        <v>52</v>
      </c>
      <c r="N24" s="80" t="s">
        <v>52</v>
      </c>
    </row>
    <row r="25" spans="1:16" x14ac:dyDescent="0.25">
      <c r="A25" s="8"/>
      <c r="D25" s="13" t="s">
        <v>52</v>
      </c>
      <c r="E25" s="27"/>
      <c r="F25" s="27"/>
      <c r="G25" s="15" t="s">
        <v>52</v>
      </c>
      <c r="H25" s="15" t="s">
        <v>52</v>
      </c>
      <c r="N25" s="80" t="s">
        <v>52</v>
      </c>
    </row>
    <row r="26" spans="1:16" x14ac:dyDescent="0.25">
      <c r="A26" s="8" t="s">
        <v>1</v>
      </c>
      <c r="B26" s="5" t="s">
        <v>22</v>
      </c>
      <c r="D26" s="13" t="s">
        <v>52</v>
      </c>
      <c r="E26" s="2"/>
      <c r="F26" s="2"/>
      <c r="G26" s="15"/>
      <c r="H26" s="15"/>
      <c r="I26" s="2"/>
      <c r="K26" s="7" t="s">
        <v>52</v>
      </c>
    </row>
    <row r="27" spans="1:16" x14ac:dyDescent="0.25">
      <c r="A27" s="8" t="s">
        <v>2</v>
      </c>
      <c r="B27" s="62" t="s">
        <v>24</v>
      </c>
      <c r="C27" s="13">
        <v>900</v>
      </c>
      <c r="E27" s="1">
        <v>14.94</v>
      </c>
      <c r="F27" s="1">
        <v>14.44</v>
      </c>
      <c r="G27" s="7">
        <f t="shared" ref="G27:G32" si="4">C27*(E27-F27)</f>
        <v>450</v>
      </c>
      <c r="H27" s="7">
        <f t="shared" ref="H27:H32" si="5">C27*(E27-F27)</f>
        <v>450</v>
      </c>
      <c r="I27" s="1"/>
      <c r="J27" s="7">
        <f t="shared" ref="J27:J32" si="6">C27*E27</f>
        <v>13446</v>
      </c>
      <c r="K27" s="7">
        <f t="shared" ref="K27:K38" si="7">J27</f>
        <v>13446</v>
      </c>
      <c r="L27" s="3">
        <v>2</v>
      </c>
      <c r="M27" s="80" t="s">
        <v>52</v>
      </c>
    </row>
    <row r="28" spans="1:16" x14ac:dyDescent="0.25">
      <c r="A28" s="8" t="s">
        <v>3</v>
      </c>
      <c r="B28" s="62" t="s">
        <v>25</v>
      </c>
      <c r="C28" s="13">
        <v>100</v>
      </c>
      <c r="E28" s="1">
        <v>18.34</v>
      </c>
      <c r="F28" s="1">
        <v>18.5</v>
      </c>
      <c r="G28" s="7">
        <f t="shared" si="4"/>
        <v>-16.000000000000014</v>
      </c>
      <c r="H28" s="7">
        <f t="shared" si="5"/>
        <v>-16.000000000000014</v>
      </c>
      <c r="I28" s="1"/>
      <c r="J28" s="7">
        <f t="shared" si="6"/>
        <v>1834</v>
      </c>
      <c r="K28" s="7">
        <f t="shared" si="7"/>
        <v>1834</v>
      </c>
      <c r="L28" s="3">
        <v>2</v>
      </c>
      <c r="M28" s="80" t="s">
        <v>52</v>
      </c>
    </row>
    <row r="29" spans="1:16" x14ac:dyDescent="0.25">
      <c r="A29" s="8"/>
      <c r="B29" s="62" t="s">
        <v>89</v>
      </c>
      <c r="C29" s="13">
        <v>83</v>
      </c>
      <c r="D29" s="13" t="s">
        <v>52</v>
      </c>
      <c r="E29" s="1">
        <v>49.39</v>
      </c>
      <c r="F29" s="1">
        <v>48.2</v>
      </c>
      <c r="G29" s="7">
        <f t="shared" si="4"/>
        <v>98.769999999999811</v>
      </c>
      <c r="H29" s="7">
        <f t="shared" si="5"/>
        <v>98.769999999999811</v>
      </c>
      <c r="I29" s="1"/>
      <c r="J29" s="7">
        <f t="shared" si="6"/>
        <v>4099.37</v>
      </c>
      <c r="K29" s="7">
        <f t="shared" si="7"/>
        <v>4099.37</v>
      </c>
      <c r="L29" s="3">
        <v>2</v>
      </c>
      <c r="M29" s="80" t="s">
        <v>52</v>
      </c>
    </row>
    <row r="30" spans="1:16" x14ac:dyDescent="0.25">
      <c r="A30" s="8"/>
      <c r="B30" s="62" t="s">
        <v>54</v>
      </c>
      <c r="C30" s="13">
        <v>169</v>
      </c>
      <c r="E30" s="1">
        <v>10.49</v>
      </c>
      <c r="F30" s="1">
        <v>11.49</v>
      </c>
      <c r="G30" s="7">
        <f t="shared" si="4"/>
        <v>-169</v>
      </c>
      <c r="H30" s="7">
        <f t="shared" si="5"/>
        <v>-169</v>
      </c>
      <c r="I30" s="1"/>
      <c r="J30" s="7">
        <f t="shared" si="6"/>
        <v>1772.81</v>
      </c>
      <c r="K30" s="7">
        <f t="shared" si="7"/>
        <v>1772.81</v>
      </c>
      <c r="L30" s="3">
        <v>2</v>
      </c>
      <c r="M30" s="80" t="s">
        <v>52</v>
      </c>
    </row>
    <row r="31" spans="1:16" x14ac:dyDescent="0.25">
      <c r="A31" s="8"/>
      <c r="B31" s="62" t="s">
        <v>48</v>
      </c>
      <c r="C31" s="13">
        <v>2241.79</v>
      </c>
      <c r="D31" s="13" t="s">
        <v>52</v>
      </c>
      <c r="E31" s="1">
        <v>1</v>
      </c>
      <c r="F31" s="1">
        <v>1</v>
      </c>
      <c r="G31" s="7">
        <f t="shared" si="4"/>
        <v>0</v>
      </c>
      <c r="H31" s="7">
        <f t="shared" si="5"/>
        <v>0</v>
      </c>
      <c r="I31" s="1"/>
      <c r="J31" s="7">
        <f t="shared" si="6"/>
        <v>2241.79</v>
      </c>
      <c r="K31" s="7">
        <f t="shared" si="7"/>
        <v>2241.79</v>
      </c>
      <c r="L31" s="3">
        <v>1</v>
      </c>
      <c r="M31" s="80" t="s">
        <v>52</v>
      </c>
    </row>
    <row r="32" spans="1:16" x14ac:dyDescent="0.25">
      <c r="A32" s="8"/>
      <c r="B32" s="62" t="s">
        <v>143</v>
      </c>
      <c r="C32" s="13">
        <v>605.54</v>
      </c>
      <c r="D32" s="13" t="s">
        <v>52</v>
      </c>
      <c r="E32" s="1">
        <v>1</v>
      </c>
      <c r="F32" s="1">
        <v>1</v>
      </c>
      <c r="G32" s="7">
        <f t="shared" si="4"/>
        <v>0</v>
      </c>
      <c r="H32" s="7">
        <f t="shared" si="5"/>
        <v>0</v>
      </c>
      <c r="I32" s="1"/>
      <c r="J32" s="7">
        <f t="shared" si="6"/>
        <v>605.54</v>
      </c>
      <c r="K32" s="7">
        <f t="shared" si="7"/>
        <v>605.54</v>
      </c>
      <c r="L32" s="3">
        <v>1</v>
      </c>
      <c r="M32" s="80" t="s">
        <v>52</v>
      </c>
    </row>
    <row r="33" spans="1:27" x14ac:dyDescent="0.25">
      <c r="B33" s="62" t="s">
        <v>52</v>
      </c>
      <c r="C33" s="13" t="s">
        <v>52</v>
      </c>
      <c r="D33" s="13" t="s">
        <v>52</v>
      </c>
      <c r="E33" s="2"/>
      <c r="F33" s="2"/>
      <c r="G33" s="15"/>
      <c r="H33" s="15"/>
      <c r="I33" s="2"/>
      <c r="K33" s="15"/>
      <c r="M33" s="80" t="s">
        <v>52</v>
      </c>
    </row>
    <row r="34" spans="1:27" x14ac:dyDescent="0.25">
      <c r="A34" s="8" t="s">
        <v>4</v>
      </c>
      <c r="B34" s="13" t="s">
        <v>22</v>
      </c>
      <c r="D34" s="13" t="s">
        <v>52</v>
      </c>
      <c r="E34" s="4" t="s">
        <v>52</v>
      </c>
      <c r="F34" s="4" t="s">
        <v>52</v>
      </c>
      <c r="I34" s="3"/>
      <c r="K34" s="7" t="s">
        <v>52</v>
      </c>
      <c r="M34" s="80" t="s">
        <v>52</v>
      </c>
    </row>
    <row r="35" spans="1:27" x14ac:dyDescent="0.25">
      <c r="A35" s="25" t="s">
        <v>52</v>
      </c>
      <c r="B35" s="62" t="s">
        <v>134</v>
      </c>
      <c r="C35" s="13">
        <v>264.27100000000002</v>
      </c>
      <c r="D35" s="13">
        <f>C35*1</f>
        <v>264.27100000000002</v>
      </c>
      <c r="E35" s="16">
        <v>33.840000000000003</v>
      </c>
      <c r="F35" s="16">
        <v>33.17</v>
      </c>
      <c r="G35" s="7">
        <f>C35*(E35-F35)</f>
        <v>177.06157000000047</v>
      </c>
      <c r="H35" s="7">
        <f>C35*(E35-F35)</f>
        <v>177.06157000000047</v>
      </c>
      <c r="I35" s="3"/>
      <c r="J35" s="7">
        <f>C35*E35</f>
        <v>8942.9306400000023</v>
      </c>
      <c r="K35" s="7">
        <f t="shared" si="7"/>
        <v>8942.9306400000023</v>
      </c>
      <c r="L35" s="3">
        <v>2</v>
      </c>
      <c r="M35" s="80" t="s">
        <v>52</v>
      </c>
    </row>
    <row r="36" spans="1:27" x14ac:dyDescent="0.25">
      <c r="A36" s="8" t="s">
        <v>52</v>
      </c>
      <c r="B36" s="2" t="s">
        <v>120</v>
      </c>
      <c r="C36" s="13">
        <v>133644.07999999999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133644.07999999999</v>
      </c>
      <c r="K36" s="7">
        <f>J36</f>
        <v>133644.07999999999</v>
      </c>
      <c r="L36" s="3">
        <v>1</v>
      </c>
      <c r="M36" s="80" t="s">
        <v>52</v>
      </c>
    </row>
    <row r="37" spans="1:27" x14ac:dyDescent="0.25">
      <c r="A37" s="25" t="s">
        <v>52</v>
      </c>
      <c r="B37" s="2" t="s">
        <v>52</v>
      </c>
      <c r="C37" s="68" t="s">
        <v>52</v>
      </c>
      <c r="E37" s="1" t="s">
        <v>52</v>
      </c>
      <c r="F37" s="1" t="s">
        <v>52</v>
      </c>
      <c r="G37" s="2" t="s">
        <v>52</v>
      </c>
      <c r="H37" s="7" t="s">
        <v>52</v>
      </c>
      <c r="I37" s="3"/>
      <c r="J37" s="7" t="s">
        <v>52</v>
      </c>
      <c r="K37" s="15" t="s">
        <v>52</v>
      </c>
      <c r="M37" s="80" t="s">
        <v>52</v>
      </c>
    </row>
    <row r="38" spans="1:27" x14ac:dyDescent="0.25">
      <c r="A38" s="8" t="s">
        <v>5</v>
      </c>
      <c r="B38" s="2" t="s">
        <v>52</v>
      </c>
      <c r="C38" s="13" t="s">
        <v>52</v>
      </c>
      <c r="E38" s="1" t="s">
        <v>52</v>
      </c>
      <c r="F38" s="1" t="s">
        <v>52</v>
      </c>
      <c r="G38" s="7" t="s">
        <v>52</v>
      </c>
      <c r="H38" s="7" t="s">
        <v>52</v>
      </c>
      <c r="I38" s="3"/>
      <c r="J38" s="7" t="s">
        <v>52</v>
      </c>
      <c r="K38" s="7" t="str">
        <f t="shared" si="7"/>
        <v xml:space="preserve"> </v>
      </c>
      <c r="M38" s="80" t="s">
        <v>52</v>
      </c>
    </row>
    <row r="39" spans="1:27" x14ac:dyDescent="0.25">
      <c r="A39" s="8" t="s">
        <v>6</v>
      </c>
      <c r="B39" s="2" t="s">
        <v>23</v>
      </c>
      <c r="C39" s="13">
        <v>46480.62</v>
      </c>
      <c r="E39" s="1">
        <v>1</v>
      </c>
      <c r="F39" s="1">
        <v>1</v>
      </c>
      <c r="G39" s="7">
        <f>C39*(E39-F39)</f>
        <v>0</v>
      </c>
      <c r="H39" s="7">
        <f>C39*(E39-F39)</f>
        <v>0</v>
      </c>
      <c r="I39" s="3"/>
      <c r="J39" s="7">
        <f>C39*E39</f>
        <v>46480.62</v>
      </c>
      <c r="K39" s="7">
        <f>J39</f>
        <v>46480.62</v>
      </c>
      <c r="L39" s="3">
        <v>1</v>
      </c>
      <c r="M39" s="80" t="s">
        <v>52</v>
      </c>
    </row>
    <row r="40" spans="1:27" x14ac:dyDescent="0.25">
      <c r="A40" s="8"/>
      <c r="E40" s="1"/>
      <c r="F40" s="1"/>
      <c r="H40" s="7" t="s">
        <v>52</v>
      </c>
      <c r="I40" s="3"/>
      <c r="M40" s="80" t="s">
        <v>52</v>
      </c>
    </row>
    <row r="41" spans="1:27" x14ac:dyDescent="0.25">
      <c r="A41" s="8" t="s">
        <v>8</v>
      </c>
      <c r="B41" s="2" t="s">
        <v>134</v>
      </c>
      <c r="C41" s="13">
        <v>87.853999999999999</v>
      </c>
      <c r="D41" s="13">
        <f>C41*1</f>
        <v>87.853999999999999</v>
      </c>
      <c r="E41" s="1">
        <f>E$35</f>
        <v>33.840000000000003</v>
      </c>
      <c r="F41" s="1">
        <f>F$35</f>
        <v>33.17</v>
      </c>
      <c r="G41" s="7">
        <f>C41*(E41-F41)</f>
        <v>58.862180000000151</v>
      </c>
      <c r="H41" s="7">
        <f>C41*(E41-F41)</f>
        <v>58.862180000000151</v>
      </c>
      <c r="I41" s="1"/>
      <c r="J41" s="7">
        <f>C41*E41</f>
        <v>2972.9793600000003</v>
      </c>
      <c r="K41" s="7">
        <f>J41</f>
        <v>2972.9793600000003</v>
      </c>
      <c r="L41" s="3">
        <v>2</v>
      </c>
      <c r="M41" s="80" t="s">
        <v>52</v>
      </c>
    </row>
    <row r="42" spans="1:27" x14ac:dyDescent="0.25">
      <c r="A42" s="8"/>
      <c r="C42" s="13" t="s">
        <v>52</v>
      </c>
      <c r="E42" s="4"/>
      <c r="F42" s="4"/>
      <c r="H42" s="7" t="s">
        <v>52</v>
      </c>
      <c r="I42" s="22" t="s">
        <v>52</v>
      </c>
      <c r="M42" s="80" t="s">
        <v>52</v>
      </c>
    </row>
    <row r="43" spans="1:27" x14ac:dyDescent="0.25">
      <c r="A43" s="8" t="s">
        <v>86</v>
      </c>
      <c r="B43" s="5" t="s">
        <v>22</v>
      </c>
      <c r="D43" s="13" t="s">
        <v>52</v>
      </c>
      <c r="E43" s="3"/>
      <c r="F43" s="3"/>
      <c r="H43" s="7" t="s">
        <v>52</v>
      </c>
      <c r="I43" s="3" t="s">
        <v>52</v>
      </c>
      <c r="M43" s="80" t="s">
        <v>52</v>
      </c>
      <c r="V43" s="3"/>
      <c r="W43" s="3"/>
      <c r="X43" s="3"/>
      <c r="Y43" s="3"/>
      <c r="Z43" s="3"/>
      <c r="AA43" s="3"/>
    </row>
    <row r="44" spans="1:27" x14ac:dyDescent="0.25">
      <c r="A44" s="25" t="s">
        <v>52</v>
      </c>
      <c r="B44" s="2" t="s">
        <v>120</v>
      </c>
      <c r="C44" s="13">
        <v>611907.18999999994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611907.18999999994</v>
      </c>
      <c r="K44" s="7">
        <f>J44*0.614</f>
        <v>375711.01465999999</v>
      </c>
      <c r="L44" s="3">
        <v>1</v>
      </c>
      <c r="M44" s="80" t="s">
        <v>52</v>
      </c>
    </row>
    <row r="45" spans="1:27" x14ac:dyDescent="0.25">
      <c r="A45" s="25"/>
      <c r="E45" s="1"/>
      <c r="F45" s="1"/>
      <c r="H45" s="7" t="s">
        <v>52</v>
      </c>
      <c r="I45" s="22"/>
      <c r="M45" s="80" t="s">
        <v>52</v>
      </c>
    </row>
    <row r="46" spans="1:27" x14ac:dyDescent="0.25">
      <c r="A46" s="8" t="s">
        <v>66</v>
      </c>
      <c r="B46" s="5" t="s">
        <v>22</v>
      </c>
      <c r="D46" s="13" t="s">
        <v>52</v>
      </c>
      <c r="E46" s="3"/>
      <c r="F46" s="3"/>
      <c r="H46" s="7" t="s">
        <v>52</v>
      </c>
      <c r="I46" s="22" t="s">
        <v>52</v>
      </c>
      <c r="M46" s="80" t="s">
        <v>52</v>
      </c>
    </row>
    <row r="47" spans="1:27" x14ac:dyDescent="0.25">
      <c r="A47" s="25" t="s">
        <v>52</v>
      </c>
      <c r="B47" s="2" t="s">
        <v>120</v>
      </c>
      <c r="C47" s="13">
        <v>263787.09000000003</v>
      </c>
      <c r="D47" s="13" t="s">
        <v>52</v>
      </c>
      <c r="E47" s="1">
        <v>1</v>
      </c>
      <c r="F47" s="1">
        <v>1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263787.09000000003</v>
      </c>
      <c r="K47" s="7">
        <f>J47*0.614</f>
        <v>161965.27326000002</v>
      </c>
      <c r="L47" s="3">
        <v>1</v>
      </c>
      <c r="M47" s="80" t="s">
        <v>52</v>
      </c>
    </row>
    <row r="48" spans="1:27" x14ac:dyDescent="0.25">
      <c r="A48" s="25" t="s">
        <v>52</v>
      </c>
      <c r="B48" s="2" t="s">
        <v>134</v>
      </c>
      <c r="C48" s="13">
        <v>8243</v>
      </c>
      <c r="D48" s="13">
        <f>C48*1</f>
        <v>8243</v>
      </c>
      <c r="E48" s="1">
        <f>E$35</f>
        <v>33.840000000000003</v>
      </c>
      <c r="F48" s="1">
        <f>F$35</f>
        <v>33.17</v>
      </c>
      <c r="G48" s="7">
        <f>C48*(E48-F48)</f>
        <v>5522.810000000014</v>
      </c>
      <c r="H48" s="7">
        <f>C48*(E48-F48)*0.5895</f>
        <v>3255.6964950000083</v>
      </c>
      <c r="I48" s="22" t="s">
        <v>52</v>
      </c>
      <c r="J48" s="7">
        <f>C48*E48</f>
        <v>278943.12000000005</v>
      </c>
      <c r="K48" s="7">
        <f>J48*0.614</f>
        <v>171271.07568000004</v>
      </c>
      <c r="L48" s="3">
        <v>2</v>
      </c>
      <c r="M48" s="80" t="s">
        <v>52</v>
      </c>
      <c r="O48" s="7" t="s">
        <v>52</v>
      </c>
    </row>
    <row r="49" spans="1:14" x14ac:dyDescent="0.25">
      <c r="A49" s="25"/>
      <c r="E49" s="1"/>
      <c r="F49" s="1"/>
      <c r="H49" s="7" t="s">
        <v>52</v>
      </c>
      <c r="I49" s="22"/>
      <c r="J49" s="22"/>
      <c r="M49" s="80" t="s">
        <v>52</v>
      </c>
    </row>
    <row r="50" spans="1:14" x14ac:dyDescent="0.25">
      <c r="A50" s="8" t="s">
        <v>7</v>
      </c>
      <c r="B50" s="5" t="s">
        <v>22</v>
      </c>
      <c r="E50" s="3"/>
      <c r="F50" s="3"/>
      <c r="H50" s="7" t="s">
        <v>52</v>
      </c>
      <c r="I50" s="3"/>
      <c r="M50" s="80" t="s">
        <v>52</v>
      </c>
    </row>
    <row r="51" spans="1:14" x14ac:dyDescent="0.25">
      <c r="A51" s="8"/>
      <c r="B51" s="2" t="s">
        <v>130</v>
      </c>
      <c r="C51" s="13">
        <v>1307.5862</v>
      </c>
      <c r="D51" s="13">
        <f>C51*1</f>
        <v>1307.5862</v>
      </c>
      <c r="E51" s="1">
        <f t="shared" ref="E51:F53" si="8">E$35</f>
        <v>33.840000000000003</v>
      </c>
      <c r="F51" s="1">
        <f t="shared" si="8"/>
        <v>33.17</v>
      </c>
      <c r="G51" s="7">
        <f>C51*(E51-F51)</f>
        <v>876.08275400000218</v>
      </c>
      <c r="H51" s="7">
        <f>C51*(E51-F51)</f>
        <v>876.08275400000218</v>
      </c>
      <c r="I51" s="1"/>
      <c r="J51" s="7">
        <f>C51*E51</f>
        <v>44248.717008</v>
      </c>
      <c r="K51" s="7">
        <f>J51</f>
        <v>44248.717008</v>
      </c>
      <c r="L51" s="3">
        <v>2</v>
      </c>
      <c r="M51" s="80" t="s">
        <v>52</v>
      </c>
    </row>
    <row r="52" spans="1:14" x14ac:dyDescent="0.25">
      <c r="A52" s="8"/>
      <c r="B52" s="2" t="s">
        <v>131</v>
      </c>
      <c r="C52" s="13">
        <v>178.0334</v>
      </c>
      <c r="D52" s="13">
        <f>C52*1</f>
        <v>178.0334</v>
      </c>
      <c r="E52" s="1">
        <f t="shared" si="8"/>
        <v>33.840000000000003</v>
      </c>
      <c r="F52" s="1">
        <f t="shared" si="8"/>
        <v>33.17</v>
      </c>
      <c r="G52" s="7">
        <f>C52*(E52-F52)</f>
        <v>119.28237800000031</v>
      </c>
      <c r="H52" s="7">
        <f>C52*(E52-F52)</f>
        <v>119.28237800000031</v>
      </c>
      <c r="I52" s="1"/>
      <c r="J52" s="7">
        <f>C52*E52</f>
        <v>6024.6502560000008</v>
      </c>
      <c r="K52" s="7">
        <f>J52</f>
        <v>6024.6502560000008</v>
      </c>
      <c r="L52" s="3">
        <v>2</v>
      </c>
      <c r="M52" s="80" t="s">
        <v>52</v>
      </c>
    </row>
    <row r="53" spans="1:14" x14ac:dyDescent="0.25">
      <c r="A53" s="8"/>
      <c r="B53" s="2" t="s">
        <v>129</v>
      </c>
      <c r="C53" s="13">
        <v>402.85410000000002</v>
      </c>
      <c r="D53" s="13">
        <f>C53*1</f>
        <v>402.85410000000002</v>
      </c>
      <c r="E53" s="1">
        <f t="shared" si="8"/>
        <v>33.840000000000003</v>
      </c>
      <c r="F53" s="1">
        <f t="shared" si="8"/>
        <v>33.17</v>
      </c>
      <c r="G53" s="7">
        <f>C53*(E53-F53)</f>
        <v>269.91224700000072</v>
      </c>
      <c r="H53" s="7">
        <f>C53*(E53-F53)</f>
        <v>269.91224700000072</v>
      </c>
      <c r="I53" s="1"/>
      <c r="J53" s="7">
        <f>C53*E53</f>
        <v>13632.582744000001</v>
      </c>
      <c r="K53" s="7">
        <f>J53</f>
        <v>13632.582744000001</v>
      </c>
      <c r="L53" s="3">
        <v>2</v>
      </c>
      <c r="M53" s="80" t="s">
        <v>52</v>
      </c>
    </row>
    <row r="54" spans="1:14" x14ac:dyDescent="0.25">
      <c r="A54" s="8"/>
      <c r="E54" s="1"/>
      <c r="F54" s="1"/>
      <c r="H54" s="7" t="s">
        <v>52</v>
      </c>
      <c r="I54" s="1"/>
      <c r="M54" s="80" t="s">
        <v>52</v>
      </c>
    </row>
    <row r="55" spans="1:14" x14ac:dyDescent="0.25">
      <c r="A55" s="8" t="s">
        <v>59</v>
      </c>
      <c r="B55" s="1" t="s">
        <v>22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L55" s="5"/>
      <c r="M55" s="80" t="s">
        <v>52</v>
      </c>
    </row>
    <row r="56" spans="1:14" x14ac:dyDescent="0.25">
      <c r="A56" s="8" t="s">
        <v>9</v>
      </c>
      <c r="B56" s="2" t="s">
        <v>161</v>
      </c>
      <c r="C56" s="13">
        <v>3262</v>
      </c>
      <c r="D56" s="13" t="s">
        <v>52</v>
      </c>
      <c r="E56" s="1">
        <f t="shared" ref="E56:F62" si="9">E$35</f>
        <v>33.840000000000003</v>
      </c>
      <c r="F56" s="1">
        <f t="shared" si="9"/>
        <v>33.17</v>
      </c>
      <c r="G56" s="7">
        <f t="shared" ref="G56:G61" si="10">IF(E56&gt;I56,(E56-F56)*C56,0)</f>
        <v>0</v>
      </c>
      <c r="H56" s="7">
        <f t="shared" ref="H56:H61" si="11">IF(E56&gt;I56,(E56-F56)*C56*0.5895,0)</f>
        <v>0</v>
      </c>
      <c r="I56" s="1">
        <v>76.025000000000006</v>
      </c>
      <c r="J56" s="7">
        <f t="shared" ref="J56:J61" si="12">IF(C56*(E56-I56)&gt;0,C56*(E56-I56),0)</f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/>
      <c r="B57" s="2" t="s">
        <v>160</v>
      </c>
      <c r="C57" s="13">
        <v>1270</v>
      </c>
      <c r="D57" s="13" t="s">
        <v>52</v>
      </c>
      <c r="E57" s="1">
        <f t="shared" si="9"/>
        <v>33.840000000000003</v>
      </c>
      <c r="F57" s="1">
        <f t="shared" si="9"/>
        <v>33.17</v>
      </c>
      <c r="G57" s="7">
        <f t="shared" si="10"/>
        <v>0</v>
      </c>
      <c r="H57" s="7">
        <f t="shared" si="11"/>
        <v>0</v>
      </c>
      <c r="I57" s="1">
        <v>76</v>
      </c>
      <c r="J57" s="7">
        <f t="shared" si="12"/>
        <v>0</v>
      </c>
      <c r="K57" s="7">
        <f>J57*0.5895</f>
        <v>0</v>
      </c>
      <c r="L57" s="3">
        <v>2</v>
      </c>
      <c r="M57" s="80" t="s">
        <v>52</v>
      </c>
      <c r="N57" s="80" t="s">
        <v>52</v>
      </c>
    </row>
    <row r="58" spans="1:14" x14ac:dyDescent="0.25">
      <c r="A58" s="8" t="s">
        <v>52</v>
      </c>
      <c r="B58" s="2" t="s">
        <v>155</v>
      </c>
      <c r="C58" s="13">
        <v>381</v>
      </c>
      <c r="D58" s="13" t="s">
        <v>52</v>
      </c>
      <c r="E58" s="1">
        <f t="shared" si="9"/>
        <v>33.840000000000003</v>
      </c>
      <c r="F58" s="1">
        <f t="shared" si="9"/>
        <v>33.17</v>
      </c>
      <c r="G58" s="7">
        <f t="shared" si="10"/>
        <v>0</v>
      </c>
      <c r="H58" s="7">
        <f t="shared" si="11"/>
        <v>0</v>
      </c>
      <c r="I58" s="1">
        <v>83.125</v>
      </c>
      <c r="J58" s="7">
        <f t="shared" si="12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147</v>
      </c>
      <c r="C59" s="13">
        <v>347</v>
      </c>
      <c r="D59" s="13" t="s">
        <v>52</v>
      </c>
      <c r="E59" s="1">
        <f t="shared" si="9"/>
        <v>33.840000000000003</v>
      </c>
      <c r="F59" s="1">
        <f t="shared" si="9"/>
        <v>33.17</v>
      </c>
      <c r="G59" s="7">
        <f t="shared" si="10"/>
        <v>0</v>
      </c>
      <c r="H59" s="7">
        <f t="shared" si="11"/>
        <v>0</v>
      </c>
      <c r="I59" s="1">
        <v>62.41</v>
      </c>
      <c r="J59" s="7">
        <f t="shared" si="12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152</v>
      </c>
      <c r="C60" s="13">
        <v>348</v>
      </c>
      <c r="D60" s="13" t="s">
        <v>52</v>
      </c>
      <c r="E60" s="1">
        <f t="shared" si="9"/>
        <v>33.840000000000003</v>
      </c>
      <c r="F60" s="1">
        <f t="shared" si="9"/>
        <v>33.17</v>
      </c>
      <c r="G60" s="7">
        <f t="shared" si="10"/>
        <v>0</v>
      </c>
      <c r="H60" s="7">
        <f t="shared" si="11"/>
        <v>0</v>
      </c>
      <c r="I60" s="1">
        <v>53.04</v>
      </c>
      <c r="J60" s="7">
        <f t="shared" si="12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158</v>
      </c>
      <c r="C61" s="13">
        <v>417</v>
      </c>
      <c r="D61" s="13" t="s">
        <v>52</v>
      </c>
      <c r="E61" s="1">
        <f t="shared" si="9"/>
        <v>33.840000000000003</v>
      </c>
      <c r="F61" s="1">
        <f t="shared" si="9"/>
        <v>33.17</v>
      </c>
      <c r="G61" s="7">
        <f t="shared" si="10"/>
        <v>0</v>
      </c>
      <c r="H61" s="7">
        <f t="shared" si="11"/>
        <v>0</v>
      </c>
      <c r="I61" s="1">
        <v>48.3</v>
      </c>
      <c r="J61" s="7">
        <f t="shared" si="12"/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" t="s">
        <v>172</v>
      </c>
      <c r="C62" s="13">
        <v>610</v>
      </c>
      <c r="D62" s="13" t="s">
        <v>52</v>
      </c>
      <c r="E62" s="1">
        <f t="shared" si="9"/>
        <v>33.840000000000003</v>
      </c>
      <c r="F62" s="1">
        <f t="shared" si="9"/>
        <v>33.17</v>
      </c>
      <c r="G62" s="7">
        <f>IF(E62&gt;I62,(E62-F62)*C62,0)</f>
        <v>0</v>
      </c>
      <c r="H62" s="7">
        <f>IF(E62&gt;I62,(E62-F62)*C62*0.5895,0)</f>
        <v>0</v>
      </c>
      <c r="I62" s="1">
        <v>36.880000000000003</v>
      </c>
      <c r="J62" s="7">
        <f>IF(C62*(E62-I62)&gt;0,C62*(E62-I62),0)</f>
        <v>0</v>
      </c>
      <c r="K62" s="7">
        <f>J62*0.5995</f>
        <v>0</v>
      </c>
      <c r="L62" s="3">
        <v>2</v>
      </c>
      <c r="M62" s="80" t="s">
        <v>52</v>
      </c>
    </row>
    <row r="63" spans="1:14" x14ac:dyDescent="0.25">
      <c r="A63" s="8" t="s">
        <v>52</v>
      </c>
      <c r="B63" s="21" t="s">
        <v>52</v>
      </c>
      <c r="C63" s="13" t="s">
        <v>52</v>
      </c>
      <c r="E63" s="1" t="s">
        <v>52</v>
      </c>
      <c r="F63" s="1" t="s">
        <v>52</v>
      </c>
      <c r="G63" s="15"/>
      <c r="H63" s="7" t="s">
        <v>52</v>
      </c>
      <c r="I63" s="2"/>
      <c r="M63" s="80" t="s">
        <v>52</v>
      </c>
    </row>
    <row r="64" spans="1:14" x14ac:dyDescent="0.25">
      <c r="A64" s="8" t="s">
        <v>10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11</v>
      </c>
      <c r="B65" s="2" t="s">
        <v>132</v>
      </c>
      <c r="C65" s="13">
        <v>2317</v>
      </c>
      <c r="D65" s="13">
        <f>C65*1</f>
        <v>2317</v>
      </c>
      <c r="E65" s="1">
        <f>E$35</f>
        <v>33.840000000000003</v>
      </c>
      <c r="F65" s="1">
        <f>F$35</f>
        <v>33.17</v>
      </c>
      <c r="G65" s="7">
        <f>C65*(E65-F65)</f>
        <v>1552.390000000004</v>
      </c>
      <c r="H65" s="7">
        <f>C65*(E65-F65)*0.5895</f>
        <v>915.13390500000241</v>
      </c>
      <c r="I65" s="1"/>
      <c r="J65" s="7">
        <f>C65*E65</f>
        <v>78407.280000000013</v>
      </c>
      <c r="K65" s="7">
        <f>J65*0.614</f>
        <v>48142.069920000009</v>
      </c>
      <c r="L65" s="3">
        <v>2</v>
      </c>
      <c r="M65" s="80" t="s">
        <v>52</v>
      </c>
    </row>
    <row r="66" spans="1:16" x14ac:dyDescent="0.25">
      <c r="A66" s="8"/>
      <c r="C66" s="13" t="s">
        <v>52</v>
      </c>
      <c r="D66" s="13" t="s">
        <v>52</v>
      </c>
      <c r="E66" s="1" t="s">
        <v>52</v>
      </c>
      <c r="F66" s="1" t="s">
        <v>52</v>
      </c>
      <c r="G66" s="2"/>
      <c r="H66" s="7" t="s">
        <v>52</v>
      </c>
      <c r="I66" s="2"/>
      <c r="K66" s="7" t="s">
        <v>52</v>
      </c>
      <c r="M66" s="80" t="s">
        <v>52</v>
      </c>
    </row>
    <row r="67" spans="1:16" x14ac:dyDescent="0.25">
      <c r="A67" s="8" t="s">
        <v>64</v>
      </c>
      <c r="B67" s="5" t="s">
        <v>22</v>
      </c>
      <c r="D67" s="13" t="s">
        <v>52</v>
      </c>
      <c r="E67" s="1" t="s">
        <v>52</v>
      </c>
      <c r="F67" s="1" t="s">
        <v>52</v>
      </c>
      <c r="H67" s="7" t="s">
        <v>52</v>
      </c>
      <c r="I67" s="3"/>
      <c r="K67" s="7" t="s">
        <v>52</v>
      </c>
      <c r="M67" s="80" t="s">
        <v>52</v>
      </c>
    </row>
    <row r="68" spans="1:16" x14ac:dyDescent="0.25">
      <c r="A68" s="8" t="s">
        <v>65</v>
      </c>
      <c r="B68" s="2" t="s">
        <v>133</v>
      </c>
      <c r="C68" s="13">
        <v>1924</v>
      </c>
      <c r="D68" s="13">
        <f>+C68*1</f>
        <v>1924</v>
      </c>
      <c r="E68" s="1">
        <f>E$35</f>
        <v>33.840000000000003</v>
      </c>
      <c r="F68" s="1">
        <f>F$35</f>
        <v>33.17</v>
      </c>
      <c r="G68" s="7">
        <f>C68*(E68-F68)</f>
        <v>1289.0800000000033</v>
      </c>
      <c r="H68" s="7">
        <f>C68*(E68-F68)*0.5895</f>
        <v>759.91266000000201</v>
      </c>
      <c r="I68" s="1"/>
      <c r="J68" s="7">
        <f>C68*E68</f>
        <v>65108.160000000003</v>
      </c>
      <c r="K68" s="7">
        <f>J68*0.614</f>
        <v>39976.410240000005</v>
      </c>
      <c r="L68" s="3">
        <v>2</v>
      </c>
      <c r="M68" s="80" t="s">
        <v>52</v>
      </c>
      <c r="O68" s="7" t="s">
        <v>52</v>
      </c>
      <c r="P68" s="15" t="s">
        <v>52</v>
      </c>
    </row>
    <row r="69" spans="1:16" x14ac:dyDescent="0.25">
      <c r="A69" s="87" t="s">
        <v>52</v>
      </c>
      <c r="E69" s="1"/>
      <c r="F69" s="1"/>
      <c r="H69" s="7" t="s">
        <v>52</v>
      </c>
      <c r="I69" s="1"/>
    </row>
    <row r="70" spans="1:16" x14ac:dyDescent="0.25">
      <c r="A70" s="8" t="s">
        <v>57</v>
      </c>
      <c r="B70" s="5" t="s">
        <v>22</v>
      </c>
      <c r="C70" s="13" t="s">
        <v>52</v>
      </c>
      <c r="D70" s="13" t="s">
        <v>52</v>
      </c>
      <c r="E70" s="14"/>
      <c r="F70" s="14"/>
      <c r="H70" s="7" t="s">
        <v>52</v>
      </c>
      <c r="I70" s="3"/>
      <c r="K70" s="7" t="s">
        <v>52</v>
      </c>
    </row>
    <row r="71" spans="1:16" x14ac:dyDescent="0.25">
      <c r="A71" s="8" t="s">
        <v>52</v>
      </c>
      <c r="B71" s="2" t="s">
        <v>173</v>
      </c>
      <c r="C71" s="80">
        <v>2916581.95</v>
      </c>
      <c r="D71" s="13" t="s">
        <v>52</v>
      </c>
      <c r="E71" s="1">
        <v>1</v>
      </c>
      <c r="F71" s="1">
        <v>1</v>
      </c>
      <c r="G71" s="7">
        <f>C71*(E71-F71)</f>
        <v>0</v>
      </c>
      <c r="H71" s="7">
        <f t="shared" ref="H71:H85" si="13">C71*(E71-F71)</f>
        <v>0</v>
      </c>
      <c r="I71" s="1"/>
      <c r="J71" s="7">
        <f>C71*E71</f>
        <v>2916581.95</v>
      </c>
      <c r="K71" s="7">
        <f t="shared" ref="K71:K86" si="14">J71</f>
        <v>2916581.95</v>
      </c>
      <c r="L71" s="3">
        <v>1</v>
      </c>
    </row>
    <row r="72" spans="1:16" x14ac:dyDescent="0.25">
      <c r="A72" s="30" t="s">
        <v>52</v>
      </c>
      <c r="B72" s="2" t="s">
        <v>162</v>
      </c>
      <c r="C72" s="13">
        <v>-5000</v>
      </c>
      <c r="D72" s="13">
        <f>C72*-1</f>
        <v>5000</v>
      </c>
      <c r="E72" s="1">
        <v>5.95</v>
      </c>
      <c r="F72" s="1">
        <v>6.45</v>
      </c>
      <c r="G72" s="7">
        <f>(E72-F72)*C72</f>
        <v>2500</v>
      </c>
      <c r="H72" s="7">
        <f>C72*(E72-F72)</f>
        <v>2500</v>
      </c>
      <c r="J72" s="7">
        <f>G72</f>
        <v>2500</v>
      </c>
      <c r="K72" s="7">
        <f t="shared" si="14"/>
        <v>2500</v>
      </c>
      <c r="L72" s="3">
        <v>1</v>
      </c>
      <c r="M72" s="80" t="s">
        <v>52</v>
      </c>
    </row>
    <row r="73" spans="1:16" x14ac:dyDescent="0.25">
      <c r="A73" s="30" t="s">
        <v>52</v>
      </c>
      <c r="B73" s="2" t="s">
        <v>145</v>
      </c>
      <c r="C73" s="13">
        <v>-2000</v>
      </c>
      <c r="D73" s="13">
        <f>C73*-1</f>
        <v>2000</v>
      </c>
      <c r="E73" s="1">
        <v>16.399999999999999</v>
      </c>
      <c r="F73" s="1">
        <v>16.899999999999999</v>
      </c>
      <c r="G73" s="7">
        <f t="shared" ref="G73:G85" si="15">(E73-F73)*C73</f>
        <v>1000</v>
      </c>
      <c r="H73" s="7">
        <f t="shared" si="13"/>
        <v>1000</v>
      </c>
      <c r="J73" s="7">
        <f>G73</f>
        <v>1000</v>
      </c>
      <c r="K73" s="7">
        <f t="shared" si="14"/>
        <v>1000</v>
      </c>
      <c r="L73" s="3">
        <v>1</v>
      </c>
      <c r="M73" s="80" t="s">
        <v>52</v>
      </c>
      <c r="N73" s="80" t="s">
        <v>52</v>
      </c>
    </row>
    <row r="74" spans="1:16" x14ac:dyDescent="0.25">
      <c r="A74" s="30" t="s">
        <v>52</v>
      </c>
      <c r="B74" s="2" t="s">
        <v>167</v>
      </c>
      <c r="C74" s="13">
        <v>-15000</v>
      </c>
      <c r="D74" s="13" t="s">
        <v>52</v>
      </c>
      <c r="E74" s="1">
        <v>3.3</v>
      </c>
      <c r="F74" s="1">
        <v>3.1</v>
      </c>
      <c r="G74" s="7">
        <f>(E74-F74)*C74</f>
        <v>-2999.9999999999959</v>
      </c>
      <c r="H74" s="7">
        <f>C74*(E74-F74)</f>
        <v>-2999.9999999999959</v>
      </c>
      <c r="J74" s="7">
        <f>G74</f>
        <v>-2999.9999999999959</v>
      </c>
      <c r="K74" s="7">
        <f>J74</f>
        <v>-2999.9999999999959</v>
      </c>
      <c r="L74" s="3">
        <v>1</v>
      </c>
      <c r="M74" s="80">
        <f>C74*E74*-1</f>
        <v>49500</v>
      </c>
    </row>
    <row r="75" spans="1:16" x14ac:dyDescent="0.25">
      <c r="A75" s="30" t="s">
        <v>52</v>
      </c>
      <c r="B75" s="2" t="s">
        <v>165</v>
      </c>
      <c r="C75" s="13">
        <v>-7500</v>
      </c>
      <c r="D75" s="13" t="s">
        <v>52</v>
      </c>
      <c r="E75" s="1">
        <v>1.6</v>
      </c>
      <c r="F75" s="1">
        <v>1.6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>J75</f>
        <v>0</v>
      </c>
      <c r="L75" s="3">
        <v>1</v>
      </c>
      <c r="M75" s="80">
        <f>C75*E75*-1</f>
        <v>12000</v>
      </c>
    </row>
    <row r="76" spans="1:16" x14ac:dyDescent="0.25">
      <c r="A76" s="30" t="s">
        <v>52</v>
      </c>
      <c r="B76" s="2" t="s">
        <v>135</v>
      </c>
      <c r="C76" s="13">
        <v>-5000</v>
      </c>
      <c r="D76" s="13" t="s">
        <v>52</v>
      </c>
      <c r="E76" s="1">
        <v>0.35</v>
      </c>
      <c r="F76" s="1">
        <v>0.35</v>
      </c>
      <c r="G76" s="7">
        <f t="shared" si="15"/>
        <v>0</v>
      </c>
      <c r="H76" s="7">
        <f t="shared" si="13"/>
        <v>0</v>
      </c>
      <c r="J76" s="7">
        <f t="shared" ref="J76:J84" si="16">G76</f>
        <v>0</v>
      </c>
      <c r="K76" s="7">
        <f t="shared" si="14"/>
        <v>0</v>
      </c>
      <c r="L76" s="3">
        <v>1</v>
      </c>
      <c r="M76" s="80">
        <f t="shared" ref="M76:M85" si="17">C76*E76*-1</f>
        <v>1750</v>
      </c>
    </row>
    <row r="77" spans="1:16" x14ac:dyDescent="0.25">
      <c r="A77" s="30" t="s">
        <v>52</v>
      </c>
      <c r="B77" s="2" t="s">
        <v>136</v>
      </c>
      <c r="C77" s="13">
        <v>-15000</v>
      </c>
      <c r="D77" s="13" t="s">
        <v>52</v>
      </c>
      <c r="E77" s="1">
        <v>0.15</v>
      </c>
      <c r="F77" s="1">
        <v>0.15</v>
      </c>
      <c r="G77" s="7">
        <f t="shared" si="15"/>
        <v>0</v>
      </c>
      <c r="H77" s="7">
        <f t="shared" si="13"/>
        <v>0</v>
      </c>
      <c r="J77" s="7">
        <f t="shared" si="16"/>
        <v>0</v>
      </c>
      <c r="K77" s="7">
        <f t="shared" si="14"/>
        <v>0</v>
      </c>
      <c r="L77" s="3">
        <v>1</v>
      </c>
      <c r="M77" s="80">
        <f t="shared" si="17"/>
        <v>2250</v>
      </c>
      <c r="N77" s="80" t="s">
        <v>52</v>
      </c>
    </row>
    <row r="78" spans="1:16" x14ac:dyDescent="0.25">
      <c r="A78" s="30" t="s">
        <v>52</v>
      </c>
      <c r="B78" s="2" t="s">
        <v>153</v>
      </c>
      <c r="C78" s="13">
        <v>-5000</v>
      </c>
      <c r="D78" s="13" t="s">
        <v>52</v>
      </c>
      <c r="E78" s="1">
        <v>2.2000000000000002</v>
      </c>
      <c r="F78" s="1">
        <v>2</v>
      </c>
      <c r="G78" s="7">
        <f>(E78-F78)*C78</f>
        <v>-1000.0000000000009</v>
      </c>
      <c r="H78" s="7">
        <f>C78*(E78-F78)</f>
        <v>-1000.0000000000009</v>
      </c>
      <c r="J78" s="7">
        <f>G78</f>
        <v>-1000.0000000000009</v>
      </c>
      <c r="K78" s="7">
        <f t="shared" si="14"/>
        <v>-1000.0000000000009</v>
      </c>
      <c r="L78" s="3">
        <v>1</v>
      </c>
      <c r="M78" s="80">
        <f>C78*E78*-1</f>
        <v>11000</v>
      </c>
    </row>
    <row r="79" spans="1:16" x14ac:dyDescent="0.25">
      <c r="A79" s="30" t="s">
        <v>52</v>
      </c>
      <c r="B79" s="2" t="s">
        <v>137</v>
      </c>
      <c r="C79" s="13">
        <v>-15000</v>
      </c>
      <c r="D79" s="13" t="s">
        <v>52</v>
      </c>
      <c r="E79" s="1">
        <v>1.6</v>
      </c>
      <c r="F79" s="1">
        <v>1.45</v>
      </c>
      <c r="G79" s="7">
        <f t="shared" si="15"/>
        <v>-2250.0000000000018</v>
      </c>
      <c r="H79" s="7">
        <f t="shared" si="13"/>
        <v>-2250.0000000000018</v>
      </c>
      <c r="J79" s="7">
        <f t="shared" si="16"/>
        <v>-2250.0000000000018</v>
      </c>
      <c r="K79" s="7">
        <f t="shared" si="14"/>
        <v>-2250.0000000000018</v>
      </c>
      <c r="L79" s="3">
        <v>1</v>
      </c>
      <c r="M79" s="80">
        <f t="shared" si="17"/>
        <v>24000</v>
      </c>
      <c r="O79" s="5" t="s">
        <v>52</v>
      </c>
    </row>
    <row r="80" spans="1:16" x14ac:dyDescent="0.25">
      <c r="A80" s="30" t="s">
        <v>52</v>
      </c>
      <c r="B80" s="2" t="s">
        <v>149</v>
      </c>
      <c r="C80" s="13">
        <v>-15000</v>
      </c>
      <c r="D80" s="13" t="s">
        <v>52</v>
      </c>
      <c r="E80" s="1">
        <v>1.2</v>
      </c>
      <c r="F80" s="1">
        <v>1.1000000000000001</v>
      </c>
      <c r="G80" s="7">
        <f>(E80-F80)*C80</f>
        <v>-1499.999999999998</v>
      </c>
      <c r="H80" s="7">
        <f>C80*(E80-F80)</f>
        <v>-1499.999999999998</v>
      </c>
      <c r="J80" s="7">
        <f>G80</f>
        <v>-1499.999999999998</v>
      </c>
      <c r="K80" s="7">
        <f t="shared" si="14"/>
        <v>-1499.999999999998</v>
      </c>
      <c r="L80" s="3">
        <v>1</v>
      </c>
      <c r="M80" s="80">
        <f>C80*E80*-1</f>
        <v>18000</v>
      </c>
      <c r="O80" s="5" t="s">
        <v>52</v>
      </c>
    </row>
    <row r="81" spans="1:15" x14ac:dyDescent="0.25">
      <c r="A81" s="30" t="s">
        <v>52</v>
      </c>
      <c r="B81" s="2" t="s">
        <v>138</v>
      </c>
      <c r="C81" s="13">
        <v>-10000</v>
      </c>
      <c r="D81" s="13" t="s">
        <v>52</v>
      </c>
      <c r="E81" s="1">
        <v>0.55000000000000004</v>
      </c>
      <c r="F81" s="1">
        <v>0.5</v>
      </c>
      <c r="G81" s="7">
        <f t="shared" si="15"/>
        <v>-500.00000000000045</v>
      </c>
      <c r="H81" s="7">
        <f t="shared" si="13"/>
        <v>-500.00000000000045</v>
      </c>
      <c r="J81" s="7">
        <f>G81</f>
        <v>-500.00000000000045</v>
      </c>
      <c r="K81" s="7">
        <f t="shared" si="14"/>
        <v>-500.00000000000045</v>
      </c>
      <c r="L81" s="3">
        <v>1</v>
      </c>
      <c r="M81" s="80">
        <f t="shared" si="17"/>
        <v>5500</v>
      </c>
      <c r="O81" s="7" t="s">
        <v>52</v>
      </c>
    </row>
    <row r="82" spans="1:15" x14ac:dyDescent="0.25">
      <c r="A82" s="30" t="s">
        <v>52</v>
      </c>
      <c r="B82" s="2" t="s">
        <v>139</v>
      </c>
      <c r="C82" s="13">
        <v>-10000</v>
      </c>
      <c r="D82" s="13" t="s">
        <v>52</v>
      </c>
      <c r="E82" s="1">
        <v>0.35</v>
      </c>
      <c r="F82" s="1">
        <v>0.35</v>
      </c>
      <c r="G82" s="7">
        <f t="shared" si="15"/>
        <v>0</v>
      </c>
      <c r="H82" s="7">
        <f t="shared" si="13"/>
        <v>0</v>
      </c>
      <c r="J82" s="7">
        <f t="shared" si="16"/>
        <v>0</v>
      </c>
      <c r="K82" s="7">
        <f t="shared" si="14"/>
        <v>0</v>
      </c>
      <c r="L82" s="3">
        <v>1</v>
      </c>
      <c r="M82" s="80">
        <f t="shared" si="17"/>
        <v>3500</v>
      </c>
      <c r="O82" s="7" t="s">
        <v>52</v>
      </c>
    </row>
    <row r="83" spans="1:15" x14ac:dyDescent="0.25">
      <c r="A83" s="30" t="s">
        <v>52</v>
      </c>
      <c r="B83" s="2" t="s">
        <v>140</v>
      </c>
      <c r="C83" s="13">
        <v>-10000</v>
      </c>
      <c r="D83" s="13" t="s">
        <v>52</v>
      </c>
      <c r="E83" s="1">
        <v>0.2</v>
      </c>
      <c r="F83" s="1">
        <v>0.2</v>
      </c>
      <c r="G83" s="7">
        <f t="shared" si="15"/>
        <v>0</v>
      </c>
      <c r="H83" s="7">
        <f t="shared" si="13"/>
        <v>0</v>
      </c>
      <c r="J83" s="7">
        <f t="shared" si="16"/>
        <v>0</v>
      </c>
      <c r="K83" s="7">
        <f t="shared" si="14"/>
        <v>0</v>
      </c>
      <c r="L83" s="3">
        <v>1</v>
      </c>
      <c r="M83" s="80">
        <f t="shared" si="17"/>
        <v>2000</v>
      </c>
      <c r="O83" s="7" t="s">
        <v>52</v>
      </c>
    </row>
    <row r="84" spans="1:15" x14ac:dyDescent="0.25">
      <c r="A84" s="30" t="s">
        <v>52</v>
      </c>
      <c r="B84" s="2" t="s">
        <v>141</v>
      </c>
      <c r="C84" s="13">
        <v>-10000</v>
      </c>
      <c r="D84" s="13" t="s">
        <v>52</v>
      </c>
      <c r="E84" s="1">
        <v>0.15</v>
      </c>
      <c r="F84" s="1">
        <v>0.15</v>
      </c>
      <c r="G84" s="7">
        <f t="shared" si="15"/>
        <v>0</v>
      </c>
      <c r="H84" s="7">
        <f t="shared" si="13"/>
        <v>0</v>
      </c>
      <c r="J84" s="7">
        <f t="shared" si="16"/>
        <v>0</v>
      </c>
      <c r="K84" s="7">
        <f t="shared" si="14"/>
        <v>0</v>
      </c>
      <c r="L84" s="3">
        <v>1</v>
      </c>
      <c r="M84" s="92">
        <f t="shared" si="17"/>
        <v>1500</v>
      </c>
      <c r="O84" s="80" t="s">
        <v>52</v>
      </c>
    </row>
    <row r="85" spans="1:15" ht="13.8" thickBot="1" x14ac:dyDescent="0.3">
      <c r="A85" s="30" t="s">
        <v>52</v>
      </c>
      <c r="B85" s="2" t="s">
        <v>142</v>
      </c>
      <c r="C85" s="13">
        <v>-5000</v>
      </c>
      <c r="D85" s="13" t="s">
        <v>52</v>
      </c>
      <c r="E85" s="1">
        <v>0.15</v>
      </c>
      <c r="F85" s="1">
        <v>0.15</v>
      </c>
      <c r="G85" s="7">
        <f t="shared" si="15"/>
        <v>0</v>
      </c>
      <c r="H85" s="7">
        <f t="shared" si="13"/>
        <v>0</v>
      </c>
      <c r="J85" s="7">
        <f>G85</f>
        <v>0</v>
      </c>
      <c r="K85" s="7">
        <f t="shared" si="14"/>
        <v>0</v>
      </c>
      <c r="L85" s="3">
        <v>1</v>
      </c>
      <c r="M85" s="93">
        <f t="shared" si="17"/>
        <v>750</v>
      </c>
      <c r="N85" s="80" t="s">
        <v>52</v>
      </c>
      <c r="O85" s="7" t="s">
        <v>52</v>
      </c>
    </row>
    <row r="86" spans="1:15" x14ac:dyDescent="0.25">
      <c r="A86" s="8" t="s">
        <v>52</v>
      </c>
      <c r="C86" s="29" t="s">
        <v>52</v>
      </c>
      <c r="D86" s="13" t="s">
        <v>52</v>
      </c>
      <c r="E86" s="1"/>
      <c r="F86" s="1"/>
      <c r="G86" s="7" t="s">
        <v>52</v>
      </c>
      <c r="H86" s="7" t="s">
        <v>52</v>
      </c>
      <c r="I86" s="1"/>
      <c r="J86" s="7" t="str">
        <f>G86</f>
        <v xml:space="preserve"> </v>
      </c>
      <c r="K86" s="7" t="str">
        <f t="shared" si="14"/>
        <v xml:space="preserve"> </v>
      </c>
      <c r="M86" s="80">
        <f>SUM(M72:M85)</f>
        <v>131750</v>
      </c>
      <c r="N86" s="80">
        <v>41150</v>
      </c>
      <c r="O86" s="80">
        <v>2916581.95</v>
      </c>
    </row>
    <row r="87" spans="1:15" x14ac:dyDescent="0.25">
      <c r="A87" s="8" t="s">
        <v>57</v>
      </c>
      <c r="B87" s="5" t="s">
        <v>22</v>
      </c>
      <c r="C87" s="13" t="s">
        <v>52</v>
      </c>
      <c r="D87" s="13" t="s">
        <v>52</v>
      </c>
      <c r="E87" s="14"/>
      <c r="F87" s="14"/>
      <c r="G87" s="14" t="s">
        <v>52</v>
      </c>
      <c r="H87" s="7" t="s">
        <v>52</v>
      </c>
      <c r="I87" s="3"/>
      <c r="K87" s="7" t="s">
        <v>52</v>
      </c>
      <c r="M87" s="80" t="s">
        <v>52</v>
      </c>
      <c r="N87" s="80">
        <f>SUM(H71:H85)</f>
        <v>-4749.9999999999964</v>
      </c>
      <c r="O87" s="80">
        <f>SUM(K71:K85)</f>
        <v>2911831.95</v>
      </c>
    </row>
    <row r="88" spans="1:15" x14ac:dyDescent="0.25">
      <c r="A88" s="30" t="s">
        <v>52</v>
      </c>
      <c r="B88" s="2" t="s">
        <v>62</v>
      </c>
      <c r="C88" s="13">
        <v>387</v>
      </c>
      <c r="D88" s="13" t="s">
        <v>52</v>
      </c>
      <c r="E88" s="16">
        <v>38.47</v>
      </c>
      <c r="F88" s="16">
        <v>38.86</v>
      </c>
      <c r="G88" s="7">
        <f>C88*(E88-F88)</f>
        <v>-150.93000000000023</v>
      </c>
      <c r="H88" s="7">
        <f>C88*(E88-F88)</f>
        <v>-150.93000000000023</v>
      </c>
      <c r="I88" s="1"/>
      <c r="J88" s="7">
        <f>C88*E88</f>
        <v>14887.89</v>
      </c>
      <c r="K88" s="7">
        <f>J88</f>
        <v>14887.89</v>
      </c>
      <c r="L88" s="3">
        <v>2</v>
      </c>
      <c r="M88" s="80" t="s">
        <v>52</v>
      </c>
    </row>
    <row r="89" spans="1:15" x14ac:dyDescent="0.25">
      <c r="A89" s="8" t="s">
        <v>52</v>
      </c>
      <c r="B89" s="2" t="s">
        <v>23</v>
      </c>
      <c r="C89" s="13">
        <v>158.47999999999999</v>
      </c>
      <c r="D89" s="13" t="s">
        <v>52</v>
      </c>
      <c r="E89" s="1">
        <v>1</v>
      </c>
      <c r="F89" s="1">
        <v>1</v>
      </c>
      <c r="G89" s="7">
        <f>C89*(E89-F89)</f>
        <v>0</v>
      </c>
      <c r="H89" s="7">
        <f>C89*(E89-F89)</f>
        <v>0</v>
      </c>
      <c r="I89" s="1"/>
      <c r="J89" s="7">
        <f>C89*E89</f>
        <v>158.47999999999999</v>
      </c>
      <c r="K89" s="7">
        <f>J89</f>
        <v>158.47999999999999</v>
      </c>
      <c r="L89" s="3">
        <v>1</v>
      </c>
    </row>
    <row r="90" spans="1:15" x14ac:dyDescent="0.25">
      <c r="A90" s="8" t="s">
        <v>52</v>
      </c>
      <c r="B90" s="5" t="s">
        <v>52</v>
      </c>
      <c r="D90" s="13" t="s">
        <v>52</v>
      </c>
      <c r="E90" s="1" t="s">
        <v>52</v>
      </c>
      <c r="F90" s="1" t="s">
        <v>52</v>
      </c>
      <c r="H90" s="7" t="s">
        <v>52</v>
      </c>
      <c r="I90" s="3"/>
      <c r="K90" s="15"/>
      <c r="O90" s="80" t="s">
        <v>52</v>
      </c>
    </row>
    <row r="91" spans="1:15" x14ac:dyDescent="0.25">
      <c r="A91" s="8" t="s">
        <v>12</v>
      </c>
      <c r="B91" s="5" t="s">
        <v>22</v>
      </c>
      <c r="C91" s="13" t="s">
        <v>52</v>
      </c>
      <c r="D91" s="13" t="s">
        <v>52</v>
      </c>
      <c r="E91" s="3"/>
      <c r="F91" s="3"/>
      <c r="H91" s="7" t="s">
        <v>52</v>
      </c>
      <c r="I91" s="3"/>
    </row>
    <row r="92" spans="1:15" x14ac:dyDescent="0.25">
      <c r="A92" s="8" t="s">
        <v>13</v>
      </c>
      <c r="B92" s="2" t="s">
        <v>26</v>
      </c>
      <c r="C92" s="13">
        <v>234.06399999999999</v>
      </c>
      <c r="D92" s="13" t="s">
        <v>52</v>
      </c>
      <c r="E92" s="1">
        <v>47.78</v>
      </c>
      <c r="F92" s="1">
        <v>47.78</v>
      </c>
      <c r="G92" s="7">
        <f t="shared" ref="G92:G98" si="18">C92*(E92-F92)</f>
        <v>0</v>
      </c>
      <c r="H92" s="7">
        <f t="shared" ref="H92:H98" si="19">C92*(E92-F92)</f>
        <v>0</v>
      </c>
      <c r="I92" s="1"/>
      <c r="J92" s="7">
        <f t="shared" ref="J92:J98" si="20">C92*E92</f>
        <v>11183.57792</v>
      </c>
      <c r="K92" s="7">
        <f>J92</f>
        <v>11183.57792</v>
      </c>
      <c r="L92" s="3">
        <v>2</v>
      </c>
    </row>
    <row r="93" spans="1:15" x14ac:dyDescent="0.25">
      <c r="A93" s="8"/>
      <c r="B93" s="2" t="s">
        <v>27</v>
      </c>
      <c r="C93" s="13">
        <v>752.12800000000004</v>
      </c>
      <c r="D93" s="13" t="s">
        <v>52</v>
      </c>
      <c r="E93" s="1">
        <v>8.4499999999999993</v>
      </c>
      <c r="F93" s="1">
        <v>8.4499999999999993</v>
      </c>
      <c r="G93" s="7">
        <f t="shared" si="18"/>
        <v>0</v>
      </c>
      <c r="H93" s="7">
        <f t="shared" si="19"/>
        <v>0</v>
      </c>
      <c r="I93" s="1"/>
      <c r="J93" s="7">
        <f t="shared" si="20"/>
        <v>6355.4816000000001</v>
      </c>
      <c r="K93" s="7">
        <f t="shared" ref="K93:K109" si="21">J93</f>
        <v>6355.4816000000001</v>
      </c>
      <c r="L93" s="3">
        <v>2</v>
      </c>
    </row>
    <row r="94" spans="1:15" x14ac:dyDescent="0.25">
      <c r="A94" s="8"/>
      <c r="B94" s="2" t="s">
        <v>28</v>
      </c>
      <c r="C94" s="13">
        <v>2674.7959999999998</v>
      </c>
      <c r="D94" s="13" t="s">
        <v>52</v>
      </c>
      <c r="E94" s="1">
        <v>19.940000000000001</v>
      </c>
      <c r="F94" s="1">
        <v>19.940000000000001</v>
      </c>
      <c r="G94" s="7">
        <f t="shared" si="18"/>
        <v>0</v>
      </c>
      <c r="H94" s="7">
        <f t="shared" si="19"/>
        <v>0</v>
      </c>
      <c r="I94" s="1"/>
      <c r="J94" s="7">
        <f t="shared" si="20"/>
        <v>53335.432240000002</v>
      </c>
      <c r="K94" s="7">
        <f t="shared" si="21"/>
        <v>53335.432240000002</v>
      </c>
      <c r="L94" s="3">
        <v>2</v>
      </c>
    </row>
    <row r="95" spans="1:15" x14ac:dyDescent="0.25">
      <c r="A95" s="8"/>
      <c r="B95" s="2" t="s">
        <v>29</v>
      </c>
      <c r="C95" s="13">
        <v>1240.306</v>
      </c>
      <c r="D95" s="13" t="s">
        <v>52</v>
      </c>
      <c r="E95" s="1">
        <v>7.76</v>
      </c>
      <c r="F95" s="1">
        <v>7.76</v>
      </c>
      <c r="G95" s="7">
        <f t="shared" si="18"/>
        <v>0</v>
      </c>
      <c r="H95" s="7">
        <f t="shared" si="19"/>
        <v>0</v>
      </c>
      <c r="I95" s="1"/>
      <c r="J95" s="7">
        <f t="shared" si="20"/>
        <v>9624.7745599999998</v>
      </c>
      <c r="K95" s="7">
        <f t="shared" si="21"/>
        <v>9624.7745599999998</v>
      </c>
      <c r="L95" s="3">
        <v>2</v>
      </c>
    </row>
    <row r="96" spans="1:15" x14ac:dyDescent="0.25">
      <c r="A96" s="8"/>
      <c r="B96" s="2" t="s">
        <v>30</v>
      </c>
      <c r="C96" s="13">
        <v>261.04399999999998</v>
      </c>
      <c r="D96" s="13" t="s">
        <v>52</v>
      </c>
      <c r="E96" s="1">
        <v>35.81</v>
      </c>
      <c r="F96" s="1">
        <v>35.81</v>
      </c>
      <c r="G96" s="7">
        <f t="shared" si="18"/>
        <v>0</v>
      </c>
      <c r="H96" s="7">
        <f t="shared" si="19"/>
        <v>0</v>
      </c>
      <c r="I96" s="1"/>
      <c r="J96" s="7">
        <f t="shared" si="20"/>
        <v>9347.9856400000008</v>
      </c>
      <c r="K96" s="7">
        <f t="shared" si="21"/>
        <v>9347.9856400000008</v>
      </c>
      <c r="L96" s="3">
        <v>2</v>
      </c>
    </row>
    <row r="97" spans="1:15" x14ac:dyDescent="0.25">
      <c r="A97" s="8"/>
      <c r="B97" s="2" t="s">
        <v>31</v>
      </c>
      <c r="C97" s="13">
        <v>378.52600000000001</v>
      </c>
      <c r="D97" s="13" t="s">
        <v>52</v>
      </c>
      <c r="E97" s="1">
        <v>25.78</v>
      </c>
      <c r="F97" s="1">
        <v>25.78</v>
      </c>
      <c r="G97" s="7">
        <f t="shared" si="18"/>
        <v>0</v>
      </c>
      <c r="H97" s="7">
        <f t="shared" si="19"/>
        <v>0</v>
      </c>
      <c r="I97" s="1"/>
      <c r="J97" s="7">
        <f t="shared" si="20"/>
        <v>9758.4002799999998</v>
      </c>
      <c r="K97" s="7">
        <f t="shared" si="21"/>
        <v>9758.4002799999998</v>
      </c>
      <c r="L97" s="3">
        <v>2</v>
      </c>
    </row>
    <row r="98" spans="1:15" x14ac:dyDescent="0.25">
      <c r="A98" s="8" t="s">
        <v>52</v>
      </c>
      <c r="B98" s="2" t="s">
        <v>49</v>
      </c>
      <c r="C98" s="13">
        <v>1371</v>
      </c>
      <c r="D98" s="13" t="s">
        <v>52</v>
      </c>
      <c r="E98" s="1">
        <v>11</v>
      </c>
      <c r="F98" s="1">
        <v>11</v>
      </c>
      <c r="G98" s="7">
        <f t="shared" si="18"/>
        <v>0</v>
      </c>
      <c r="H98" s="7">
        <f t="shared" si="19"/>
        <v>0</v>
      </c>
      <c r="I98" s="1" t="s">
        <v>52</v>
      </c>
      <c r="J98" s="7">
        <f t="shared" si="20"/>
        <v>15081</v>
      </c>
      <c r="K98" s="7">
        <f t="shared" si="21"/>
        <v>15081</v>
      </c>
      <c r="L98" s="3">
        <v>1</v>
      </c>
    </row>
    <row r="99" spans="1:15" x14ac:dyDescent="0.25">
      <c r="A99" s="8"/>
      <c r="E99" s="2"/>
      <c r="F99" s="2"/>
      <c r="G99" s="15"/>
      <c r="H99" s="7" t="s">
        <v>52</v>
      </c>
      <c r="I99" s="2" t="s">
        <v>52</v>
      </c>
    </row>
    <row r="100" spans="1:15" x14ac:dyDescent="0.25">
      <c r="A100" s="8" t="s">
        <v>14</v>
      </c>
      <c r="B100" s="2" t="s">
        <v>58</v>
      </c>
      <c r="C100" s="13">
        <v>5000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5000</v>
      </c>
      <c r="K100" s="7">
        <f t="shared" si="21"/>
        <v>5000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</row>
    <row r="102" spans="1:15" x14ac:dyDescent="0.25">
      <c r="A102" s="8" t="s">
        <v>15</v>
      </c>
      <c r="B102" s="2" t="s">
        <v>34</v>
      </c>
      <c r="C102" s="13">
        <v>3829.12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3829.12</v>
      </c>
      <c r="K102" s="7">
        <f t="shared" si="21"/>
        <v>3829.12</v>
      </c>
      <c r="L102" s="3">
        <v>1</v>
      </c>
    </row>
    <row r="103" spans="1:15" x14ac:dyDescent="0.25">
      <c r="A103" s="8"/>
      <c r="B103" s="2" t="s">
        <v>35</v>
      </c>
      <c r="C103" s="13">
        <v>4769.42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4769.42</v>
      </c>
      <c r="K103" s="7">
        <f t="shared" si="21"/>
        <v>4769.42</v>
      </c>
      <c r="L103" s="3">
        <v>1</v>
      </c>
    </row>
    <row r="104" spans="1:15" x14ac:dyDescent="0.25">
      <c r="E104" s="2"/>
      <c r="F104" s="2"/>
      <c r="G104" s="15"/>
      <c r="H104" s="7" t="s">
        <v>52</v>
      </c>
      <c r="I104" s="2"/>
      <c r="K104" s="7" t="s">
        <v>52</v>
      </c>
    </row>
    <row r="105" spans="1:15" x14ac:dyDescent="0.25">
      <c r="A105" s="8" t="s">
        <v>16</v>
      </c>
      <c r="B105" s="2" t="s">
        <v>36</v>
      </c>
      <c r="C105" s="13">
        <v>9759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9759</v>
      </c>
      <c r="K105" s="7">
        <f t="shared" si="21"/>
        <v>9759</v>
      </c>
      <c r="L105" s="3">
        <v>1</v>
      </c>
      <c r="M105" s="80" t="s">
        <v>87</v>
      </c>
    </row>
    <row r="106" spans="1:15" x14ac:dyDescent="0.25">
      <c r="A106" s="8"/>
      <c r="B106" s="2" t="s">
        <v>38</v>
      </c>
      <c r="C106" s="13">
        <v>3718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3718</v>
      </c>
      <c r="K106" s="7">
        <f t="shared" si="21"/>
        <v>3718</v>
      </c>
      <c r="L106" s="3">
        <v>1</v>
      </c>
      <c r="M106" s="80">
        <f>(C9*E9)+(C10*E10)+(C11*E11)+(C12*E12)+(C13*E13)+(C14*E14)</f>
        <v>-4131810</v>
      </c>
      <c r="N106" s="26">
        <f>M106/M113</f>
        <v>-0.69421951485256628</v>
      </c>
      <c r="O106" s="5" t="s">
        <v>85</v>
      </c>
    </row>
    <row r="107" spans="1:15" x14ac:dyDescent="0.25">
      <c r="A107" s="8"/>
      <c r="B107" s="2" t="s">
        <v>39</v>
      </c>
      <c r="C107" s="13">
        <v>943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943</v>
      </c>
      <c r="K107" s="7">
        <f t="shared" si="21"/>
        <v>943</v>
      </c>
      <c r="L107" s="3">
        <v>1</v>
      </c>
      <c r="M107" s="80">
        <f>SUMIF(L5:L114,2,K5:K114)</f>
        <v>490612.01051472209</v>
      </c>
      <c r="N107" s="26">
        <f>M107/M113</f>
        <v>8.24317749171362E-2</v>
      </c>
      <c r="O107" s="5" t="s">
        <v>22</v>
      </c>
    </row>
    <row r="108" spans="1:15" x14ac:dyDescent="0.25">
      <c r="A108" s="8"/>
      <c r="B108" s="2" t="s">
        <v>40</v>
      </c>
      <c r="C108" s="13">
        <v>1235</v>
      </c>
      <c r="E108" s="1">
        <v>1</v>
      </c>
      <c r="F108" s="1">
        <v>1</v>
      </c>
      <c r="G108" s="7">
        <f>C108*(E108-F108)</f>
        <v>0</v>
      </c>
      <c r="H108" s="7">
        <f>C108*(E108-F108)</f>
        <v>0</v>
      </c>
      <c r="I108" s="1"/>
      <c r="J108" s="7">
        <f>C108*E108</f>
        <v>1235</v>
      </c>
      <c r="K108" s="7">
        <f t="shared" si="21"/>
        <v>1235</v>
      </c>
      <c r="L108" s="3">
        <v>1</v>
      </c>
      <c r="M108" s="80" t="s">
        <v>60</v>
      </c>
      <c r="N108" s="26"/>
      <c r="O108" s="7" t="s">
        <v>52</v>
      </c>
    </row>
    <row r="109" spans="1:15" x14ac:dyDescent="0.25">
      <c r="A109" s="8"/>
      <c r="B109" s="2" t="s">
        <v>37</v>
      </c>
      <c r="C109" s="13">
        <v>2234.7820000000002</v>
      </c>
      <c r="D109" s="13" t="s">
        <v>52</v>
      </c>
      <c r="E109" s="1">
        <v>1.684671</v>
      </c>
      <c r="F109" s="1">
        <v>1.684671</v>
      </c>
      <c r="G109" s="7">
        <f>C109*(E109-F109)</f>
        <v>0</v>
      </c>
      <c r="H109" s="7">
        <f>C109*(E109-F109)</f>
        <v>0</v>
      </c>
      <c r="I109" s="1"/>
      <c r="J109" s="7">
        <f>C109*E109</f>
        <v>3764.8724267220005</v>
      </c>
      <c r="K109" s="7">
        <f t="shared" si="21"/>
        <v>3764.8724267220005</v>
      </c>
      <c r="L109" s="3">
        <v>2</v>
      </c>
      <c r="M109" s="80">
        <f>SUMIF(L5:L114,1,K5:K114)</f>
        <v>6001122.1479200004</v>
      </c>
      <c r="N109" s="26">
        <f>M109/M113</f>
        <v>1.0082980839148008</v>
      </c>
    </row>
    <row r="110" spans="1:15" x14ac:dyDescent="0.25">
      <c r="A110" s="8"/>
      <c r="E110" s="1"/>
      <c r="F110" s="1"/>
      <c r="I110" s="1"/>
      <c r="M110" s="80" t="s">
        <v>166</v>
      </c>
      <c r="N110" s="26"/>
    </row>
    <row r="111" spans="1:15" x14ac:dyDescent="0.25">
      <c r="A111" s="8" t="s">
        <v>88</v>
      </c>
      <c r="B111" s="2" t="s">
        <v>156</v>
      </c>
      <c r="C111" s="13">
        <v>-125000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-125000</v>
      </c>
      <c r="K111" s="7">
        <f>J111</f>
        <v>-125000</v>
      </c>
      <c r="L111" s="3">
        <v>0</v>
      </c>
      <c r="M111" s="80">
        <f>SUM(K111:K113)</f>
        <v>-540000</v>
      </c>
      <c r="N111" s="26">
        <f>+M111/M113</f>
        <v>-9.0729858831937044E-2</v>
      </c>
    </row>
    <row r="112" spans="1:15" x14ac:dyDescent="0.25">
      <c r="A112" s="8" t="s">
        <v>52</v>
      </c>
      <c r="B112" s="2" t="s">
        <v>163</v>
      </c>
      <c r="C112" s="13">
        <v>-160000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-160000</v>
      </c>
      <c r="K112" s="7">
        <f>J112</f>
        <v>-160000</v>
      </c>
      <c r="L112" s="3">
        <v>0</v>
      </c>
      <c r="M112" s="80" t="s">
        <v>91</v>
      </c>
      <c r="N112" s="26"/>
    </row>
    <row r="113" spans="1:14" x14ac:dyDescent="0.25">
      <c r="A113" s="8" t="s">
        <v>52</v>
      </c>
      <c r="B113" s="2" t="s">
        <v>164</v>
      </c>
      <c r="C113" s="13">
        <v>-255000</v>
      </c>
      <c r="D113" s="13" t="s">
        <v>52</v>
      </c>
      <c r="E113" s="27" t="s">
        <v>52</v>
      </c>
      <c r="F113" s="27" t="s">
        <v>52</v>
      </c>
      <c r="G113" s="27" t="s">
        <v>52</v>
      </c>
      <c r="H113" s="27" t="s">
        <v>52</v>
      </c>
      <c r="J113" s="7">
        <f>+C113</f>
        <v>-255000</v>
      </c>
      <c r="K113" s="7">
        <f>J113</f>
        <v>-255000</v>
      </c>
      <c r="L113" s="3">
        <v>0</v>
      </c>
      <c r="M113" s="80">
        <f>K116</f>
        <v>5951734.1584347226</v>
      </c>
      <c r="N113" s="26">
        <f>+M113/K116</f>
        <v>1</v>
      </c>
    </row>
    <row r="114" spans="1:14" ht="13.8" thickBot="1" x14ac:dyDescent="0.3">
      <c r="A114" s="8" t="s">
        <v>52</v>
      </c>
      <c r="B114" s="63" t="s">
        <v>52</v>
      </c>
      <c r="C114" s="24"/>
      <c r="D114" s="24" t="s">
        <v>52</v>
      </c>
      <c r="E114" s="18"/>
      <c r="F114" s="18"/>
      <c r="G114" s="19"/>
      <c r="H114" s="19"/>
      <c r="I114" s="18"/>
      <c r="J114" s="19"/>
      <c r="K114" s="19" t="s">
        <v>52</v>
      </c>
      <c r="L114" s="65"/>
      <c r="M114" s="93" t="s">
        <v>52</v>
      </c>
      <c r="N114" s="93"/>
    </row>
    <row r="115" spans="1:14" x14ac:dyDescent="0.25">
      <c r="A115" s="8"/>
      <c r="M115" s="80" t="s">
        <v>56</v>
      </c>
    </row>
    <row r="116" spans="1:14" x14ac:dyDescent="0.25">
      <c r="A116" s="8" t="s">
        <v>17</v>
      </c>
      <c r="C116" s="13">
        <f>SUM(C56:C68)+C35+C41+C48+C51+C52+C53</f>
        <v>21359.598700000002</v>
      </c>
      <c r="D116" s="13">
        <f>SUM(D5:D111)</f>
        <v>6724.5987000000005</v>
      </c>
      <c r="G116" s="7">
        <f>SUM(G5:G114)</f>
        <v>-113631.67887099979</v>
      </c>
      <c r="H116" s="7">
        <f>SUM(H5:H114)</f>
        <v>-117065.2158109998</v>
      </c>
      <c r="J116" s="7">
        <f>SUM(J5:J114)</f>
        <v>6452821.1546747219</v>
      </c>
      <c r="K116" s="7">
        <f>SUM(K5:K114)</f>
        <v>5951734.1584347226</v>
      </c>
      <c r="M116" s="92">
        <f>SUM(K48:K68)+K35+K41</f>
        <v>335211.41584800003</v>
      </c>
      <c r="N116" s="94">
        <f>M116/K116</f>
        <v>5.6321637849523681E-2</v>
      </c>
    </row>
    <row r="117" spans="1:14" ht="13.8" thickBot="1" x14ac:dyDescent="0.3">
      <c r="A117" s="8"/>
      <c r="B117" s="17"/>
      <c r="C117" s="24"/>
      <c r="D117" s="24"/>
      <c r="E117" s="18"/>
      <c r="F117" s="18"/>
      <c r="G117" s="19"/>
      <c r="H117" s="19"/>
      <c r="I117" s="18"/>
      <c r="J117" s="19"/>
      <c r="K117" s="19"/>
      <c r="L117" s="65"/>
      <c r="M117" s="93"/>
      <c r="N117" s="93"/>
    </row>
    <row r="118" spans="1:14" x14ac:dyDescent="0.25">
      <c r="A118" s="8"/>
    </row>
    <row r="119" spans="1:14" x14ac:dyDescent="0.25">
      <c r="A119" s="8" t="s">
        <v>18</v>
      </c>
      <c r="B119" s="5" t="s">
        <v>22</v>
      </c>
      <c r="C119" s="13" t="s">
        <v>52</v>
      </c>
      <c r="M119" s="80" t="s">
        <v>52</v>
      </c>
    </row>
    <row r="120" spans="1:14" x14ac:dyDescent="0.25">
      <c r="A120" s="8" t="s">
        <v>19</v>
      </c>
      <c r="B120" s="2" t="s">
        <v>32</v>
      </c>
      <c r="C120" s="13">
        <v>1228.5820000000001</v>
      </c>
      <c r="D120" s="13" t="s">
        <v>52</v>
      </c>
      <c r="E120" s="1">
        <v>18.22</v>
      </c>
      <c r="F120" s="1">
        <v>18.22</v>
      </c>
      <c r="G120" s="7">
        <f>C120*(E120-F120)</f>
        <v>0</v>
      </c>
      <c r="H120" s="7">
        <f>C120*(E120-F120)</f>
        <v>0</v>
      </c>
      <c r="I120" s="1"/>
      <c r="J120" s="7">
        <f>C120*E120</f>
        <v>22384.764040000002</v>
      </c>
      <c r="K120" s="7">
        <f>J120</f>
        <v>22384.764040000002</v>
      </c>
      <c r="L120" s="3">
        <v>2</v>
      </c>
    </row>
    <row r="121" spans="1:14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+E88</f>
        <v>38.47</v>
      </c>
      <c r="F121" s="1">
        <f>+F88</f>
        <v>38.86</v>
      </c>
      <c r="G121" s="7">
        <f>C121*(E121-F121)</f>
        <v>-150.93000000000023</v>
      </c>
      <c r="H121" s="7">
        <f>C121*(E121-F121)</f>
        <v>-150.93000000000023</v>
      </c>
      <c r="I121" s="1"/>
      <c r="J121" s="7">
        <f>C121*E121</f>
        <v>14887.89</v>
      </c>
      <c r="K121" s="7">
        <f>J121</f>
        <v>14887.89</v>
      </c>
      <c r="L121" s="3">
        <v>2</v>
      </c>
    </row>
    <row r="122" spans="1:14" x14ac:dyDescent="0.25">
      <c r="A122" s="8" t="s">
        <v>52</v>
      </c>
      <c r="B122" s="2" t="s">
        <v>23</v>
      </c>
      <c r="C122" s="13">
        <v>158.47999999999999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158.47999999999999</v>
      </c>
      <c r="K122" s="7">
        <f>J122</f>
        <v>158.47999999999999</v>
      </c>
      <c r="L122" s="3">
        <v>1</v>
      </c>
    </row>
    <row r="123" spans="1:14" x14ac:dyDescent="0.25">
      <c r="A123" s="8"/>
      <c r="E123" s="3"/>
      <c r="F123" s="3"/>
      <c r="H123" s="7" t="s">
        <v>52</v>
      </c>
      <c r="I123" s="3"/>
    </row>
    <row r="124" spans="1:14" x14ac:dyDescent="0.25">
      <c r="A124" s="8" t="s">
        <v>18</v>
      </c>
      <c r="B124" s="5" t="s">
        <v>22</v>
      </c>
      <c r="C124" s="13" t="s">
        <v>52</v>
      </c>
      <c r="E124" s="3"/>
      <c r="F124" s="3"/>
      <c r="H124" s="7" t="s">
        <v>52</v>
      </c>
      <c r="I124" s="3"/>
    </row>
    <row r="125" spans="1:14" x14ac:dyDescent="0.25">
      <c r="A125" s="8" t="s">
        <v>20</v>
      </c>
      <c r="B125" s="2" t="s">
        <v>33</v>
      </c>
      <c r="C125" s="13">
        <v>2013.38</v>
      </c>
      <c r="D125" s="13" t="s">
        <v>52</v>
      </c>
      <c r="E125" s="1">
        <v>11.08</v>
      </c>
      <c r="F125" s="1">
        <v>11.08</v>
      </c>
      <c r="G125" s="7">
        <f>C125*(E125-F125)</f>
        <v>0</v>
      </c>
      <c r="H125" s="7">
        <f>C125*(E125-F125)</f>
        <v>0</v>
      </c>
      <c r="I125" s="1"/>
      <c r="J125" s="7">
        <f>C125*E125</f>
        <v>22308.250400000001</v>
      </c>
      <c r="K125" s="7">
        <f>J125</f>
        <v>22308.250400000001</v>
      </c>
      <c r="L125" s="3">
        <v>2</v>
      </c>
    </row>
    <row r="126" spans="1:14" x14ac:dyDescent="0.25">
      <c r="A126" s="8" t="s">
        <v>52</v>
      </c>
      <c r="B126" s="2" t="s">
        <v>61</v>
      </c>
      <c r="C126" s="13">
        <v>387</v>
      </c>
      <c r="D126" s="13" t="s">
        <v>52</v>
      </c>
      <c r="E126" s="1">
        <f>+E88</f>
        <v>38.47</v>
      </c>
      <c r="F126" s="1">
        <f>+F88</f>
        <v>38.86</v>
      </c>
      <c r="G126" s="7">
        <f>C126*(E126-F126)</f>
        <v>-150.93000000000023</v>
      </c>
      <c r="H126" s="7">
        <f>C126*(E126-F126)</f>
        <v>-150.93000000000023</v>
      </c>
      <c r="I126" s="1"/>
      <c r="J126" s="7">
        <f>C126*E126</f>
        <v>14887.89</v>
      </c>
      <c r="K126" s="7">
        <f>J126</f>
        <v>14887.89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  <c r="M127" s="80" t="s">
        <v>52</v>
      </c>
    </row>
    <row r="128" spans="1:14" x14ac:dyDescent="0.25">
      <c r="A128" s="8"/>
      <c r="E128" s="1"/>
      <c r="F128" s="1"/>
      <c r="H128" s="7" t="s">
        <v>52</v>
      </c>
      <c r="I128" s="1"/>
    </row>
    <row r="129" spans="1:16" x14ac:dyDescent="0.25">
      <c r="A129" s="8" t="s">
        <v>63</v>
      </c>
      <c r="B129" s="2" t="s">
        <v>61</v>
      </c>
      <c r="C129" s="13">
        <v>387</v>
      </c>
      <c r="D129" s="13" t="s">
        <v>52</v>
      </c>
      <c r="E129" s="1">
        <f>+E88</f>
        <v>38.47</v>
      </c>
      <c r="F129" s="1">
        <f>+F88</f>
        <v>38.86</v>
      </c>
      <c r="G129" s="7">
        <f>C129*(E129-F129)</f>
        <v>-150.93000000000023</v>
      </c>
      <c r="H129" s="7">
        <f>C129*(E129-F129)</f>
        <v>-150.93000000000023</v>
      </c>
      <c r="I129" s="1"/>
      <c r="J129" s="7">
        <f>C129*E129</f>
        <v>14887.89</v>
      </c>
      <c r="K129" s="7">
        <f>J129</f>
        <v>14887.89</v>
      </c>
      <c r="L129" s="3">
        <v>2</v>
      </c>
    </row>
    <row r="130" spans="1:16" x14ac:dyDescent="0.25">
      <c r="A130" s="8" t="s">
        <v>52</v>
      </c>
      <c r="B130" s="2" t="s">
        <v>23</v>
      </c>
      <c r="C130" s="13">
        <v>158.47999999999999</v>
      </c>
      <c r="D130" s="13" t="s">
        <v>52</v>
      </c>
      <c r="E130" s="1">
        <v>1</v>
      </c>
      <c r="F130" s="1">
        <v>1</v>
      </c>
      <c r="G130" s="7">
        <f>C130*(E130-F130)</f>
        <v>0</v>
      </c>
      <c r="H130" s="7">
        <f>C130*(E130-F130)</f>
        <v>0</v>
      </c>
      <c r="I130" s="1"/>
      <c r="J130" s="7">
        <f>C130*E130</f>
        <v>158.47999999999999</v>
      </c>
      <c r="K130" s="7">
        <f>J130</f>
        <v>158.47999999999999</v>
      </c>
      <c r="L130" s="3">
        <v>1</v>
      </c>
    </row>
    <row r="131" spans="1:16" x14ac:dyDescent="0.25">
      <c r="A131" s="8"/>
      <c r="C131" s="13" t="s">
        <v>52</v>
      </c>
      <c r="E131" s="4"/>
      <c r="F131" s="4"/>
      <c r="H131" s="7" t="s">
        <v>52</v>
      </c>
      <c r="I131" s="1"/>
    </row>
    <row r="132" spans="1:16" x14ac:dyDescent="0.25">
      <c r="A132" s="8" t="s">
        <v>64</v>
      </c>
      <c r="B132" s="5" t="s">
        <v>22</v>
      </c>
      <c r="D132" s="13" t="s">
        <v>52</v>
      </c>
      <c r="E132" s="14"/>
      <c r="F132" s="14"/>
      <c r="H132" s="7" t="s">
        <v>52</v>
      </c>
      <c r="I132" s="3"/>
      <c r="K132" s="7" t="s">
        <v>52</v>
      </c>
    </row>
    <row r="133" spans="1:16" x14ac:dyDescent="0.25">
      <c r="A133" s="8" t="s">
        <v>79</v>
      </c>
      <c r="B133" s="2" t="s">
        <v>90</v>
      </c>
      <c r="C133" s="13">
        <v>288</v>
      </c>
      <c r="D133" s="13">
        <v>0</v>
      </c>
      <c r="E133" s="1">
        <f>E$35</f>
        <v>33.840000000000003</v>
      </c>
      <c r="F133" s="1">
        <f>F$35</f>
        <v>33.17</v>
      </c>
      <c r="G133" s="7">
        <f>C133*(E133-F133)</f>
        <v>192.96000000000049</v>
      </c>
      <c r="H133" s="7">
        <f>C133*(E133-F133)*0.5895</f>
        <v>113.74992000000029</v>
      </c>
      <c r="I133" s="1"/>
      <c r="J133" s="7">
        <f>C133*E133</f>
        <v>9745.9200000000019</v>
      </c>
      <c r="K133" s="7">
        <f>J133*0.5995</f>
        <v>5842.6790400000018</v>
      </c>
      <c r="L133" s="3">
        <v>2</v>
      </c>
      <c r="M133" s="80">
        <f>SUM(K116:K133)+K142</f>
        <v>6189073.9293147232</v>
      </c>
      <c r="O133" s="7" t="s">
        <v>52</v>
      </c>
    </row>
    <row r="134" spans="1:16" x14ac:dyDescent="0.25">
      <c r="A134" s="8"/>
      <c r="E134" s="1" t="s">
        <v>52</v>
      </c>
      <c r="F134" s="1" t="s">
        <v>52</v>
      </c>
      <c r="H134" s="7" t="s">
        <v>52</v>
      </c>
      <c r="I134" s="1"/>
      <c r="K134" s="7" t="s">
        <v>52</v>
      </c>
    </row>
    <row r="135" spans="1:16" x14ac:dyDescent="0.25">
      <c r="A135" s="8" t="s">
        <v>21</v>
      </c>
      <c r="B135" s="5" t="s">
        <v>22</v>
      </c>
      <c r="C135" s="13" t="s">
        <v>52</v>
      </c>
      <c r="E135" s="1" t="s">
        <v>52</v>
      </c>
      <c r="F135" s="1" t="s">
        <v>52</v>
      </c>
      <c r="H135" s="7" t="s">
        <v>52</v>
      </c>
      <c r="I135" s="3"/>
      <c r="K135" s="7" t="s">
        <v>52</v>
      </c>
      <c r="M135" s="95" t="s">
        <v>52</v>
      </c>
    </row>
    <row r="136" spans="1:16" x14ac:dyDescent="0.25">
      <c r="A136" s="8" t="s">
        <v>11</v>
      </c>
      <c r="B136" s="2" t="s">
        <v>95</v>
      </c>
      <c r="C136" s="13">
        <v>3331</v>
      </c>
      <c r="D136" s="13">
        <v>0</v>
      </c>
      <c r="E136" s="1">
        <f t="shared" ref="E136:F139" si="22">E$35</f>
        <v>33.840000000000003</v>
      </c>
      <c r="F136" s="1">
        <f t="shared" si="22"/>
        <v>33.17</v>
      </c>
      <c r="G136" s="7">
        <f>C136*(E136-F136)</f>
        <v>2231.7700000000059</v>
      </c>
      <c r="H136" s="7">
        <f>C136*(E136-F136)*0.5895</f>
        <v>1315.6284150000035</v>
      </c>
      <c r="I136" s="1"/>
      <c r="J136" s="7">
        <f>C136*E136</f>
        <v>112721.04000000001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148</v>
      </c>
      <c r="C137" s="13">
        <v>668</v>
      </c>
      <c r="D137" s="13">
        <v>0</v>
      </c>
      <c r="E137" s="1">
        <f t="shared" si="22"/>
        <v>33.840000000000003</v>
      </c>
      <c r="F137" s="1">
        <f t="shared" si="22"/>
        <v>33.17</v>
      </c>
      <c r="G137" s="7">
        <f>C137*(E137-F137)</f>
        <v>447.56000000000114</v>
      </c>
      <c r="H137" s="7">
        <f>C137*(E137-F137)*0.5895</f>
        <v>263.83662000000066</v>
      </c>
      <c r="I137" s="1"/>
      <c r="J137" s="7">
        <f>C137*E137</f>
        <v>22605.120000000003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150</v>
      </c>
      <c r="C138" s="13">
        <v>786</v>
      </c>
      <c r="D138" s="13">
        <v>0</v>
      </c>
      <c r="E138" s="1">
        <f t="shared" si="22"/>
        <v>33.840000000000003</v>
      </c>
      <c r="F138" s="1">
        <f t="shared" si="22"/>
        <v>33.17</v>
      </c>
      <c r="G138" s="7">
        <f>C138*(E138-F138)</f>
        <v>526.62000000000137</v>
      </c>
      <c r="H138" s="7">
        <f>C138*(E138-F138)*0.5895</f>
        <v>310.44249000000082</v>
      </c>
      <c r="I138" s="1"/>
      <c r="J138" s="7">
        <f>C138*E138</f>
        <v>26598.240000000002</v>
      </c>
      <c r="K138" s="7">
        <v>0</v>
      </c>
      <c r="L138" s="3">
        <v>2</v>
      </c>
      <c r="M138" s="80" t="s">
        <v>52</v>
      </c>
    </row>
    <row r="139" spans="1:16" x14ac:dyDescent="0.25">
      <c r="A139" s="8" t="s">
        <v>52</v>
      </c>
      <c r="B139" s="2" t="s">
        <v>157</v>
      </c>
      <c r="C139" s="13">
        <v>863</v>
      </c>
      <c r="D139" s="13">
        <v>0</v>
      </c>
      <c r="E139" s="1">
        <f t="shared" si="22"/>
        <v>33.840000000000003</v>
      </c>
      <c r="F139" s="1">
        <f t="shared" si="22"/>
        <v>33.17</v>
      </c>
      <c r="G139" s="7">
        <f>C139*(E139-F139)</f>
        <v>578.21000000000151</v>
      </c>
      <c r="H139" s="7">
        <f>C139*(E139-F139)*0.5895</f>
        <v>340.85479500000093</v>
      </c>
      <c r="I139" s="1"/>
      <c r="J139" s="7">
        <f>C139*E139</f>
        <v>29203.920000000002</v>
      </c>
      <c r="K139" s="7">
        <v>0</v>
      </c>
      <c r="L139" s="3">
        <v>2</v>
      </c>
      <c r="M139" s="80" t="s">
        <v>87</v>
      </c>
    </row>
    <row r="140" spans="1:16" x14ac:dyDescent="0.25">
      <c r="A140" s="8"/>
      <c r="C140" s="13" t="s">
        <v>52</v>
      </c>
      <c r="E140" s="1" t="s">
        <v>52</v>
      </c>
      <c r="F140" s="1" t="s">
        <v>52</v>
      </c>
      <c r="I140" s="1"/>
      <c r="K140" s="7" t="s">
        <v>52</v>
      </c>
      <c r="M140" s="80">
        <f>M106</f>
        <v>-4131810</v>
      </c>
      <c r="N140" s="26">
        <f>M140/M147</f>
        <v>-0.66759745435089501</v>
      </c>
      <c r="O140" s="5" t="s">
        <v>85</v>
      </c>
    </row>
    <row r="141" spans="1:16" x14ac:dyDescent="0.25">
      <c r="A141" s="8" t="s">
        <v>59</v>
      </c>
      <c r="B141" s="5" t="s">
        <v>22</v>
      </c>
      <c r="C141" s="13" t="s">
        <v>52</v>
      </c>
      <c r="D141" s="13" t="s">
        <v>52</v>
      </c>
      <c r="E141" s="1" t="s">
        <v>52</v>
      </c>
      <c r="F141" s="1" t="s">
        <v>52</v>
      </c>
      <c r="G141" s="15"/>
      <c r="H141" s="15"/>
      <c r="I141" s="2"/>
      <c r="K141" s="7" t="s">
        <v>52</v>
      </c>
      <c r="M141" s="80">
        <f>SUMIF(L120:L151,2,K120:K151)+M107</f>
        <v>727476.34139472211</v>
      </c>
      <c r="N141" s="26">
        <f>M141/M147</f>
        <v>0.11754203451165933</v>
      </c>
      <c r="O141" s="5" t="s">
        <v>22</v>
      </c>
    </row>
    <row r="142" spans="1:16" x14ac:dyDescent="0.25">
      <c r="A142" s="8" t="s">
        <v>9</v>
      </c>
      <c r="B142" s="2" t="s">
        <v>124</v>
      </c>
      <c r="C142" s="13">
        <v>15280</v>
      </c>
      <c r="D142" s="13">
        <v>15280</v>
      </c>
      <c r="E142" s="1">
        <f t="shared" ref="E142:F150" si="23">E$35</f>
        <v>33.840000000000003</v>
      </c>
      <c r="F142" s="1">
        <f t="shared" si="23"/>
        <v>33.17</v>
      </c>
      <c r="G142" s="7">
        <f t="shared" ref="G142:G150" si="24">IF(E142&gt;I142,(E142-F142)*C142,0)</f>
        <v>10237.600000000026</v>
      </c>
      <c r="H142" s="7">
        <f t="shared" ref="H142:H150" si="25">IF(E142&gt;I142,(E142-F142)*C142*0.5895,0)</f>
        <v>6035.0652000000155</v>
      </c>
      <c r="I142" s="1">
        <v>18.375</v>
      </c>
      <c r="J142" s="7">
        <f t="shared" ref="J142:J150" si="26">IF(C142*(E142-I142)&gt;0,C142*(E142-I142),0)</f>
        <v>236305.20000000004</v>
      </c>
      <c r="K142" s="7">
        <f>J142*0.5995</f>
        <v>141664.96740000002</v>
      </c>
      <c r="L142" s="3">
        <v>2</v>
      </c>
      <c r="M142" s="80" t="s">
        <v>60</v>
      </c>
      <c r="N142" s="26"/>
      <c r="O142" s="7" t="s">
        <v>52</v>
      </c>
      <c r="P142" s="15" t="s">
        <v>52</v>
      </c>
    </row>
    <row r="143" spans="1:16" x14ac:dyDescent="0.25">
      <c r="A143" s="8" t="s">
        <v>52</v>
      </c>
      <c r="B143" s="2" t="s">
        <v>125</v>
      </c>
      <c r="C143" s="13">
        <v>5130</v>
      </c>
      <c r="D143" s="13">
        <v>0</v>
      </c>
      <c r="E143" s="1">
        <f t="shared" si="23"/>
        <v>33.840000000000003</v>
      </c>
      <c r="F143" s="1">
        <f t="shared" si="23"/>
        <v>33.17</v>
      </c>
      <c r="G143" s="7">
        <f t="shared" si="24"/>
        <v>0</v>
      </c>
      <c r="H143" s="7">
        <f t="shared" si="25"/>
        <v>0</v>
      </c>
      <c r="I143" s="1">
        <v>55.5</v>
      </c>
      <c r="J143" s="7">
        <f t="shared" si="26"/>
        <v>0</v>
      </c>
      <c r="K143" s="7">
        <f t="shared" ref="K143:K150" si="27">J143*0.5895</f>
        <v>0</v>
      </c>
      <c r="L143" s="3">
        <v>2</v>
      </c>
      <c r="M143" s="80">
        <f>SUMIF(L120:L151,1,K120:K151)+M109</f>
        <v>6001597.5879200008</v>
      </c>
      <c r="N143" s="26">
        <f>M143/M147</f>
        <v>0.9697084986322857</v>
      </c>
      <c r="O143" s="7" t="s">
        <v>52</v>
      </c>
      <c r="P143" s="15" t="s">
        <v>52</v>
      </c>
    </row>
    <row r="144" spans="1:16" x14ac:dyDescent="0.25">
      <c r="A144" s="8"/>
      <c r="B144" s="2" t="s">
        <v>126</v>
      </c>
      <c r="C144" s="13">
        <v>25</v>
      </c>
      <c r="D144" s="13">
        <v>0</v>
      </c>
      <c r="E144" s="1">
        <f t="shared" si="23"/>
        <v>33.840000000000003</v>
      </c>
      <c r="F144" s="1">
        <f t="shared" si="23"/>
        <v>33.17</v>
      </c>
      <c r="G144" s="7">
        <f t="shared" si="24"/>
        <v>0</v>
      </c>
      <c r="H144" s="7">
        <f t="shared" si="25"/>
        <v>0</v>
      </c>
      <c r="I144" s="1">
        <v>55.5</v>
      </c>
      <c r="J144" s="7">
        <f t="shared" si="26"/>
        <v>0</v>
      </c>
      <c r="K144" s="7">
        <f t="shared" si="27"/>
        <v>0</v>
      </c>
      <c r="L144" s="3">
        <v>2</v>
      </c>
      <c r="M144" s="80" t="s">
        <v>166</v>
      </c>
      <c r="N144" s="26"/>
      <c r="P144" s="2" t="s">
        <v>52</v>
      </c>
    </row>
    <row r="145" spans="1:16" x14ac:dyDescent="0.25">
      <c r="A145" s="8"/>
      <c r="B145" s="2" t="s">
        <v>127</v>
      </c>
      <c r="C145" s="13">
        <v>7608</v>
      </c>
      <c r="D145" s="13">
        <v>0</v>
      </c>
      <c r="E145" s="1">
        <f t="shared" si="23"/>
        <v>33.840000000000003</v>
      </c>
      <c r="F145" s="1">
        <f t="shared" si="23"/>
        <v>33.17</v>
      </c>
      <c r="G145" s="7">
        <f t="shared" si="24"/>
        <v>0</v>
      </c>
      <c r="H145" s="7">
        <f t="shared" si="25"/>
        <v>0</v>
      </c>
      <c r="I145" s="1">
        <v>75.0625</v>
      </c>
      <c r="J145" s="7">
        <f t="shared" si="26"/>
        <v>0</v>
      </c>
      <c r="K145" s="7">
        <f t="shared" si="27"/>
        <v>0</v>
      </c>
      <c r="L145" s="3">
        <v>2</v>
      </c>
      <c r="M145" s="80">
        <f>+M111</f>
        <v>-540000</v>
      </c>
      <c r="N145" s="26">
        <f>+M145/M147</f>
        <v>-8.7250533143944986E-2</v>
      </c>
      <c r="P145" s="15" t="s">
        <v>52</v>
      </c>
    </row>
    <row r="146" spans="1:16" x14ac:dyDescent="0.25">
      <c r="A146" s="8"/>
      <c r="B146" s="2" t="s">
        <v>128</v>
      </c>
      <c r="C146" s="13">
        <v>2540</v>
      </c>
      <c r="D146" s="13">
        <v>0</v>
      </c>
      <c r="E146" s="1">
        <f t="shared" si="23"/>
        <v>33.840000000000003</v>
      </c>
      <c r="F146" s="1">
        <f t="shared" si="23"/>
        <v>33.17</v>
      </c>
      <c r="G146" s="7">
        <f t="shared" si="24"/>
        <v>0</v>
      </c>
      <c r="H146" s="7">
        <f t="shared" si="25"/>
        <v>0</v>
      </c>
      <c r="I146" s="1">
        <v>76</v>
      </c>
      <c r="J146" s="7">
        <f t="shared" si="26"/>
        <v>0</v>
      </c>
      <c r="K146" s="7">
        <f t="shared" si="27"/>
        <v>0</v>
      </c>
      <c r="L146" s="3">
        <v>2</v>
      </c>
      <c r="M146" s="80" t="s">
        <v>91</v>
      </c>
      <c r="N146" s="26"/>
    </row>
    <row r="147" spans="1:16" x14ac:dyDescent="0.25">
      <c r="A147" s="8"/>
      <c r="B147" s="2" t="s">
        <v>144</v>
      </c>
      <c r="C147" s="13">
        <v>1524</v>
      </c>
      <c r="D147" s="13">
        <v>0</v>
      </c>
      <c r="E147" s="1">
        <f t="shared" si="23"/>
        <v>33.840000000000003</v>
      </c>
      <c r="F147" s="1">
        <f t="shared" si="23"/>
        <v>33.17</v>
      </c>
      <c r="G147" s="7">
        <f t="shared" si="24"/>
        <v>0</v>
      </c>
      <c r="H147" s="7">
        <f t="shared" si="25"/>
        <v>0</v>
      </c>
      <c r="I147" s="1">
        <v>83.125</v>
      </c>
      <c r="J147" s="7">
        <f t="shared" si="26"/>
        <v>0</v>
      </c>
      <c r="K147" s="7">
        <f t="shared" si="27"/>
        <v>0</v>
      </c>
      <c r="L147" s="3">
        <v>2</v>
      </c>
      <c r="M147" s="80">
        <f>SUM(K120:K142)+K116</f>
        <v>6189073.9293147223</v>
      </c>
      <c r="N147" s="26">
        <f>+M147/K153</f>
        <v>0.99999999999999989</v>
      </c>
    </row>
    <row r="148" spans="1:16" x14ac:dyDescent="0.25">
      <c r="A148" s="8"/>
      <c r="B148" s="2" t="s">
        <v>146</v>
      </c>
      <c r="C148" s="13">
        <v>1968</v>
      </c>
      <c r="D148" s="13">
        <v>0</v>
      </c>
      <c r="E148" s="1">
        <f t="shared" si="23"/>
        <v>33.840000000000003</v>
      </c>
      <c r="F148" s="1">
        <f t="shared" si="23"/>
        <v>33.17</v>
      </c>
      <c r="G148" s="7">
        <f>IF(E148&gt;I148,(E148-F148)*C148,0)</f>
        <v>0</v>
      </c>
      <c r="H148" s="7">
        <f>IF(E148&gt;I148,(E148-F148)*C148*0.5895,0)</f>
        <v>0</v>
      </c>
      <c r="I148" s="1">
        <v>62.41</v>
      </c>
      <c r="J148" s="7">
        <f>IF(C148*(E148-I148)&gt;0,C148*(E148-I148),0)</f>
        <v>0</v>
      </c>
      <c r="K148" s="7">
        <f t="shared" si="27"/>
        <v>0</v>
      </c>
      <c r="L148" s="3">
        <v>2</v>
      </c>
      <c r="M148" s="80" t="s">
        <v>52</v>
      </c>
      <c r="N148" s="80" t="s">
        <v>52</v>
      </c>
    </row>
    <row r="149" spans="1:16" x14ac:dyDescent="0.25">
      <c r="A149" s="8"/>
      <c r="B149" s="2" t="s">
        <v>151</v>
      </c>
      <c r="C149" s="13">
        <v>1967</v>
      </c>
      <c r="D149" s="13">
        <v>0</v>
      </c>
      <c r="E149" s="1">
        <f t="shared" si="23"/>
        <v>33.840000000000003</v>
      </c>
      <c r="F149" s="1">
        <f t="shared" si="23"/>
        <v>33.17</v>
      </c>
      <c r="G149" s="7">
        <f>IF(E149&gt;I149,(E149-F149)*C149,0)</f>
        <v>0</v>
      </c>
      <c r="H149" s="7">
        <f>IF(E149&gt;I149,(E149-F149)*C149*0.5895,0)</f>
        <v>0</v>
      </c>
      <c r="I149" s="1">
        <v>54.03</v>
      </c>
      <c r="J149" s="7">
        <f>IF(C149*(E149-I149)&gt;0,C149*(E149-I149),0)</f>
        <v>0</v>
      </c>
      <c r="K149" s="7">
        <f t="shared" si="27"/>
        <v>0</v>
      </c>
      <c r="L149" s="3">
        <v>2</v>
      </c>
      <c r="M149" s="80" t="s">
        <v>52</v>
      </c>
      <c r="N149" s="80" t="s">
        <v>52</v>
      </c>
    </row>
    <row r="150" spans="1:16" x14ac:dyDescent="0.25">
      <c r="A150" s="8"/>
      <c r="B150" s="2" t="s">
        <v>159</v>
      </c>
      <c r="C150" s="13">
        <f>2778-417</f>
        <v>2361</v>
      </c>
      <c r="D150" s="13">
        <v>0</v>
      </c>
      <c r="E150" s="1">
        <f t="shared" si="23"/>
        <v>33.840000000000003</v>
      </c>
      <c r="F150" s="1">
        <f t="shared" si="23"/>
        <v>33.17</v>
      </c>
      <c r="G150" s="7">
        <f t="shared" si="24"/>
        <v>0</v>
      </c>
      <c r="H150" s="7">
        <f t="shared" si="25"/>
        <v>0</v>
      </c>
      <c r="I150" s="1">
        <v>48.3</v>
      </c>
      <c r="J150" s="7">
        <f t="shared" si="26"/>
        <v>0</v>
      </c>
      <c r="K150" s="7">
        <f t="shared" si="27"/>
        <v>0</v>
      </c>
      <c r="L150" s="3">
        <v>2</v>
      </c>
      <c r="M150" s="80" t="s">
        <v>52</v>
      </c>
      <c r="N150" s="80" t="s">
        <v>52</v>
      </c>
    </row>
    <row r="151" spans="1:16" ht="13.8" thickBot="1" x14ac:dyDescent="0.3">
      <c r="A151" s="8"/>
      <c r="B151" s="17"/>
      <c r="C151" s="24" t="s">
        <v>52</v>
      </c>
      <c r="D151" s="24"/>
      <c r="E151" s="18"/>
      <c r="F151" s="18"/>
      <c r="G151" s="19"/>
      <c r="H151" s="19"/>
      <c r="I151" s="18"/>
      <c r="J151" s="19"/>
      <c r="K151" s="44"/>
      <c r="L151" s="65"/>
      <c r="M151" s="93"/>
      <c r="N151" s="93"/>
    </row>
    <row r="152" spans="1:16" x14ac:dyDescent="0.25">
      <c r="A152" s="8"/>
      <c r="C152" s="13" t="s">
        <v>52</v>
      </c>
      <c r="M152" s="80" t="s">
        <v>56</v>
      </c>
    </row>
    <row r="153" spans="1:16" x14ac:dyDescent="0.25">
      <c r="A153" s="8" t="s">
        <v>17</v>
      </c>
      <c r="B153" s="29" t="s">
        <v>52</v>
      </c>
      <c r="C153" s="13">
        <f>SUM(C133:C150)+C116</f>
        <v>65698.598700000002</v>
      </c>
      <c r="D153" s="13">
        <f>SUM(D133:D150)+D116</f>
        <v>22004.598700000002</v>
      </c>
      <c r="G153" s="7">
        <f>SUM(G116:G151)</f>
        <v>-99869.748870999741</v>
      </c>
      <c r="H153" s="7">
        <f>SUM(H116:H151)</f>
        <v>-109138.42837099975</v>
      </c>
      <c r="J153" s="7">
        <f>SUM(J116:J151)</f>
        <v>6979832.7191147227</v>
      </c>
      <c r="K153" s="7">
        <f>SUM(K116:K151)</f>
        <v>6189073.9293147232</v>
      </c>
      <c r="M153" s="92">
        <f>SUM(K133:K150)+M116</f>
        <v>482719.06228800002</v>
      </c>
      <c r="N153" s="94">
        <f>M153/K153</f>
        <v>7.7995362117357747E-2</v>
      </c>
      <c r="O153" s="7">
        <f>SUM(O116:O151)</f>
        <v>0</v>
      </c>
    </row>
    <row r="154" spans="1:16" ht="13.8" thickBot="1" x14ac:dyDescent="0.3">
      <c r="A154" s="8"/>
      <c r="B154" s="17"/>
      <c r="C154" s="24"/>
      <c r="D154" s="24"/>
      <c r="E154" s="18"/>
      <c r="F154" s="18"/>
      <c r="G154" s="19"/>
      <c r="H154" s="19"/>
      <c r="I154" s="18"/>
      <c r="J154" s="19"/>
      <c r="K154" s="19"/>
      <c r="L154" s="65"/>
      <c r="M154" s="93"/>
      <c r="N154" s="93"/>
    </row>
    <row r="155" spans="1:16" x14ac:dyDescent="0.25">
      <c r="A155" s="8"/>
    </row>
    <row r="156" spans="1:16" x14ac:dyDescent="0.25">
      <c r="A156" s="21" t="s">
        <v>52</v>
      </c>
      <c r="B156" s="73" t="s">
        <v>52</v>
      </c>
      <c r="E156" s="2" t="s">
        <v>52</v>
      </c>
      <c r="F156" s="2" t="s">
        <v>52</v>
      </c>
      <c r="G156" s="2"/>
      <c r="H156" s="2"/>
      <c r="I156" s="2"/>
      <c r="K156" s="20">
        <v>7.0000000000000007E-2</v>
      </c>
      <c r="L156" s="66"/>
      <c r="M156" s="81"/>
    </row>
    <row r="157" spans="1:16" x14ac:dyDescent="0.25">
      <c r="A157" s="21" t="s">
        <v>52</v>
      </c>
      <c r="B157" s="73"/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K116*K156</f>
        <v>416621.39109043061</v>
      </c>
      <c r="L157" s="66"/>
      <c r="M157" s="81" t="s">
        <v>52</v>
      </c>
    </row>
    <row r="158" spans="1:16" x14ac:dyDescent="0.25">
      <c r="A158" s="2" t="s">
        <v>52</v>
      </c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>
        <f>K153*K156</f>
        <v>433235.17505203065</v>
      </c>
      <c r="L158" s="66"/>
      <c r="M158" s="81" t="s">
        <v>52</v>
      </c>
    </row>
    <row r="159" spans="1:16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 t="s">
        <v>52</v>
      </c>
    </row>
    <row r="160" spans="1:16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 t="s">
        <v>52</v>
      </c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7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 t="s">
        <v>52</v>
      </c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 t="s">
        <v>52</v>
      </c>
      <c r="H169" s="2"/>
      <c r="I169" s="2"/>
      <c r="K169" s="15"/>
      <c r="L169" s="66"/>
      <c r="M169" s="81"/>
    </row>
    <row r="170" spans="2:13" x14ac:dyDescent="0.25">
      <c r="B170" s="73" t="s">
        <v>52</v>
      </c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D175" s="13" t="s">
        <v>52</v>
      </c>
      <c r="E175" s="28" t="s">
        <v>52</v>
      </c>
      <c r="F175" s="28" t="s">
        <v>52</v>
      </c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 t="s">
        <v>52</v>
      </c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C191" s="13" t="s">
        <v>52</v>
      </c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B197" s="2" t="s">
        <v>52</v>
      </c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K233" s="15"/>
      <c r="L233" s="66"/>
      <c r="M233" s="81"/>
    </row>
    <row r="234" spans="5:13" x14ac:dyDescent="0.25">
      <c r="E234" s="2"/>
      <c r="F234" s="2"/>
      <c r="G234" s="2"/>
      <c r="H234" s="2"/>
      <c r="I234" s="2"/>
      <c r="L234" s="66"/>
      <c r="M234" s="81"/>
    </row>
  </sheetData>
  <phoneticPr fontId="0" type="noConversion"/>
  <printOptions horizontalCentered="1"/>
  <pageMargins left="0.75" right="0.75" top="0.75" bottom="0.75" header="0.5" footer="0.5"/>
  <pageSetup scale="38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112721.04000000001</v>
      </c>
      <c r="C7" s="16">
        <f>H33</f>
        <v>67576.263480000009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C14*(Sheet1!$E$35-D14)</f>
        <v>236305.20000000004</v>
      </c>
      <c r="H14" s="11">
        <f>G14*0.5995</f>
        <v>141664.96740000002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C25*(Sheet1!$E$35-D25)</f>
        <v>9745.9200000000019</v>
      </c>
      <c r="H25" s="11">
        <f t="shared" si="0"/>
        <v>5842.6790400000018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C33*(Sheet1!$E$35-D33)</f>
        <v>112721.04000000001</v>
      </c>
      <c r="H33" s="11">
        <f t="shared" si="0"/>
        <v>67576.263480000009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C47*(Sheet1!$E$35-D47)</f>
        <v>7546.3200000000006</v>
      </c>
      <c r="H47" s="11">
        <f t="shared" si="0"/>
        <v>4524.0188400000006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C48*(Sheet1!$E$35-D48)</f>
        <v>7546.3200000000006</v>
      </c>
      <c r="H48" s="11">
        <f t="shared" si="0"/>
        <v>4524.0188400000006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C49*(Sheet1!$E$35-D49)</f>
        <v>7512.4800000000005</v>
      </c>
      <c r="H49" s="11">
        <f t="shared" si="0"/>
        <v>4503.7317600000006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C58*(Sheet1!$E$35-D58)</f>
        <v>8866.0800000000017</v>
      </c>
      <c r="H58" s="11">
        <f t="shared" si="0"/>
        <v>5315.2149600000012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C59*(Sheet1!$E$35-D59)</f>
        <v>8866.0800000000017</v>
      </c>
      <c r="H59" s="11">
        <f t="shared" si="0"/>
        <v>5315.2149600000012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C60*(Sheet1!$E$35-D60)</f>
        <v>8866.0800000000017</v>
      </c>
      <c r="H60" s="11">
        <f t="shared" si="0"/>
        <v>5315.2149600000012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C69*(Sheet1!$E$35-D69)</f>
        <v>9745.9200000000019</v>
      </c>
      <c r="H69" s="11">
        <f t="shared" si="0"/>
        <v>5842.6790400000018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C70*(Sheet1!$E$35-D70)</f>
        <v>9745.9200000000019</v>
      </c>
      <c r="H70" s="11">
        <f t="shared" si="0"/>
        <v>5842.6790400000018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C71*(Sheet1!$E$35-D71)</f>
        <v>9712.0800000000017</v>
      </c>
      <c r="H71" s="11">
        <f t="shared" si="0"/>
        <v>5822.3919600000017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437179.44000000006</v>
      </c>
      <c r="H76" s="15">
        <f>SUM(H14:H74)</f>
        <v>262089.07428000003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2001-10-15T20:33:06Z</cp:lastPrinted>
  <dcterms:created xsi:type="dcterms:W3CDTF">1998-07-16T04:01:00Z</dcterms:created>
  <dcterms:modified xsi:type="dcterms:W3CDTF">2023-09-13T22:48:19Z</dcterms:modified>
</cp:coreProperties>
</file>