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96" yWindow="-72" windowWidth="9720" windowHeight="6636" tabRatio="601"/>
  </bookViews>
  <sheets>
    <sheet name="Sheet1" sheetId="1" r:id="rId1"/>
    <sheet name="unvested" sheetId="2" r:id="rId2"/>
  </sheets>
  <definedNames>
    <definedName name="_xlnm.Print_Titles" localSheetId="0">Sheet1!$1:$3</definedName>
  </definedNames>
  <calcPr calcId="92512" fullCalcOnLoad="1"/>
</workbook>
</file>

<file path=xl/calcChain.xml><?xml version="1.0" encoding="utf-8"?>
<calcChain xmlns="http://schemas.openxmlformats.org/spreadsheetml/2006/main">
  <c r="C5" i="1" l="1"/>
  <c r="G5" i="1"/>
  <c r="H5" i="1"/>
  <c r="J5" i="1"/>
  <c r="K5" i="1"/>
  <c r="G6" i="1"/>
  <c r="H6" i="1"/>
  <c r="J6" i="1"/>
  <c r="K6" i="1"/>
  <c r="G9" i="1"/>
  <c r="H9" i="1"/>
  <c r="J9" i="1"/>
  <c r="K9" i="1"/>
  <c r="G10" i="1"/>
  <c r="H10" i="1"/>
  <c r="J10" i="1"/>
  <c r="K10" i="1"/>
  <c r="G11" i="1"/>
  <c r="H11" i="1"/>
  <c r="J11" i="1"/>
  <c r="K11" i="1"/>
  <c r="G12" i="1"/>
  <c r="H12" i="1"/>
  <c r="J12" i="1"/>
  <c r="K12" i="1"/>
  <c r="J13" i="1"/>
  <c r="K13" i="1"/>
  <c r="K14" i="1"/>
  <c r="G15" i="1"/>
  <c r="H15" i="1"/>
  <c r="J15" i="1"/>
  <c r="K15" i="1"/>
  <c r="M15" i="1"/>
  <c r="J17" i="1"/>
  <c r="K17" i="1"/>
  <c r="M17" i="1"/>
  <c r="O17" i="1"/>
  <c r="G20" i="1"/>
  <c r="H20" i="1"/>
  <c r="J20" i="1"/>
  <c r="K20" i="1"/>
  <c r="G23" i="1"/>
  <c r="H23" i="1"/>
  <c r="J23" i="1"/>
  <c r="K23" i="1"/>
  <c r="G24" i="1"/>
  <c r="H24" i="1"/>
  <c r="J24" i="1"/>
  <c r="K24" i="1"/>
  <c r="G25" i="1"/>
  <c r="H25" i="1"/>
  <c r="J25" i="1"/>
  <c r="K25" i="1"/>
  <c r="G26" i="1"/>
  <c r="H26" i="1"/>
  <c r="J26" i="1"/>
  <c r="K26" i="1"/>
  <c r="G27" i="1"/>
  <c r="H27" i="1"/>
  <c r="J27" i="1"/>
  <c r="K27" i="1"/>
  <c r="G28" i="1"/>
  <c r="H28" i="1"/>
  <c r="J28" i="1"/>
  <c r="K28" i="1"/>
  <c r="D31" i="1"/>
  <c r="G31" i="1"/>
  <c r="H31" i="1"/>
  <c r="J31" i="1"/>
  <c r="K31" i="1"/>
  <c r="G32" i="1"/>
  <c r="H32" i="1"/>
  <c r="J32" i="1"/>
  <c r="K32" i="1"/>
  <c r="K34" i="1"/>
  <c r="G35" i="1"/>
  <c r="H35" i="1"/>
  <c r="J35" i="1"/>
  <c r="K35" i="1"/>
  <c r="D37" i="1"/>
  <c r="E37" i="1"/>
  <c r="F37" i="1"/>
  <c r="G37" i="1"/>
  <c r="H37" i="1"/>
  <c r="J37" i="1"/>
  <c r="K37" i="1"/>
  <c r="G40" i="1"/>
  <c r="H40" i="1"/>
  <c r="J40" i="1"/>
  <c r="K40" i="1"/>
  <c r="G43" i="1"/>
  <c r="H43" i="1"/>
  <c r="J43" i="1"/>
  <c r="K43" i="1"/>
  <c r="G44" i="1"/>
  <c r="H44" i="1"/>
  <c r="J44" i="1"/>
  <c r="K44" i="1"/>
  <c r="D47" i="1"/>
  <c r="E47" i="1"/>
  <c r="F47" i="1"/>
  <c r="G47" i="1"/>
  <c r="H47" i="1"/>
  <c r="J47" i="1"/>
  <c r="K47" i="1"/>
  <c r="D48" i="1"/>
  <c r="E48" i="1"/>
  <c r="F48" i="1"/>
  <c r="G48" i="1"/>
  <c r="H48" i="1"/>
  <c r="J48" i="1"/>
  <c r="K48" i="1"/>
  <c r="D49" i="1"/>
  <c r="E49" i="1"/>
  <c r="F49" i="1"/>
  <c r="G49" i="1"/>
  <c r="H49" i="1"/>
  <c r="J49" i="1"/>
  <c r="K49" i="1"/>
  <c r="E52" i="1"/>
  <c r="F52" i="1"/>
  <c r="G52" i="1"/>
  <c r="H52" i="1"/>
  <c r="J52" i="1"/>
  <c r="K52" i="1"/>
  <c r="E53" i="1"/>
  <c r="F53" i="1"/>
  <c r="G53" i="1"/>
  <c r="H53" i="1"/>
  <c r="J53" i="1"/>
  <c r="K53" i="1"/>
  <c r="E54" i="1"/>
  <c r="F54" i="1"/>
  <c r="G54" i="1"/>
  <c r="H54" i="1"/>
  <c r="J54" i="1"/>
  <c r="K54" i="1"/>
  <c r="E55" i="1"/>
  <c r="F55" i="1"/>
  <c r="G55" i="1"/>
  <c r="H55" i="1"/>
  <c r="J55" i="1"/>
  <c r="K55" i="1"/>
  <c r="E56" i="1"/>
  <c r="F56" i="1"/>
  <c r="G56" i="1"/>
  <c r="H56" i="1"/>
  <c r="J56" i="1"/>
  <c r="K56" i="1"/>
  <c r="E57" i="1"/>
  <c r="F57" i="1"/>
  <c r="G57" i="1"/>
  <c r="H57" i="1"/>
  <c r="J57" i="1"/>
  <c r="K57" i="1"/>
  <c r="E58" i="1"/>
  <c r="F58" i="1"/>
  <c r="G58" i="1"/>
  <c r="H58" i="1"/>
  <c r="J58" i="1"/>
  <c r="K58" i="1"/>
  <c r="D61" i="1"/>
  <c r="E61" i="1"/>
  <c r="F61" i="1"/>
  <c r="G61" i="1"/>
  <c r="H61" i="1"/>
  <c r="J61" i="1"/>
  <c r="K61" i="1"/>
  <c r="D64" i="1"/>
  <c r="E64" i="1"/>
  <c r="F64" i="1"/>
  <c r="G64" i="1"/>
  <c r="H64" i="1"/>
  <c r="J64" i="1"/>
  <c r="K64" i="1"/>
  <c r="G67" i="1"/>
  <c r="H67" i="1"/>
  <c r="J67" i="1"/>
  <c r="K67" i="1"/>
  <c r="G68" i="1"/>
  <c r="H68" i="1"/>
  <c r="J68" i="1"/>
  <c r="K68" i="1"/>
  <c r="M68" i="1"/>
  <c r="G69" i="1"/>
  <c r="H69" i="1"/>
  <c r="J69" i="1"/>
  <c r="K69" i="1"/>
  <c r="M69" i="1"/>
  <c r="G70" i="1"/>
  <c r="H70" i="1"/>
  <c r="J70" i="1"/>
  <c r="K70" i="1"/>
  <c r="M70" i="1"/>
  <c r="G71" i="1"/>
  <c r="H71" i="1"/>
  <c r="J71" i="1"/>
  <c r="K71" i="1"/>
  <c r="M71" i="1"/>
  <c r="G72" i="1"/>
  <c r="H72" i="1"/>
  <c r="J72" i="1"/>
  <c r="K72" i="1"/>
  <c r="M72" i="1"/>
  <c r="G73" i="1"/>
  <c r="H73" i="1"/>
  <c r="J73" i="1"/>
  <c r="K73" i="1"/>
  <c r="M73" i="1"/>
  <c r="G74" i="1"/>
  <c r="H74" i="1"/>
  <c r="J74" i="1"/>
  <c r="K74" i="1"/>
  <c r="M74" i="1"/>
  <c r="G75" i="1"/>
  <c r="H75" i="1"/>
  <c r="J75" i="1"/>
  <c r="K75" i="1"/>
  <c r="M75" i="1"/>
  <c r="G76" i="1"/>
  <c r="H76" i="1"/>
  <c r="J76" i="1"/>
  <c r="K76" i="1"/>
  <c r="M76" i="1"/>
  <c r="G77" i="1"/>
  <c r="H77" i="1"/>
  <c r="J77" i="1"/>
  <c r="K77" i="1"/>
  <c r="M77" i="1"/>
  <c r="G78" i="1"/>
  <c r="H78" i="1"/>
  <c r="J78" i="1"/>
  <c r="K78" i="1"/>
  <c r="M78" i="1"/>
  <c r="G79" i="1"/>
  <c r="H79" i="1"/>
  <c r="J79" i="1"/>
  <c r="K79" i="1"/>
  <c r="M79" i="1"/>
  <c r="G80" i="1"/>
  <c r="H80" i="1"/>
  <c r="J80" i="1"/>
  <c r="K80" i="1"/>
  <c r="M80" i="1"/>
  <c r="G81" i="1"/>
  <c r="H81" i="1"/>
  <c r="J81" i="1"/>
  <c r="K81" i="1"/>
  <c r="M81" i="1"/>
  <c r="J82" i="1"/>
  <c r="K82" i="1"/>
  <c r="M82" i="1"/>
  <c r="N83" i="1"/>
  <c r="O83" i="1"/>
  <c r="G84" i="1"/>
  <c r="H84" i="1"/>
  <c r="J84" i="1"/>
  <c r="K84" i="1"/>
  <c r="G85" i="1"/>
  <c r="H85" i="1"/>
  <c r="J85" i="1"/>
  <c r="K85" i="1"/>
  <c r="G88" i="1"/>
  <c r="H88" i="1"/>
  <c r="J88" i="1"/>
  <c r="K88" i="1"/>
  <c r="G89" i="1"/>
  <c r="H89" i="1"/>
  <c r="J89" i="1"/>
  <c r="K89" i="1"/>
  <c r="G90" i="1"/>
  <c r="H90" i="1"/>
  <c r="J90" i="1"/>
  <c r="K90" i="1"/>
  <c r="G91" i="1"/>
  <c r="H91" i="1"/>
  <c r="J91" i="1"/>
  <c r="K91" i="1"/>
  <c r="G92" i="1"/>
  <c r="H92" i="1"/>
  <c r="J92" i="1"/>
  <c r="K92" i="1"/>
  <c r="G93" i="1"/>
  <c r="H93" i="1"/>
  <c r="J93" i="1"/>
  <c r="K93" i="1"/>
  <c r="G94" i="1"/>
  <c r="H94" i="1"/>
  <c r="J94" i="1"/>
  <c r="K94" i="1"/>
  <c r="G96" i="1"/>
  <c r="H96" i="1"/>
  <c r="J96" i="1"/>
  <c r="K96" i="1"/>
  <c r="G98" i="1"/>
  <c r="H98" i="1"/>
  <c r="J98" i="1"/>
  <c r="K98" i="1"/>
  <c r="G99" i="1"/>
  <c r="H99" i="1"/>
  <c r="J99" i="1"/>
  <c r="K99" i="1"/>
  <c r="G101" i="1"/>
  <c r="H101" i="1"/>
  <c r="J101" i="1"/>
  <c r="K101" i="1"/>
  <c r="G102" i="1"/>
  <c r="H102" i="1"/>
  <c r="J102" i="1"/>
  <c r="K102" i="1"/>
  <c r="M102" i="1"/>
  <c r="N102" i="1"/>
  <c r="G103" i="1"/>
  <c r="H103" i="1"/>
  <c r="J103" i="1"/>
  <c r="K103" i="1"/>
  <c r="M103" i="1"/>
  <c r="N103" i="1"/>
  <c r="G104" i="1"/>
  <c r="H104" i="1"/>
  <c r="J104" i="1"/>
  <c r="K104" i="1"/>
  <c r="G105" i="1"/>
  <c r="H105" i="1"/>
  <c r="J105" i="1"/>
  <c r="K105" i="1"/>
  <c r="M105" i="1"/>
  <c r="N105" i="1"/>
  <c r="J107" i="1"/>
  <c r="K107" i="1"/>
  <c r="M107" i="1"/>
  <c r="N107" i="1"/>
  <c r="J108" i="1"/>
  <c r="K108" i="1"/>
  <c r="J109" i="1"/>
  <c r="K109" i="1"/>
  <c r="M109" i="1"/>
  <c r="N109" i="1"/>
  <c r="C112" i="1"/>
  <c r="D112" i="1"/>
  <c r="G112" i="1"/>
  <c r="H112" i="1"/>
  <c r="J112" i="1"/>
  <c r="K112" i="1"/>
  <c r="M112" i="1"/>
  <c r="N112" i="1"/>
  <c r="G116" i="1"/>
  <c r="H116" i="1"/>
  <c r="J116" i="1"/>
  <c r="K116" i="1"/>
  <c r="E117" i="1"/>
  <c r="F117" i="1"/>
  <c r="G117" i="1"/>
  <c r="H117" i="1"/>
  <c r="J117" i="1"/>
  <c r="K117" i="1"/>
  <c r="G118" i="1"/>
  <c r="H118" i="1"/>
  <c r="J118" i="1"/>
  <c r="K118" i="1"/>
  <c r="G121" i="1"/>
  <c r="H121" i="1"/>
  <c r="J121" i="1"/>
  <c r="K121" i="1"/>
  <c r="E122" i="1"/>
  <c r="F122" i="1"/>
  <c r="G122" i="1"/>
  <c r="H122" i="1"/>
  <c r="J122" i="1"/>
  <c r="K122" i="1"/>
  <c r="G123" i="1"/>
  <c r="H123" i="1"/>
  <c r="J123" i="1"/>
  <c r="K123" i="1"/>
  <c r="E125" i="1"/>
  <c r="F125" i="1"/>
  <c r="G125" i="1"/>
  <c r="H125" i="1"/>
  <c r="J125" i="1"/>
  <c r="K125" i="1"/>
  <c r="G126" i="1"/>
  <c r="H126" i="1"/>
  <c r="J126" i="1"/>
  <c r="K126" i="1"/>
  <c r="E129" i="1"/>
  <c r="F129" i="1"/>
  <c r="G129" i="1"/>
  <c r="H129" i="1"/>
  <c r="J129" i="1"/>
  <c r="K129" i="1"/>
  <c r="M129" i="1"/>
  <c r="E132" i="1"/>
  <c r="F132" i="1"/>
  <c r="E133" i="1"/>
  <c r="F133" i="1"/>
  <c r="E134" i="1"/>
  <c r="F134" i="1"/>
  <c r="E135" i="1"/>
  <c r="F135" i="1"/>
  <c r="M136" i="1"/>
  <c r="N136" i="1"/>
  <c r="M137" i="1"/>
  <c r="N137" i="1"/>
  <c r="E138" i="1"/>
  <c r="F138" i="1"/>
  <c r="G138" i="1"/>
  <c r="H138" i="1"/>
  <c r="J138" i="1"/>
  <c r="K138" i="1"/>
  <c r="E139" i="1"/>
  <c r="F139" i="1"/>
  <c r="G139" i="1"/>
  <c r="H139" i="1"/>
  <c r="J139" i="1"/>
  <c r="K139" i="1"/>
  <c r="M139" i="1"/>
  <c r="N139" i="1"/>
  <c r="E140" i="1"/>
  <c r="F140" i="1"/>
  <c r="G140" i="1"/>
  <c r="H140" i="1"/>
  <c r="J140" i="1"/>
  <c r="K140" i="1"/>
  <c r="E141" i="1"/>
  <c r="F141" i="1"/>
  <c r="G141" i="1"/>
  <c r="H141" i="1"/>
  <c r="J141" i="1"/>
  <c r="K141" i="1"/>
  <c r="M141" i="1"/>
  <c r="N141" i="1"/>
  <c r="E142" i="1"/>
  <c r="F142" i="1"/>
  <c r="G142" i="1"/>
  <c r="H142" i="1"/>
  <c r="J142" i="1"/>
  <c r="K142" i="1"/>
  <c r="E143" i="1"/>
  <c r="F143" i="1"/>
  <c r="G143" i="1"/>
  <c r="H143" i="1"/>
  <c r="J143" i="1"/>
  <c r="K143" i="1"/>
  <c r="M143" i="1"/>
  <c r="N143" i="1"/>
  <c r="E144" i="1"/>
  <c r="F144" i="1"/>
  <c r="G144" i="1"/>
  <c r="H144" i="1"/>
  <c r="J144" i="1"/>
  <c r="K144" i="1"/>
  <c r="E145" i="1"/>
  <c r="F145" i="1"/>
  <c r="G145" i="1"/>
  <c r="H145" i="1"/>
  <c r="J145" i="1"/>
  <c r="K145" i="1"/>
  <c r="C146" i="1"/>
  <c r="E146" i="1"/>
  <c r="F146" i="1"/>
  <c r="G146" i="1"/>
  <c r="H146" i="1"/>
  <c r="J146" i="1"/>
  <c r="K146" i="1"/>
  <c r="C149" i="1"/>
  <c r="D149" i="1"/>
  <c r="G149" i="1"/>
  <c r="H149" i="1"/>
  <c r="J149" i="1"/>
  <c r="K149" i="1"/>
  <c r="M149" i="1"/>
  <c r="N149" i="1"/>
  <c r="K153" i="1"/>
  <c r="K154" i="1"/>
  <c r="B3" i="2"/>
  <c r="C3" i="2"/>
  <c r="E3" i="2"/>
  <c r="B4" i="2"/>
  <c r="C4" i="2"/>
  <c r="E4" i="2"/>
  <c r="B5" i="2"/>
  <c r="C5" i="2"/>
  <c r="E5" i="2"/>
  <c r="B6" i="2"/>
  <c r="C6" i="2"/>
  <c r="B7" i="2"/>
  <c r="C7" i="2"/>
  <c r="B9" i="2"/>
  <c r="C9" i="2"/>
  <c r="G14" i="2"/>
  <c r="H14" i="2"/>
  <c r="H16" i="2"/>
  <c r="H17" i="2"/>
  <c r="H19" i="2"/>
  <c r="H20" i="2"/>
  <c r="H22" i="2"/>
  <c r="H23" i="2"/>
  <c r="D25" i="2"/>
  <c r="G25" i="2"/>
  <c r="H25" i="2"/>
  <c r="H27" i="2"/>
  <c r="H28" i="2"/>
  <c r="H29" i="2"/>
  <c r="H30" i="2"/>
  <c r="H31" i="2"/>
  <c r="D33" i="2"/>
  <c r="G33" i="2"/>
  <c r="H33" i="2"/>
  <c r="H35" i="2"/>
  <c r="H36" i="2"/>
  <c r="H37" i="2"/>
  <c r="H38" i="2"/>
  <c r="H40" i="2"/>
  <c r="H41" i="2"/>
  <c r="H42" i="2"/>
  <c r="H43" i="2"/>
  <c r="H44" i="2"/>
  <c r="H45" i="2"/>
  <c r="D47" i="2"/>
  <c r="G47" i="2"/>
  <c r="H47" i="2"/>
  <c r="D48" i="2"/>
  <c r="G48" i="2"/>
  <c r="H48" i="2"/>
  <c r="D49" i="2"/>
  <c r="G49" i="2"/>
  <c r="H49" i="2"/>
  <c r="H51" i="2"/>
  <c r="H52" i="2"/>
  <c r="H53" i="2"/>
  <c r="H54" i="2"/>
  <c r="H55" i="2"/>
  <c r="H56" i="2"/>
  <c r="D58" i="2"/>
  <c r="G58" i="2"/>
  <c r="H58" i="2"/>
  <c r="D59" i="2"/>
  <c r="G59" i="2"/>
  <c r="H59" i="2"/>
  <c r="D60" i="2"/>
  <c r="G60" i="2"/>
  <c r="H60" i="2"/>
  <c r="H62" i="2"/>
  <c r="H63" i="2"/>
  <c r="H64" i="2"/>
  <c r="H65" i="2"/>
  <c r="H66" i="2"/>
  <c r="H67" i="2"/>
  <c r="G69" i="2"/>
  <c r="H69" i="2"/>
  <c r="D70" i="2"/>
  <c r="G70" i="2"/>
  <c r="H70" i="2"/>
  <c r="D71" i="2"/>
  <c r="G71" i="2"/>
  <c r="H71" i="2"/>
  <c r="G76" i="2"/>
  <c r="H76" i="2"/>
  <c r="B86" i="2"/>
  <c r="B93" i="2"/>
  <c r="B96" i="2"/>
  <c r="B100" i="2"/>
  <c r="B103" i="2"/>
  <c r="B106" i="2"/>
  <c r="B110" i="2"/>
  <c r="B111" i="2"/>
  <c r="B112" i="2"/>
  <c r="B113" i="2"/>
</calcChain>
</file>

<file path=xl/sharedStrings.xml><?xml version="1.0" encoding="utf-8"?>
<sst xmlns="http://schemas.openxmlformats.org/spreadsheetml/2006/main" count="927" uniqueCount="173">
  <si>
    <t>Brokerage</t>
  </si>
  <si>
    <t>IRA</t>
  </si>
  <si>
    <t>Rollover</t>
  </si>
  <si>
    <t>Merrill Lynch</t>
  </si>
  <si>
    <t>401K</t>
  </si>
  <si>
    <t xml:space="preserve">Enron Cash </t>
  </si>
  <si>
    <t>Balance Plan</t>
  </si>
  <si>
    <t>ESOP</t>
  </si>
  <si>
    <t>ENE Drip</t>
  </si>
  <si>
    <t>Options</t>
  </si>
  <si>
    <t>ENE Phantom</t>
  </si>
  <si>
    <t>Stock</t>
  </si>
  <si>
    <t>MUTUAL</t>
  </si>
  <si>
    <t>FUNDS</t>
  </si>
  <si>
    <t>SWBOT</t>
  </si>
  <si>
    <t>Reliastar</t>
  </si>
  <si>
    <t>Mass Mutual</t>
  </si>
  <si>
    <t>TOTAL</t>
  </si>
  <si>
    <t>UGMA</t>
  </si>
  <si>
    <t>Brett Neal</t>
  </si>
  <si>
    <t>Colton Neal</t>
  </si>
  <si>
    <t xml:space="preserve">ENE Restricted </t>
  </si>
  <si>
    <t>long</t>
  </si>
  <si>
    <t>Cash</t>
  </si>
  <si>
    <t>ORCL</t>
  </si>
  <si>
    <t>CV</t>
  </si>
  <si>
    <t>Legg Mason Value Trust</t>
  </si>
  <si>
    <t>Monetta Fund</t>
  </si>
  <si>
    <t>Janus Mercury</t>
  </si>
  <si>
    <t>Am. Century International Growth</t>
  </si>
  <si>
    <t>Am. Century Select</t>
  </si>
  <si>
    <t>Am. Century Ultra</t>
  </si>
  <si>
    <t>Am. Century Growth</t>
  </si>
  <si>
    <t>Am. Century Vista</t>
  </si>
  <si>
    <t>cash value 2175870</t>
  </si>
  <si>
    <t>cash value 2376176</t>
  </si>
  <si>
    <t>cash value 7606954</t>
  </si>
  <si>
    <t>equity value 7869659</t>
  </si>
  <si>
    <t>cash value 9859605</t>
  </si>
  <si>
    <t>cash value 8841294</t>
  </si>
  <si>
    <t>cash value 8735621</t>
  </si>
  <si>
    <t>SHARES</t>
  </si>
  <si>
    <t>PRICE</t>
  </si>
  <si>
    <t xml:space="preserve">MARK TO MARKET </t>
  </si>
  <si>
    <t>PROFIT/(LOSS)</t>
  </si>
  <si>
    <t>OPTION</t>
  </si>
  <si>
    <t>STRIKE</t>
  </si>
  <si>
    <t>VALUE</t>
  </si>
  <si>
    <t>ML MM RET RESERVES</t>
  </si>
  <si>
    <t>Vanguard Muni Bond Ltd.</t>
  </si>
  <si>
    <t>NET AFTER</t>
  </si>
  <si>
    <t>TAX VALUE</t>
  </si>
  <si>
    <t xml:space="preserve"> </t>
  </si>
  <si>
    <t>ACCOUNT</t>
  </si>
  <si>
    <t>MHX</t>
  </si>
  <si>
    <t>ENE Vested</t>
  </si>
  <si>
    <t>total AT ene</t>
  </si>
  <si>
    <t>Paine Weber</t>
  </si>
  <si>
    <t>Checking 1011464</t>
  </si>
  <si>
    <t>ENE Stock</t>
  </si>
  <si>
    <t>cash</t>
  </si>
  <si>
    <t>GE    (Paine Webber)</t>
  </si>
  <si>
    <t xml:space="preserve">GE    </t>
  </si>
  <si>
    <t>Carol Neal</t>
  </si>
  <si>
    <t>ENE Bonus Phantom</t>
  </si>
  <si>
    <t xml:space="preserve">Stock 1999 </t>
  </si>
  <si>
    <t>Enron Deferral Plan</t>
  </si>
  <si>
    <t>Margin Account Payable</t>
  </si>
  <si>
    <t>options</t>
  </si>
  <si>
    <t>Plan No.</t>
  </si>
  <si>
    <t>Type</t>
  </si>
  <si>
    <t>Quantity</t>
  </si>
  <si>
    <t>Vests</t>
  </si>
  <si>
    <t>Restrictions</t>
  </si>
  <si>
    <t>none</t>
  </si>
  <si>
    <t xml:space="preserve">Strike </t>
  </si>
  <si>
    <t>restricted stock</t>
  </si>
  <si>
    <t>phantom stock</t>
  </si>
  <si>
    <t>Total Unvested</t>
  </si>
  <si>
    <t>Stock 1999  premium</t>
  </si>
  <si>
    <t>value</t>
  </si>
  <si>
    <t xml:space="preserve">pre tax </t>
  </si>
  <si>
    <t xml:space="preserve">after tax </t>
  </si>
  <si>
    <t>pre tax</t>
  </si>
  <si>
    <t>after tax</t>
  </si>
  <si>
    <t>short</t>
  </si>
  <si>
    <t>Enron Expat Def. Plan</t>
  </si>
  <si>
    <t>equity</t>
  </si>
  <si>
    <t>Taxes Payable</t>
  </si>
  <si>
    <t>ELN</t>
  </si>
  <si>
    <t>ENE (100%) 144377</t>
  </si>
  <si>
    <t>total</t>
  </si>
  <si>
    <t>NAT</t>
  </si>
  <si>
    <t>** can vest early based on stock price performance</t>
  </si>
  <si>
    <t>1/22/2005**</t>
  </si>
  <si>
    <t>ENE (0%) 2000 LTIP  151699</t>
  </si>
  <si>
    <t>est. tax 2001</t>
  </si>
  <si>
    <t>income thru 2/15</t>
  </si>
  <si>
    <t>est. inc. 2/15-12/31</t>
  </si>
  <si>
    <t>total est. inc.</t>
  </si>
  <si>
    <t>tax rate</t>
  </si>
  <si>
    <t>est. tax liability</t>
  </si>
  <si>
    <t>total 2001</t>
  </si>
  <si>
    <t>paid thru 2/15</t>
  </si>
  <si>
    <t>bimonthly ded.</t>
  </si>
  <si>
    <t>2/28-12/31</t>
  </si>
  <si>
    <t>res. Stock vest</t>
  </si>
  <si>
    <t xml:space="preserve">tx paid res. </t>
  </si>
  <si>
    <t>Stock vest</t>
  </si>
  <si>
    <t xml:space="preserve">total est. tax </t>
  </si>
  <si>
    <t>liability due</t>
  </si>
  <si>
    <t>year end</t>
  </si>
  <si>
    <t>q pmt 1/16/02</t>
  </si>
  <si>
    <t>q pmt 3/16</t>
  </si>
  <si>
    <t>q pmt 6/15</t>
  </si>
  <si>
    <t>q pmt 9/17</t>
  </si>
  <si>
    <t>PRE TAX</t>
  </si>
  <si>
    <t>AFTER TAX</t>
  </si>
  <si>
    <t>Stable Asset</t>
  </si>
  <si>
    <t>TD WATERHOUSE</t>
  </si>
  <si>
    <t xml:space="preserve">Money Market </t>
  </si>
  <si>
    <t>Municipal Money Market</t>
  </si>
  <si>
    <t xml:space="preserve">ENE 8/11/07 (0%) 106892          </t>
  </si>
  <si>
    <t xml:space="preserve">ENE 1/18/07 (0%)   122617        </t>
  </si>
  <si>
    <t xml:space="preserve">ENE 1/18/07 (0%) 135367          </t>
  </si>
  <si>
    <t xml:space="preserve">ENE (0%) 2000 LTIP   151261    </t>
  </si>
  <si>
    <t xml:space="preserve">ENE  8/1/05 (0%) 149389           </t>
  </si>
  <si>
    <t xml:space="preserve">ENE special                                 </t>
  </si>
  <si>
    <t xml:space="preserve">ENE savings                               </t>
  </si>
  <si>
    <t xml:space="preserve">ENE retirement                            </t>
  </si>
  <si>
    <t xml:space="preserve">ENE (100%) 106974     97ECT   </t>
  </si>
  <si>
    <t xml:space="preserve">ENE (100%) 143254                    </t>
  </si>
  <si>
    <t xml:space="preserve">ENE                                            </t>
  </si>
  <si>
    <t xml:space="preserve">ENE    jan 02 50 calls                 </t>
  </si>
  <si>
    <t xml:space="preserve">ENE    jan 02 60 calls                 </t>
  </si>
  <si>
    <t xml:space="preserve">ENE    jan 03 55 calls                 </t>
  </si>
  <si>
    <t xml:space="preserve">ENE    jan 03 70 calls                 </t>
  </si>
  <si>
    <t xml:space="preserve">ENE    jan 03 75 calls                 </t>
  </si>
  <si>
    <t xml:space="preserve">ENE    jan 03 80 calls                 </t>
  </si>
  <si>
    <t xml:space="preserve">ENE    jan 03 85 calls                 </t>
  </si>
  <si>
    <t xml:space="preserve">ENE    jan 03 90 calls                 </t>
  </si>
  <si>
    <t>ML Bank USA</t>
  </si>
  <si>
    <t>ENE  12/29/07 (0%) 160388</t>
  </si>
  <si>
    <t>ENE  4/30/06 (0%) 170855</t>
  </si>
  <si>
    <t>ENE  4/30/06  170855</t>
  </si>
  <si>
    <t>ENE (0%)  170894</t>
  </si>
  <si>
    <t xml:space="preserve">ENE    jan 03 60 calls                 </t>
  </si>
  <si>
    <t>ENE (0%)  171088</t>
  </si>
  <si>
    <t>ENE  5/30/06  (0%) 171029</t>
  </si>
  <si>
    <t>ENE  5/30/06  171029</t>
  </si>
  <si>
    <t xml:space="preserve">ENE    jan 03 50 calls                 </t>
  </si>
  <si>
    <t xml:space="preserve">  </t>
  </si>
  <si>
    <t>ENE  12/29/07  160388</t>
  </si>
  <si>
    <t>Income Taxes due 2001</t>
  </si>
  <si>
    <t>ENE (0%)  171230</t>
  </si>
  <si>
    <t>ENE  7/1/06  171153</t>
  </si>
  <si>
    <t>ENE  7/1/06 (0%) 171153</t>
  </si>
  <si>
    <t xml:space="preserve">ENE  8/1/05   149389           </t>
  </si>
  <si>
    <t xml:space="preserve">ENE 2000 LTIP   151261    </t>
  </si>
  <si>
    <t>Income Taxes due 2002</t>
  </si>
  <si>
    <t>Income Taxes due 2003</t>
  </si>
  <si>
    <t xml:space="preserve">ENE    jan 02 40 calls                 </t>
  </si>
  <si>
    <t>def. taxes</t>
  </si>
  <si>
    <t xml:space="preserve">ENE    jan 02 35 calls                 </t>
  </si>
  <si>
    <t>ENE    jan 02 35 calls</t>
  </si>
  <si>
    <t>FNM</t>
  </si>
  <si>
    <t>ENE  8/1/06  179507</t>
  </si>
  <si>
    <t>Cash, Muni Bonds, Govt. paper</t>
  </si>
  <si>
    <t>DIA</t>
  </si>
  <si>
    <t>SPY</t>
  </si>
  <si>
    <t>QQQ</t>
  </si>
  <si>
    <t xml:space="preserve">ENE    apr 02 35 calls                 </t>
  </si>
  <si>
    <t xml:space="preserve">ENE    jan 02 25 calls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</si>
</sst>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7" formatCode="&quot;$&quot;#,##0.00_);\(&quot;$&quot;#,##0.00\)"/>
    <numFmt numFmtId="164" formatCode="&quot;$&quot;#,##0.00"/>
    <numFmt numFmtId="165" formatCode="#,##0.0000"/>
    <numFmt numFmtId="168" formatCode="0.0000"/>
    <numFmt numFmtId="169" formatCode="0.0%"/>
    <numFmt numFmtId="174" formatCode="&quot;$&quot;#,##0"/>
    <numFmt numFmtId="175" formatCode="&quot;$&quot;#,##0.000"/>
    <numFmt numFmtId="178" formatCode="&quot;$&quot;#,##0.0000_);\(&quot;$&quot;#,##0.0000\)"/>
    <numFmt numFmtId="181" formatCode="#,##0.000_);\(#,##0.000\)"/>
  </numFmts>
  <fonts count="7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7" fontId="1" fillId="0" borderId="0" xfId="0" applyNumberFormat="1" applyFont="1" applyAlignment="1">
      <alignment horizontal="center"/>
    </xf>
    <xf numFmtId="0" fontId="2" fillId="0" borderId="0" xfId="0" applyFont="1"/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7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" fontId="1" fillId="0" borderId="0" xfId="0" applyNumberFormat="1" applyFont="1"/>
    <xf numFmtId="7" fontId="1" fillId="0" borderId="0" xfId="0" applyNumberFormat="1" applyFont="1"/>
    <xf numFmtId="164" fontId="3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16" fontId="1" fillId="0" borderId="0" xfId="0" applyNumberFormat="1" applyFont="1"/>
    <xf numFmtId="168" fontId="1" fillId="0" borderId="0" xfId="0" applyNumberFormat="1" applyFont="1" applyAlignment="1">
      <alignment horizontal="center"/>
    </xf>
    <xf numFmtId="37" fontId="3" fillId="0" borderId="0" xfId="0" applyNumberFormat="1" applyFont="1" applyAlignment="1">
      <alignment horizontal="center"/>
    </xf>
    <xf numFmtId="37" fontId="1" fillId="0" borderId="1" xfId="0" applyNumberFormat="1" applyFont="1" applyBorder="1" applyAlignment="1">
      <alignment horizontal="center"/>
    </xf>
    <xf numFmtId="165" fontId="1" fillId="0" borderId="0" xfId="0" applyNumberFormat="1" applyFont="1"/>
    <xf numFmtId="169" fontId="1" fillId="0" borderId="0" xfId="0" applyNumberFormat="1" applyFont="1" applyAlignment="1">
      <alignment horizontal="center"/>
    </xf>
    <xf numFmtId="13" fontId="1" fillId="0" borderId="0" xfId="0" applyNumberFormat="1" applyFont="1"/>
    <xf numFmtId="168" fontId="1" fillId="0" borderId="0" xfId="0" applyNumberFormat="1" applyFont="1"/>
    <xf numFmtId="37" fontId="1" fillId="0" borderId="0" xfId="0" applyNumberFormat="1" applyFont="1"/>
    <xf numFmtId="2" fontId="2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37" fontId="1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7" fontId="0" fillId="0" borderId="0" xfId="0" applyNumberFormat="1"/>
    <xf numFmtId="7" fontId="1" fillId="0" borderId="1" xfId="0" applyNumberFormat="1" applyFont="1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3" fillId="0" borderId="8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75" fontId="3" fillId="0" borderId="1" xfId="0" applyNumberFormat="1" applyFont="1" applyBorder="1" applyAlignment="1">
      <alignment horizontal="center"/>
    </xf>
    <xf numFmtId="7" fontId="3" fillId="0" borderId="1" xfId="0" applyNumberFormat="1" applyFont="1" applyBorder="1" applyAlignment="1">
      <alignment horizontal="center"/>
    </xf>
    <xf numFmtId="7" fontId="3" fillId="0" borderId="3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Border="1"/>
    <xf numFmtId="3" fontId="3" fillId="0" borderId="0" xfId="0" applyNumberFormat="1" applyFont="1" applyBorder="1" applyAlignment="1">
      <alignment horizontal="center"/>
    </xf>
    <xf numFmtId="175" fontId="3" fillId="0" borderId="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7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37" fontId="1" fillId="0" borderId="1" xfId="0" applyNumberFormat="1" applyFont="1" applyBorder="1"/>
    <xf numFmtId="1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/>
    <xf numFmtId="174" fontId="1" fillId="0" borderId="0" xfId="0" applyNumberFormat="1" applyFont="1" applyAlignment="1">
      <alignment horizontal="center"/>
    </xf>
    <xf numFmtId="3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175" fontId="0" fillId="0" borderId="4" xfId="0" applyNumberFormat="1" applyBorder="1" applyAlignment="1">
      <alignment horizontal="center"/>
    </xf>
    <xf numFmtId="0" fontId="4" fillId="0" borderId="0" xfId="0" applyFont="1"/>
    <xf numFmtId="3" fontId="0" fillId="0" borderId="1" xfId="0" applyNumberForma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7" fontId="0" fillId="0" borderId="0" xfId="0" applyNumberFormat="1"/>
    <xf numFmtId="181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5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75" fontId="0" fillId="0" borderId="0" xfId="0" applyNumberFormat="1" applyBorder="1" applyAlignment="1">
      <alignment horizontal="center"/>
    </xf>
    <xf numFmtId="37" fontId="2" fillId="0" borderId="0" xfId="0" applyNumberFormat="1" applyFont="1"/>
    <xf numFmtId="14" fontId="5" fillId="0" borderId="0" xfId="0" applyNumberFormat="1" applyFont="1" applyAlignment="1">
      <alignment horizontal="center"/>
    </xf>
    <xf numFmtId="175" fontId="1" fillId="0" borderId="0" xfId="0" applyNumberFormat="1" applyFont="1" applyAlignment="1">
      <alignment horizontal="center"/>
    </xf>
    <xf numFmtId="3" fontId="5" fillId="0" borderId="0" xfId="0" applyNumberFormat="1" applyFont="1" applyBorder="1" applyAlignment="1">
      <alignment horizontal="center"/>
    </xf>
    <xf numFmtId="37" fontId="5" fillId="0" borderId="0" xfId="0" applyNumberFormat="1" applyFont="1" applyAlignment="1">
      <alignment horizontal="center"/>
    </xf>
    <xf numFmtId="5" fontId="1" fillId="0" borderId="0" xfId="0" applyNumberFormat="1" applyFont="1" applyBorder="1" applyAlignment="1">
      <alignment horizontal="center"/>
    </xf>
    <xf numFmtId="5" fontId="1" fillId="0" borderId="1" xfId="0" applyNumberFormat="1" applyFont="1" applyBorder="1" applyAlignment="1">
      <alignment horizontal="center"/>
    </xf>
    <xf numFmtId="169" fontId="1" fillId="0" borderId="0" xfId="0" applyNumberFormat="1" applyFont="1" applyBorder="1" applyAlignment="1">
      <alignment horizontal="center"/>
    </xf>
    <xf numFmtId="178" fontId="1" fillId="0" borderId="0" xfId="0" applyNumberFormat="1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37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7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A230"/>
  <sheetViews>
    <sheetView tabSelected="1" zoomScale="85" zoomScaleNormal="85" workbookViewId="0">
      <pane xSplit="2" ySplit="3" topLeftCell="C78" activePane="bottomRight" state="frozen"/>
      <selection pane="topRight" activeCell="C1" sqref="C1"/>
      <selection pane="bottomLeft" activeCell="A4" sqref="A4"/>
      <selection pane="bottomRight" activeCell="C108" sqref="C108"/>
    </sheetView>
  </sheetViews>
  <sheetFormatPr defaultColWidth="9.109375" defaultRowHeight="13.2" x14ac:dyDescent="0.25"/>
  <cols>
    <col min="1" max="1" width="21" style="2" bestFit="1" customWidth="1"/>
    <col min="2" max="2" width="28.44140625" style="2" bestFit="1" customWidth="1"/>
    <col min="3" max="3" width="14.6640625" style="13" bestFit="1" customWidth="1"/>
    <col min="4" max="4" width="11.44140625" style="13" bestFit="1" customWidth="1"/>
    <col min="5" max="6" width="10.33203125" style="5" bestFit="1" customWidth="1"/>
    <col min="7" max="8" width="18.33203125" style="7" bestFit="1" customWidth="1"/>
    <col min="9" max="9" width="8.6640625" style="5" bestFit="1" customWidth="1"/>
    <col min="10" max="10" width="13.6640625" style="7" bestFit="1" customWidth="1"/>
    <col min="11" max="11" width="14.6640625" style="7" bestFit="1" customWidth="1"/>
    <col min="12" max="12" width="2.6640625" style="3" bestFit="1" customWidth="1"/>
    <col min="13" max="13" width="12.6640625" style="80" bestFit="1" customWidth="1"/>
    <col min="14" max="14" width="12.5546875" style="80" bestFit="1" customWidth="1"/>
    <col min="15" max="15" width="13.6640625" style="5" bestFit="1" customWidth="1"/>
    <col min="16" max="16" width="13.6640625" style="2" bestFit="1" customWidth="1"/>
    <col min="17" max="16384" width="9.109375" style="2"/>
  </cols>
  <sheetData>
    <row r="1" spans="1:15" x14ac:dyDescent="0.25">
      <c r="D1" s="13" t="s">
        <v>52</v>
      </c>
      <c r="G1" s="11" t="s">
        <v>116</v>
      </c>
      <c r="H1" s="11" t="s">
        <v>117</v>
      </c>
    </row>
    <row r="2" spans="1:15" x14ac:dyDescent="0.25">
      <c r="A2" s="8"/>
      <c r="C2" s="23"/>
      <c r="D2" s="23" t="s">
        <v>55</v>
      </c>
      <c r="E2" s="10" t="s">
        <v>42</v>
      </c>
      <c r="F2" s="10" t="s">
        <v>42</v>
      </c>
      <c r="G2" s="11" t="s">
        <v>43</v>
      </c>
      <c r="H2" s="11" t="s">
        <v>43</v>
      </c>
      <c r="I2" s="10" t="s">
        <v>45</v>
      </c>
      <c r="J2" s="11"/>
      <c r="K2" s="11" t="s">
        <v>50</v>
      </c>
      <c r="L2" s="64"/>
      <c r="O2" s="80" t="s">
        <v>52</v>
      </c>
    </row>
    <row r="3" spans="1:15" x14ac:dyDescent="0.25">
      <c r="A3" s="8"/>
      <c r="B3" s="10" t="s">
        <v>53</v>
      </c>
      <c r="C3" s="23" t="s">
        <v>41</v>
      </c>
      <c r="D3" s="23" t="s">
        <v>41</v>
      </c>
      <c r="E3" s="12">
        <v>37194</v>
      </c>
      <c r="F3" s="12">
        <v>37193</v>
      </c>
      <c r="G3" s="11" t="s">
        <v>44</v>
      </c>
      <c r="H3" s="11" t="s">
        <v>44</v>
      </c>
      <c r="I3" s="10" t="s">
        <v>46</v>
      </c>
      <c r="J3" s="11" t="s">
        <v>47</v>
      </c>
      <c r="K3" s="11" t="s">
        <v>51</v>
      </c>
      <c r="L3" s="64"/>
    </row>
    <row r="4" spans="1:15" x14ac:dyDescent="0.25">
      <c r="A4" s="8" t="s">
        <v>119</v>
      </c>
      <c r="B4" s="5" t="s">
        <v>22</v>
      </c>
      <c r="D4" s="13" t="s">
        <v>52</v>
      </c>
      <c r="E4" s="5" t="s">
        <v>52</v>
      </c>
      <c r="F4" s="5" t="s">
        <v>52</v>
      </c>
    </row>
    <row r="5" spans="1:15" x14ac:dyDescent="0.25">
      <c r="A5" s="8" t="s">
        <v>0</v>
      </c>
      <c r="B5" s="2" t="s">
        <v>121</v>
      </c>
      <c r="C5" s="67">
        <f>2553062-16070-3900+74650</f>
        <v>2607742</v>
      </c>
      <c r="D5" s="13" t="s">
        <v>52</v>
      </c>
      <c r="E5" s="1">
        <v>1</v>
      </c>
      <c r="F5" s="1">
        <v>1</v>
      </c>
      <c r="G5" s="7">
        <f>C5*(E5-F5)</f>
        <v>0</v>
      </c>
      <c r="H5" s="7">
        <f>C5*(E5-F5)</f>
        <v>0</v>
      </c>
      <c r="J5" s="7">
        <f>C5*E5</f>
        <v>2607742</v>
      </c>
      <c r="K5" s="7">
        <f>J5</f>
        <v>2607742</v>
      </c>
      <c r="L5" s="3">
        <v>1</v>
      </c>
    </row>
    <row r="6" spans="1:15" x14ac:dyDescent="0.25">
      <c r="A6" s="30" t="s">
        <v>52</v>
      </c>
      <c r="B6" s="2" t="s">
        <v>92</v>
      </c>
      <c r="C6" s="13">
        <v>1000</v>
      </c>
      <c r="D6" s="13" t="s">
        <v>52</v>
      </c>
      <c r="E6" s="1">
        <v>14.29</v>
      </c>
      <c r="F6" s="1">
        <v>14.29</v>
      </c>
      <c r="G6" s="7">
        <f>C6*(E6-F6)</f>
        <v>0</v>
      </c>
      <c r="H6" s="7">
        <f>C6*(E6-F6)</f>
        <v>0</v>
      </c>
      <c r="J6" s="7">
        <f>C6*E6</f>
        <v>14290</v>
      </c>
      <c r="K6" s="7">
        <f>J6</f>
        <v>14290</v>
      </c>
      <c r="L6" s="3">
        <v>2</v>
      </c>
    </row>
    <row r="7" spans="1:15" x14ac:dyDescent="0.25">
      <c r="A7" s="30" t="s">
        <v>52</v>
      </c>
      <c r="E7" s="13"/>
      <c r="F7" s="13"/>
      <c r="G7" s="1" t="s">
        <v>52</v>
      </c>
      <c r="H7" s="7" t="s">
        <v>52</v>
      </c>
      <c r="J7" s="7" t="s">
        <v>52</v>
      </c>
      <c r="K7" s="7" t="s">
        <v>52</v>
      </c>
    </row>
    <row r="8" spans="1:15" x14ac:dyDescent="0.25">
      <c r="A8" s="30" t="s">
        <v>52</v>
      </c>
      <c r="B8" s="10" t="s">
        <v>85</v>
      </c>
      <c r="C8" s="13" t="s">
        <v>52</v>
      </c>
      <c r="D8" s="79" t="s">
        <v>52</v>
      </c>
      <c r="E8" s="13" t="s">
        <v>52</v>
      </c>
      <c r="F8" s="13" t="s">
        <v>52</v>
      </c>
      <c r="G8" s="13" t="s">
        <v>52</v>
      </c>
      <c r="H8" s="7" t="s">
        <v>52</v>
      </c>
      <c r="J8" s="7" t="s">
        <v>52</v>
      </c>
      <c r="K8" s="7" t="s">
        <v>52</v>
      </c>
      <c r="O8" s="5" t="s">
        <v>52</v>
      </c>
    </row>
    <row r="9" spans="1:15" x14ac:dyDescent="0.25">
      <c r="A9" s="30"/>
      <c r="B9" s="62" t="s">
        <v>165</v>
      </c>
      <c r="C9" s="13">
        <v>-35000</v>
      </c>
      <c r="D9" s="13" t="s">
        <v>52</v>
      </c>
      <c r="E9" s="1">
        <v>79.8</v>
      </c>
      <c r="F9" s="1">
        <v>79.8</v>
      </c>
      <c r="G9" s="7">
        <f>C9*(E9-F9)</f>
        <v>0</v>
      </c>
      <c r="H9" s="7">
        <f>C9*(E9-F9)</f>
        <v>0</v>
      </c>
      <c r="J9" s="7">
        <f>G9</f>
        <v>0</v>
      </c>
      <c r="K9" s="7">
        <f t="shared" ref="K9:K15" si="0">J9</f>
        <v>0</v>
      </c>
      <c r="L9" s="3">
        <v>1</v>
      </c>
    </row>
    <row r="10" spans="1:15" x14ac:dyDescent="0.25">
      <c r="A10" s="30"/>
      <c r="B10" s="62" t="s">
        <v>168</v>
      </c>
      <c r="C10" s="13">
        <v>-2000</v>
      </c>
      <c r="D10" s="13" t="s">
        <v>52</v>
      </c>
      <c r="E10" s="1">
        <v>92.05</v>
      </c>
      <c r="F10" s="1">
        <v>92.05</v>
      </c>
      <c r="G10" s="7">
        <f>C10*(E10-F10)</f>
        <v>0</v>
      </c>
      <c r="H10" s="7">
        <f>C10*(E10-F10)</f>
        <v>0</v>
      </c>
      <c r="J10" s="7">
        <f>G10</f>
        <v>0</v>
      </c>
      <c r="K10" s="7">
        <f t="shared" si="0"/>
        <v>0</v>
      </c>
      <c r="L10" s="3">
        <v>1</v>
      </c>
    </row>
    <row r="11" spans="1:15" x14ac:dyDescent="0.25">
      <c r="A11" s="30"/>
      <c r="B11" s="62" t="s">
        <v>169</v>
      </c>
      <c r="C11" s="13">
        <v>-6000</v>
      </c>
      <c r="D11" s="13" t="s">
        <v>52</v>
      </c>
      <c r="E11" s="1">
        <v>107.45</v>
      </c>
      <c r="F11" s="1">
        <v>107.45</v>
      </c>
      <c r="G11" s="7">
        <f>C11*(E11-F11)</f>
        <v>0</v>
      </c>
      <c r="H11" s="7">
        <f>C11*(E11-F11)</f>
        <v>0</v>
      </c>
      <c r="J11" s="7">
        <f>G11</f>
        <v>0</v>
      </c>
      <c r="K11" s="7">
        <f t="shared" si="0"/>
        <v>0</v>
      </c>
      <c r="L11" s="3">
        <v>1</v>
      </c>
    </row>
    <row r="12" spans="1:15" x14ac:dyDescent="0.25">
      <c r="A12" s="30"/>
      <c r="B12" s="62" t="s">
        <v>170</v>
      </c>
      <c r="C12" s="13">
        <v>-5000</v>
      </c>
      <c r="D12" s="13" t="s">
        <v>52</v>
      </c>
      <c r="E12" s="1">
        <v>34.04</v>
      </c>
      <c r="F12" s="1">
        <v>34.04</v>
      </c>
      <c r="G12" s="7">
        <f>C12*(E12-F12)</f>
        <v>0</v>
      </c>
      <c r="H12" s="7">
        <f>C12*(E12-F12)</f>
        <v>0</v>
      </c>
      <c r="J12" s="7">
        <f>G12</f>
        <v>0</v>
      </c>
      <c r="K12" s="7">
        <f t="shared" si="0"/>
        <v>0</v>
      </c>
      <c r="L12" s="3">
        <v>1</v>
      </c>
    </row>
    <row r="13" spans="1:15" x14ac:dyDescent="0.25">
      <c r="A13" s="30"/>
      <c r="B13" s="62"/>
      <c r="E13" s="1"/>
      <c r="F13" s="1"/>
      <c r="G13" s="7" t="s">
        <v>52</v>
      </c>
      <c r="J13" s="7" t="str">
        <f>G13</f>
        <v xml:space="preserve"> </v>
      </c>
      <c r="K13" s="7" t="str">
        <f t="shared" si="0"/>
        <v xml:space="preserve"> </v>
      </c>
    </row>
    <row r="14" spans="1:15" x14ac:dyDescent="0.25">
      <c r="A14" s="30"/>
      <c r="B14" s="10" t="s">
        <v>68</v>
      </c>
      <c r="C14" s="13" t="s">
        <v>52</v>
      </c>
      <c r="E14" s="6" t="s">
        <v>52</v>
      </c>
      <c r="F14" s="6" t="s">
        <v>52</v>
      </c>
      <c r="G14" s="6" t="s">
        <v>52</v>
      </c>
      <c r="H14" s="7" t="s">
        <v>52</v>
      </c>
      <c r="J14" s="7" t="s">
        <v>52</v>
      </c>
      <c r="K14" s="7" t="str">
        <f t="shared" si="0"/>
        <v xml:space="preserve"> </v>
      </c>
    </row>
    <row r="15" spans="1:15" x14ac:dyDescent="0.25">
      <c r="A15" s="30" t="s">
        <v>52</v>
      </c>
      <c r="B15" s="2" t="s">
        <v>164</v>
      </c>
      <c r="C15" s="13">
        <v>-19000</v>
      </c>
      <c r="E15" s="1">
        <v>0.2</v>
      </c>
      <c r="F15" s="1">
        <v>0.2</v>
      </c>
      <c r="G15" s="7">
        <f>(E15-F15)*C15</f>
        <v>0</v>
      </c>
      <c r="H15" s="7">
        <f>C15*(E15-F15)</f>
        <v>0</v>
      </c>
      <c r="J15" s="7">
        <f>G15</f>
        <v>0</v>
      </c>
      <c r="K15" s="7">
        <f t="shared" si="0"/>
        <v>0</v>
      </c>
      <c r="L15" s="3">
        <v>1</v>
      </c>
      <c r="M15" s="80">
        <f>C15*E15*-1</f>
        <v>3800</v>
      </c>
      <c r="N15" s="80" t="s">
        <v>52</v>
      </c>
    </row>
    <row r="16" spans="1:15" x14ac:dyDescent="0.25">
      <c r="A16" s="30"/>
      <c r="E16" s="1"/>
      <c r="F16" s="1"/>
    </row>
    <row r="17" spans="1:15" x14ac:dyDescent="0.25">
      <c r="A17" s="8"/>
      <c r="B17" s="2" t="s">
        <v>67</v>
      </c>
      <c r="C17" s="13">
        <v>0</v>
      </c>
      <c r="D17" s="13" t="s">
        <v>52</v>
      </c>
      <c r="E17" s="27" t="s">
        <v>52</v>
      </c>
      <c r="F17" s="27" t="s">
        <v>52</v>
      </c>
      <c r="G17" s="7" t="s">
        <v>52</v>
      </c>
      <c r="J17" s="7">
        <f>+C17</f>
        <v>0</v>
      </c>
      <c r="K17" s="7">
        <f>J17</f>
        <v>0</v>
      </c>
      <c r="L17" s="3">
        <v>1</v>
      </c>
      <c r="M17" s="80">
        <f>SUM(K5:K17)</f>
        <v>2622032</v>
      </c>
      <c r="N17" s="80">
        <v>2622032</v>
      </c>
      <c r="O17" s="67">
        <f>M17-N17</f>
        <v>0</v>
      </c>
    </row>
    <row r="18" spans="1:15" x14ac:dyDescent="0.25">
      <c r="A18" s="8"/>
      <c r="E18" s="27"/>
      <c r="F18" s="27"/>
      <c r="G18" s="15" t="s">
        <v>52</v>
      </c>
      <c r="H18" s="15" t="s">
        <v>52</v>
      </c>
      <c r="M18" s="80" t="s">
        <v>52</v>
      </c>
    </row>
    <row r="19" spans="1:15" x14ac:dyDescent="0.25">
      <c r="A19" s="8" t="s">
        <v>119</v>
      </c>
      <c r="B19" s="5" t="s">
        <v>22</v>
      </c>
      <c r="D19" s="13" t="s">
        <v>52</v>
      </c>
      <c r="E19" s="5" t="s">
        <v>52</v>
      </c>
      <c r="F19" s="5" t="s">
        <v>52</v>
      </c>
      <c r="M19" s="80" t="s">
        <v>52</v>
      </c>
      <c r="N19" s="80" t="s">
        <v>52</v>
      </c>
    </row>
    <row r="20" spans="1:15" x14ac:dyDescent="0.25">
      <c r="A20" s="8" t="s">
        <v>1</v>
      </c>
      <c r="B20" s="2" t="s">
        <v>120</v>
      </c>
      <c r="C20" s="13">
        <v>4055.86</v>
      </c>
      <c r="D20" s="13" t="s">
        <v>52</v>
      </c>
      <c r="E20" s="1">
        <v>1</v>
      </c>
      <c r="F20" s="1">
        <v>1</v>
      </c>
      <c r="G20" s="7">
        <f>C20*(E20-F20)</f>
        <v>0</v>
      </c>
      <c r="H20" s="7">
        <f>C20*(E20-F20)</f>
        <v>0</v>
      </c>
      <c r="J20" s="7">
        <f>C20*E20</f>
        <v>4055.86</v>
      </c>
      <c r="K20" s="7">
        <f>J20</f>
        <v>4055.86</v>
      </c>
      <c r="L20" s="3">
        <v>1</v>
      </c>
      <c r="M20" s="80" t="s">
        <v>52</v>
      </c>
      <c r="N20" s="80" t="s">
        <v>52</v>
      </c>
    </row>
    <row r="21" spans="1:15" x14ac:dyDescent="0.25">
      <c r="A21" s="8"/>
      <c r="D21" s="13" t="s">
        <v>52</v>
      </c>
      <c r="E21" s="27"/>
      <c r="F21" s="27"/>
      <c r="G21" s="15" t="s">
        <v>52</v>
      </c>
      <c r="H21" s="15" t="s">
        <v>52</v>
      </c>
      <c r="N21" s="80" t="s">
        <v>52</v>
      </c>
    </row>
    <row r="22" spans="1:15" x14ac:dyDescent="0.25">
      <c r="A22" s="8" t="s">
        <v>1</v>
      </c>
      <c r="B22" s="5" t="s">
        <v>22</v>
      </c>
      <c r="D22" s="13" t="s">
        <v>52</v>
      </c>
      <c r="E22" s="2"/>
      <c r="F22" s="2"/>
      <c r="G22" s="15"/>
      <c r="H22" s="15"/>
      <c r="I22" s="2"/>
      <c r="K22" s="7" t="s">
        <v>52</v>
      </c>
    </row>
    <row r="23" spans="1:15" x14ac:dyDescent="0.25">
      <c r="A23" s="8" t="s">
        <v>2</v>
      </c>
      <c r="B23" s="62" t="s">
        <v>24</v>
      </c>
      <c r="C23" s="13">
        <v>900</v>
      </c>
      <c r="E23" s="1">
        <v>13.41</v>
      </c>
      <c r="F23" s="1">
        <v>13.41</v>
      </c>
      <c r="G23" s="7">
        <f t="shared" ref="G23:G28" si="1">C23*(E23-F23)</f>
        <v>0</v>
      </c>
      <c r="H23" s="7">
        <f t="shared" ref="H23:H28" si="2">C23*(E23-F23)</f>
        <v>0</v>
      </c>
      <c r="I23" s="1"/>
      <c r="J23" s="7">
        <f t="shared" ref="J23:J28" si="3">C23*E23</f>
        <v>12069</v>
      </c>
      <c r="K23" s="7">
        <f t="shared" ref="K23:K34" si="4">J23</f>
        <v>12069</v>
      </c>
      <c r="L23" s="3">
        <v>2</v>
      </c>
      <c r="M23" s="80" t="s">
        <v>52</v>
      </c>
    </row>
    <row r="24" spans="1:15" x14ac:dyDescent="0.25">
      <c r="A24" s="8" t="s">
        <v>3</v>
      </c>
      <c r="B24" s="62" t="s">
        <v>25</v>
      </c>
      <c r="C24" s="13">
        <v>100</v>
      </c>
      <c r="E24" s="1">
        <v>17.510000000000002</v>
      </c>
      <c r="F24" s="1">
        <v>17.510000000000002</v>
      </c>
      <c r="G24" s="7">
        <f t="shared" si="1"/>
        <v>0</v>
      </c>
      <c r="H24" s="7">
        <f t="shared" si="2"/>
        <v>0</v>
      </c>
      <c r="I24" s="1"/>
      <c r="J24" s="7">
        <f t="shared" si="3"/>
        <v>1751.0000000000002</v>
      </c>
      <c r="K24" s="7">
        <f t="shared" si="4"/>
        <v>1751.0000000000002</v>
      </c>
      <c r="L24" s="3">
        <v>2</v>
      </c>
      <c r="M24" s="80" t="s">
        <v>52</v>
      </c>
    </row>
    <row r="25" spans="1:15" x14ac:dyDescent="0.25">
      <c r="A25" s="8"/>
      <c r="B25" s="62" t="s">
        <v>89</v>
      </c>
      <c r="C25" s="13">
        <v>83</v>
      </c>
      <c r="D25" s="13" t="s">
        <v>52</v>
      </c>
      <c r="E25" s="1">
        <v>46.1</v>
      </c>
      <c r="F25" s="1">
        <v>46.1</v>
      </c>
      <c r="G25" s="7">
        <f t="shared" si="1"/>
        <v>0</v>
      </c>
      <c r="H25" s="7">
        <f t="shared" si="2"/>
        <v>0</v>
      </c>
      <c r="I25" s="1"/>
      <c r="J25" s="7">
        <f t="shared" si="3"/>
        <v>3826.3</v>
      </c>
      <c r="K25" s="7">
        <f t="shared" si="4"/>
        <v>3826.3</v>
      </c>
      <c r="L25" s="3">
        <v>2</v>
      </c>
      <c r="M25" s="80" t="s">
        <v>52</v>
      </c>
    </row>
    <row r="26" spans="1:15" x14ac:dyDescent="0.25">
      <c r="A26" s="8"/>
      <c r="B26" s="62" t="s">
        <v>54</v>
      </c>
      <c r="C26" s="13">
        <v>169</v>
      </c>
      <c r="E26" s="1">
        <v>9.66</v>
      </c>
      <c r="F26" s="1">
        <v>9.66</v>
      </c>
      <c r="G26" s="7">
        <f t="shared" si="1"/>
        <v>0</v>
      </c>
      <c r="H26" s="7">
        <f t="shared" si="2"/>
        <v>0</v>
      </c>
      <c r="I26" s="1"/>
      <c r="J26" s="7">
        <f t="shared" si="3"/>
        <v>1632.54</v>
      </c>
      <c r="K26" s="7">
        <f t="shared" si="4"/>
        <v>1632.54</v>
      </c>
      <c r="L26" s="3">
        <v>2</v>
      </c>
      <c r="M26" s="80" t="s">
        <v>52</v>
      </c>
    </row>
    <row r="27" spans="1:15" x14ac:dyDescent="0.25">
      <c r="A27" s="8"/>
      <c r="B27" s="62" t="s">
        <v>48</v>
      </c>
      <c r="C27" s="13">
        <v>2241.79</v>
      </c>
      <c r="D27" s="13" t="s">
        <v>52</v>
      </c>
      <c r="E27" s="1">
        <v>1</v>
      </c>
      <c r="F27" s="1">
        <v>1</v>
      </c>
      <c r="G27" s="7">
        <f t="shared" si="1"/>
        <v>0</v>
      </c>
      <c r="H27" s="7">
        <f t="shared" si="2"/>
        <v>0</v>
      </c>
      <c r="I27" s="1"/>
      <c r="J27" s="7">
        <f t="shared" si="3"/>
        <v>2241.79</v>
      </c>
      <c r="K27" s="7">
        <f t="shared" si="4"/>
        <v>2241.79</v>
      </c>
      <c r="L27" s="3">
        <v>1</v>
      </c>
      <c r="M27" s="80" t="s">
        <v>52</v>
      </c>
    </row>
    <row r="28" spans="1:15" x14ac:dyDescent="0.25">
      <c r="A28" s="8"/>
      <c r="B28" s="62" t="s">
        <v>141</v>
      </c>
      <c r="C28" s="13">
        <v>605.54</v>
      </c>
      <c r="D28" s="13" t="s">
        <v>52</v>
      </c>
      <c r="E28" s="1">
        <v>1</v>
      </c>
      <c r="F28" s="1">
        <v>1</v>
      </c>
      <c r="G28" s="7">
        <f t="shared" si="1"/>
        <v>0</v>
      </c>
      <c r="H28" s="7">
        <f t="shared" si="2"/>
        <v>0</v>
      </c>
      <c r="I28" s="1"/>
      <c r="J28" s="7">
        <f t="shared" si="3"/>
        <v>605.54</v>
      </c>
      <c r="K28" s="7">
        <f t="shared" si="4"/>
        <v>605.54</v>
      </c>
      <c r="L28" s="3">
        <v>1</v>
      </c>
      <c r="M28" s="80" t="s">
        <v>52</v>
      </c>
    </row>
    <row r="29" spans="1:15" x14ac:dyDescent="0.25">
      <c r="B29" s="62" t="s">
        <v>52</v>
      </c>
      <c r="C29" s="13" t="s">
        <v>52</v>
      </c>
      <c r="D29" s="13" t="s">
        <v>52</v>
      </c>
      <c r="E29" s="2"/>
      <c r="F29" s="2"/>
      <c r="G29" s="15"/>
      <c r="H29" s="15"/>
      <c r="I29" s="2"/>
      <c r="K29" s="15"/>
      <c r="M29" s="80" t="s">
        <v>52</v>
      </c>
    </row>
    <row r="30" spans="1:15" x14ac:dyDescent="0.25">
      <c r="A30" s="8" t="s">
        <v>4</v>
      </c>
      <c r="B30" s="13" t="s">
        <v>22</v>
      </c>
      <c r="D30" s="13" t="s">
        <v>52</v>
      </c>
      <c r="E30" s="4" t="s">
        <v>52</v>
      </c>
      <c r="F30" s="4" t="s">
        <v>52</v>
      </c>
      <c r="I30" s="3"/>
      <c r="K30" s="7" t="s">
        <v>52</v>
      </c>
      <c r="M30" s="80" t="s">
        <v>52</v>
      </c>
    </row>
    <row r="31" spans="1:15" x14ac:dyDescent="0.25">
      <c r="A31" s="25" t="s">
        <v>52</v>
      </c>
      <c r="B31" s="62" t="s">
        <v>132</v>
      </c>
      <c r="C31" s="13">
        <v>267.77870000000001</v>
      </c>
      <c r="D31" s="13">
        <f>C31*1</f>
        <v>267.77870000000001</v>
      </c>
      <c r="E31" s="16">
        <v>13.81</v>
      </c>
      <c r="F31" s="16">
        <v>13.81</v>
      </c>
      <c r="G31" s="7">
        <f>C31*(E31-F31)</f>
        <v>0</v>
      </c>
      <c r="H31" s="7">
        <f>C31*(E31-F31)</f>
        <v>0</v>
      </c>
      <c r="I31" s="3"/>
      <c r="J31" s="7">
        <f>C31*E31</f>
        <v>3698.0238470000004</v>
      </c>
      <c r="K31" s="7">
        <f t="shared" si="4"/>
        <v>3698.0238470000004</v>
      </c>
      <c r="L31" s="3">
        <v>2</v>
      </c>
      <c r="M31" s="80" t="s">
        <v>52</v>
      </c>
    </row>
    <row r="32" spans="1:15" x14ac:dyDescent="0.25">
      <c r="A32" s="8" t="s">
        <v>52</v>
      </c>
      <c r="B32" s="2" t="s">
        <v>118</v>
      </c>
      <c r="C32" s="13">
        <v>133861.39000000001</v>
      </c>
      <c r="E32" s="1">
        <v>1</v>
      </c>
      <c r="F32" s="1">
        <v>1</v>
      </c>
      <c r="G32" s="7">
        <f>C32*(E32-F32)</f>
        <v>0</v>
      </c>
      <c r="H32" s="7">
        <f>C32*(E32-F32)</f>
        <v>0</v>
      </c>
      <c r="I32" s="3"/>
      <c r="J32" s="7">
        <f>C32*E32</f>
        <v>133861.39000000001</v>
      </c>
      <c r="K32" s="7">
        <f>J32</f>
        <v>133861.39000000001</v>
      </c>
      <c r="L32" s="3">
        <v>1</v>
      </c>
      <c r="M32" s="80" t="s">
        <v>52</v>
      </c>
    </row>
    <row r="33" spans="1:27" x14ac:dyDescent="0.25">
      <c r="A33" s="25" t="s">
        <v>52</v>
      </c>
      <c r="B33" s="2" t="s">
        <v>52</v>
      </c>
      <c r="C33" s="68" t="s">
        <v>52</v>
      </c>
      <c r="E33" s="1" t="s">
        <v>52</v>
      </c>
      <c r="F33" s="1" t="s">
        <v>52</v>
      </c>
      <c r="G33" s="2" t="s">
        <v>52</v>
      </c>
      <c r="H33" s="7" t="s">
        <v>52</v>
      </c>
      <c r="I33" s="3"/>
      <c r="J33" s="7" t="s">
        <v>52</v>
      </c>
      <c r="K33" s="15" t="s">
        <v>52</v>
      </c>
      <c r="M33" s="80" t="s">
        <v>52</v>
      </c>
    </row>
    <row r="34" spans="1:27" x14ac:dyDescent="0.25">
      <c r="A34" s="8" t="s">
        <v>5</v>
      </c>
      <c r="B34" s="2" t="s">
        <v>52</v>
      </c>
      <c r="C34" s="13" t="s">
        <v>52</v>
      </c>
      <c r="E34" s="1" t="s">
        <v>52</v>
      </c>
      <c r="F34" s="1" t="s">
        <v>52</v>
      </c>
      <c r="G34" s="7" t="s">
        <v>52</v>
      </c>
      <c r="H34" s="7" t="s">
        <v>52</v>
      </c>
      <c r="I34" s="3"/>
      <c r="J34" s="7" t="s">
        <v>52</v>
      </c>
      <c r="K34" s="7" t="str">
        <f t="shared" si="4"/>
        <v xml:space="preserve"> </v>
      </c>
      <c r="M34" s="80" t="s">
        <v>52</v>
      </c>
      <c r="N34" s="80" t="s">
        <v>52</v>
      </c>
    </row>
    <row r="35" spans="1:27" x14ac:dyDescent="0.25">
      <c r="A35" s="8" t="s">
        <v>6</v>
      </c>
      <c r="B35" s="2" t="s">
        <v>23</v>
      </c>
      <c r="C35" s="13">
        <v>46480.62</v>
      </c>
      <c r="E35" s="1">
        <v>1</v>
      </c>
      <c r="F35" s="1">
        <v>1</v>
      </c>
      <c r="G35" s="7">
        <f>C35*(E35-F35)</f>
        <v>0</v>
      </c>
      <c r="H35" s="7">
        <f>C35*(E35-F35)</f>
        <v>0</v>
      </c>
      <c r="I35" s="3"/>
      <c r="J35" s="7">
        <f>C35*E35</f>
        <v>46480.62</v>
      </c>
      <c r="K35" s="7">
        <f>J35</f>
        <v>46480.62</v>
      </c>
      <c r="L35" s="3">
        <v>1</v>
      </c>
      <c r="M35" s="80" t="s">
        <v>52</v>
      </c>
    </row>
    <row r="36" spans="1:27" x14ac:dyDescent="0.25">
      <c r="A36" s="8"/>
      <c r="E36" s="1"/>
      <c r="F36" s="1"/>
      <c r="H36" s="7" t="s">
        <v>52</v>
      </c>
      <c r="I36" s="3"/>
      <c r="M36" s="80" t="s">
        <v>52</v>
      </c>
    </row>
    <row r="37" spans="1:27" x14ac:dyDescent="0.25">
      <c r="A37" s="8" t="s">
        <v>8</v>
      </c>
      <c r="B37" s="2" t="s">
        <v>132</v>
      </c>
      <c r="C37" s="13">
        <v>96.793000000000006</v>
      </c>
      <c r="D37" s="13">
        <f>C37*1</f>
        <v>96.793000000000006</v>
      </c>
      <c r="E37" s="1">
        <f>E$31</f>
        <v>13.81</v>
      </c>
      <c r="F37" s="1">
        <f>F$31</f>
        <v>13.81</v>
      </c>
      <c r="G37" s="7">
        <f>C37*(E37-F37)</f>
        <v>0</v>
      </c>
      <c r="H37" s="7">
        <f>C37*(E37-F37)</f>
        <v>0</v>
      </c>
      <c r="I37" s="1"/>
      <c r="J37" s="7">
        <f>C37*E37</f>
        <v>1336.7113300000001</v>
      </c>
      <c r="K37" s="7">
        <f>J37</f>
        <v>1336.7113300000001</v>
      </c>
      <c r="L37" s="3">
        <v>2</v>
      </c>
      <c r="M37" s="80" t="s">
        <v>52</v>
      </c>
    </row>
    <row r="38" spans="1:27" x14ac:dyDescent="0.25">
      <c r="A38" s="8"/>
      <c r="C38" s="13" t="s">
        <v>52</v>
      </c>
      <c r="E38" s="4"/>
      <c r="F38" s="4"/>
      <c r="H38" s="7" t="s">
        <v>52</v>
      </c>
      <c r="I38" s="22" t="s">
        <v>52</v>
      </c>
      <c r="M38" s="80" t="s">
        <v>52</v>
      </c>
    </row>
    <row r="39" spans="1:27" x14ac:dyDescent="0.25">
      <c r="A39" s="8" t="s">
        <v>86</v>
      </c>
      <c r="B39" s="5" t="s">
        <v>22</v>
      </c>
      <c r="D39" s="13" t="s">
        <v>52</v>
      </c>
      <c r="E39" s="3"/>
      <c r="F39" s="3"/>
      <c r="H39" s="7" t="s">
        <v>52</v>
      </c>
      <c r="I39" s="3" t="s">
        <v>52</v>
      </c>
      <c r="M39" s="80" t="s">
        <v>52</v>
      </c>
      <c r="V39" s="3"/>
      <c r="W39" s="3"/>
      <c r="X39" s="3"/>
      <c r="Y39" s="3"/>
      <c r="Z39" s="3"/>
      <c r="AA39" s="3"/>
    </row>
    <row r="40" spans="1:27" s="97" customFormat="1" x14ac:dyDescent="0.25">
      <c r="A40" s="96" t="s">
        <v>52</v>
      </c>
      <c r="B40" s="97" t="s">
        <v>118</v>
      </c>
      <c r="C40" s="98">
        <v>610488</v>
      </c>
      <c r="D40" s="98" t="s">
        <v>52</v>
      </c>
      <c r="E40" s="99">
        <v>1</v>
      </c>
      <c r="F40" s="99">
        <v>1</v>
      </c>
      <c r="G40" s="100">
        <f>C40*(E40-F40)</f>
        <v>0</v>
      </c>
      <c r="H40" s="100">
        <f>C40*(E40-F40)*0.5895</f>
        <v>0</v>
      </c>
      <c r="I40" s="101" t="s">
        <v>52</v>
      </c>
      <c r="J40" s="100">
        <f>C40*E40*0.9</f>
        <v>549439.20000000007</v>
      </c>
      <c r="K40" s="100">
        <f>J40*0.614</f>
        <v>337355.66880000004</v>
      </c>
      <c r="L40" s="102">
        <v>1</v>
      </c>
      <c r="M40" s="103" t="s">
        <v>52</v>
      </c>
      <c r="N40" s="103"/>
      <c r="O40" s="104"/>
    </row>
    <row r="41" spans="1:27" x14ac:dyDescent="0.25">
      <c r="A41" s="25"/>
      <c r="E41" s="1"/>
      <c r="F41" s="1"/>
      <c r="H41" s="7" t="s">
        <v>52</v>
      </c>
      <c r="I41" s="22"/>
      <c r="M41" s="80" t="s">
        <v>52</v>
      </c>
    </row>
    <row r="42" spans="1:27" x14ac:dyDescent="0.25">
      <c r="A42" s="8" t="s">
        <v>66</v>
      </c>
      <c r="B42" s="5" t="s">
        <v>22</v>
      </c>
      <c r="D42" s="13" t="s">
        <v>52</v>
      </c>
      <c r="E42" s="3"/>
      <c r="F42" s="3"/>
      <c r="H42" s="7" t="s">
        <v>52</v>
      </c>
      <c r="I42" s="22" t="s">
        <v>52</v>
      </c>
      <c r="M42" s="80" t="s">
        <v>52</v>
      </c>
    </row>
    <row r="43" spans="1:27" s="97" customFormat="1" x14ac:dyDescent="0.25">
      <c r="A43" s="96" t="s">
        <v>52</v>
      </c>
      <c r="B43" s="97" t="s">
        <v>118</v>
      </c>
      <c r="C43" s="98">
        <v>263175</v>
      </c>
      <c r="D43" s="98" t="s">
        <v>52</v>
      </c>
      <c r="E43" s="99">
        <v>1</v>
      </c>
      <c r="F43" s="99">
        <v>1</v>
      </c>
      <c r="G43" s="100">
        <f>C43*(E43-F43)</f>
        <v>0</v>
      </c>
      <c r="H43" s="100">
        <f>C43*(E43-F43)*0.5895</f>
        <v>0</v>
      </c>
      <c r="I43" s="101" t="s">
        <v>52</v>
      </c>
      <c r="J43" s="100">
        <f>C43*E43*0.9</f>
        <v>236857.5</v>
      </c>
      <c r="K43" s="100">
        <f>J43*0.614</f>
        <v>145430.505</v>
      </c>
      <c r="L43" s="102">
        <v>1</v>
      </c>
      <c r="M43" s="103" t="s">
        <v>52</v>
      </c>
      <c r="N43" s="103"/>
      <c r="O43" s="104"/>
    </row>
    <row r="44" spans="1:27" s="97" customFormat="1" x14ac:dyDescent="0.25">
      <c r="A44" s="96" t="s">
        <v>52</v>
      </c>
      <c r="B44" s="97" t="s">
        <v>132</v>
      </c>
      <c r="C44" s="98">
        <v>8267</v>
      </c>
      <c r="D44" s="98" t="s">
        <v>52</v>
      </c>
      <c r="E44" s="99">
        <v>27.23</v>
      </c>
      <c r="F44" s="99">
        <v>27.23</v>
      </c>
      <c r="G44" s="100">
        <f>C44*(E44-F44)</f>
        <v>0</v>
      </c>
      <c r="H44" s="100">
        <f>C44*(E44-F44)*0.5895</f>
        <v>0</v>
      </c>
      <c r="I44" s="101" t="s">
        <v>52</v>
      </c>
      <c r="J44" s="100">
        <f>C44*E44*0.9</f>
        <v>202599.36900000001</v>
      </c>
      <c r="K44" s="100">
        <f>J44*0.614</f>
        <v>124396.012566</v>
      </c>
      <c r="L44" s="102">
        <v>1</v>
      </c>
      <c r="M44" s="103" t="s">
        <v>52</v>
      </c>
      <c r="N44" s="103"/>
      <c r="O44" s="104"/>
    </row>
    <row r="45" spans="1:27" x14ac:dyDescent="0.25">
      <c r="A45" s="25"/>
      <c r="E45" s="1"/>
      <c r="F45" s="1"/>
      <c r="H45" s="7" t="s">
        <v>52</v>
      </c>
      <c r="I45" s="22"/>
      <c r="J45" s="22"/>
      <c r="M45" s="80" t="s">
        <v>52</v>
      </c>
    </row>
    <row r="46" spans="1:27" x14ac:dyDescent="0.25">
      <c r="A46" s="8" t="s">
        <v>7</v>
      </c>
      <c r="B46" s="5" t="s">
        <v>22</v>
      </c>
      <c r="E46" s="3"/>
      <c r="F46" s="3"/>
      <c r="H46" s="7" t="s">
        <v>52</v>
      </c>
      <c r="I46" s="3"/>
      <c r="M46" s="80" t="s">
        <v>52</v>
      </c>
    </row>
    <row r="47" spans="1:27" x14ac:dyDescent="0.25">
      <c r="A47" s="8"/>
      <c r="B47" s="2" t="s">
        <v>128</v>
      </c>
      <c r="C47" s="13">
        <v>1307.5862</v>
      </c>
      <c r="D47" s="13">
        <f>C47*1</f>
        <v>1307.5862</v>
      </c>
      <c r="E47" s="1">
        <f t="shared" ref="E47:F49" si="5">E$31</f>
        <v>13.81</v>
      </c>
      <c r="F47" s="1">
        <f t="shared" si="5"/>
        <v>13.81</v>
      </c>
      <c r="G47" s="7">
        <f>C47*(E47-F47)</f>
        <v>0</v>
      </c>
      <c r="H47" s="7">
        <f>C47*(E47-F47)</f>
        <v>0</v>
      </c>
      <c r="I47" s="1"/>
      <c r="J47" s="7">
        <f>C47*E47</f>
        <v>18057.765422</v>
      </c>
      <c r="K47" s="7">
        <f>J47</f>
        <v>18057.765422</v>
      </c>
      <c r="L47" s="3">
        <v>2</v>
      </c>
      <c r="M47" s="80" t="s">
        <v>52</v>
      </c>
    </row>
    <row r="48" spans="1:27" x14ac:dyDescent="0.25">
      <c r="A48" s="8"/>
      <c r="B48" s="2" t="s">
        <v>129</v>
      </c>
      <c r="C48" s="13">
        <v>178.0334</v>
      </c>
      <c r="D48" s="13">
        <f>C48*1</f>
        <v>178.0334</v>
      </c>
      <c r="E48" s="1">
        <f t="shared" si="5"/>
        <v>13.81</v>
      </c>
      <c r="F48" s="1">
        <f t="shared" si="5"/>
        <v>13.81</v>
      </c>
      <c r="G48" s="7">
        <f>C48*(E48-F48)</f>
        <v>0</v>
      </c>
      <c r="H48" s="7">
        <f>C48*(E48-F48)</f>
        <v>0</v>
      </c>
      <c r="I48" s="1"/>
      <c r="J48" s="7">
        <f>C48*E48</f>
        <v>2458.6412540000001</v>
      </c>
      <c r="K48" s="7">
        <f>J48</f>
        <v>2458.6412540000001</v>
      </c>
      <c r="L48" s="3">
        <v>2</v>
      </c>
      <c r="M48" s="80" t="s">
        <v>52</v>
      </c>
    </row>
    <row r="49" spans="1:16" x14ac:dyDescent="0.25">
      <c r="A49" s="8"/>
      <c r="B49" s="2" t="s">
        <v>127</v>
      </c>
      <c r="C49" s="13">
        <v>402.85410000000002</v>
      </c>
      <c r="D49" s="13">
        <f>C49*1</f>
        <v>402.85410000000002</v>
      </c>
      <c r="E49" s="1">
        <f t="shared" si="5"/>
        <v>13.81</v>
      </c>
      <c r="F49" s="1">
        <f t="shared" si="5"/>
        <v>13.81</v>
      </c>
      <c r="G49" s="7">
        <f>C49*(E49-F49)</f>
        <v>0</v>
      </c>
      <c r="H49" s="7">
        <f>C49*(E49-F49)</f>
        <v>0</v>
      </c>
      <c r="I49" s="1"/>
      <c r="J49" s="7">
        <f>C49*E49</f>
        <v>5563.415121</v>
      </c>
      <c r="K49" s="7">
        <f>J49</f>
        <v>5563.415121</v>
      </c>
      <c r="L49" s="3">
        <v>2</v>
      </c>
      <c r="M49" s="80" t="s">
        <v>52</v>
      </c>
    </row>
    <row r="50" spans="1:16" x14ac:dyDescent="0.25">
      <c r="A50" s="8"/>
      <c r="E50" s="1"/>
      <c r="F50" s="1"/>
      <c r="H50" s="7" t="s">
        <v>52</v>
      </c>
      <c r="I50" s="1"/>
      <c r="M50" s="80" t="s">
        <v>52</v>
      </c>
    </row>
    <row r="51" spans="1:16" x14ac:dyDescent="0.25">
      <c r="A51" s="8" t="s">
        <v>59</v>
      </c>
      <c r="B51" s="1" t="s">
        <v>22</v>
      </c>
      <c r="C51" s="13" t="s">
        <v>52</v>
      </c>
      <c r="E51" s="1" t="s">
        <v>52</v>
      </c>
      <c r="F51" s="1" t="s">
        <v>52</v>
      </c>
      <c r="G51" s="15"/>
      <c r="H51" s="7" t="s">
        <v>52</v>
      </c>
      <c r="I51" s="2"/>
      <c r="L51" s="5"/>
      <c r="M51" s="80" t="s">
        <v>52</v>
      </c>
    </row>
    <row r="52" spans="1:16" x14ac:dyDescent="0.25">
      <c r="A52" s="8" t="s">
        <v>9</v>
      </c>
      <c r="B52" s="2" t="s">
        <v>158</v>
      </c>
      <c r="C52" s="13">
        <v>3262</v>
      </c>
      <c r="D52" s="13" t="s">
        <v>52</v>
      </c>
      <c r="E52" s="1">
        <f t="shared" ref="E52:F58" si="6">E$31</f>
        <v>13.81</v>
      </c>
      <c r="F52" s="1">
        <f t="shared" si="6"/>
        <v>13.81</v>
      </c>
      <c r="G52" s="7">
        <f t="shared" ref="G52:G57" si="7">IF(E52&gt;I52,(E52-F52)*C52,0)</f>
        <v>0</v>
      </c>
      <c r="H52" s="7">
        <f t="shared" ref="H52:H57" si="8">IF(E52&gt;I52,(E52-F52)*C52*0.5895,0)</f>
        <v>0</v>
      </c>
      <c r="I52" s="1">
        <v>76.025000000000006</v>
      </c>
      <c r="J52" s="7">
        <f t="shared" ref="J52:J57" si="9">IF(C52*(E52-I52)&gt;0,C52*(E52-I52),0)</f>
        <v>0</v>
      </c>
      <c r="K52" s="7">
        <f t="shared" ref="K52:K58" si="10">J52*0.5995</f>
        <v>0</v>
      </c>
      <c r="L52" s="3">
        <v>2</v>
      </c>
      <c r="M52" s="80" t="s">
        <v>52</v>
      </c>
    </row>
    <row r="53" spans="1:16" x14ac:dyDescent="0.25">
      <c r="A53" s="8"/>
      <c r="B53" s="2" t="s">
        <v>157</v>
      </c>
      <c r="C53" s="13">
        <v>1270</v>
      </c>
      <c r="D53" s="13" t="s">
        <v>52</v>
      </c>
      <c r="E53" s="1">
        <f t="shared" si="6"/>
        <v>13.81</v>
      </c>
      <c r="F53" s="1">
        <f t="shared" si="6"/>
        <v>13.81</v>
      </c>
      <c r="G53" s="7">
        <f t="shared" si="7"/>
        <v>0</v>
      </c>
      <c r="H53" s="7">
        <f t="shared" si="8"/>
        <v>0</v>
      </c>
      <c r="I53" s="1">
        <v>76</v>
      </c>
      <c r="J53" s="7">
        <f t="shared" si="9"/>
        <v>0</v>
      </c>
      <c r="K53" s="7">
        <f t="shared" si="10"/>
        <v>0</v>
      </c>
      <c r="L53" s="3">
        <v>2</v>
      </c>
      <c r="M53" s="80" t="s">
        <v>52</v>
      </c>
      <c r="N53" s="80" t="s">
        <v>52</v>
      </c>
    </row>
    <row r="54" spans="1:16" x14ac:dyDescent="0.25">
      <c r="A54" s="8" t="s">
        <v>52</v>
      </c>
      <c r="B54" s="2" t="s">
        <v>152</v>
      </c>
      <c r="C54" s="13">
        <v>381</v>
      </c>
      <c r="D54" s="13" t="s">
        <v>52</v>
      </c>
      <c r="E54" s="1">
        <f t="shared" si="6"/>
        <v>13.81</v>
      </c>
      <c r="F54" s="1">
        <f t="shared" si="6"/>
        <v>13.81</v>
      </c>
      <c r="G54" s="7">
        <f t="shared" si="7"/>
        <v>0</v>
      </c>
      <c r="H54" s="7">
        <f t="shared" si="8"/>
        <v>0</v>
      </c>
      <c r="I54" s="1">
        <v>83.125</v>
      </c>
      <c r="J54" s="7">
        <f t="shared" si="9"/>
        <v>0</v>
      </c>
      <c r="K54" s="7">
        <f t="shared" si="10"/>
        <v>0</v>
      </c>
      <c r="L54" s="3">
        <v>2</v>
      </c>
      <c r="M54" s="80" t="s">
        <v>52</v>
      </c>
    </row>
    <row r="55" spans="1:16" x14ac:dyDescent="0.25">
      <c r="A55" s="8" t="s">
        <v>52</v>
      </c>
      <c r="B55" s="2" t="s">
        <v>144</v>
      </c>
      <c r="C55" s="13">
        <v>347</v>
      </c>
      <c r="D55" s="13" t="s">
        <v>52</v>
      </c>
      <c r="E55" s="1">
        <f t="shared" si="6"/>
        <v>13.81</v>
      </c>
      <c r="F55" s="1">
        <f t="shared" si="6"/>
        <v>13.81</v>
      </c>
      <c r="G55" s="7">
        <f t="shared" si="7"/>
        <v>0</v>
      </c>
      <c r="H55" s="7">
        <f t="shared" si="8"/>
        <v>0</v>
      </c>
      <c r="I55" s="1">
        <v>62.41</v>
      </c>
      <c r="J55" s="7">
        <f t="shared" si="9"/>
        <v>0</v>
      </c>
      <c r="K55" s="7">
        <f t="shared" si="10"/>
        <v>0</v>
      </c>
      <c r="L55" s="3">
        <v>2</v>
      </c>
      <c r="M55" s="80" t="s">
        <v>52</v>
      </c>
    </row>
    <row r="56" spans="1:16" x14ac:dyDescent="0.25">
      <c r="A56" s="8" t="s">
        <v>52</v>
      </c>
      <c r="B56" s="2" t="s">
        <v>149</v>
      </c>
      <c r="C56" s="13">
        <v>348</v>
      </c>
      <c r="D56" s="13" t="s">
        <v>52</v>
      </c>
      <c r="E56" s="1">
        <f t="shared" si="6"/>
        <v>13.81</v>
      </c>
      <c r="F56" s="1">
        <f t="shared" si="6"/>
        <v>13.81</v>
      </c>
      <c r="G56" s="7">
        <f t="shared" si="7"/>
        <v>0</v>
      </c>
      <c r="H56" s="7">
        <f t="shared" si="8"/>
        <v>0</v>
      </c>
      <c r="I56" s="1">
        <v>53.04</v>
      </c>
      <c r="J56" s="7">
        <f t="shared" si="9"/>
        <v>0</v>
      </c>
      <c r="K56" s="7">
        <f t="shared" si="10"/>
        <v>0</v>
      </c>
      <c r="L56" s="3">
        <v>2</v>
      </c>
      <c r="M56" s="80" t="s">
        <v>52</v>
      </c>
    </row>
    <row r="57" spans="1:16" x14ac:dyDescent="0.25">
      <c r="A57" s="8" t="s">
        <v>52</v>
      </c>
      <c r="B57" s="2" t="s">
        <v>155</v>
      </c>
      <c r="C57" s="13">
        <v>417</v>
      </c>
      <c r="D57" s="13" t="s">
        <v>52</v>
      </c>
      <c r="E57" s="1">
        <f t="shared" si="6"/>
        <v>13.81</v>
      </c>
      <c r="F57" s="1">
        <f t="shared" si="6"/>
        <v>13.81</v>
      </c>
      <c r="G57" s="7">
        <f t="shared" si="7"/>
        <v>0</v>
      </c>
      <c r="H57" s="7">
        <f t="shared" si="8"/>
        <v>0</v>
      </c>
      <c r="I57" s="1">
        <v>48.3</v>
      </c>
      <c r="J57" s="7">
        <f t="shared" si="9"/>
        <v>0</v>
      </c>
      <c r="K57" s="7">
        <f t="shared" si="10"/>
        <v>0</v>
      </c>
      <c r="L57" s="3">
        <v>2</v>
      </c>
      <c r="M57" s="80" t="s">
        <v>52</v>
      </c>
    </row>
    <row r="58" spans="1:16" x14ac:dyDescent="0.25">
      <c r="A58" s="8" t="s">
        <v>52</v>
      </c>
      <c r="B58" s="2" t="s">
        <v>166</v>
      </c>
      <c r="C58" s="13">
        <v>610</v>
      </c>
      <c r="D58" s="13" t="s">
        <v>52</v>
      </c>
      <c r="E58" s="1">
        <f t="shared" si="6"/>
        <v>13.81</v>
      </c>
      <c r="F58" s="1">
        <f t="shared" si="6"/>
        <v>13.81</v>
      </c>
      <c r="G58" s="7">
        <f>IF(E58&gt;I58,(E58-F58)*C58,0)</f>
        <v>0</v>
      </c>
      <c r="H58" s="7">
        <f>IF(E58&gt;I58,(E58-F58)*C58*0.5895,0)</f>
        <v>0</v>
      </c>
      <c r="I58" s="1">
        <v>36.880000000000003</v>
      </c>
      <c r="J58" s="7">
        <f>IF(C58*(E58-I58)&gt;0,C58*(E58-I58),0)</f>
        <v>0</v>
      </c>
      <c r="K58" s="7">
        <f t="shared" si="10"/>
        <v>0</v>
      </c>
      <c r="L58" s="3">
        <v>2</v>
      </c>
      <c r="M58" s="80" t="s">
        <v>52</v>
      </c>
    </row>
    <row r="59" spans="1:16" x14ac:dyDescent="0.25">
      <c r="A59" s="8" t="s">
        <v>52</v>
      </c>
      <c r="B59" s="21" t="s">
        <v>52</v>
      </c>
      <c r="C59" s="13" t="s">
        <v>52</v>
      </c>
      <c r="E59" s="1" t="s">
        <v>52</v>
      </c>
      <c r="F59" s="1" t="s">
        <v>52</v>
      </c>
      <c r="G59" s="15"/>
      <c r="H59" s="7" t="s">
        <v>52</v>
      </c>
      <c r="I59" s="2"/>
      <c r="M59" s="80" t="s">
        <v>52</v>
      </c>
    </row>
    <row r="60" spans="1:16" x14ac:dyDescent="0.25">
      <c r="A60" s="8" t="s">
        <v>10</v>
      </c>
      <c r="B60" s="5" t="s">
        <v>22</v>
      </c>
      <c r="D60" s="13" t="s">
        <v>52</v>
      </c>
      <c r="E60" s="1" t="s">
        <v>52</v>
      </c>
      <c r="F60" s="1" t="s">
        <v>52</v>
      </c>
      <c r="H60" s="7" t="s">
        <v>52</v>
      </c>
      <c r="I60" s="3"/>
      <c r="K60" s="7" t="s">
        <v>52</v>
      </c>
      <c r="M60" s="80" t="s">
        <v>52</v>
      </c>
    </row>
    <row r="61" spans="1:16" x14ac:dyDescent="0.25">
      <c r="A61" s="8" t="s">
        <v>11</v>
      </c>
      <c r="B61" s="2" t="s">
        <v>130</v>
      </c>
      <c r="C61" s="13">
        <v>2317</v>
      </c>
      <c r="D61" s="13">
        <f>C61*1</f>
        <v>2317</v>
      </c>
      <c r="E61" s="1">
        <f>E$31</f>
        <v>13.81</v>
      </c>
      <c r="F61" s="1">
        <f>F$31</f>
        <v>13.81</v>
      </c>
      <c r="G61" s="7">
        <f>C61*(E61-F61)</f>
        <v>0</v>
      </c>
      <c r="H61" s="7">
        <f>C61*(E61-F61)*0.5895</f>
        <v>0</v>
      </c>
      <c r="I61" s="1"/>
      <c r="J61" s="7">
        <f>C61*E61</f>
        <v>31997.77</v>
      </c>
      <c r="K61" s="7">
        <f>J61*0.614</f>
        <v>19646.63078</v>
      </c>
      <c r="L61" s="3">
        <v>2</v>
      </c>
      <c r="M61" s="80" t="s">
        <v>52</v>
      </c>
    </row>
    <row r="62" spans="1:16" x14ac:dyDescent="0.25">
      <c r="A62" s="8"/>
      <c r="C62" s="13" t="s">
        <v>52</v>
      </c>
      <c r="D62" s="13" t="s">
        <v>52</v>
      </c>
      <c r="E62" s="1" t="s">
        <v>52</v>
      </c>
      <c r="F62" s="1" t="s">
        <v>52</v>
      </c>
      <c r="G62" s="2"/>
      <c r="H62" s="7" t="s">
        <v>52</v>
      </c>
      <c r="I62" s="2"/>
      <c r="K62" s="7" t="s">
        <v>52</v>
      </c>
      <c r="M62" s="80" t="s">
        <v>52</v>
      </c>
    </row>
    <row r="63" spans="1:16" x14ac:dyDescent="0.25">
      <c r="A63" s="8" t="s">
        <v>64</v>
      </c>
      <c r="B63" s="5" t="s">
        <v>22</v>
      </c>
      <c r="D63" s="13" t="s">
        <v>52</v>
      </c>
      <c r="E63" s="1" t="s">
        <v>52</v>
      </c>
      <c r="F63" s="1" t="s">
        <v>52</v>
      </c>
      <c r="H63" s="7" t="s">
        <v>52</v>
      </c>
      <c r="I63" s="3"/>
      <c r="K63" s="7" t="s">
        <v>52</v>
      </c>
      <c r="M63" s="80" t="s">
        <v>52</v>
      </c>
    </row>
    <row r="64" spans="1:16" x14ac:dyDescent="0.25">
      <c r="A64" s="8" t="s">
        <v>65</v>
      </c>
      <c r="B64" s="2" t="s">
        <v>131</v>
      </c>
      <c r="C64" s="13">
        <v>1924</v>
      </c>
      <c r="D64" s="13">
        <f>+C64*1</f>
        <v>1924</v>
      </c>
      <c r="E64" s="1">
        <f>E$31</f>
        <v>13.81</v>
      </c>
      <c r="F64" s="1">
        <f>F$31</f>
        <v>13.81</v>
      </c>
      <c r="G64" s="7">
        <f>C64*(E64-F64)</f>
        <v>0</v>
      </c>
      <c r="H64" s="7">
        <f>C64*(E64-F64)*0.5895</f>
        <v>0</v>
      </c>
      <c r="I64" s="1"/>
      <c r="J64" s="7">
        <f>C64*E64</f>
        <v>26570.440000000002</v>
      </c>
      <c r="K64" s="7">
        <f>J64*0.614</f>
        <v>16314.250160000001</v>
      </c>
      <c r="L64" s="3">
        <v>2</v>
      </c>
      <c r="M64" s="80" t="s">
        <v>52</v>
      </c>
      <c r="O64" s="7" t="s">
        <v>52</v>
      </c>
      <c r="P64" s="15" t="s">
        <v>52</v>
      </c>
    </row>
    <row r="65" spans="1:15" x14ac:dyDescent="0.25">
      <c r="A65" s="87" t="s">
        <v>52</v>
      </c>
      <c r="E65" s="1"/>
      <c r="F65" s="1"/>
      <c r="H65" s="7" t="s">
        <v>52</v>
      </c>
      <c r="I65" s="1"/>
    </row>
    <row r="66" spans="1:15" x14ac:dyDescent="0.25">
      <c r="A66" s="8" t="s">
        <v>57</v>
      </c>
      <c r="B66" s="5" t="s">
        <v>22</v>
      </c>
      <c r="C66" s="13" t="s">
        <v>52</v>
      </c>
      <c r="D66" s="13" t="s">
        <v>52</v>
      </c>
      <c r="E66" s="14"/>
      <c r="F66" s="14"/>
      <c r="H66" s="7" t="s">
        <v>52</v>
      </c>
      <c r="I66" s="3"/>
      <c r="K66" s="7" t="s">
        <v>52</v>
      </c>
    </row>
    <row r="67" spans="1:15" x14ac:dyDescent="0.25">
      <c r="A67" s="8" t="s">
        <v>52</v>
      </c>
      <c r="B67" s="2" t="s">
        <v>167</v>
      </c>
      <c r="C67" s="80">
        <v>3003047</v>
      </c>
      <c r="D67" s="13" t="s">
        <v>52</v>
      </c>
      <c r="E67" s="1">
        <v>1</v>
      </c>
      <c r="F67" s="1">
        <v>1</v>
      </c>
      <c r="G67" s="7">
        <f>C67*(E67-F67)</f>
        <v>0</v>
      </c>
      <c r="H67" s="7">
        <f t="shared" ref="H67:H81" si="11">C67*(E67-F67)</f>
        <v>0</v>
      </c>
      <c r="I67" s="1"/>
      <c r="J67" s="7">
        <f>C67*E67</f>
        <v>3003047</v>
      </c>
      <c r="K67" s="7">
        <f t="shared" ref="K67:K82" si="12">J67</f>
        <v>3003047</v>
      </c>
      <c r="L67" s="3">
        <v>1</v>
      </c>
    </row>
    <row r="68" spans="1:15" x14ac:dyDescent="0.25">
      <c r="A68" s="30" t="s">
        <v>52</v>
      </c>
      <c r="B68" s="2" t="s">
        <v>172</v>
      </c>
      <c r="C68" s="13">
        <v>-5000</v>
      </c>
      <c r="D68" s="13" t="s">
        <v>52</v>
      </c>
      <c r="E68" s="1">
        <v>0.4</v>
      </c>
      <c r="F68" s="1">
        <v>0.4</v>
      </c>
      <c r="G68" s="7">
        <f>(E68-F68)*C68</f>
        <v>0</v>
      </c>
      <c r="H68" s="7">
        <f>C68*(E68-F68)</f>
        <v>0</v>
      </c>
      <c r="J68" s="7">
        <f>G68</f>
        <v>0</v>
      </c>
      <c r="K68" s="7">
        <f>J68</f>
        <v>0</v>
      </c>
      <c r="L68" s="3">
        <v>1</v>
      </c>
      <c r="M68" s="80">
        <f>C68*E68*-1</f>
        <v>2000</v>
      </c>
    </row>
    <row r="69" spans="1:15" x14ac:dyDescent="0.25">
      <c r="A69" s="30" t="s">
        <v>52</v>
      </c>
      <c r="B69" s="2" t="s">
        <v>163</v>
      </c>
      <c r="C69" s="13">
        <v>-15000</v>
      </c>
      <c r="D69" s="13" t="s">
        <v>52</v>
      </c>
      <c r="E69" s="1">
        <v>0.17499999999999999</v>
      </c>
      <c r="F69" s="1">
        <v>0.17499999999999999</v>
      </c>
      <c r="G69" s="7">
        <f>(E69-F69)*C69</f>
        <v>0</v>
      </c>
      <c r="H69" s="7">
        <f>C69*(E69-F69)</f>
        <v>0</v>
      </c>
      <c r="J69" s="7">
        <f>G69</f>
        <v>0</v>
      </c>
      <c r="K69" s="7">
        <f>J69</f>
        <v>0</v>
      </c>
      <c r="L69" s="3">
        <v>1</v>
      </c>
      <c r="M69" s="80">
        <f>C69*E69*-1</f>
        <v>2625</v>
      </c>
    </row>
    <row r="70" spans="1:15" x14ac:dyDescent="0.25">
      <c r="A70" s="30" t="s">
        <v>52</v>
      </c>
      <c r="B70" s="2" t="s">
        <v>161</v>
      </c>
      <c r="C70" s="13">
        <v>-7500</v>
      </c>
      <c r="D70" s="13" t="s">
        <v>52</v>
      </c>
      <c r="E70" s="1">
        <v>0.15</v>
      </c>
      <c r="F70" s="1">
        <v>0.15</v>
      </c>
      <c r="G70" s="7">
        <f>(E70-F70)*C70</f>
        <v>0</v>
      </c>
      <c r="H70" s="7">
        <f>C70*(E70-F70)</f>
        <v>0</v>
      </c>
      <c r="J70" s="7">
        <f>G70</f>
        <v>0</v>
      </c>
      <c r="K70" s="7">
        <f>J70</f>
        <v>0</v>
      </c>
      <c r="L70" s="3">
        <v>1</v>
      </c>
      <c r="M70" s="80">
        <f>C70*E70*-1</f>
        <v>1125</v>
      </c>
    </row>
    <row r="71" spans="1:15" x14ac:dyDescent="0.25">
      <c r="A71" s="30" t="s">
        <v>52</v>
      </c>
      <c r="B71" s="2" t="s">
        <v>133</v>
      </c>
      <c r="C71" s="13">
        <v>-5000</v>
      </c>
      <c r="D71" s="13" t="s">
        <v>52</v>
      </c>
      <c r="E71" s="1">
        <v>0.1</v>
      </c>
      <c r="F71" s="1">
        <v>0.1</v>
      </c>
      <c r="G71" s="7">
        <f t="shared" ref="G71:G81" si="13">(E71-F71)*C71</f>
        <v>0</v>
      </c>
      <c r="H71" s="7">
        <f t="shared" si="11"/>
        <v>0</v>
      </c>
      <c r="J71" s="7">
        <f t="shared" ref="J71:J80" si="14">G71</f>
        <v>0</v>
      </c>
      <c r="K71" s="7">
        <f t="shared" si="12"/>
        <v>0</v>
      </c>
      <c r="L71" s="3">
        <v>1</v>
      </c>
      <c r="M71" s="80">
        <f t="shared" ref="M71:M81" si="15">C71*E71*-1</f>
        <v>500</v>
      </c>
    </row>
    <row r="72" spans="1:15" x14ac:dyDescent="0.25">
      <c r="A72" s="30" t="s">
        <v>52</v>
      </c>
      <c r="B72" s="2" t="s">
        <v>134</v>
      </c>
      <c r="C72" s="13">
        <v>-15000</v>
      </c>
      <c r="D72" s="13" t="s">
        <v>52</v>
      </c>
      <c r="E72" s="1">
        <v>0.1</v>
      </c>
      <c r="F72" s="1">
        <v>0.1</v>
      </c>
      <c r="G72" s="7">
        <f t="shared" si="13"/>
        <v>0</v>
      </c>
      <c r="H72" s="7">
        <f t="shared" si="11"/>
        <v>0</v>
      </c>
      <c r="J72" s="7">
        <f t="shared" si="14"/>
        <v>0</v>
      </c>
      <c r="K72" s="7">
        <f t="shared" si="12"/>
        <v>0</v>
      </c>
      <c r="L72" s="3">
        <v>1</v>
      </c>
      <c r="M72" s="80">
        <f t="shared" si="15"/>
        <v>1500</v>
      </c>
      <c r="N72" s="80" t="s">
        <v>52</v>
      </c>
    </row>
    <row r="73" spans="1:15" x14ac:dyDescent="0.25">
      <c r="A73" s="30" t="s">
        <v>52</v>
      </c>
      <c r="B73" s="2" t="s">
        <v>171</v>
      </c>
      <c r="C73" s="13">
        <v>-2500</v>
      </c>
      <c r="D73" s="13" t="s">
        <v>52</v>
      </c>
      <c r="E73" s="1">
        <v>0.25</v>
      </c>
      <c r="F73" s="1">
        <v>0.25</v>
      </c>
      <c r="G73" s="7">
        <f>(E73-F73)*C73</f>
        <v>0</v>
      </c>
      <c r="H73" s="7">
        <f>C73*(E73-F73)</f>
        <v>0</v>
      </c>
      <c r="J73" s="7">
        <f>G73</f>
        <v>0</v>
      </c>
      <c r="K73" s="7">
        <f>J73</f>
        <v>0</v>
      </c>
      <c r="L73" s="3">
        <v>1</v>
      </c>
      <c r="M73" s="80">
        <f>C73*E73*-1</f>
        <v>625</v>
      </c>
    </row>
    <row r="74" spans="1:15" x14ac:dyDescent="0.25">
      <c r="A74" s="30" t="s">
        <v>52</v>
      </c>
      <c r="B74" s="2" t="s">
        <v>150</v>
      </c>
      <c r="C74" s="13">
        <v>-5000</v>
      </c>
      <c r="D74" s="13" t="s">
        <v>52</v>
      </c>
      <c r="E74" s="1">
        <v>0.2</v>
      </c>
      <c r="F74" s="1">
        <v>0.2</v>
      </c>
      <c r="G74" s="7">
        <f>(E74-F74)*C74</f>
        <v>0</v>
      </c>
      <c r="H74" s="7">
        <f>C74*(E74-F74)</f>
        <v>0</v>
      </c>
      <c r="J74" s="7">
        <f>G74</f>
        <v>0</v>
      </c>
      <c r="K74" s="7">
        <f t="shared" si="12"/>
        <v>0</v>
      </c>
      <c r="L74" s="3">
        <v>1</v>
      </c>
      <c r="M74" s="80">
        <f>C74*E74*-1</f>
        <v>1000</v>
      </c>
    </row>
    <row r="75" spans="1:15" x14ac:dyDescent="0.25">
      <c r="A75" s="30" t="s">
        <v>52</v>
      </c>
      <c r="B75" s="2" t="s">
        <v>135</v>
      </c>
      <c r="C75" s="13">
        <v>-15000</v>
      </c>
      <c r="D75" s="13" t="s">
        <v>52</v>
      </c>
      <c r="E75" s="1">
        <v>0.2</v>
      </c>
      <c r="F75" s="1">
        <v>0.2</v>
      </c>
      <c r="G75" s="7">
        <f t="shared" si="13"/>
        <v>0</v>
      </c>
      <c r="H75" s="7">
        <f t="shared" si="11"/>
        <v>0</v>
      </c>
      <c r="J75" s="7">
        <f t="shared" si="14"/>
        <v>0</v>
      </c>
      <c r="K75" s="7">
        <f t="shared" si="12"/>
        <v>0</v>
      </c>
      <c r="L75" s="3">
        <v>1</v>
      </c>
      <c r="M75" s="80">
        <f t="shared" si="15"/>
        <v>3000</v>
      </c>
      <c r="O75" s="5" t="s">
        <v>52</v>
      </c>
    </row>
    <row r="76" spans="1:15" x14ac:dyDescent="0.25">
      <c r="A76" s="30" t="s">
        <v>52</v>
      </c>
      <c r="B76" s="2" t="s">
        <v>146</v>
      </c>
      <c r="C76" s="13">
        <v>-15000</v>
      </c>
      <c r="D76" s="13" t="s">
        <v>52</v>
      </c>
      <c r="E76" s="1">
        <v>0.17499999999999999</v>
      </c>
      <c r="F76" s="1">
        <v>0.17499999999999999</v>
      </c>
      <c r="G76" s="7">
        <f>(E76-F76)*C76</f>
        <v>0</v>
      </c>
      <c r="H76" s="7">
        <f>C76*(E76-F76)</f>
        <v>0</v>
      </c>
      <c r="J76" s="7">
        <f>G76</f>
        <v>0</v>
      </c>
      <c r="K76" s="7">
        <f t="shared" si="12"/>
        <v>0</v>
      </c>
      <c r="L76" s="3">
        <v>1</v>
      </c>
      <c r="M76" s="80">
        <f>C76*E76*-1</f>
        <v>2625</v>
      </c>
      <c r="O76" s="5" t="s">
        <v>52</v>
      </c>
    </row>
    <row r="77" spans="1:15" x14ac:dyDescent="0.25">
      <c r="A77" s="30" t="s">
        <v>52</v>
      </c>
      <c r="B77" s="2" t="s">
        <v>136</v>
      </c>
      <c r="C77" s="13">
        <v>-10000</v>
      </c>
      <c r="D77" s="13" t="s">
        <v>52</v>
      </c>
      <c r="E77" s="1">
        <v>0.15</v>
      </c>
      <c r="F77" s="1">
        <v>0.15</v>
      </c>
      <c r="G77" s="7">
        <f t="shared" si="13"/>
        <v>0</v>
      </c>
      <c r="H77" s="7">
        <f t="shared" si="11"/>
        <v>0</v>
      </c>
      <c r="J77" s="7">
        <f>G77</f>
        <v>0</v>
      </c>
      <c r="K77" s="7">
        <f t="shared" si="12"/>
        <v>0</v>
      </c>
      <c r="L77" s="3">
        <v>1</v>
      </c>
      <c r="M77" s="80">
        <f t="shared" si="15"/>
        <v>1500</v>
      </c>
      <c r="O77" s="7" t="s">
        <v>52</v>
      </c>
    </row>
    <row r="78" spans="1:15" x14ac:dyDescent="0.25">
      <c r="A78" s="30" t="s">
        <v>52</v>
      </c>
      <c r="B78" s="2" t="s">
        <v>137</v>
      </c>
      <c r="C78" s="13">
        <v>-10000</v>
      </c>
      <c r="D78" s="13" t="s">
        <v>52</v>
      </c>
      <c r="E78" s="1">
        <v>0.15</v>
      </c>
      <c r="F78" s="1">
        <v>0.15</v>
      </c>
      <c r="G78" s="7">
        <f t="shared" si="13"/>
        <v>0</v>
      </c>
      <c r="H78" s="7">
        <f t="shared" si="11"/>
        <v>0</v>
      </c>
      <c r="J78" s="7">
        <f t="shared" si="14"/>
        <v>0</v>
      </c>
      <c r="K78" s="7">
        <f t="shared" si="12"/>
        <v>0</v>
      </c>
      <c r="L78" s="3">
        <v>1</v>
      </c>
      <c r="M78" s="80">
        <f t="shared" si="15"/>
        <v>1500</v>
      </c>
      <c r="O78" s="7" t="s">
        <v>52</v>
      </c>
    </row>
    <row r="79" spans="1:15" x14ac:dyDescent="0.25">
      <c r="A79" s="30" t="s">
        <v>52</v>
      </c>
      <c r="B79" s="2" t="s">
        <v>138</v>
      </c>
      <c r="C79" s="13">
        <v>-10000</v>
      </c>
      <c r="D79" s="13" t="s">
        <v>52</v>
      </c>
      <c r="E79" s="1">
        <v>0.25</v>
      </c>
      <c r="F79" s="1">
        <v>0.25</v>
      </c>
      <c r="G79" s="7">
        <f t="shared" si="13"/>
        <v>0</v>
      </c>
      <c r="H79" s="7">
        <f t="shared" si="11"/>
        <v>0</v>
      </c>
      <c r="J79" s="7">
        <f t="shared" si="14"/>
        <v>0</v>
      </c>
      <c r="K79" s="7">
        <f t="shared" si="12"/>
        <v>0</v>
      </c>
      <c r="L79" s="3">
        <v>1</v>
      </c>
      <c r="M79" s="80">
        <f t="shared" si="15"/>
        <v>2500</v>
      </c>
      <c r="O79" s="7" t="s">
        <v>52</v>
      </c>
    </row>
    <row r="80" spans="1:15" x14ac:dyDescent="0.25">
      <c r="A80" s="30" t="s">
        <v>52</v>
      </c>
      <c r="B80" s="2" t="s">
        <v>139</v>
      </c>
      <c r="C80" s="13">
        <v>-10000</v>
      </c>
      <c r="D80" s="13" t="s">
        <v>52</v>
      </c>
      <c r="E80" s="1">
        <v>0.25</v>
      </c>
      <c r="F80" s="1">
        <v>0.25</v>
      </c>
      <c r="G80" s="7">
        <f t="shared" si="13"/>
        <v>0</v>
      </c>
      <c r="H80" s="7">
        <f t="shared" si="11"/>
        <v>0</v>
      </c>
      <c r="J80" s="7">
        <f t="shared" si="14"/>
        <v>0</v>
      </c>
      <c r="K80" s="7">
        <f t="shared" si="12"/>
        <v>0</v>
      </c>
      <c r="L80" s="3">
        <v>1</v>
      </c>
      <c r="M80" s="92">
        <f t="shared" si="15"/>
        <v>2500</v>
      </c>
      <c r="O80" s="80" t="s">
        <v>52</v>
      </c>
    </row>
    <row r="81" spans="1:15" ht="13.8" thickBot="1" x14ac:dyDescent="0.3">
      <c r="A81" s="30" t="s">
        <v>52</v>
      </c>
      <c r="B81" s="2" t="s">
        <v>140</v>
      </c>
      <c r="C81" s="13">
        <v>-5000</v>
      </c>
      <c r="D81" s="13" t="s">
        <v>52</v>
      </c>
      <c r="E81" s="1">
        <v>0.25</v>
      </c>
      <c r="F81" s="1">
        <v>0.25</v>
      </c>
      <c r="G81" s="7">
        <f t="shared" si="13"/>
        <v>0</v>
      </c>
      <c r="H81" s="7">
        <f t="shared" si="11"/>
        <v>0</v>
      </c>
      <c r="J81" s="7">
        <f>G81</f>
        <v>0</v>
      </c>
      <c r="K81" s="7">
        <f t="shared" si="12"/>
        <v>0</v>
      </c>
      <c r="L81" s="3">
        <v>1</v>
      </c>
      <c r="M81" s="93">
        <f t="shared" si="15"/>
        <v>1250</v>
      </c>
      <c r="N81" s="80" t="s">
        <v>52</v>
      </c>
      <c r="O81" s="7" t="s">
        <v>52</v>
      </c>
    </row>
    <row r="82" spans="1:15" x14ac:dyDescent="0.25">
      <c r="A82" s="8" t="s">
        <v>52</v>
      </c>
      <c r="C82" s="29" t="s">
        <v>52</v>
      </c>
      <c r="D82" s="13" t="s">
        <v>52</v>
      </c>
      <c r="E82" s="1"/>
      <c r="F82" s="1"/>
      <c r="G82" s="7" t="s">
        <v>52</v>
      </c>
      <c r="H82" s="7" t="s">
        <v>52</v>
      </c>
      <c r="I82" s="1"/>
      <c r="J82" s="7" t="str">
        <f>G82</f>
        <v xml:space="preserve"> </v>
      </c>
      <c r="K82" s="7" t="str">
        <f t="shared" si="12"/>
        <v xml:space="preserve"> </v>
      </c>
      <c r="M82" s="80">
        <f>SUM(M68:M81)</f>
        <v>24250</v>
      </c>
      <c r="N82" s="80">
        <v>1625</v>
      </c>
      <c r="O82" s="80">
        <v>3003047</v>
      </c>
    </row>
    <row r="83" spans="1:15" x14ac:dyDescent="0.25">
      <c r="A83" s="8" t="s">
        <v>57</v>
      </c>
      <c r="B83" s="5" t="s">
        <v>22</v>
      </c>
      <c r="C83" s="13" t="s">
        <v>52</v>
      </c>
      <c r="D83" s="13" t="s">
        <v>52</v>
      </c>
      <c r="E83" s="14"/>
      <c r="F83" s="14"/>
      <c r="G83" s="14" t="s">
        <v>52</v>
      </c>
      <c r="H83" s="7" t="s">
        <v>52</v>
      </c>
      <c r="I83" s="3"/>
      <c r="K83" s="7" t="s">
        <v>52</v>
      </c>
      <c r="M83" s="80" t="s">
        <v>52</v>
      </c>
      <c r="N83" s="80">
        <f>SUM(H67:H81)</f>
        <v>0</v>
      </c>
      <c r="O83" s="80">
        <f>SUM(K67:K81)</f>
        <v>3003047</v>
      </c>
    </row>
    <row r="84" spans="1:15" x14ac:dyDescent="0.25">
      <c r="A84" s="30" t="s">
        <v>52</v>
      </c>
      <c r="B84" s="2" t="s">
        <v>62</v>
      </c>
      <c r="C84" s="13">
        <v>387</v>
      </c>
      <c r="D84" s="13" t="s">
        <v>52</v>
      </c>
      <c r="E84" s="16">
        <v>37.43</v>
      </c>
      <c r="F84" s="16">
        <v>37.43</v>
      </c>
      <c r="G84" s="7">
        <f>C84*(E84-F84)</f>
        <v>0</v>
      </c>
      <c r="H84" s="7">
        <f>C84*(E84-F84)</f>
        <v>0</v>
      </c>
      <c r="I84" s="1"/>
      <c r="J84" s="7">
        <f>C84*E84</f>
        <v>14485.41</v>
      </c>
      <c r="K84" s="7">
        <f>J84</f>
        <v>14485.41</v>
      </c>
      <c r="L84" s="3">
        <v>2</v>
      </c>
      <c r="M84" s="80" t="s">
        <v>52</v>
      </c>
    </row>
    <row r="85" spans="1:15" x14ac:dyDescent="0.25">
      <c r="A85" s="8" t="s">
        <v>52</v>
      </c>
      <c r="B85" s="2" t="s">
        <v>23</v>
      </c>
      <c r="C85" s="13">
        <v>158.47999999999999</v>
      </c>
      <c r="D85" s="13" t="s">
        <v>52</v>
      </c>
      <c r="E85" s="1">
        <v>1</v>
      </c>
      <c r="F85" s="1">
        <v>1</v>
      </c>
      <c r="G85" s="7">
        <f>C85*(E85-F85)</f>
        <v>0</v>
      </c>
      <c r="H85" s="7">
        <f>C85*(E85-F85)</f>
        <v>0</v>
      </c>
      <c r="I85" s="1"/>
      <c r="J85" s="7">
        <f>C85*E85</f>
        <v>158.47999999999999</v>
      </c>
      <c r="K85" s="7">
        <f>J85</f>
        <v>158.47999999999999</v>
      </c>
      <c r="L85" s="3">
        <v>1</v>
      </c>
    </row>
    <row r="86" spans="1:15" x14ac:dyDescent="0.25">
      <c r="A86" s="8" t="s">
        <v>52</v>
      </c>
      <c r="B86" s="5" t="s">
        <v>52</v>
      </c>
      <c r="D86" s="13" t="s">
        <v>52</v>
      </c>
      <c r="E86" s="1" t="s">
        <v>52</v>
      </c>
      <c r="F86" s="1" t="s">
        <v>52</v>
      </c>
      <c r="H86" s="7" t="s">
        <v>52</v>
      </c>
      <c r="I86" s="3"/>
      <c r="K86" s="15"/>
      <c r="O86" s="80" t="s">
        <v>52</v>
      </c>
    </row>
    <row r="87" spans="1:15" x14ac:dyDescent="0.25">
      <c r="A87" s="8" t="s">
        <v>12</v>
      </c>
      <c r="B87" s="5" t="s">
        <v>22</v>
      </c>
      <c r="C87" s="13" t="s">
        <v>52</v>
      </c>
      <c r="D87" s="13" t="s">
        <v>52</v>
      </c>
      <c r="E87" s="3"/>
      <c r="F87" s="3"/>
      <c r="H87" s="7" t="s">
        <v>52</v>
      </c>
      <c r="I87" s="3"/>
    </row>
    <row r="88" spans="1:15" x14ac:dyDescent="0.25">
      <c r="A88" s="8" t="s">
        <v>13</v>
      </c>
      <c r="B88" s="2" t="s">
        <v>26</v>
      </c>
      <c r="C88" s="13">
        <v>234.06399999999999</v>
      </c>
      <c r="D88" s="13" t="s">
        <v>52</v>
      </c>
      <c r="E88" s="1">
        <v>47.08</v>
      </c>
      <c r="F88" s="1">
        <v>47.08</v>
      </c>
      <c r="G88" s="7">
        <f t="shared" ref="G88:G94" si="16">C88*(E88-F88)</f>
        <v>0</v>
      </c>
      <c r="H88" s="7">
        <f t="shared" ref="H88:H94" si="17">C88*(E88-F88)</f>
        <v>0</v>
      </c>
      <c r="I88" s="1"/>
      <c r="J88" s="7">
        <f t="shared" ref="J88:J94" si="18">C88*E88</f>
        <v>11019.733119999999</v>
      </c>
      <c r="K88" s="7">
        <f>J88</f>
        <v>11019.733119999999</v>
      </c>
      <c r="L88" s="3">
        <v>2</v>
      </c>
    </row>
    <row r="89" spans="1:15" x14ac:dyDescent="0.25">
      <c r="A89" s="8"/>
      <c r="B89" s="2" t="s">
        <v>27</v>
      </c>
      <c r="C89" s="13">
        <v>752.12800000000004</v>
      </c>
      <c r="D89" s="13" t="s">
        <v>52</v>
      </c>
      <c r="E89" s="1">
        <v>8.24</v>
      </c>
      <c r="F89" s="1">
        <v>8.24</v>
      </c>
      <c r="G89" s="7">
        <f t="shared" si="16"/>
        <v>0</v>
      </c>
      <c r="H89" s="7">
        <f t="shared" si="17"/>
        <v>0</v>
      </c>
      <c r="I89" s="1"/>
      <c r="J89" s="7">
        <f t="shared" si="18"/>
        <v>6197.5347200000006</v>
      </c>
      <c r="K89" s="7">
        <f t="shared" ref="K89:K105" si="19">J89</f>
        <v>6197.5347200000006</v>
      </c>
      <c r="L89" s="3">
        <v>2</v>
      </c>
    </row>
    <row r="90" spans="1:15" x14ac:dyDescent="0.25">
      <c r="A90" s="8"/>
      <c r="B90" s="2" t="s">
        <v>28</v>
      </c>
      <c r="C90" s="13">
        <v>2674.7959999999998</v>
      </c>
      <c r="D90" s="13" t="s">
        <v>52</v>
      </c>
      <c r="E90" s="1">
        <v>19.420000000000002</v>
      </c>
      <c r="F90" s="1">
        <v>19.420000000000002</v>
      </c>
      <c r="G90" s="7">
        <f t="shared" si="16"/>
        <v>0</v>
      </c>
      <c r="H90" s="7">
        <f t="shared" si="17"/>
        <v>0</v>
      </c>
      <c r="I90" s="1"/>
      <c r="J90" s="7">
        <f t="shared" si="18"/>
        <v>51944.53832</v>
      </c>
      <c r="K90" s="7">
        <f t="shared" si="19"/>
        <v>51944.53832</v>
      </c>
      <c r="L90" s="3">
        <v>2</v>
      </c>
    </row>
    <row r="91" spans="1:15" x14ac:dyDescent="0.25">
      <c r="A91" s="8"/>
      <c r="B91" s="2" t="s">
        <v>29</v>
      </c>
      <c r="C91" s="13">
        <v>1240.306</v>
      </c>
      <c r="D91" s="13" t="s">
        <v>52</v>
      </c>
      <c r="E91" s="1">
        <v>7.77</v>
      </c>
      <c r="F91" s="1">
        <v>7.77</v>
      </c>
      <c r="G91" s="7">
        <f t="shared" si="16"/>
        <v>0</v>
      </c>
      <c r="H91" s="7">
        <f t="shared" si="17"/>
        <v>0</v>
      </c>
      <c r="I91" s="1"/>
      <c r="J91" s="7">
        <f t="shared" si="18"/>
        <v>9637.1776200000004</v>
      </c>
      <c r="K91" s="7">
        <f t="shared" si="19"/>
        <v>9637.1776200000004</v>
      </c>
      <c r="L91" s="3">
        <v>2</v>
      </c>
    </row>
    <row r="92" spans="1:15" x14ac:dyDescent="0.25">
      <c r="A92" s="8"/>
      <c r="B92" s="2" t="s">
        <v>30</v>
      </c>
      <c r="C92" s="13">
        <v>261.04399999999998</v>
      </c>
      <c r="D92" s="13" t="s">
        <v>52</v>
      </c>
      <c r="E92" s="1">
        <v>35.47</v>
      </c>
      <c r="F92" s="1">
        <v>35.47</v>
      </c>
      <c r="G92" s="7">
        <f t="shared" si="16"/>
        <v>0</v>
      </c>
      <c r="H92" s="7">
        <f t="shared" si="17"/>
        <v>0</v>
      </c>
      <c r="I92" s="1"/>
      <c r="J92" s="7">
        <f t="shared" si="18"/>
        <v>9259.2306799999988</v>
      </c>
      <c r="K92" s="7">
        <f t="shared" si="19"/>
        <v>9259.2306799999988</v>
      </c>
      <c r="L92" s="3">
        <v>2</v>
      </c>
    </row>
    <row r="93" spans="1:15" x14ac:dyDescent="0.25">
      <c r="A93" s="8"/>
      <c r="B93" s="2" t="s">
        <v>31</v>
      </c>
      <c r="C93" s="13">
        <v>378.52600000000001</v>
      </c>
      <c r="D93" s="13" t="s">
        <v>52</v>
      </c>
      <c r="E93" s="1">
        <v>25.66</v>
      </c>
      <c r="F93" s="1">
        <v>25.66</v>
      </c>
      <c r="G93" s="7">
        <f t="shared" si="16"/>
        <v>0</v>
      </c>
      <c r="H93" s="7">
        <f t="shared" si="17"/>
        <v>0</v>
      </c>
      <c r="I93" s="1"/>
      <c r="J93" s="7">
        <f t="shared" si="18"/>
        <v>9712.9771600000004</v>
      </c>
      <c r="K93" s="7">
        <f t="shared" si="19"/>
        <v>9712.9771600000004</v>
      </c>
      <c r="L93" s="3">
        <v>2</v>
      </c>
    </row>
    <row r="94" spans="1:15" x14ac:dyDescent="0.25">
      <c r="A94" s="8" t="s">
        <v>52</v>
      </c>
      <c r="B94" s="2" t="s">
        <v>49</v>
      </c>
      <c r="C94" s="13">
        <v>1422.9580000000001</v>
      </c>
      <c r="D94" s="13" t="s">
        <v>52</v>
      </c>
      <c r="E94" s="1">
        <v>10.99</v>
      </c>
      <c r="F94" s="1">
        <v>10.99</v>
      </c>
      <c r="G94" s="7">
        <f t="shared" si="16"/>
        <v>0</v>
      </c>
      <c r="H94" s="7">
        <f t="shared" si="17"/>
        <v>0</v>
      </c>
      <c r="I94" s="1" t="s">
        <v>52</v>
      </c>
      <c r="J94" s="7">
        <f t="shared" si="18"/>
        <v>15638.308420000001</v>
      </c>
      <c r="K94" s="7">
        <f t="shared" si="19"/>
        <v>15638.308420000001</v>
      </c>
      <c r="L94" s="3">
        <v>1</v>
      </c>
    </row>
    <row r="95" spans="1:15" x14ac:dyDescent="0.25">
      <c r="A95" s="8"/>
      <c r="E95" s="2"/>
      <c r="F95" s="2"/>
      <c r="G95" s="15"/>
      <c r="H95" s="7" t="s">
        <v>52</v>
      </c>
      <c r="I95" s="2" t="s">
        <v>52</v>
      </c>
    </row>
    <row r="96" spans="1:15" x14ac:dyDescent="0.25">
      <c r="A96" s="8" t="s">
        <v>14</v>
      </c>
      <c r="B96" s="2" t="s">
        <v>58</v>
      </c>
      <c r="C96" s="13">
        <v>5000</v>
      </c>
      <c r="E96" s="1">
        <v>1</v>
      </c>
      <c r="F96" s="1">
        <v>1</v>
      </c>
      <c r="G96" s="7">
        <f>C96*(E96-F96)</f>
        <v>0</v>
      </c>
      <c r="H96" s="7">
        <f>C96*(E96-F96)</f>
        <v>0</v>
      </c>
      <c r="I96" s="1"/>
      <c r="J96" s="7">
        <f>C96*E96</f>
        <v>5000</v>
      </c>
      <c r="K96" s="7">
        <f t="shared" si="19"/>
        <v>5000</v>
      </c>
      <c r="L96" s="3">
        <v>1</v>
      </c>
    </row>
    <row r="97" spans="1:15" x14ac:dyDescent="0.25">
      <c r="E97" s="2"/>
      <c r="F97" s="2"/>
      <c r="G97" s="15"/>
      <c r="H97" s="7" t="s">
        <v>52</v>
      </c>
      <c r="I97" s="2"/>
    </row>
    <row r="98" spans="1:15" x14ac:dyDescent="0.25">
      <c r="A98" s="8" t="s">
        <v>15</v>
      </c>
      <c r="B98" s="2" t="s">
        <v>34</v>
      </c>
      <c r="C98" s="13">
        <v>3829.12</v>
      </c>
      <c r="E98" s="1">
        <v>1</v>
      </c>
      <c r="F98" s="1">
        <v>1</v>
      </c>
      <c r="G98" s="7">
        <f>C98*(E98-F98)</f>
        <v>0</v>
      </c>
      <c r="H98" s="7">
        <f>C98*(E98-F98)</f>
        <v>0</v>
      </c>
      <c r="I98" s="1"/>
      <c r="J98" s="7">
        <f>C98*E98</f>
        <v>3829.12</v>
      </c>
      <c r="K98" s="7">
        <f t="shared" si="19"/>
        <v>3829.12</v>
      </c>
      <c r="L98" s="3">
        <v>1</v>
      </c>
    </row>
    <row r="99" spans="1:15" x14ac:dyDescent="0.25">
      <c r="A99" s="8"/>
      <c r="B99" s="2" t="s">
        <v>35</v>
      </c>
      <c r="C99" s="13">
        <v>4769.42</v>
      </c>
      <c r="E99" s="1">
        <v>1</v>
      </c>
      <c r="F99" s="1">
        <v>1</v>
      </c>
      <c r="G99" s="7">
        <f>C99*(E99-F99)</f>
        <v>0</v>
      </c>
      <c r="H99" s="7">
        <f>C99*(E99-F99)</f>
        <v>0</v>
      </c>
      <c r="I99" s="1"/>
      <c r="J99" s="7">
        <f>C99*E99</f>
        <v>4769.42</v>
      </c>
      <c r="K99" s="7">
        <f t="shared" si="19"/>
        <v>4769.42</v>
      </c>
      <c r="L99" s="3">
        <v>1</v>
      </c>
    </row>
    <row r="100" spans="1:15" x14ac:dyDescent="0.25">
      <c r="E100" s="2"/>
      <c r="F100" s="2"/>
      <c r="G100" s="15"/>
      <c r="H100" s="7" t="s">
        <v>52</v>
      </c>
      <c r="I100" s="2"/>
      <c r="K100" s="7" t="s">
        <v>52</v>
      </c>
    </row>
    <row r="101" spans="1:15" x14ac:dyDescent="0.25">
      <c r="A101" s="8" t="s">
        <v>16</v>
      </c>
      <c r="B101" s="2" t="s">
        <v>36</v>
      </c>
      <c r="C101" s="13">
        <v>9759</v>
      </c>
      <c r="E101" s="1">
        <v>1</v>
      </c>
      <c r="F101" s="1">
        <v>1</v>
      </c>
      <c r="G101" s="7">
        <f>C101*(E101-F101)</f>
        <v>0</v>
      </c>
      <c r="H101" s="7">
        <f>C101*(E101-F101)</f>
        <v>0</v>
      </c>
      <c r="I101" s="1"/>
      <c r="J101" s="7">
        <f>C101*E101</f>
        <v>9759</v>
      </c>
      <c r="K101" s="7">
        <f t="shared" si="19"/>
        <v>9759</v>
      </c>
      <c r="L101" s="3">
        <v>1</v>
      </c>
      <c r="M101" s="80" t="s">
        <v>87</v>
      </c>
    </row>
    <row r="102" spans="1:15" x14ac:dyDescent="0.25">
      <c r="A102" s="8"/>
      <c r="B102" s="2" t="s">
        <v>38</v>
      </c>
      <c r="C102" s="13">
        <v>3718</v>
      </c>
      <c r="E102" s="1">
        <v>1</v>
      </c>
      <c r="F102" s="1">
        <v>1</v>
      </c>
      <c r="G102" s="7">
        <f>C102*(E102-F102)</f>
        <v>0</v>
      </c>
      <c r="H102" s="7">
        <f>C102*(E102-F102)</f>
        <v>0</v>
      </c>
      <c r="I102" s="1"/>
      <c r="J102" s="7">
        <f>C102*E102</f>
        <v>3718</v>
      </c>
      <c r="K102" s="7">
        <f t="shared" si="19"/>
        <v>3718</v>
      </c>
      <c r="L102" s="3">
        <v>1</v>
      </c>
      <c r="M102" s="80">
        <f>(C9*E9)+(C10*E10)+(C11*E11)+(C12*E12)</f>
        <v>-3792000</v>
      </c>
      <c r="N102" s="26">
        <f>M102/M109</f>
        <v>-0.62348604176928213</v>
      </c>
      <c r="O102" s="5" t="s">
        <v>85</v>
      </c>
    </row>
    <row r="103" spans="1:15" x14ac:dyDescent="0.25">
      <c r="A103" s="8"/>
      <c r="B103" s="2" t="s">
        <v>39</v>
      </c>
      <c r="C103" s="13">
        <v>943</v>
      </c>
      <c r="E103" s="1">
        <v>1</v>
      </c>
      <c r="F103" s="1">
        <v>1</v>
      </c>
      <c r="G103" s="7">
        <f>C103*(E103-F103)</f>
        <v>0</v>
      </c>
      <c r="H103" s="7">
        <f>C103*(E103-F103)</f>
        <v>0</v>
      </c>
      <c r="I103" s="1"/>
      <c r="J103" s="7">
        <f>C103*E103</f>
        <v>943</v>
      </c>
      <c r="K103" s="7">
        <f t="shared" si="19"/>
        <v>943</v>
      </c>
      <c r="L103" s="3">
        <v>1</v>
      </c>
      <c r="M103" s="80">
        <f>SUMIF(L5:L110,2,K5:K110)</f>
        <v>216665.75196072203</v>
      </c>
      <c r="N103" s="26">
        <f>M103/M109</f>
        <v>3.5624491581475647E-2</v>
      </c>
      <c r="O103" s="5" t="s">
        <v>22</v>
      </c>
    </row>
    <row r="104" spans="1:15" x14ac:dyDescent="0.25">
      <c r="A104" s="8"/>
      <c r="B104" s="2" t="s">
        <v>40</v>
      </c>
      <c r="C104" s="13">
        <v>1235</v>
      </c>
      <c r="E104" s="1">
        <v>1</v>
      </c>
      <c r="F104" s="1">
        <v>1</v>
      </c>
      <c r="G104" s="7">
        <f>C104*(E104-F104)</f>
        <v>0</v>
      </c>
      <c r="H104" s="7">
        <f>C104*(E104-F104)</f>
        <v>0</v>
      </c>
      <c r="I104" s="1"/>
      <c r="J104" s="7">
        <f>C104*E104</f>
        <v>1235</v>
      </c>
      <c r="K104" s="7">
        <f t="shared" si="19"/>
        <v>1235</v>
      </c>
      <c r="L104" s="3">
        <v>1</v>
      </c>
      <c r="M104" s="80" t="s">
        <v>60</v>
      </c>
      <c r="N104" s="26"/>
      <c r="O104" s="7" t="s">
        <v>52</v>
      </c>
    </row>
    <row r="105" spans="1:15" x14ac:dyDescent="0.25">
      <c r="A105" s="8"/>
      <c r="B105" s="2" t="s">
        <v>37</v>
      </c>
      <c r="C105" s="13">
        <v>2234.7820000000002</v>
      </c>
      <c r="D105" s="13" t="s">
        <v>52</v>
      </c>
      <c r="E105" s="1">
        <v>1.684671</v>
      </c>
      <c r="F105" s="1">
        <v>1.684671</v>
      </c>
      <c r="G105" s="7">
        <f>C105*(E105-F105)</f>
        <v>0</v>
      </c>
      <c r="H105" s="7">
        <f>C105*(E105-F105)</f>
        <v>0</v>
      </c>
      <c r="I105" s="1"/>
      <c r="J105" s="7">
        <f>C105*E105</f>
        <v>3764.8724267220005</v>
      </c>
      <c r="K105" s="7">
        <f t="shared" si="19"/>
        <v>3764.8724267220005</v>
      </c>
      <c r="L105" s="3">
        <v>2</v>
      </c>
      <c r="M105" s="80">
        <f>SUMIF(L5:L110,1,K5:K110)</f>
        <v>6450266.7147860005</v>
      </c>
      <c r="N105" s="26">
        <f>M105/M109</f>
        <v>1.0605620417610957</v>
      </c>
    </row>
    <row r="106" spans="1:15" x14ac:dyDescent="0.25">
      <c r="A106" s="8"/>
      <c r="E106" s="1"/>
      <c r="F106" s="1"/>
      <c r="I106" s="1"/>
      <c r="M106" s="80" t="s">
        <v>162</v>
      </c>
      <c r="N106" s="26"/>
    </row>
    <row r="107" spans="1:15" x14ac:dyDescent="0.25">
      <c r="A107" s="8" t="s">
        <v>88</v>
      </c>
      <c r="B107" s="2" t="s">
        <v>153</v>
      </c>
      <c r="C107" s="13">
        <v>-215000</v>
      </c>
      <c r="D107" s="13" t="s">
        <v>52</v>
      </c>
      <c r="E107" s="27" t="s">
        <v>52</v>
      </c>
      <c r="F107" s="27" t="s">
        <v>52</v>
      </c>
      <c r="G107" s="27" t="s">
        <v>52</v>
      </c>
      <c r="H107" s="27" t="s">
        <v>52</v>
      </c>
      <c r="J107" s="7">
        <f>+C107</f>
        <v>-215000</v>
      </c>
      <c r="K107" s="7">
        <f>J107</f>
        <v>-215000</v>
      </c>
      <c r="L107" s="3">
        <v>0</v>
      </c>
      <c r="M107" s="80">
        <f>SUM(K107:K109)</f>
        <v>-585000</v>
      </c>
      <c r="N107" s="26">
        <f>+M107/M109</f>
        <v>-9.6186533342571212E-2</v>
      </c>
    </row>
    <row r="108" spans="1:15" x14ac:dyDescent="0.25">
      <c r="A108" s="8" t="s">
        <v>52</v>
      </c>
      <c r="B108" s="2" t="s">
        <v>159</v>
      </c>
      <c r="C108" s="13">
        <v>-135000</v>
      </c>
      <c r="D108" s="13" t="s">
        <v>52</v>
      </c>
      <c r="E108" s="27" t="s">
        <v>52</v>
      </c>
      <c r="F108" s="27" t="s">
        <v>52</v>
      </c>
      <c r="G108" s="27" t="s">
        <v>52</v>
      </c>
      <c r="H108" s="27" t="s">
        <v>52</v>
      </c>
      <c r="J108" s="7">
        <f>+C108</f>
        <v>-135000</v>
      </c>
      <c r="K108" s="7">
        <f>J108</f>
        <v>-135000</v>
      </c>
      <c r="L108" s="3">
        <v>0</v>
      </c>
      <c r="M108" s="80" t="s">
        <v>91</v>
      </c>
      <c r="N108" s="26"/>
    </row>
    <row r="109" spans="1:15" x14ac:dyDescent="0.25">
      <c r="A109" s="8" t="s">
        <v>52</v>
      </c>
      <c r="B109" s="2" t="s">
        <v>160</v>
      </c>
      <c r="C109" s="13">
        <v>-235000</v>
      </c>
      <c r="D109" s="13" t="s">
        <v>52</v>
      </c>
      <c r="E109" s="27" t="s">
        <v>52</v>
      </c>
      <c r="F109" s="27" t="s">
        <v>52</v>
      </c>
      <c r="G109" s="27" t="s">
        <v>52</v>
      </c>
      <c r="H109" s="27" t="s">
        <v>52</v>
      </c>
      <c r="J109" s="7">
        <f>+C109</f>
        <v>-235000</v>
      </c>
      <c r="K109" s="7">
        <f>J109</f>
        <v>-235000</v>
      </c>
      <c r="L109" s="3">
        <v>0</v>
      </c>
      <c r="M109" s="80">
        <f>K112</f>
        <v>6081932.4667467223</v>
      </c>
      <c r="N109" s="26">
        <f>+M109/K112</f>
        <v>1</v>
      </c>
    </row>
    <row r="110" spans="1:15" ht="13.8" thickBot="1" x14ac:dyDescent="0.3">
      <c r="A110" s="8" t="s">
        <v>52</v>
      </c>
      <c r="B110" s="63" t="s">
        <v>52</v>
      </c>
      <c r="C110" s="24"/>
      <c r="D110" s="24" t="s">
        <v>52</v>
      </c>
      <c r="E110" s="18"/>
      <c r="F110" s="18"/>
      <c r="G110" s="19"/>
      <c r="H110" s="19"/>
      <c r="I110" s="18"/>
      <c r="J110" s="19"/>
      <c r="K110" s="19" t="s">
        <v>52</v>
      </c>
      <c r="L110" s="65"/>
      <c r="M110" s="93" t="s">
        <v>52</v>
      </c>
      <c r="N110" s="93"/>
    </row>
    <row r="111" spans="1:15" x14ac:dyDescent="0.25">
      <c r="A111" s="8"/>
      <c r="M111" s="80" t="s">
        <v>56</v>
      </c>
    </row>
    <row r="112" spans="1:15" x14ac:dyDescent="0.25">
      <c r="A112" s="8" t="s">
        <v>17</v>
      </c>
      <c r="C112" s="13">
        <f>SUM(C52:C64)+C31+C37+C44+C47+C48+C49</f>
        <v>21396.045400000003</v>
      </c>
      <c r="D112" s="13">
        <f>SUM(D5:D109)</f>
        <v>6494.0454</v>
      </c>
      <c r="G112" s="7">
        <f>SUM(G5:G110)</f>
        <v>0</v>
      </c>
      <c r="H112" s="7">
        <f>SUM(H5:H110)</f>
        <v>0</v>
      </c>
      <c r="J112" s="7">
        <f>SUM(J5:J110)</f>
        <v>6486253.6784407226</v>
      </c>
      <c r="K112" s="7">
        <f>SUM(K5:K110)</f>
        <v>6081932.4667467223</v>
      </c>
      <c r="M112" s="92">
        <f>SUM(K47:K64)+K31+K37</f>
        <v>67075.437914000009</v>
      </c>
      <c r="N112" s="94">
        <f>M112/K112</f>
        <v>1.1028639051935943E-2</v>
      </c>
    </row>
    <row r="113" spans="1:14" ht="13.8" thickBot="1" x14ac:dyDescent="0.3">
      <c r="A113" s="8"/>
      <c r="B113" s="17"/>
      <c r="C113" s="24"/>
      <c r="D113" s="24"/>
      <c r="E113" s="18"/>
      <c r="F113" s="18"/>
      <c r="G113" s="19"/>
      <c r="H113" s="19"/>
      <c r="I113" s="18"/>
      <c r="J113" s="19"/>
      <c r="K113" s="19"/>
      <c r="L113" s="65"/>
      <c r="M113" s="93"/>
      <c r="N113" s="93"/>
    </row>
    <row r="114" spans="1:14" x14ac:dyDescent="0.25">
      <c r="A114" s="8"/>
    </row>
    <row r="115" spans="1:14" x14ac:dyDescent="0.25">
      <c r="A115" s="8" t="s">
        <v>18</v>
      </c>
      <c r="B115" s="5" t="s">
        <v>22</v>
      </c>
      <c r="C115" s="13" t="s">
        <v>52</v>
      </c>
      <c r="M115" s="80" t="s">
        <v>52</v>
      </c>
    </row>
    <row r="116" spans="1:14" x14ac:dyDescent="0.25">
      <c r="A116" s="8" t="s">
        <v>19</v>
      </c>
      <c r="B116" s="2" t="s">
        <v>32</v>
      </c>
      <c r="C116" s="13">
        <v>1228.5820000000001</v>
      </c>
      <c r="D116" s="13" t="s">
        <v>52</v>
      </c>
      <c r="E116" s="1">
        <v>18.079999999999998</v>
      </c>
      <c r="F116" s="1">
        <v>18.079999999999998</v>
      </c>
      <c r="G116" s="7">
        <f>C116*(E116-F116)</f>
        <v>0</v>
      </c>
      <c r="H116" s="7">
        <f>C116*(E116-F116)</f>
        <v>0</v>
      </c>
      <c r="I116" s="1"/>
      <c r="J116" s="7">
        <f>C116*E116</f>
        <v>22212.762559999999</v>
      </c>
      <c r="K116" s="7">
        <f>J116</f>
        <v>22212.762559999999</v>
      </c>
      <c r="L116" s="3">
        <v>2</v>
      </c>
    </row>
    <row r="117" spans="1:14" x14ac:dyDescent="0.25">
      <c r="A117" s="8" t="s">
        <v>52</v>
      </c>
      <c r="B117" s="2" t="s">
        <v>61</v>
      </c>
      <c r="C117" s="13">
        <v>387</v>
      </c>
      <c r="D117" s="13" t="s">
        <v>52</v>
      </c>
      <c r="E117" s="1">
        <f>+E84</f>
        <v>37.43</v>
      </c>
      <c r="F117" s="1">
        <f>+F84</f>
        <v>37.43</v>
      </c>
      <c r="G117" s="7">
        <f>C117*(E117-F117)</f>
        <v>0</v>
      </c>
      <c r="H117" s="7">
        <f>C117*(E117-F117)</f>
        <v>0</v>
      </c>
      <c r="I117" s="1"/>
      <c r="J117" s="7">
        <f>C117*E117</f>
        <v>14485.41</v>
      </c>
      <c r="K117" s="7">
        <f>J117</f>
        <v>14485.41</v>
      </c>
      <c r="L117" s="3">
        <v>2</v>
      </c>
    </row>
    <row r="118" spans="1:14" x14ac:dyDescent="0.25">
      <c r="A118" s="8" t="s">
        <v>52</v>
      </c>
      <c r="B118" s="2" t="s">
        <v>23</v>
      </c>
      <c r="C118" s="13">
        <v>158.47999999999999</v>
      </c>
      <c r="D118" s="13" t="s">
        <v>52</v>
      </c>
      <c r="E118" s="1">
        <v>1</v>
      </c>
      <c r="F118" s="1">
        <v>1</v>
      </c>
      <c r="G118" s="7">
        <f>C118*(E118-F118)</f>
        <v>0</v>
      </c>
      <c r="H118" s="7">
        <f>C118*(E118-F118)</f>
        <v>0</v>
      </c>
      <c r="I118" s="1"/>
      <c r="J118" s="7">
        <f>C118*E118</f>
        <v>158.47999999999999</v>
      </c>
      <c r="K118" s="7">
        <f>J118</f>
        <v>158.47999999999999</v>
      </c>
      <c r="L118" s="3">
        <v>1</v>
      </c>
    </row>
    <row r="119" spans="1:14" x14ac:dyDescent="0.25">
      <c r="A119" s="8"/>
      <c r="E119" s="3"/>
      <c r="F119" s="3"/>
      <c r="H119" s="7" t="s">
        <v>52</v>
      </c>
      <c r="I119" s="3"/>
    </row>
    <row r="120" spans="1:14" x14ac:dyDescent="0.25">
      <c r="A120" s="8" t="s">
        <v>18</v>
      </c>
      <c r="B120" s="5" t="s">
        <v>22</v>
      </c>
      <c r="C120" s="13" t="s">
        <v>52</v>
      </c>
      <c r="E120" s="3"/>
      <c r="F120" s="3"/>
      <c r="H120" s="7" t="s">
        <v>52</v>
      </c>
      <c r="I120" s="3"/>
    </row>
    <row r="121" spans="1:14" x14ac:dyDescent="0.25">
      <c r="A121" s="8" t="s">
        <v>20</v>
      </c>
      <c r="B121" s="2" t="s">
        <v>33</v>
      </c>
      <c r="C121" s="13">
        <v>2013.38</v>
      </c>
      <c r="D121" s="13" t="s">
        <v>52</v>
      </c>
      <c r="E121" s="1">
        <v>10.8</v>
      </c>
      <c r="F121" s="1">
        <v>10.8</v>
      </c>
      <c r="G121" s="7">
        <f>C121*(E121-F121)</f>
        <v>0</v>
      </c>
      <c r="H121" s="7">
        <f>C121*(E121-F121)</f>
        <v>0</v>
      </c>
      <c r="I121" s="1"/>
      <c r="J121" s="7">
        <f>C121*E121</f>
        <v>21744.504000000001</v>
      </c>
      <c r="K121" s="7">
        <f>J121</f>
        <v>21744.504000000001</v>
      </c>
      <c r="L121" s="3">
        <v>2</v>
      </c>
    </row>
    <row r="122" spans="1:14" x14ac:dyDescent="0.25">
      <c r="A122" s="8" t="s">
        <v>52</v>
      </c>
      <c r="B122" s="2" t="s">
        <v>61</v>
      </c>
      <c r="C122" s="13">
        <v>387</v>
      </c>
      <c r="D122" s="13" t="s">
        <v>52</v>
      </c>
      <c r="E122" s="1">
        <f>+E84</f>
        <v>37.43</v>
      </c>
      <c r="F122" s="1">
        <f>+F84</f>
        <v>37.43</v>
      </c>
      <c r="G122" s="7">
        <f>C122*(E122-F122)</f>
        <v>0</v>
      </c>
      <c r="H122" s="7">
        <f>C122*(E122-F122)</f>
        <v>0</v>
      </c>
      <c r="I122" s="1"/>
      <c r="J122" s="7">
        <f>C122*E122</f>
        <v>14485.41</v>
      </c>
      <c r="K122" s="7">
        <f>J122</f>
        <v>14485.41</v>
      </c>
      <c r="L122" s="3">
        <v>2</v>
      </c>
    </row>
    <row r="123" spans="1:14" x14ac:dyDescent="0.25">
      <c r="A123" s="8" t="s">
        <v>52</v>
      </c>
      <c r="B123" s="2" t="s">
        <v>23</v>
      </c>
      <c r="C123" s="13">
        <v>158.47999999999999</v>
      </c>
      <c r="D123" s="13" t="s">
        <v>52</v>
      </c>
      <c r="E123" s="1">
        <v>1</v>
      </c>
      <c r="F123" s="1">
        <v>1</v>
      </c>
      <c r="G123" s="7">
        <f>C123*(E123-F123)</f>
        <v>0</v>
      </c>
      <c r="H123" s="7">
        <f>C123*(E123-F123)</f>
        <v>0</v>
      </c>
      <c r="I123" s="1"/>
      <c r="J123" s="7">
        <f>C123*E123</f>
        <v>158.47999999999999</v>
      </c>
      <c r="K123" s="7">
        <f>J123</f>
        <v>158.47999999999999</v>
      </c>
      <c r="L123" s="3">
        <v>1</v>
      </c>
      <c r="M123" s="80" t="s">
        <v>52</v>
      </c>
    </row>
    <row r="124" spans="1:14" x14ac:dyDescent="0.25">
      <c r="A124" s="8"/>
      <c r="E124" s="1"/>
      <c r="F124" s="1"/>
      <c r="H124" s="7" t="s">
        <v>52</v>
      </c>
      <c r="I124" s="1"/>
    </row>
    <row r="125" spans="1:14" x14ac:dyDescent="0.25">
      <c r="A125" s="8" t="s">
        <v>63</v>
      </c>
      <c r="B125" s="2" t="s">
        <v>61</v>
      </c>
      <c r="C125" s="13">
        <v>387</v>
      </c>
      <c r="D125" s="13" t="s">
        <v>52</v>
      </c>
      <c r="E125" s="1">
        <f>+E84</f>
        <v>37.43</v>
      </c>
      <c r="F125" s="1">
        <f>+F84</f>
        <v>37.43</v>
      </c>
      <c r="G125" s="7">
        <f>C125*(E125-F125)</f>
        <v>0</v>
      </c>
      <c r="H125" s="7">
        <f>C125*(E125-F125)</f>
        <v>0</v>
      </c>
      <c r="I125" s="1"/>
      <c r="J125" s="7">
        <f>C125*E125</f>
        <v>14485.41</v>
      </c>
      <c r="K125" s="7">
        <f>J125</f>
        <v>14485.41</v>
      </c>
      <c r="L125" s="3">
        <v>2</v>
      </c>
    </row>
    <row r="126" spans="1:14" x14ac:dyDescent="0.25">
      <c r="A126" s="8" t="s">
        <v>52</v>
      </c>
      <c r="B126" s="2" t="s">
        <v>23</v>
      </c>
      <c r="C126" s="13">
        <v>158.47999999999999</v>
      </c>
      <c r="D126" s="13" t="s">
        <v>52</v>
      </c>
      <c r="E126" s="1">
        <v>1</v>
      </c>
      <c r="F126" s="1">
        <v>1</v>
      </c>
      <c r="G126" s="7">
        <f>C126*(E126-F126)</f>
        <v>0</v>
      </c>
      <c r="H126" s="7">
        <f>C126*(E126-F126)</f>
        <v>0</v>
      </c>
      <c r="I126" s="1"/>
      <c r="J126" s="7">
        <f>C126*E126</f>
        <v>158.47999999999999</v>
      </c>
      <c r="K126" s="7">
        <f>J126</f>
        <v>158.47999999999999</v>
      </c>
      <c r="L126" s="3">
        <v>1</v>
      </c>
    </row>
    <row r="127" spans="1:14" x14ac:dyDescent="0.25">
      <c r="A127" s="8"/>
      <c r="C127" s="13" t="s">
        <v>52</v>
      </c>
      <c r="E127" s="4"/>
      <c r="F127" s="4"/>
      <c r="H127" s="7" t="s">
        <v>52</v>
      </c>
      <c r="I127" s="1"/>
    </row>
    <row r="128" spans="1:14" x14ac:dyDescent="0.25">
      <c r="A128" s="8" t="s">
        <v>64</v>
      </c>
      <c r="B128" s="5" t="s">
        <v>22</v>
      </c>
      <c r="D128" s="13" t="s">
        <v>52</v>
      </c>
      <c r="E128" s="14"/>
      <c r="F128" s="14"/>
      <c r="H128" s="7" t="s">
        <v>52</v>
      </c>
      <c r="I128" s="3"/>
      <c r="K128" s="7" t="s">
        <v>52</v>
      </c>
    </row>
    <row r="129" spans="1:16" x14ac:dyDescent="0.25">
      <c r="A129" s="8" t="s">
        <v>79</v>
      </c>
      <c r="B129" s="2" t="s">
        <v>90</v>
      </c>
      <c r="C129" s="13">
        <v>288</v>
      </c>
      <c r="D129" s="13">
        <v>0</v>
      </c>
      <c r="E129" s="1">
        <f>E$31</f>
        <v>13.81</v>
      </c>
      <c r="F129" s="1">
        <f>F$31</f>
        <v>13.81</v>
      </c>
      <c r="G129" s="7">
        <f>C129*(E129-F129)</f>
        <v>0</v>
      </c>
      <c r="H129" s="7">
        <f>C129*(E129-F129)*0.5895</f>
        <v>0</v>
      </c>
      <c r="I129" s="1"/>
      <c r="J129" s="7">
        <f>C129*E129</f>
        <v>3977.28</v>
      </c>
      <c r="K129" s="7">
        <f>J129*0.5995</f>
        <v>2384.3793600000004</v>
      </c>
      <c r="L129" s="3">
        <v>2</v>
      </c>
      <c r="M129" s="80">
        <f>SUM(K112:K129)+K138</f>
        <v>6172205.7826667232</v>
      </c>
      <c r="O129" s="7" t="s">
        <v>52</v>
      </c>
    </row>
    <row r="130" spans="1:16" x14ac:dyDescent="0.25">
      <c r="A130" s="8"/>
      <c r="E130" s="1" t="s">
        <v>52</v>
      </c>
      <c r="F130" s="1" t="s">
        <v>52</v>
      </c>
      <c r="H130" s="7" t="s">
        <v>52</v>
      </c>
      <c r="I130" s="1"/>
      <c r="K130" s="7" t="s">
        <v>52</v>
      </c>
    </row>
    <row r="131" spans="1:16" x14ac:dyDescent="0.25">
      <c r="A131" s="8" t="s">
        <v>21</v>
      </c>
      <c r="B131" s="5" t="s">
        <v>22</v>
      </c>
      <c r="C131" s="13" t="s">
        <v>52</v>
      </c>
      <c r="E131" s="1" t="s">
        <v>52</v>
      </c>
      <c r="F131" s="1" t="s">
        <v>52</v>
      </c>
      <c r="H131" s="7" t="s">
        <v>52</v>
      </c>
      <c r="I131" s="3"/>
      <c r="K131" s="7" t="s">
        <v>52</v>
      </c>
      <c r="M131" s="95" t="s">
        <v>52</v>
      </c>
    </row>
    <row r="132" spans="1:16" x14ac:dyDescent="0.25">
      <c r="A132" s="8" t="s">
        <v>11</v>
      </c>
      <c r="B132" s="2" t="s">
        <v>95</v>
      </c>
      <c r="C132" s="13">
        <v>3331</v>
      </c>
      <c r="D132" s="13">
        <v>0</v>
      </c>
      <c r="E132" s="1">
        <f t="shared" ref="E132:F135" si="20">E$31</f>
        <v>13.81</v>
      </c>
      <c r="F132" s="1">
        <f t="shared" si="20"/>
        <v>13.81</v>
      </c>
      <c r="G132" s="7">
        <v>0</v>
      </c>
      <c r="H132" s="7">
        <v>0</v>
      </c>
      <c r="I132" s="1"/>
      <c r="J132" s="7">
        <v>0</v>
      </c>
      <c r="K132" s="7">
        <v>0</v>
      </c>
      <c r="L132" s="3">
        <v>2</v>
      </c>
      <c r="M132" s="80" t="s">
        <v>52</v>
      </c>
    </row>
    <row r="133" spans="1:16" x14ac:dyDescent="0.25">
      <c r="A133" s="8" t="s">
        <v>52</v>
      </c>
      <c r="B133" s="2" t="s">
        <v>145</v>
      </c>
      <c r="C133" s="13">
        <v>668</v>
      </c>
      <c r="D133" s="13">
        <v>0</v>
      </c>
      <c r="E133" s="1">
        <f t="shared" si="20"/>
        <v>13.81</v>
      </c>
      <c r="F133" s="1">
        <f t="shared" si="20"/>
        <v>13.81</v>
      </c>
      <c r="G133" s="7">
        <v>0</v>
      </c>
      <c r="H133" s="7">
        <v>0</v>
      </c>
      <c r="I133" s="1"/>
      <c r="J133" s="7">
        <v>0</v>
      </c>
      <c r="K133" s="7">
        <v>0</v>
      </c>
      <c r="L133" s="3">
        <v>2</v>
      </c>
      <c r="M133" s="80" t="s">
        <v>52</v>
      </c>
    </row>
    <row r="134" spans="1:16" x14ac:dyDescent="0.25">
      <c r="A134" s="8" t="s">
        <v>52</v>
      </c>
      <c r="B134" s="2" t="s">
        <v>147</v>
      </c>
      <c r="C134" s="13">
        <v>786</v>
      </c>
      <c r="D134" s="13">
        <v>0</v>
      </c>
      <c r="E134" s="1">
        <f t="shared" si="20"/>
        <v>13.81</v>
      </c>
      <c r="F134" s="1">
        <f t="shared" si="20"/>
        <v>13.81</v>
      </c>
      <c r="G134" s="7">
        <v>0</v>
      </c>
      <c r="H134" s="7">
        <v>0</v>
      </c>
      <c r="I134" s="1"/>
      <c r="J134" s="7">
        <v>0</v>
      </c>
      <c r="K134" s="7">
        <v>0</v>
      </c>
      <c r="L134" s="3">
        <v>2</v>
      </c>
      <c r="M134" s="80" t="s">
        <v>52</v>
      </c>
    </row>
    <row r="135" spans="1:16" x14ac:dyDescent="0.25">
      <c r="A135" s="8" t="s">
        <v>52</v>
      </c>
      <c r="B135" s="2" t="s">
        <v>154</v>
      </c>
      <c r="C135" s="13">
        <v>863</v>
      </c>
      <c r="D135" s="13">
        <v>0</v>
      </c>
      <c r="E135" s="1">
        <f t="shared" si="20"/>
        <v>13.81</v>
      </c>
      <c r="F135" s="1">
        <f t="shared" si="20"/>
        <v>13.81</v>
      </c>
      <c r="G135" s="7">
        <v>0</v>
      </c>
      <c r="H135" s="7">
        <v>0</v>
      </c>
      <c r="I135" s="1"/>
      <c r="J135" s="7">
        <v>0</v>
      </c>
      <c r="K135" s="7">
        <v>0</v>
      </c>
      <c r="L135" s="3">
        <v>2</v>
      </c>
      <c r="M135" s="80" t="s">
        <v>87</v>
      </c>
    </row>
    <row r="136" spans="1:16" x14ac:dyDescent="0.25">
      <c r="A136" s="8"/>
      <c r="C136" s="13" t="s">
        <v>52</v>
      </c>
      <c r="E136" s="1" t="s">
        <v>52</v>
      </c>
      <c r="F136" s="1" t="s">
        <v>52</v>
      </c>
      <c r="I136" s="1"/>
      <c r="K136" s="7" t="s">
        <v>52</v>
      </c>
      <c r="M136" s="80">
        <f>M102</f>
        <v>-3792000</v>
      </c>
      <c r="N136" s="26">
        <f>M136/M143</f>
        <v>-0.61436707289458736</v>
      </c>
      <c r="O136" s="5" t="s">
        <v>85</v>
      </c>
    </row>
    <row r="137" spans="1:16" x14ac:dyDescent="0.25">
      <c r="A137" s="8" t="s">
        <v>59</v>
      </c>
      <c r="B137" s="5" t="s">
        <v>22</v>
      </c>
      <c r="C137" s="13" t="s">
        <v>52</v>
      </c>
      <c r="D137" s="13" t="s">
        <v>52</v>
      </c>
      <c r="E137" s="1" t="s">
        <v>52</v>
      </c>
      <c r="F137" s="1" t="s">
        <v>52</v>
      </c>
      <c r="G137" s="15"/>
      <c r="H137" s="15"/>
      <c r="I137" s="2"/>
      <c r="K137" s="7" t="s">
        <v>52</v>
      </c>
      <c r="M137" s="80">
        <f>SUMIF(L116:L147,2,K116:K147)+M103</f>
        <v>306463.62788072205</v>
      </c>
      <c r="N137" s="26">
        <f>M137/M143</f>
        <v>4.9652205171343687E-2</v>
      </c>
      <c r="O137" s="5" t="s">
        <v>22</v>
      </c>
    </row>
    <row r="138" spans="1:16" x14ac:dyDescent="0.25">
      <c r="A138" s="8" t="s">
        <v>9</v>
      </c>
      <c r="B138" s="2" t="s">
        <v>122</v>
      </c>
      <c r="C138" s="13">
        <v>15280</v>
      </c>
      <c r="D138" s="13">
        <v>15280</v>
      </c>
      <c r="E138" s="1">
        <f t="shared" ref="E138:F146" si="21">E$31</f>
        <v>13.81</v>
      </c>
      <c r="F138" s="1">
        <f t="shared" si="21"/>
        <v>13.81</v>
      </c>
      <c r="G138" s="7">
        <f t="shared" ref="G138:G146" si="22">IF(E138&gt;I138,(E138-F138)*C138,0)</f>
        <v>0</v>
      </c>
      <c r="H138" s="7">
        <f t="shared" ref="H138:H146" si="23">IF(E138&gt;I138,(E138-F138)*C138*0.5895,0)</f>
        <v>0</v>
      </c>
      <c r="I138" s="1">
        <v>18.375</v>
      </c>
      <c r="J138" s="7">
        <f t="shared" ref="J138:J146" si="24">IF(C138*(E138-I138)&gt;0,C138*(E138-I138),0)</f>
        <v>0</v>
      </c>
      <c r="K138" s="7">
        <f>J138*0.5995</f>
        <v>0</v>
      </c>
      <c r="L138" s="3">
        <v>2</v>
      </c>
      <c r="M138" s="80" t="s">
        <v>60</v>
      </c>
      <c r="N138" s="26"/>
      <c r="O138" s="7" t="s">
        <v>52</v>
      </c>
      <c r="P138" s="15" t="s">
        <v>52</v>
      </c>
    </row>
    <row r="139" spans="1:16" x14ac:dyDescent="0.25">
      <c r="A139" s="8" t="s">
        <v>52</v>
      </c>
      <c r="B139" s="2" t="s">
        <v>123</v>
      </c>
      <c r="C139" s="13">
        <v>5130</v>
      </c>
      <c r="D139" s="13">
        <v>0</v>
      </c>
      <c r="E139" s="1">
        <f t="shared" si="21"/>
        <v>13.81</v>
      </c>
      <c r="F139" s="1">
        <f t="shared" si="21"/>
        <v>13.81</v>
      </c>
      <c r="G139" s="7">
        <f t="shared" si="22"/>
        <v>0</v>
      </c>
      <c r="H139" s="7">
        <f t="shared" si="23"/>
        <v>0</v>
      </c>
      <c r="I139" s="1">
        <v>55.5</v>
      </c>
      <c r="J139" s="7">
        <f t="shared" si="24"/>
        <v>0</v>
      </c>
      <c r="K139" s="7">
        <f t="shared" ref="K139:K146" si="25">J139*0.5895</f>
        <v>0</v>
      </c>
      <c r="L139" s="3">
        <v>2</v>
      </c>
      <c r="M139" s="80">
        <f>SUMIF(L116:L147,1,K116:K147)+M105</f>
        <v>6450742.154786001</v>
      </c>
      <c r="N139" s="26">
        <f>M139/M143</f>
        <v>1.0451275252198309</v>
      </c>
      <c r="O139" s="7" t="s">
        <v>52</v>
      </c>
      <c r="P139" s="15" t="s">
        <v>52</v>
      </c>
    </row>
    <row r="140" spans="1:16" x14ac:dyDescent="0.25">
      <c r="A140" s="8"/>
      <c r="B140" s="2" t="s">
        <v>124</v>
      </c>
      <c r="C140" s="13">
        <v>25</v>
      </c>
      <c r="D140" s="13">
        <v>0</v>
      </c>
      <c r="E140" s="1">
        <f t="shared" si="21"/>
        <v>13.81</v>
      </c>
      <c r="F140" s="1">
        <f t="shared" si="21"/>
        <v>13.81</v>
      </c>
      <c r="G140" s="7">
        <f t="shared" si="22"/>
        <v>0</v>
      </c>
      <c r="H140" s="7">
        <f t="shared" si="23"/>
        <v>0</v>
      </c>
      <c r="I140" s="1">
        <v>55.5</v>
      </c>
      <c r="J140" s="7">
        <f t="shared" si="24"/>
        <v>0</v>
      </c>
      <c r="K140" s="7">
        <f t="shared" si="25"/>
        <v>0</v>
      </c>
      <c r="L140" s="3">
        <v>2</v>
      </c>
      <c r="M140" s="80" t="s">
        <v>162</v>
      </c>
      <c r="N140" s="26"/>
      <c r="P140" s="2" t="s">
        <v>52</v>
      </c>
    </row>
    <row r="141" spans="1:16" x14ac:dyDescent="0.25">
      <c r="A141" s="8"/>
      <c r="B141" s="2" t="s">
        <v>125</v>
      </c>
      <c r="C141" s="13">
        <v>7608</v>
      </c>
      <c r="D141" s="13">
        <v>0</v>
      </c>
      <c r="E141" s="1">
        <f t="shared" si="21"/>
        <v>13.81</v>
      </c>
      <c r="F141" s="1">
        <f t="shared" si="21"/>
        <v>13.81</v>
      </c>
      <c r="G141" s="7">
        <f t="shared" si="22"/>
        <v>0</v>
      </c>
      <c r="H141" s="7">
        <f t="shared" si="23"/>
        <v>0</v>
      </c>
      <c r="I141" s="1">
        <v>75.0625</v>
      </c>
      <c r="J141" s="7">
        <f t="shared" si="24"/>
        <v>0</v>
      </c>
      <c r="K141" s="7">
        <f t="shared" si="25"/>
        <v>0</v>
      </c>
      <c r="L141" s="3">
        <v>2</v>
      </c>
      <c r="M141" s="80">
        <f>+M107</f>
        <v>-585000</v>
      </c>
      <c r="N141" s="26">
        <f>+M141/M143</f>
        <v>-9.4779730391174474E-2</v>
      </c>
      <c r="P141" s="15" t="s">
        <v>52</v>
      </c>
    </row>
    <row r="142" spans="1:16" x14ac:dyDescent="0.25">
      <c r="A142" s="8"/>
      <c r="B142" s="2" t="s">
        <v>126</v>
      </c>
      <c r="C142" s="13">
        <v>2540</v>
      </c>
      <c r="D142" s="13">
        <v>0</v>
      </c>
      <c r="E142" s="1">
        <f t="shared" si="21"/>
        <v>13.81</v>
      </c>
      <c r="F142" s="1">
        <f t="shared" si="21"/>
        <v>13.81</v>
      </c>
      <c r="G142" s="7">
        <f t="shared" si="22"/>
        <v>0</v>
      </c>
      <c r="H142" s="7">
        <f t="shared" si="23"/>
        <v>0</v>
      </c>
      <c r="I142" s="1">
        <v>76</v>
      </c>
      <c r="J142" s="7">
        <f t="shared" si="24"/>
        <v>0</v>
      </c>
      <c r="K142" s="7">
        <f t="shared" si="25"/>
        <v>0</v>
      </c>
      <c r="L142" s="3">
        <v>2</v>
      </c>
      <c r="M142" s="80" t="s">
        <v>91</v>
      </c>
      <c r="N142" s="26"/>
    </row>
    <row r="143" spans="1:16" x14ac:dyDescent="0.25">
      <c r="A143" s="8"/>
      <c r="B143" s="2" t="s">
        <v>142</v>
      </c>
      <c r="C143" s="13">
        <v>1524</v>
      </c>
      <c r="D143" s="13">
        <v>0</v>
      </c>
      <c r="E143" s="1">
        <f t="shared" si="21"/>
        <v>13.81</v>
      </c>
      <c r="F143" s="1">
        <f t="shared" si="21"/>
        <v>13.81</v>
      </c>
      <c r="G143" s="7">
        <f t="shared" si="22"/>
        <v>0</v>
      </c>
      <c r="H143" s="7">
        <f t="shared" si="23"/>
        <v>0</v>
      </c>
      <c r="I143" s="1">
        <v>83.125</v>
      </c>
      <c r="J143" s="7">
        <f t="shared" si="24"/>
        <v>0</v>
      </c>
      <c r="K143" s="7">
        <f t="shared" si="25"/>
        <v>0</v>
      </c>
      <c r="L143" s="3">
        <v>2</v>
      </c>
      <c r="M143" s="80">
        <f>SUM(K116:K138)+K112</f>
        <v>6172205.7826667223</v>
      </c>
      <c r="N143" s="26">
        <f>+M143/K149</f>
        <v>0.99999999999999989</v>
      </c>
    </row>
    <row r="144" spans="1:16" x14ac:dyDescent="0.25">
      <c r="A144" s="8"/>
      <c r="B144" s="2" t="s">
        <v>143</v>
      </c>
      <c r="C144" s="13">
        <v>1968</v>
      </c>
      <c r="D144" s="13">
        <v>0</v>
      </c>
      <c r="E144" s="1">
        <f t="shared" si="21"/>
        <v>13.81</v>
      </c>
      <c r="F144" s="1">
        <f t="shared" si="21"/>
        <v>13.81</v>
      </c>
      <c r="G144" s="7">
        <f>IF(E144&gt;I144,(E144-F144)*C144,0)</f>
        <v>0</v>
      </c>
      <c r="H144" s="7">
        <f>IF(E144&gt;I144,(E144-F144)*C144*0.5895,0)</f>
        <v>0</v>
      </c>
      <c r="I144" s="1">
        <v>62.41</v>
      </c>
      <c r="J144" s="7">
        <f>IF(C144*(E144-I144)&gt;0,C144*(E144-I144),0)</f>
        <v>0</v>
      </c>
      <c r="K144" s="7">
        <f t="shared" si="25"/>
        <v>0</v>
      </c>
      <c r="L144" s="3">
        <v>2</v>
      </c>
      <c r="M144" s="80" t="s">
        <v>52</v>
      </c>
      <c r="N144" s="80" t="s">
        <v>52</v>
      </c>
    </row>
    <row r="145" spans="1:14" x14ac:dyDescent="0.25">
      <c r="A145" s="8"/>
      <c r="B145" s="2" t="s">
        <v>148</v>
      </c>
      <c r="C145" s="13">
        <v>1967</v>
      </c>
      <c r="D145" s="13">
        <v>0</v>
      </c>
      <c r="E145" s="1">
        <f t="shared" si="21"/>
        <v>13.81</v>
      </c>
      <c r="F145" s="1">
        <f t="shared" si="21"/>
        <v>13.81</v>
      </c>
      <c r="G145" s="7">
        <f>IF(E145&gt;I145,(E145-F145)*C145,0)</f>
        <v>0</v>
      </c>
      <c r="H145" s="7">
        <f>IF(E145&gt;I145,(E145-F145)*C145*0.5895,0)</f>
        <v>0</v>
      </c>
      <c r="I145" s="1">
        <v>54.03</v>
      </c>
      <c r="J145" s="7">
        <f>IF(C145*(E145-I145)&gt;0,C145*(E145-I145),0)</f>
        <v>0</v>
      </c>
      <c r="K145" s="7">
        <f t="shared" si="25"/>
        <v>0</v>
      </c>
      <c r="L145" s="3">
        <v>2</v>
      </c>
      <c r="M145" s="80" t="s">
        <v>52</v>
      </c>
      <c r="N145" s="80" t="s">
        <v>52</v>
      </c>
    </row>
    <row r="146" spans="1:14" x14ac:dyDescent="0.25">
      <c r="A146" s="8"/>
      <c r="B146" s="2" t="s">
        <v>156</v>
      </c>
      <c r="C146" s="13">
        <f>2778-417</f>
        <v>2361</v>
      </c>
      <c r="D146" s="13">
        <v>0</v>
      </c>
      <c r="E146" s="1">
        <f t="shared" si="21"/>
        <v>13.81</v>
      </c>
      <c r="F146" s="1">
        <f t="shared" si="21"/>
        <v>13.81</v>
      </c>
      <c r="G146" s="7">
        <f t="shared" si="22"/>
        <v>0</v>
      </c>
      <c r="H146" s="7">
        <f t="shared" si="23"/>
        <v>0</v>
      </c>
      <c r="I146" s="1">
        <v>48.3</v>
      </c>
      <c r="J146" s="7">
        <f t="shared" si="24"/>
        <v>0</v>
      </c>
      <c r="K146" s="7">
        <f t="shared" si="25"/>
        <v>0</v>
      </c>
      <c r="L146" s="3">
        <v>2</v>
      </c>
      <c r="M146" s="80" t="s">
        <v>52</v>
      </c>
      <c r="N146" s="80" t="s">
        <v>52</v>
      </c>
    </row>
    <row r="147" spans="1:14" ht="13.8" thickBot="1" x14ac:dyDescent="0.3">
      <c r="A147" s="8"/>
      <c r="B147" s="17"/>
      <c r="C147" s="24" t="s">
        <v>52</v>
      </c>
      <c r="D147" s="24"/>
      <c r="E147" s="18"/>
      <c r="F147" s="18"/>
      <c r="G147" s="19"/>
      <c r="H147" s="19"/>
      <c r="I147" s="18"/>
      <c r="J147" s="19"/>
      <c r="K147" s="44"/>
      <c r="L147" s="65"/>
      <c r="M147" s="93"/>
      <c r="N147" s="93"/>
    </row>
    <row r="148" spans="1:14" x14ac:dyDescent="0.25">
      <c r="A148" s="8"/>
      <c r="C148" s="13" t="s">
        <v>52</v>
      </c>
      <c r="M148" s="80" t="s">
        <v>56</v>
      </c>
    </row>
    <row r="149" spans="1:14" x14ac:dyDescent="0.25">
      <c r="A149" s="8" t="s">
        <v>17</v>
      </c>
      <c r="B149" s="29" t="s">
        <v>52</v>
      </c>
      <c r="C149" s="13">
        <f>SUM(C129:C146)+C112</f>
        <v>65735.045400000003</v>
      </c>
      <c r="D149" s="13">
        <f>SUM(D129:D146)+D112</f>
        <v>21774.045399999999</v>
      </c>
      <c r="G149" s="7">
        <f>SUM(G112:G147)</f>
        <v>0</v>
      </c>
      <c r="H149" s="7">
        <f>SUM(H112:H147)</f>
        <v>0</v>
      </c>
      <c r="J149" s="7">
        <f>SUM(J112:J147)</f>
        <v>6578119.8950007241</v>
      </c>
      <c r="K149" s="7">
        <f>SUM(K112:K147)</f>
        <v>6172205.7826667232</v>
      </c>
      <c r="M149" s="92">
        <f>SUM(K129:K146)+M112</f>
        <v>69459.817274000015</v>
      </c>
      <c r="N149" s="94">
        <f>M149/K149</f>
        <v>1.1253645733760623E-2</v>
      </c>
    </row>
    <row r="150" spans="1:14" ht="13.8" thickBot="1" x14ac:dyDescent="0.3">
      <c r="A150" s="8"/>
      <c r="B150" s="17"/>
      <c r="C150" s="24"/>
      <c r="D150" s="24"/>
      <c r="E150" s="18"/>
      <c r="F150" s="18"/>
      <c r="G150" s="19"/>
      <c r="H150" s="19"/>
      <c r="I150" s="18"/>
      <c r="J150" s="19"/>
      <c r="K150" s="19"/>
      <c r="L150" s="65"/>
      <c r="M150" s="93"/>
      <c r="N150" s="93"/>
    </row>
    <row r="151" spans="1:14" x14ac:dyDescent="0.25">
      <c r="A151" s="8"/>
    </row>
    <row r="152" spans="1:14" x14ac:dyDescent="0.25">
      <c r="A152" s="21" t="s">
        <v>52</v>
      </c>
      <c r="B152" s="73" t="s">
        <v>52</v>
      </c>
      <c r="E152" s="2" t="s">
        <v>52</v>
      </c>
      <c r="F152" s="2" t="s">
        <v>52</v>
      </c>
      <c r="G152" s="2"/>
      <c r="H152" s="2"/>
      <c r="I152" s="2"/>
      <c r="K152" s="20">
        <v>5.28E-2</v>
      </c>
      <c r="L152" s="66"/>
      <c r="M152" s="81"/>
    </row>
    <row r="153" spans="1:14" x14ac:dyDescent="0.25">
      <c r="A153" s="21" t="s">
        <v>52</v>
      </c>
      <c r="B153" s="73"/>
      <c r="D153" s="13" t="s">
        <v>52</v>
      </c>
      <c r="E153" s="28" t="s">
        <v>52</v>
      </c>
      <c r="F153" s="28" t="s">
        <v>52</v>
      </c>
      <c r="G153" s="2"/>
      <c r="H153" s="2"/>
      <c r="I153" s="2"/>
      <c r="K153" s="7">
        <f>K112*K152</f>
        <v>321126.03424422693</v>
      </c>
      <c r="L153" s="66"/>
      <c r="M153" s="81" t="s">
        <v>52</v>
      </c>
    </row>
    <row r="154" spans="1:14" x14ac:dyDescent="0.25">
      <c r="A154" s="2" t="s">
        <v>52</v>
      </c>
      <c r="B154" s="73" t="s">
        <v>52</v>
      </c>
      <c r="D154" s="13" t="s">
        <v>52</v>
      </c>
      <c r="E154" s="28" t="s">
        <v>52</v>
      </c>
      <c r="F154" s="28" t="s">
        <v>52</v>
      </c>
      <c r="G154" s="2"/>
      <c r="H154" s="2"/>
      <c r="I154" s="2"/>
      <c r="K154" s="7">
        <f>K149*K152</f>
        <v>325892.46532480296</v>
      </c>
      <c r="L154" s="66"/>
      <c r="M154" s="81" t="s">
        <v>52</v>
      </c>
    </row>
    <row r="155" spans="1:14" x14ac:dyDescent="0.25">
      <c r="B155" s="73" t="s">
        <v>52</v>
      </c>
      <c r="D155" s="13" t="s">
        <v>52</v>
      </c>
      <c r="E155" s="28" t="s">
        <v>52</v>
      </c>
      <c r="F155" s="28" t="s">
        <v>52</v>
      </c>
      <c r="G155" s="2"/>
      <c r="H155" s="2"/>
      <c r="I155" s="2"/>
      <c r="K155" s="15"/>
      <c r="L155" s="66"/>
      <c r="M155" s="81" t="s">
        <v>52</v>
      </c>
    </row>
    <row r="156" spans="1:14" x14ac:dyDescent="0.25">
      <c r="B156" s="73" t="s">
        <v>52</v>
      </c>
      <c r="D156" s="13" t="s">
        <v>52</v>
      </c>
      <c r="E156" s="28" t="s">
        <v>52</v>
      </c>
      <c r="F156" s="28" t="s">
        <v>52</v>
      </c>
      <c r="G156" s="2"/>
      <c r="H156" s="2" t="s">
        <v>52</v>
      </c>
      <c r="I156" s="2"/>
      <c r="K156" s="15"/>
      <c r="L156" s="66"/>
      <c r="M156" s="81"/>
    </row>
    <row r="157" spans="1:14" x14ac:dyDescent="0.25">
      <c r="B157" s="73" t="s">
        <v>52</v>
      </c>
      <c r="D157" s="13" t="s">
        <v>52</v>
      </c>
      <c r="E157" s="28" t="s">
        <v>52</v>
      </c>
      <c r="F157" s="28" t="s">
        <v>52</v>
      </c>
      <c r="G157" s="2"/>
      <c r="H157" s="2" t="s">
        <v>52</v>
      </c>
      <c r="I157" s="2"/>
      <c r="K157" s="7" t="s">
        <v>52</v>
      </c>
      <c r="L157" s="66"/>
      <c r="M157" s="81"/>
    </row>
    <row r="158" spans="1:14" x14ac:dyDescent="0.25">
      <c r="B158" s="73" t="s">
        <v>52</v>
      </c>
      <c r="D158" s="13" t="s">
        <v>52</v>
      </c>
      <c r="E158" s="28" t="s">
        <v>52</v>
      </c>
      <c r="F158" s="28" t="s">
        <v>52</v>
      </c>
      <c r="G158" s="2"/>
      <c r="H158" s="2"/>
      <c r="I158" s="2"/>
      <c r="K158" s="7" t="s">
        <v>52</v>
      </c>
      <c r="L158" s="66"/>
      <c r="M158" s="81"/>
    </row>
    <row r="159" spans="1:14" x14ac:dyDescent="0.25">
      <c r="B159" s="73" t="s">
        <v>52</v>
      </c>
      <c r="D159" s="13" t="s">
        <v>52</v>
      </c>
      <c r="E159" s="28" t="s">
        <v>52</v>
      </c>
      <c r="F159" s="28" t="s">
        <v>52</v>
      </c>
      <c r="G159" s="2"/>
      <c r="H159" s="2"/>
      <c r="I159" s="2"/>
      <c r="K159" s="7" t="s">
        <v>52</v>
      </c>
      <c r="L159" s="66"/>
      <c r="M159" s="81"/>
    </row>
    <row r="160" spans="1:14" x14ac:dyDescent="0.25">
      <c r="B160" s="73" t="s">
        <v>52</v>
      </c>
      <c r="D160" s="13" t="s">
        <v>52</v>
      </c>
      <c r="E160" s="28" t="s">
        <v>52</v>
      </c>
      <c r="F160" s="28" t="s">
        <v>52</v>
      </c>
      <c r="G160" s="2"/>
      <c r="H160" s="2"/>
      <c r="I160" s="2"/>
      <c r="K160" s="7" t="s">
        <v>52</v>
      </c>
      <c r="L160" s="66"/>
      <c r="M160" s="81"/>
    </row>
    <row r="161" spans="2:13" x14ac:dyDescent="0.25">
      <c r="B161" s="73" t="s">
        <v>52</v>
      </c>
      <c r="D161" s="13" t="s">
        <v>52</v>
      </c>
      <c r="E161" s="28" t="s">
        <v>52</v>
      </c>
      <c r="F161" s="28" t="s">
        <v>52</v>
      </c>
      <c r="G161" s="2"/>
      <c r="H161" s="2"/>
      <c r="I161" s="2"/>
      <c r="K161" s="15" t="s">
        <v>52</v>
      </c>
      <c r="L161" s="66"/>
      <c r="M161" s="81"/>
    </row>
    <row r="162" spans="2:13" x14ac:dyDescent="0.25">
      <c r="B162" s="73" t="s">
        <v>52</v>
      </c>
      <c r="D162" s="13" t="s">
        <v>52</v>
      </c>
      <c r="E162" s="28" t="s">
        <v>52</v>
      </c>
      <c r="F162" s="28" t="s">
        <v>52</v>
      </c>
      <c r="G162" s="2"/>
      <c r="H162" s="2"/>
      <c r="I162" s="2"/>
      <c r="K162" s="15"/>
      <c r="L162" s="66"/>
      <c r="M162" s="81"/>
    </row>
    <row r="163" spans="2:13" x14ac:dyDescent="0.25">
      <c r="B163" s="73" t="s">
        <v>52</v>
      </c>
      <c r="D163" s="13" t="s">
        <v>52</v>
      </c>
      <c r="E163" s="28" t="s">
        <v>52</v>
      </c>
      <c r="F163" s="28" t="s">
        <v>52</v>
      </c>
      <c r="G163" s="2"/>
      <c r="H163" s="2"/>
      <c r="I163" s="2"/>
      <c r="K163" s="15"/>
      <c r="L163" s="66"/>
      <c r="M163" s="81"/>
    </row>
    <row r="164" spans="2:13" x14ac:dyDescent="0.25">
      <c r="B164" s="73" t="s">
        <v>52</v>
      </c>
      <c r="D164" s="13" t="s">
        <v>52</v>
      </c>
      <c r="E164" s="28" t="s">
        <v>52</v>
      </c>
      <c r="F164" s="28" t="s">
        <v>52</v>
      </c>
      <c r="G164" s="2"/>
      <c r="H164" s="2"/>
      <c r="I164" s="2"/>
      <c r="K164" s="15"/>
      <c r="L164" s="66"/>
      <c r="M164" s="81"/>
    </row>
    <row r="165" spans="2:13" x14ac:dyDescent="0.25">
      <c r="B165" s="73" t="s">
        <v>52</v>
      </c>
      <c r="D165" s="13" t="s">
        <v>52</v>
      </c>
      <c r="E165" s="28" t="s">
        <v>52</v>
      </c>
      <c r="F165" s="28" t="s">
        <v>52</v>
      </c>
      <c r="G165" s="2" t="s">
        <v>52</v>
      </c>
      <c r="H165" s="2"/>
      <c r="I165" s="2"/>
      <c r="K165" s="15"/>
      <c r="L165" s="66"/>
      <c r="M165" s="81"/>
    </row>
    <row r="166" spans="2:13" x14ac:dyDescent="0.25">
      <c r="B166" s="73" t="s">
        <v>52</v>
      </c>
      <c r="D166" s="13" t="s">
        <v>52</v>
      </c>
      <c r="E166" s="28" t="s">
        <v>52</v>
      </c>
      <c r="F166" s="28" t="s">
        <v>52</v>
      </c>
      <c r="G166" s="2"/>
      <c r="H166" s="2"/>
      <c r="I166" s="2"/>
      <c r="K166" s="15"/>
      <c r="L166" s="66"/>
      <c r="M166" s="81"/>
    </row>
    <row r="167" spans="2:13" x14ac:dyDescent="0.25">
      <c r="D167" s="13" t="s">
        <v>52</v>
      </c>
      <c r="E167" s="28" t="s">
        <v>52</v>
      </c>
      <c r="F167" s="28" t="s">
        <v>52</v>
      </c>
      <c r="G167" s="2"/>
      <c r="H167" s="2"/>
      <c r="I167" s="2"/>
      <c r="K167" s="15"/>
      <c r="L167" s="66"/>
      <c r="M167" s="81"/>
    </row>
    <row r="168" spans="2:13" x14ac:dyDescent="0.25">
      <c r="D168" s="13" t="s">
        <v>52</v>
      </c>
      <c r="E168" s="28" t="s">
        <v>52</v>
      </c>
      <c r="F168" s="28" t="s">
        <v>52</v>
      </c>
      <c r="G168" s="2"/>
      <c r="H168" s="2"/>
      <c r="I168" s="2"/>
      <c r="L168" s="66"/>
      <c r="M168" s="81"/>
    </row>
    <row r="169" spans="2:13" x14ac:dyDescent="0.25">
      <c r="D169" s="13" t="s">
        <v>52</v>
      </c>
      <c r="E169" s="28" t="s">
        <v>52</v>
      </c>
      <c r="F169" s="28" t="s">
        <v>52</v>
      </c>
      <c r="G169" s="2"/>
      <c r="H169" s="2"/>
      <c r="I169" s="2"/>
      <c r="K169" s="15"/>
      <c r="L169" s="66"/>
      <c r="M169" s="81"/>
    </row>
    <row r="170" spans="2:13" x14ac:dyDescent="0.25">
      <c r="D170" s="13" t="s">
        <v>52</v>
      </c>
      <c r="E170" s="28" t="s">
        <v>52</v>
      </c>
      <c r="F170" s="28" t="s">
        <v>52</v>
      </c>
      <c r="G170" s="2"/>
      <c r="H170" s="2"/>
      <c r="I170" s="2"/>
      <c r="K170" s="15"/>
      <c r="L170" s="66"/>
      <c r="M170" s="81"/>
    </row>
    <row r="171" spans="2:13" x14ac:dyDescent="0.25">
      <c r="D171" s="13" t="s">
        <v>52</v>
      </c>
      <c r="E171" s="28" t="s">
        <v>52</v>
      </c>
      <c r="F171" s="28" t="s">
        <v>52</v>
      </c>
      <c r="G171" s="2"/>
      <c r="H171" s="2"/>
      <c r="I171" s="2"/>
      <c r="K171" s="15"/>
      <c r="L171" s="66"/>
      <c r="M171" s="81"/>
    </row>
    <row r="172" spans="2:13" x14ac:dyDescent="0.25">
      <c r="E172" s="2"/>
      <c r="F172" s="2"/>
      <c r="G172" s="2"/>
      <c r="H172" s="2"/>
      <c r="I172" s="2"/>
      <c r="K172" s="15"/>
      <c r="L172" s="66"/>
      <c r="M172" s="81"/>
    </row>
    <row r="173" spans="2:13" x14ac:dyDescent="0.25">
      <c r="E173" s="2"/>
      <c r="F173" s="2"/>
      <c r="G173" s="2"/>
      <c r="H173" s="2"/>
      <c r="I173" s="2"/>
      <c r="K173" s="15"/>
      <c r="L173" s="66"/>
      <c r="M173" s="81"/>
    </row>
    <row r="174" spans="2:13" x14ac:dyDescent="0.25">
      <c r="E174" s="2"/>
      <c r="F174" s="2"/>
      <c r="G174" s="2"/>
      <c r="H174" s="2"/>
      <c r="I174" s="2"/>
      <c r="K174" s="15"/>
      <c r="L174" s="66"/>
      <c r="M174" s="81"/>
    </row>
    <row r="175" spans="2:13" x14ac:dyDescent="0.25">
      <c r="E175" s="2"/>
      <c r="F175" s="2"/>
      <c r="G175" s="2" t="s">
        <v>52</v>
      </c>
      <c r="H175" s="2"/>
      <c r="I175" s="2"/>
      <c r="K175" s="15"/>
      <c r="L175" s="66"/>
      <c r="M175" s="81"/>
    </row>
    <row r="176" spans="2:13" x14ac:dyDescent="0.25">
      <c r="E176" s="2"/>
      <c r="F176" s="2"/>
      <c r="G176" s="2"/>
      <c r="H176" s="2"/>
      <c r="I176" s="2"/>
      <c r="K176" s="15"/>
      <c r="L176" s="66"/>
      <c r="M176" s="81"/>
    </row>
    <row r="177" spans="3:13" x14ac:dyDescent="0.25">
      <c r="E177" s="2"/>
      <c r="F177" s="2"/>
      <c r="G177" s="2"/>
      <c r="H177" s="2"/>
      <c r="I177" s="2"/>
      <c r="K177" s="15"/>
      <c r="L177" s="66"/>
      <c r="M177" s="81"/>
    </row>
    <row r="178" spans="3:13" x14ac:dyDescent="0.25">
      <c r="E178" s="2"/>
      <c r="F178" s="2"/>
      <c r="G178" s="2"/>
      <c r="H178" s="2"/>
      <c r="I178" s="2"/>
      <c r="K178" s="15"/>
      <c r="L178" s="66"/>
      <c r="M178" s="81"/>
    </row>
    <row r="179" spans="3:13" x14ac:dyDescent="0.25">
      <c r="E179" s="2"/>
      <c r="F179" s="2"/>
      <c r="G179" s="2"/>
      <c r="H179" s="2"/>
      <c r="I179" s="2"/>
      <c r="K179" s="15"/>
      <c r="L179" s="66"/>
      <c r="M179" s="81"/>
    </row>
    <row r="180" spans="3:13" x14ac:dyDescent="0.25">
      <c r="E180" s="2"/>
      <c r="F180" s="2"/>
      <c r="G180" s="2"/>
      <c r="H180" s="2"/>
      <c r="I180" s="2"/>
      <c r="K180" s="15"/>
      <c r="L180" s="66"/>
      <c r="M180" s="81"/>
    </row>
    <row r="181" spans="3:13" x14ac:dyDescent="0.25">
      <c r="E181" s="2"/>
      <c r="F181" s="2"/>
      <c r="G181" s="2"/>
      <c r="H181" s="2"/>
      <c r="I181" s="2"/>
      <c r="K181" s="15"/>
      <c r="L181" s="66"/>
      <c r="M181" s="81"/>
    </row>
    <row r="182" spans="3:13" x14ac:dyDescent="0.25">
      <c r="E182" s="2"/>
      <c r="F182" s="2"/>
      <c r="G182" s="2"/>
      <c r="H182" s="2"/>
      <c r="I182" s="2"/>
      <c r="K182" s="15"/>
      <c r="L182" s="66"/>
      <c r="M182" s="81"/>
    </row>
    <row r="183" spans="3:13" x14ac:dyDescent="0.25">
      <c r="E183" s="2"/>
      <c r="F183" s="2"/>
      <c r="G183" s="2"/>
      <c r="H183" s="2"/>
      <c r="I183" s="2"/>
      <c r="K183" s="15"/>
      <c r="L183" s="66"/>
      <c r="M183" s="81"/>
    </row>
    <row r="184" spans="3:13" x14ac:dyDescent="0.25">
      <c r="E184" s="2"/>
      <c r="F184" s="2"/>
      <c r="G184" s="2"/>
      <c r="H184" s="2"/>
      <c r="I184" s="2"/>
      <c r="K184" s="15"/>
      <c r="L184" s="66"/>
      <c r="M184" s="81"/>
    </row>
    <row r="185" spans="3:13" x14ac:dyDescent="0.25">
      <c r="E185" s="2"/>
      <c r="F185" s="2"/>
      <c r="G185" s="2"/>
      <c r="H185" s="2"/>
      <c r="I185" s="2"/>
      <c r="K185" s="15"/>
      <c r="L185" s="66"/>
      <c r="M185" s="81"/>
    </row>
    <row r="186" spans="3:13" x14ac:dyDescent="0.25">
      <c r="E186" s="2"/>
      <c r="F186" s="2"/>
      <c r="G186" s="2"/>
      <c r="H186" s="2"/>
      <c r="I186" s="2"/>
      <c r="K186" s="15"/>
      <c r="L186" s="66"/>
      <c r="M186" s="81"/>
    </row>
    <row r="187" spans="3:13" x14ac:dyDescent="0.25">
      <c r="C187" s="13" t="s">
        <v>52</v>
      </c>
      <c r="E187" s="2"/>
      <c r="F187" s="2"/>
      <c r="G187" s="2"/>
      <c r="H187" s="2"/>
      <c r="I187" s="2"/>
      <c r="K187" s="15"/>
      <c r="L187" s="66"/>
      <c r="M187" s="81"/>
    </row>
    <row r="188" spans="3:13" x14ac:dyDescent="0.25">
      <c r="E188" s="2"/>
      <c r="F188" s="2"/>
      <c r="G188" s="2"/>
      <c r="H188" s="2"/>
      <c r="I188" s="2"/>
      <c r="K188" s="15"/>
      <c r="L188" s="66"/>
      <c r="M188" s="81"/>
    </row>
    <row r="189" spans="3:13" x14ac:dyDescent="0.25">
      <c r="E189" s="2"/>
      <c r="F189" s="2"/>
      <c r="G189" s="2"/>
      <c r="H189" s="2"/>
      <c r="I189" s="2"/>
      <c r="K189" s="15"/>
      <c r="L189" s="66"/>
      <c r="M189" s="81"/>
    </row>
    <row r="190" spans="3:13" x14ac:dyDescent="0.25">
      <c r="E190" s="2"/>
      <c r="F190" s="2"/>
      <c r="G190" s="2"/>
      <c r="H190" s="2"/>
      <c r="I190" s="2"/>
      <c r="K190" s="15"/>
      <c r="L190" s="66"/>
      <c r="M190" s="81"/>
    </row>
    <row r="191" spans="3:13" x14ac:dyDescent="0.25">
      <c r="E191" s="2"/>
      <c r="F191" s="2"/>
      <c r="G191" s="2"/>
      <c r="H191" s="2"/>
      <c r="I191" s="2"/>
      <c r="K191" s="15"/>
      <c r="L191" s="66"/>
      <c r="M191" s="81"/>
    </row>
    <row r="192" spans="3:13" x14ac:dyDescent="0.25">
      <c r="E192" s="2"/>
      <c r="F192" s="2"/>
      <c r="G192" s="2"/>
      <c r="H192" s="2"/>
      <c r="I192" s="2"/>
      <c r="K192" s="15"/>
      <c r="L192" s="66"/>
      <c r="M192" s="81"/>
    </row>
    <row r="193" spans="2:13" x14ac:dyDescent="0.25">
      <c r="B193" s="2" t="s">
        <v>52</v>
      </c>
      <c r="E193" s="2"/>
      <c r="F193" s="2"/>
      <c r="G193" s="2"/>
      <c r="H193" s="2"/>
      <c r="I193" s="2"/>
      <c r="K193" s="15"/>
      <c r="L193" s="66"/>
      <c r="M193" s="81"/>
    </row>
    <row r="194" spans="2:13" x14ac:dyDescent="0.25">
      <c r="E194" s="2"/>
      <c r="F194" s="2"/>
      <c r="G194" s="2"/>
      <c r="H194" s="2"/>
      <c r="I194" s="2"/>
      <c r="K194" s="15"/>
      <c r="L194" s="66"/>
      <c r="M194" s="81"/>
    </row>
    <row r="195" spans="2:13" x14ac:dyDescent="0.25">
      <c r="E195" s="2"/>
      <c r="F195" s="2"/>
      <c r="G195" s="2"/>
      <c r="H195" s="2"/>
      <c r="I195" s="2"/>
      <c r="K195" s="15"/>
      <c r="L195" s="66"/>
      <c r="M195" s="81"/>
    </row>
    <row r="196" spans="2:13" x14ac:dyDescent="0.25">
      <c r="E196" s="2"/>
      <c r="F196" s="2"/>
      <c r="G196" s="2"/>
      <c r="H196" s="2"/>
      <c r="I196" s="2"/>
      <c r="K196" s="15"/>
      <c r="L196" s="66"/>
      <c r="M196" s="81"/>
    </row>
    <row r="197" spans="2:13" x14ac:dyDescent="0.25">
      <c r="E197" s="2"/>
      <c r="F197" s="2"/>
      <c r="G197" s="2"/>
      <c r="H197" s="2"/>
      <c r="I197" s="2"/>
      <c r="K197" s="15"/>
      <c r="L197" s="66"/>
      <c r="M197" s="81"/>
    </row>
    <row r="198" spans="2:13" x14ac:dyDescent="0.25">
      <c r="E198" s="2"/>
      <c r="F198" s="2"/>
      <c r="G198" s="2"/>
      <c r="H198" s="2"/>
      <c r="I198" s="2"/>
      <c r="K198" s="15"/>
      <c r="L198" s="66"/>
      <c r="M198" s="81"/>
    </row>
    <row r="199" spans="2:13" x14ac:dyDescent="0.25">
      <c r="E199" s="2"/>
      <c r="F199" s="2"/>
      <c r="G199" s="2"/>
      <c r="H199" s="2"/>
      <c r="I199" s="2"/>
      <c r="K199" s="15"/>
      <c r="L199" s="66"/>
      <c r="M199" s="81"/>
    </row>
    <row r="200" spans="2:13" x14ac:dyDescent="0.25">
      <c r="E200" s="2"/>
      <c r="F200" s="2"/>
      <c r="G200" s="2"/>
      <c r="H200" s="2"/>
      <c r="I200" s="2"/>
      <c r="K200" s="15"/>
      <c r="L200" s="66"/>
      <c r="M200" s="81"/>
    </row>
    <row r="201" spans="2:13" x14ac:dyDescent="0.25">
      <c r="E201" s="2"/>
      <c r="F201" s="2"/>
      <c r="G201" s="2"/>
      <c r="H201" s="2"/>
      <c r="I201" s="2"/>
      <c r="K201" s="15"/>
      <c r="L201" s="66"/>
      <c r="M201" s="81"/>
    </row>
    <row r="202" spans="2:13" x14ac:dyDescent="0.25">
      <c r="E202" s="2"/>
      <c r="F202" s="2"/>
      <c r="G202" s="2"/>
      <c r="H202" s="2"/>
      <c r="I202" s="2"/>
      <c r="K202" s="15"/>
      <c r="L202" s="66"/>
      <c r="M202" s="81"/>
    </row>
    <row r="203" spans="2:13" x14ac:dyDescent="0.25">
      <c r="E203" s="2"/>
      <c r="F203" s="2"/>
      <c r="G203" s="2"/>
      <c r="H203" s="2"/>
      <c r="I203" s="2"/>
      <c r="K203" s="15"/>
      <c r="L203" s="66"/>
      <c r="M203" s="81"/>
    </row>
    <row r="204" spans="2:13" x14ac:dyDescent="0.25">
      <c r="E204" s="2"/>
      <c r="F204" s="2"/>
      <c r="G204" s="2"/>
      <c r="H204" s="2"/>
      <c r="I204" s="2"/>
      <c r="K204" s="15"/>
      <c r="L204" s="66"/>
      <c r="M204" s="81"/>
    </row>
    <row r="205" spans="2:13" x14ac:dyDescent="0.25">
      <c r="E205" s="2"/>
      <c r="F205" s="2"/>
      <c r="G205" s="2"/>
      <c r="H205" s="2"/>
      <c r="I205" s="2"/>
      <c r="K205" s="15"/>
      <c r="L205" s="66"/>
      <c r="M205" s="81"/>
    </row>
    <row r="206" spans="2:13" x14ac:dyDescent="0.25">
      <c r="E206" s="2"/>
      <c r="F206" s="2"/>
      <c r="G206" s="2"/>
      <c r="H206" s="2"/>
      <c r="I206" s="2"/>
      <c r="K206" s="15"/>
      <c r="L206" s="66"/>
      <c r="M206" s="81"/>
    </row>
    <row r="207" spans="2:13" x14ac:dyDescent="0.25">
      <c r="E207" s="2"/>
      <c r="F207" s="2"/>
      <c r="G207" s="2"/>
      <c r="H207" s="2"/>
      <c r="I207" s="2"/>
      <c r="K207" s="15"/>
      <c r="L207" s="66"/>
      <c r="M207" s="81"/>
    </row>
    <row r="208" spans="2:13" x14ac:dyDescent="0.25">
      <c r="E208" s="2"/>
      <c r="F208" s="2"/>
      <c r="G208" s="2"/>
      <c r="H208" s="2"/>
      <c r="I208" s="2"/>
      <c r="K208" s="15"/>
      <c r="L208" s="66"/>
      <c r="M208" s="81"/>
    </row>
    <row r="209" spans="5:13" x14ac:dyDescent="0.25">
      <c r="E209" s="2"/>
      <c r="F209" s="2"/>
      <c r="G209" s="2"/>
      <c r="H209" s="2"/>
      <c r="I209" s="2"/>
      <c r="K209" s="15"/>
      <c r="L209" s="66"/>
      <c r="M209" s="81"/>
    </row>
    <row r="210" spans="5:13" x14ac:dyDescent="0.25">
      <c r="E210" s="2"/>
      <c r="F210" s="2"/>
      <c r="G210" s="2"/>
      <c r="H210" s="2"/>
      <c r="I210" s="2"/>
      <c r="K210" s="15"/>
      <c r="L210" s="66"/>
      <c r="M210" s="81"/>
    </row>
    <row r="211" spans="5:13" x14ac:dyDescent="0.25">
      <c r="E211" s="2"/>
      <c r="F211" s="2"/>
      <c r="G211" s="2"/>
      <c r="H211" s="2"/>
      <c r="I211" s="2"/>
      <c r="K211" s="15"/>
      <c r="L211" s="66"/>
      <c r="M211" s="81"/>
    </row>
    <row r="212" spans="5:13" x14ac:dyDescent="0.25">
      <c r="E212" s="2"/>
      <c r="F212" s="2"/>
      <c r="G212" s="2"/>
      <c r="H212" s="2"/>
      <c r="I212" s="2"/>
      <c r="K212" s="15"/>
      <c r="L212" s="66"/>
      <c r="M212" s="81"/>
    </row>
    <row r="213" spans="5:13" x14ac:dyDescent="0.25">
      <c r="E213" s="2"/>
      <c r="F213" s="2"/>
      <c r="G213" s="2"/>
      <c r="H213" s="2"/>
      <c r="I213" s="2"/>
      <c r="K213" s="15"/>
      <c r="L213" s="66"/>
      <c r="M213" s="81"/>
    </row>
    <row r="214" spans="5:13" x14ac:dyDescent="0.25">
      <c r="E214" s="2"/>
      <c r="F214" s="2"/>
      <c r="G214" s="2"/>
      <c r="H214" s="2"/>
      <c r="I214" s="2"/>
      <c r="K214" s="15"/>
      <c r="L214" s="66"/>
      <c r="M214" s="81"/>
    </row>
    <row r="215" spans="5:13" x14ac:dyDescent="0.25">
      <c r="E215" s="2"/>
      <c r="F215" s="2"/>
      <c r="G215" s="2"/>
      <c r="H215" s="2"/>
      <c r="I215" s="2"/>
      <c r="K215" s="15"/>
      <c r="L215" s="66"/>
      <c r="M215" s="81"/>
    </row>
    <row r="216" spans="5:13" x14ac:dyDescent="0.25">
      <c r="E216" s="2"/>
      <c r="F216" s="2"/>
      <c r="G216" s="2"/>
      <c r="H216" s="2"/>
      <c r="I216" s="2"/>
      <c r="K216" s="15"/>
      <c r="L216" s="66"/>
      <c r="M216" s="81"/>
    </row>
    <row r="217" spans="5:13" x14ac:dyDescent="0.25">
      <c r="E217" s="2"/>
      <c r="F217" s="2"/>
      <c r="G217" s="2"/>
      <c r="H217" s="2"/>
      <c r="I217" s="2"/>
      <c r="K217" s="15"/>
      <c r="L217" s="66"/>
      <c r="M217" s="81"/>
    </row>
    <row r="218" spans="5:13" x14ac:dyDescent="0.25">
      <c r="E218" s="2"/>
      <c r="F218" s="2"/>
      <c r="G218" s="2"/>
      <c r="H218" s="2"/>
      <c r="I218" s="2"/>
      <c r="K218" s="15"/>
      <c r="L218" s="66"/>
      <c r="M218" s="81"/>
    </row>
    <row r="219" spans="5:13" x14ac:dyDescent="0.25">
      <c r="E219" s="2"/>
      <c r="F219" s="2"/>
      <c r="G219" s="2"/>
      <c r="H219" s="2"/>
      <c r="I219" s="2"/>
      <c r="K219" s="15"/>
      <c r="L219" s="66"/>
      <c r="M219" s="81"/>
    </row>
    <row r="220" spans="5:13" x14ac:dyDescent="0.25">
      <c r="E220" s="2"/>
      <c r="F220" s="2"/>
      <c r="G220" s="2"/>
      <c r="H220" s="2"/>
      <c r="I220" s="2"/>
      <c r="K220" s="15"/>
      <c r="L220" s="66"/>
      <c r="M220" s="81"/>
    </row>
    <row r="221" spans="5:13" x14ac:dyDescent="0.25">
      <c r="E221" s="2"/>
      <c r="F221" s="2"/>
      <c r="G221" s="2"/>
      <c r="H221" s="2"/>
      <c r="I221" s="2"/>
      <c r="K221" s="15"/>
      <c r="L221" s="66"/>
      <c r="M221" s="81"/>
    </row>
    <row r="222" spans="5:13" x14ac:dyDescent="0.25">
      <c r="E222" s="2"/>
      <c r="F222" s="2"/>
      <c r="G222" s="2"/>
      <c r="H222" s="2"/>
      <c r="I222" s="2"/>
      <c r="K222" s="15"/>
      <c r="L222" s="66"/>
      <c r="M222" s="81"/>
    </row>
    <row r="223" spans="5:13" x14ac:dyDescent="0.25">
      <c r="E223" s="2"/>
      <c r="F223" s="2"/>
      <c r="G223" s="2"/>
      <c r="H223" s="2"/>
      <c r="I223" s="2"/>
      <c r="K223" s="15"/>
      <c r="L223" s="66"/>
      <c r="M223" s="81"/>
    </row>
    <row r="224" spans="5:13" x14ac:dyDescent="0.25">
      <c r="E224" s="2"/>
      <c r="F224" s="2"/>
      <c r="G224" s="2"/>
      <c r="H224" s="2"/>
      <c r="I224" s="2"/>
      <c r="K224" s="15"/>
      <c r="L224" s="66"/>
      <c r="M224" s="81"/>
    </row>
    <row r="225" spans="5:13" x14ac:dyDescent="0.25">
      <c r="E225" s="2"/>
      <c r="F225" s="2"/>
      <c r="G225" s="2"/>
      <c r="H225" s="2"/>
      <c r="I225" s="2"/>
      <c r="K225" s="15"/>
      <c r="L225" s="66"/>
      <c r="M225" s="81"/>
    </row>
    <row r="226" spans="5:13" x14ac:dyDescent="0.25">
      <c r="E226" s="2"/>
      <c r="F226" s="2"/>
      <c r="G226" s="2"/>
      <c r="H226" s="2"/>
      <c r="I226" s="2"/>
      <c r="K226" s="15"/>
      <c r="L226" s="66"/>
      <c r="M226" s="81"/>
    </row>
    <row r="227" spans="5:13" x14ac:dyDescent="0.25">
      <c r="E227" s="2"/>
      <c r="F227" s="2"/>
      <c r="G227" s="2"/>
      <c r="H227" s="2"/>
      <c r="I227" s="2"/>
      <c r="K227" s="15"/>
      <c r="L227" s="66"/>
      <c r="M227" s="81"/>
    </row>
    <row r="228" spans="5:13" x14ac:dyDescent="0.25">
      <c r="E228" s="2"/>
      <c r="F228" s="2"/>
      <c r="G228" s="2"/>
      <c r="H228" s="2"/>
      <c r="I228" s="2"/>
      <c r="K228" s="15"/>
      <c r="L228" s="66"/>
      <c r="M228" s="81"/>
    </row>
    <row r="229" spans="5:13" x14ac:dyDescent="0.25">
      <c r="E229" s="2"/>
      <c r="F229" s="2"/>
      <c r="G229" s="2"/>
      <c r="H229" s="2"/>
      <c r="I229" s="2"/>
      <c r="K229" s="15"/>
      <c r="L229" s="66"/>
      <c r="M229" s="81"/>
    </row>
    <row r="230" spans="5:13" x14ac:dyDescent="0.25">
      <c r="E230" s="2"/>
      <c r="F230" s="2"/>
      <c r="G230" s="2"/>
      <c r="H230" s="2"/>
      <c r="I230" s="2"/>
      <c r="L230" s="66"/>
      <c r="M230" s="81"/>
    </row>
  </sheetData>
  <phoneticPr fontId="0" type="noConversion"/>
  <printOptions horizontalCentered="1"/>
  <pageMargins left="0.75" right="0.75" top="0.75" bottom="0.75" header="0.5" footer="0.5"/>
  <pageSetup scale="40" fitToHeight="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workbookViewId="0">
      <pane xSplit="1" ySplit="13" topLeftCell="B55" activePane="bottomRight" state="frozen"/>
      <selection pane="topRight" activeCell="B1" sqref="B1"/>
      <selection pane="bottomLeft" activeCell="A9" sqref="A9"/>
      <selection pane="bottomRight" activeCell="B31" sqref="B31"/>
    </sheetView>
  </sheetViews>
  <sheetFormatPr defaultRowHeight="13.2" x14ac:dyDescent="0.25"/>
  <cols>
    <col min="1" max="1" width="9.109375" style="10" customWidth="1"/>
    <col min="2" max="2" width="13.88671875" style="31" bestFit="1" customWidth="1"/>
    <col min="3" max="3" width="14.44140625" style="32" bestFit="1" customWidth="1"/>
    <col min="4" max="4" width="12.33203125" style="33" bestFit="1" customWidth="1"/>
    <col min="5" max="5" width="16.33203125" style="31" bestFit="1" customWidth="1"/>
    <col min="6" max="6" width="10.6640625" style="31" bestFit="1" customWidth="1"/>
    <col min="7" max="8" width="13.33203125" style="43" bestFit="1" customWidth="1"/>
    <col min="9" max="9" width="12.6640625" bestFit="1" customWidth="1"/>
    <col min="10" max="10" width="11.6640625" bestFit="1" customWidth="1"/>
  </cols>
  <sheetData>
    <row r="1" spans="1:23" ht="13.8" thickBot="1" x14ac:dyDescent="0.3">
      <c r="B1" s="10" t="s">
        <v>52</v>
      </c>
      <c r="C1" s="9" t="s">
        <v>52</v>
      </c>
    </row>
    <row r="2" spans="1:23" ht="13.8" thickBot="1" x14ac:dyDescent="0.3">
      <c r="A2" s="10" t="s">
        <v>52</v>
      </c>
      <c r="B2" s="10" t="s">
        <v>83</v>
      </c>
      <c r="C2" s="9" t="s">
        <v>84</v>
      </c>
      <c r="D2" s="41" t="s">
        <v>52</v>
      </c>
      <c r="E2" s="42" t="s">
        <v>78</v>
      </c>
    </row>
    <row r="3" spans="1:23" x14ac:dyDescent="0.25">
      <c r="A3" s="10">
        <v>2001</v>
      </c>
      <c r="B3" s="16" t="e">
        <f>+G14+G22+#REF!</f>
        <v>#REF!</v>
      </c>
      <c r="C3" s="16" t="e">
        <f>+H14+H22+#REF!</f>
        <v>#REF!</v>
      </c>
      <c r="D3" s="70" t="s">
        <v>9</v>
      </c>
      <c r="E3" s="71">
        <f>SUM(C14:C23)+SUM(C27:C31)</f>
        <v>30582</v>
      </c>
    </row>
    <row r="4" spans="1:23" ht="13.8" thickBot="1" x14ac:dyDescent="0.3">
      <c r="A4" s="10">
        <v>2002</v>
      </c>
      <c r="B4" s="16">
        <f>+G16+G19+G23+G27+G28</f>
        <v>0</v>
      </c>
      <c r="C4" s="16">
        <f>+H16+H19+H23+H27+H28</f>
        <v>0</v>
      </c>
      <c r="D4" s="40" t="s">
        <v>11</v>
      </c>
      <c r="E4" s="38">
        <f>SUM(C25:C25)+C33</f>
        <v>3619</v>
      </c>
    </row>
    <row r="5" spans="1:23" ht="13.8" thickBot="1" x14ac:dyDescent="0.3">
      <c r="A5" s="10">
        <v>2003</v>
      </c>
      <c r="B5" s="16" t="e">
        <f>+G17+G20+#REF!+G25+G29+G30</f>
        <v>#REF!</v>
      </c>
      <c r="C5" s="16" t="e">
        <f>+H17+H20+#REF!+H25+H29+H30</f>
        <v>#REF!</v>
      </c>
      <c r="D5" s="72" t="s">
        <v>91</v>
      </c>
      <c r="E5" s="38">
        <f>SUM(E3:E4)</f>
        <v>34201</v>
      </c>
    </row>
    <row r="6" spans="1:23" x14ac:dyDescent="0.25">
      <c r="A6" s="10">
        <v>2004</v>
      </c>
      <c r="B6" s="16">
        <f>G31</f>
        <v>0</v>
      </c>
      <c r="C6" s="16">
        <f>H31</f>
        <v>0</v>
      </c>
    </row>
    <row r="7" spans="1:23" x14ac:dyDescent="0.25">
      <c r="A7" s="10">
        <v>2005</v>
      </c>
      <c r="B7" s="16">
        <f>G33</f>
        <v>46001.11</v>
      </c>
      <c r="C7" s="16">
        <f>H33</f>
        <v>27577.665445000002</v>
      </c>
    </row>
    <row r="8" spans="1:23" x14ac:dyDescent="0.25">
      <c r="B8" s="16"/>
      <c r="C8" s="16"/>
    </row>
    <row r="9" spans="1:23" x14ac:dyDescent="0.25">
      <c r="A9" s="10" t="s">
        <v>91</v>
      </c>
      <c r="B9" s="16" t="e">
        <f>SUM(B3:B8)</f>
        <v>#REF!</v>
      </c>
      <c r="C9" s="16" t="e">
        <f>SUM(C3:C8)</f>
        <v>#REF!</v>
      </c>
    </row>
    <row r="10" spans="1:23" ht="13.8" thickBot="1" x14ac:dyDescent="0.3">
      <c r="B10" s="10"/>
      <c r="C10" s="10"/>
    </row>
    <row r="11" spans="1:23" x14ac:dyDescent="0.25">
      <c r="A11" s="37"/>
      <c r="B11" s="45"/>
      <c r="C11" s="46"/>
      <c r="D11" s="47"/>
      <c r="E11" s="45"/>
      <c r="F11" s="45"/>
      <c r="G11" s="48" t="s">
        <v>81</v>
      </c>
      <c r="H11" s="49" t="s">
        <v>82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s="10" customFormat="1" x14ac:dyDescent="0.25">
      <c r="A12" s="60" t="s">
        <v>69</v>
      </c>
      <c r="B12" s="39" t="s">
        <v>70</v>
      </c>
      <c r="C12" s="58" t="s">
        <v>71</v>
      </c>
      <c r="D12" s="59" t="s">
        <v>75</v>
      </c>
      <c r="E12" s="39" t="s">
        <v>73</v>
      </c>
      <c r="F12" s="39" t="s">
        <v>72</v>
      </c>
      <c r="G12" s="56" t="s">
        <v>80</v>
      </c>
      <c r="H12" s="61" t="s">
        <v>80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</row>
    <row r="13" spans="1:23" s="10" customFormat="1" ht="13.8" thickBot="1" x14ac:dyDescent="0.3">
      <c r="A13" s="50"/>
      <c r="B13" s="51"/>
      <c r="C13" s="52"/>
      <c r="D13" s="53"/>
      <c r="E13" s="51"/>
      <c r="F13" s="51"/>
      <c r="G13" s="54"/>
      <c r="H13" s="55"/>
      <c r="I13" s="39"/>
    </row>
    <row r="14" spans="1:23" s="10" customFormat="1" x14ac:dyDescent="0.25">
      <c r="A14" s="10">
        <v>106892</v>
      </c>
      <c r="B14" s="5" t="s">
        <v>68</v>
      </c>
      <c r="C14" s="90">
        <v>15280</v>
      </c>
      <c r="D14" s="89">
        <v>18.375</v>
      </c>
      <c r="E14" s="5" t="s">
        <v>74</v>
      </c>
      <c r="F14" s="88">
        <v>37256</v>
      </c>
      <c r="G14" s="1">
        <f>C14*(Sheet1!$E$31-D14)</f>
        <v>-69753.2</v>
      </c>
      <c r="H14" s="11">
        <f>G14*0.5995</f>
        <v>-41817.043400000002</v>
      </c>
      <c r="I14" s="39" t="s">
        <v>52</v>
      </c>
    </row>
    <row r="15" spans="1:23" s="10" customFormat="1" x14ac:dyDescent="0.25">
      <c r="B15" s="31"/>
      <c r="C15" s="31"/>
      <c r="D15" s="33"/>
      <c r="E15" s="31"/>
      <c r="F15" s="34"/>
      <c r="G15" s="1" t="s">
        <v>52</v>
      </c>
      <c r="H15" s="11" t="s">
        <v>52</v>
      </c>
      <c r="I15" s="39" t="s">
        <v>52</v>
      </c>
    </row>
    <row r="16" spans="1:23" x14ac:dyDescent="0.25">
      <c r="A16" s="10">
        <v>122617</v>
      </c>
      <c r="B16" s="5" t="s">
        <v>68</v>
      </c>
      <c r="C16" s="32">
        <v>2565</v>
      </c>
      <c r="D16" s="33">
        <v>55.5</v>
      </c>
      <c r="E16" s="31" t="s">
        <v>74</v>
      </c>
      <c r="F16" s="34">
        <v>37274</v>
      </c>
      <c r="G16" s="1">
        <v>0</v>
      </c>
      <c r="H16" s="11">
        <f t="shared" ref="H16:H71" si="0">G16*0.5995</f>
        <v>0</v>
      </c>
      <c r="I16" s="39" t="s">
        <v>52</v>
      </c>
      <c r="J16" s="10"/>
    </row>
    <row r="17" spans="1:11" x14ac:dyDescent="0.25">
      <c r="C17" s="36">
        <v>2565</v>
      </c>
      <c r="D17" s="33">
        <v>55.5</v>
      </c>
      <c r="E17" s="31" t="s">
        <v>74</v>
      </c>
      <c r="F17" s="34">
        <v>37639</v>
      </c>
      <c r="G17" s="1">
        <v>0</v>
      </c>
      <c r="H17" s="11">
        <f t="shared" si="0"/>
        <v>0</v>
      </c>
      <c r="I17" s="39" t="s">
        <v>52</v>
      </c>
      <c r="J17" s="10"/>
    </row>
    <row r="18" spans="1:11" x14ac:dyDescent="0.25">
      <c r="C18" s="31"/>
      <c r="E18" s="31" t="s">
        <v>52</v>
      </c>
      <c r="F18" s="34" t="s">
        <v>52</v>
      </c>
      <c r="G18" s="1" t="s">
        <v>52</v>
      </c>
      <c r="H18" s="11" t="s">
        <v>52</v>
      </c>
      <c r="I18" s="10" t="s">
        <v>52</v>
      </c>
      <c r="J18" s="10"/>
    </row>
    <row r="19" spans="1:11" x14ac:dyDescent="0.25">
      <c r="A19" s="10">
        <v>135367</v>
      </c>
      <c r="B19" s="5" t="s">
        <v>68</v>
      </c>
      <c r="C19" s="13">
        <v>12</v>
      </c>
      <c r="D19" s="33">
        <v>55.5</v>
      </c>
      <c r="E19" s="31" t="s">
        <v>74</v>
      </c>
      <c r="F19" s="34">
        <v>37274</v>
      </c>
      <c r="G19" s="1">
        <v>0</v>
      </c>
      <c r="H19" s="11">
        <f t="shared" si="0"/>
        <v>0</v>
      </c>
      <c r="I19" s="10" t="s">
        <v>52</v>
      </c>
      <c r="J19" s="10"/>
    </row>
    <row r="20" spans="1:11" x14ac:dyDescent="0.25">
      <c r="C20" s="35">
        <v>12</v>
      </c>
      <c r="D20" s="33">
        <v>55.5</v>
      </c>
      <c r="E20" s="31" t="s">
        <v>74</v>
      </c>
      <c r="F20" s="34">
        <v>37639</v>
      </c>
      <c r="G20" s="1">
        <v>0</v>
      </c>
      <c r="H20" s="11">
        <f t="shared" si="0"/>
        <v>0</v>
      </c>
      <c r="I20" s="10" t="s">
        <v>52</v>
      </c>
      <c r="J20" s="10"/>
    </row>
    <row r="21" spans="1:11" x14ac:dyDescent="0.25">
      <c r="C21" s="35"/>
      <c r="F21" s="34"/>
      <c r="G21" s="34"/>
      <c r="H21" s="11" t="s">
        <v>52</v>
      </c>
      <c r="I21" s="10" t="s">
        <v>52</v>
      </c>
      <c r="J21" s="10"/>
    </row>
    <row r="22" spans="1:11" s="2" customFormat="1" x14ac:dyDescent="0.25">
      <c r="A22" s="10">
        <v>149389</v>
      </c>
      <c r="B22" s="31" t="s">
        <v>68</v>
      </c>
      <c r="C22" s="13">
        <v>1270</v>
      </c>
      <c r="D22" s="33">
        <v>76</v>
      </c>
      <c r="E22" s="31" t="s">
        <v>74</v>
      </c>
      <c r="F22" s="34">
        <v>37469</v>
      </c>
      <c r="G22" s="1">
        <v>0</v>
      </c>
      <c r="H22" s="11">
        <f t="shared" si="0"/>
        <v>0</v>
      </c>
      <c r="I22" s="10" t="s">
        <v>52</v>
      </c>
      <c r="J22" s="10"/>
      <c r="K22" s="5"/>
    </row>
    <row r="23" spans="1:11" s="2" customFormat="1" x14ac:dyDescent="0.25">
      <c r="A23" s="10" t="s">
        <v>52</v>
      </c>
      <c r="B23" s="31" t="s">
        <v>52</v>
      </c>
      <c r="C23" s="13">
        <v>1270</v>
      </c>
      <c r="D23" s="33">
        <v>76</v>
      </c>
      <c r="E23" s="31" t="s">
        <v>74</v>
      </c>
      <c r="F23" s="34">
        <v>37834</v>
      </c>
      <c r="G23" s="1">
        <v>0</v>
      </c>
      <c r="H23" s="11">
        <f t="shared" si="0"/>
        <v>0</v>
      </c>
      <c r="I23" s="10" t="s">
        <v>52</v>
      </c>
      <c r="J23" s="10"/>
      <c r="K23" s="5"/>
    </row>
    <row r="24" spans="1:11" x14ac:dyDescent="0.25">
      <c r="C24" s="31"/>
      <c r="D24" s="13" t="s">
        <v>52</v>
      </c>
      <c r="E24" s="13" t="s">
        <v>52</v>
      </c>
      <c r="F24" s="34" t="s">
        <v>52</v>
      </c>
      <c r="G24" s="1" t="s">
        <v>52</v>
      </c>
      <c r="H24" s="11" t="s">
        <v>52</v>
      </c>
      <c r="I24" s="10" t="s">
        <v>52</v>
      </c>
      <c r="J24" s="10"/>
    </row>
    <row r="25" spans="1:11" s="2" customFormat="1" x14ac:dyDescent="0.25">
      <c r="A25" s="10">
        <v>144377</v>
      </c>
      <c r="B25" s="5" t="s">
        <v>77</v>
      </c>
      <c r="C25" s="13">
        <v>288</v>
      </c>
      <c r="D25" s="1">
        <f>D$87</f>
        <v>0</v>
      </c>
      <c r="E25" s="1" t="s">
        <v>74</v>
      </c>
      <c r="F25" s="34">
        <v>37645</v>
      </c>
      <c r="G25" s="1">
        <f>C25*(Sheet1!$E$31-D25)</f>
        <v>3977.28</v>
      </c>
      <c r="H25" s="11">
        <f t="shared" si="0"/>
        <v>2384.3793600000004</v>
      </c>
      <c r="I25" s="10" t="s">
        <v>52</v>
      </c>
      <c r="J25" s="10"/>
      <c r="K25" s="5"/>
    </row>
    <row r="26" spans="1:11" s="2" customFormat="1" x14ac:dyDescent="0.25">
      <c r="A26" s="10"/>
      <c r="B26" s="5"/>
      <c r="C26" s="13"/>
      <c r="D26" s="1"/>
      <c r="E26" s="1"/>
      <c r="F26" s="34"/>
      <c r="G26" s="1"/>
      <c r="H26" s="11" t="s">
        <v>52</v>
      </c>
      <c r="I26" s="10" t="s">
        <v>52</v>
      </c>
      <c r="J26" s="10" t="s">
        <v>52</v>
      </c>
      <c r="K26" s="5"/>
    </row>
    <row r="27" spans="1:11" x14ac:dyDescent="0.25">
      <c r="A27" s="10">
        <v>151261</v>
      </c>
      <c r="B27" s="5" t="s">
        <v>68</v>
      </c>
      <c r="C27" s="32">
        <v>1631</v>
      </c>
      <c r="D27" s="33">
        <v>75.0625</v>
      </c>
      <c r="E27" s="31" t="s">
        <v>74</v>
      </c>
      <c r="F27" s="34">
        <v>37287</v>
      </c>
      <c r="G27" s="1">
        <v>0</v>
      </c>
      <c r="H27" s="11">
        <f>G27*0.5995</f>
        <v>0</v>
      </c>
      <c r="I27" s="39" t="s">
        <v>52</v>
      </c>
      <c r="J27" s="10" t="s">
        <v>52</v>
      </c>
    </row>
    <row r="28" spans="1:11" x14ac:dyDescent="0.25">
      <c r="B28" s="5" t="s">
        <v>68</v>
      </c>
      <c r="C28" s="32">
        <v>1631</v>
      </c>
      <c r="D28" s="33">
        <v>75.0625</v>
      </c>
      <c r="E28" s="31" t="s">
        <v>74</v>
      </c>
      <c r="F28" s="34">
        <v>37468</v>
      </c>
      <c r="G28" s="1">
        <v>0</v>
      </c>
      <c r="H28" s="11">
        <f>G28*0.5995</f>
        <v>0</v>
      </c>
      <c r="I28" s="39" t="s">
        <v>52</v>
      </c>
      <c r="J28" s="10"/>
    </row>
    <row r="29" spans="1:11" x14ac:dyDescent="0.25">
      <c r="B29" s="5" t="s">
        <v>68</v>
      </c>
      <c r="C29" s="32">
        <v>1631</v>
      </c>
      <c r="D29" s="33">
        <v>75.0625</v>
      </c>
      <c r="E29" s="31" t="s">
        <v>74</v>
      </c>
      <c r="F29" s="34">
        <v>37652</v>
      </c>
      <c r="G29" s="1">
        <v>0</v>
      </c>
      <c r="H29" s="11">
        <f>G29*0.5995</f>
        <v>0</v>
      </c>
      <c r="I29" s="39" t="s">
        <v>151</v>
      </c>
      <c r="J29" s="10" t="s">
        <v>52</v>
      </c>
    </row>
    <row r="30" spans="1:11" x14ac:dyDescent="0.25">
      <c r="B30" s="5" t="s">
        <v>68</v>
      </c>
      <c r="C30" s="32">
        <v>1631</v>
      </c>
      <c r="D30" s="33">
        <v>75.0625</v>
      </c>
      <c r="E30" s="31" t="s">
        <v>74</v>
      </c>
      <c r="F30" s="34">
        <v>37833</v>
      </c>
      <c r="G30" s="1">
        <v>0</v>
      </c>
      <c r="H30" s="11">
        <f>G30*0.5995</f>
        <v>0</v>
      </c>
      <c r="I30" s="39" t="s">
        <v>52</v>
      </c>
      <c r="J30" s="9" t="s">
        <v>52</v>
      </c>
      <c r="K30" s="78" t="s">
        <v>52</v>
      </c>
    </row>
    <row r="31" spans="1:11" x14ac:dyDescent="0.25">
      <c r="B31" s="5" t="s">
        <v>68</v>
      </c>
      <c r="C31" s="32">
        <v>1084</v>
      </c>
      <c r="D31" s="33">
        <v>75.0625</v>
      </c>
      <c r="E31" s="31" t="s">
        <v>74</v>
      </c>
      <c r="F31" s="34">
        <v>38017</v>
      </c>
      <c r="G31" s="1">
        <v>0</v>
      </c>
      <c r="H31" s="11">
        <f>G31*0.5995</f>
        <v>0</v>
      </c>
      <c r="I31" s="58" t="s">
        <v>52</v>
      </c>
      <c r="J31" s="9" t="s">
        <v>52</v>
      </c>
    </row>
    <row r="32" spans="1:11" x14ac:dyDescent="0.25">
      <c r="B32" s="5"/>
      <c r="F32" s="34"/>
      <c r="G32" s="1"/>
      <c r="H32" s="11"/>
      <c r="I32" s="58"/>
      <c r="J32" s="9"/>
    </row>
    <row r="33" spans="1:11" s="2" customFormat="1" x14ac:dyDescent="0.25">
      <c r="A33" s="10">
        <v>151699</v>
      </c>
      <c r="B33" s="5" t="s">
        <v>76</v>
      </c>
      <c r="C33" s="13">
        <v>3331</v>
      </c>
      <c r="D33" s="1">
        <f>D$87</f>
        <v>0</v>
      </c>
      <c r="E33" s="1" t="s">
        <v>74</v>
      </c>
      <c r="F33" s="69" t="s">
        <v>94</v>
      </c>
      <c r="G33" s="1">
        <f>C33*(Sheet1!$E$31-D33)</f>
        <v>46001.11</v>
      </c>
      <c r="H33" s="11">
        <f t="shared" si="0"/>
        <v>27577.665445000002</v>
      </c>
      <c r="I33" s="10"/>
      <c r="J33" s="10" t="s">
        <v>52</v>
      </c>
      <c r="K33" s="5"/>
    </row>
    <row r="34" spans="1:11" s="2" customFormat="1" x14ac:dyDescent="0.25">
      <c r="A34" s="10"/>
      <c r="B34" s="5"/>
      <c r="C34" s="13"/>
      <c r="D34" s="1"/>
      <c r="E34" s="1"/>
      <c r="F34" s="69"/>
      <c r="G34" s="1"/>
      <c r="H34" s="11" t="s">
        <v>52</v>
      </c>
      <c r="I34" s="10"/>
      <c r="J34" s="10"/>
      <c r="K34" s="5"/>
    </row>
    <row r="35" spans="1:11" x14ac:dyDescent="0.25">
      <c r="A35" s="10">
        <v>160388</v>
      </c>
      <c r="B35" s="5" t="s">
        <v>68</v>
      </c>
      <c r="C35" s="13">
        <v>381</v>
      </c>
      <c r="D35" s="33">
        <v>83.125</v>
      </c>
      <c r="E35" s="31" t="s">
        <v>74</v>
      </c>
      <c r="F35" s="34">
        <v>37437</v>
      </c>
      <c r="G35" s="1">
        <v>0</v>
      </c>
      <c r="H35" s="11">
        <f t="shared" si="0"/>
        <v>0</v>
      </c>
      <c r="I35" s="10" t="s">
        <v>52</v>
      </c>
      <c r="J35" s="10"/>
    </row>
    <row r="36" spans="1:11" x14ac:dyDescent="0.25">
      <c r="A36" s="10" t="s">
        <v>52</v>
      </c>
      <c r="B36" s="5" t="s">
        <v>68</v>
      </c>
      <c r="C36" s="13">
        <v>381</v>
      </c>
      <c r="D36" s="33">
        <v>83.125</v>
      </c>
      <c r="E36" s="31" t="s">
        <v>74</v>
      </c>
      <c r="F36" s="34">
        <v>37802</v>
      </c>
      <c r="G36" s="1">
        <v>0</v>
      </c>
      <c r="H36" s="11">
        <f t="shared" si="0"/>
        <v>0</v>
      </c>
      <c r="I36" s="10" t="s">
        <v>52</v>
      </c>
      <c r="J36" s="10"/>
    </row>
    <row r="37" spans="1:11" x14ac:dyDescent="0.25">
      <c r="A37" s="10" t="s">
        <v>52</v>
      </c>
      <c r="B37" s="5" t="s">
        <v>68</v>
      </c>
      <c r="C37" s="13">
        <v>381</v>
      </c>
      <c r="D37" s="33">
        <v>83.125</v>
      </c>
      <c r="E37" s="31" t="s">
        <v>74</v>
      </c>
      <c r="F37" s="34">
        <v>38168</v>
      </c>
      <c r="G37" s="1">
        <v>0</v>
      </c>
      <c r="H37" s="11">
        <f t="shared" si="0"/>
        <v>0</v>
      </c>
      <c r="I37" s="10" t="s">
        <v>52</v>
      </c>
      <c r="J37" s="10"/>
    </row>
    <row r="38" spans="1:11" x14ac:dyDescent="0.25">
      <c r="A38" s="23" t="s">
        <v>52</v>
      </c>
      <c r="B38" s="5" t="s">
        <v>68</v>
      </c>
      <c r="C38" s="13">
        <v>381</v>
      </c>
      <c r="D38" s="33">
        <v>83.125</v>
      </c>
      <c r="E38" s="31" t="s">
        <v>74</v>
      </c>
      <c r="F38" s="34">
        <v>38533</v>
      </c>
      <c r="G38" s="1">
        <v>0</v>
      </c>
      <c r="H38" s="11">
        <f t="shared" si="0"/>
        <v>0</v>
      </c>
      <c r="I38" s="10" t="s">
        <v>52</v>
      </c>
      <c r="J38" s="10"/>
    </row>
    <row r="39" spans="1:11" x14ac:dyDescent="0.25">
      <c r="B39" s="5"/>
      <c r="C39" s="13"/>
      <c r="F39" s="34"/>
      <c r="G39" s="1"/>
      <c r="H39" s="11" t="s">
        <v>52</v>
      </c>
      <c r="I39" s="10"/>
      <c r="J39" s="10"/>
    </row>
    <row r="40" spans="1:11" x14ac:dyDescent="0.25">
      <c r="A40" s="10">
        <v>170855</v>
      </c>
      <c r="B40" s="5" t="s">
        <v>68</v>
      </c>
      <c r="C40" s="13">
        <v>347</v>
      </c>
      <c r="D40" s="33">
        <v>62.41</v>
      </c>
      <c r="E40" s="31" t="s">
        <v>74</v>
      </c>
      <c r="F40" s="88">
        <v>37196</v>
      </c>
      <c r="G40" s="1">
        <v>0</v>
      </c>
      <c r="H40" s="11">
        <f t="shared" si="0"/>
        <v>0</v>
      </c>
      <c r="I40" s="10"/>
      <c r="J40" s="10"/>
    </row>
    <row r="41" spans="1:11" x14ac:dyDescent="0.25">
      <c r="B41" s="5" t="s">
        <v>68</v>
      </c>
      <c r="C41" s="13">
        <v>347</v>
      </c>
      <c r="D41" s="33">
        <v>62.41</v>
      </c>
      <c r="E41" s="31" t="s">
        <v>74</v>
      </c>
      <c r="F41" s="34">
        <v>37377</v>
      </c>
      <c r="G41" s="1">
        <v>0</v>
      </c>
      <c r="H41" s="11">
        <f t="shared" si="0"/>
        <v>0</v>
      </c>
      <c r="I41" s="10"/>
      <c r="J41" s="10"/>
    </row>
    <row r="42" spans="1:11" x14ac:dyDescent="0.25">
      <c r="B42" s="5" t="s">
        <v>68</v>
      </c>
      <c r="C42" s="13">
        <v>347</v>
      </c>
      <c r="D42" s="33">
        <v>62.41</v>
      </c>
      <c r="E42" s="31" t="s">
        <v>74</v>
      </c>
      <c r="F42" s="34">
        <v>37561</v>
      </c>
      <c r="G42" s="1">
        <v>0</v>
      </c>
      <c r="H42" s="11">
        <f t="shared" si="0"/>
        <v>0</v>
      </c>
      <c r="I42" s="10"/>
      <c r="J42" s="10"/>
    </row>
    <row r="43" spans="1:11" x14ac:dyDescent="0.25">
      <c r="A43" s="10" t="s">
        <v>52</v>
      </c>
      <c r="B43" s="5" t="s">
        <v>68</v>
      </c>
      <c r="C43" s="13">
        <v>347</v>
      </c>
      <c r="D43" s="33">
        <v>62.41</v>
      </c>
      <c r="E43" s="31" t="s">
        <v>74</v>
      </c>
      <c r="F43" s="34">
        <v>37742</v>
      </c>
      <c r="G43" s="1">
        <v>0</v>
      </c>
      <c r="H43" s="11">
        <f t="shared" si="0"/>
        <v>0</v>
      </c>
      <c r="I43" s="10" t="s">
        <v>52</v>
      </c>
      <c r="J43" s="10"/>
    </row>
    <row r="44" spans="1:11" x14ac:dyDescent="0.25">
      <c r="A44" s="10" t="s">
        <v>52</v>
      </c>
      <c r="B44" s="5" t="s">
        <v>68</v>
      </c>
      <c r="C44" s="13">
        <v>347</v>
      </c>
      <c r="D44" s="33">
        <v>62.41</v>
      </c>
      <c r="E44" s="31" t="s">
        <v>74</v>
      </c>
      <c r="F44" s="34">
        <v>37926</v>
      </c>
      <c r="G44" s="1">
        <v>0</v>
      </c>
      <c r="H44" s="11">
        <f t="shared" si="0"/>
        <v>0</v>
      </c>
      <c r="I44" s="10" t="s">
        <v>52</v>
      </c>
      <c r="J44" s="10"/>
    </row>
    <row r="45" spans="1:11" x14ac:dyDescent="0.25">
      <c r="A45" s="23" t="s">
        <v>52</v>
      </c>
      <c r="B45" s="5" t="s">
        <v>68</v>
      </c>
      <c r="C45" s="13">
        <v>233</v>
      </c>
      <c r="D45" s="33">
        <v>62.41</v>
      </c>
      <c r="E45" s="31" t="s">
        <v>74</v>
      </c>
      <c r="F45" s="34">
        <v>38108</v>
      </c>
      <c r="G45" s="1">
        <v>0</v>
      </c>
      <c r="H45" s="11">
        <f t="shared" si="0"/>
        <v>0</v>
      </c>
      <c r="I45" s="23" t="s">
        <v>52</v>
      </c>
      <c r="J45" s="10"/>
    </row>
    <row r="46" spans="1:11" x14ac:dyDescent="0.25">
      <c r="B46" s="5"/>
      <c r="C46" s="13"/>
      <c r="F46" s="34"/>
      <c r="G46" s="1"/>
      <c r="H46" s="11"/>
      <c r="I46" s="23"/>
      <c r="J46" s="10"/>
    </row>
    <row r="47" spans="1:11" s="2" customFormat="1" x14ac:dyDescent="0.25">
      <c r="A47" s="10">
        <v>170894</v>
      </c>
      <c r="B47" s="5" t="s">
        <v>76</v>
      </c>
      <c r="C47" s="13">
        <v>223</v>
      </c>
      <c r="D47" s="1">
        <f>D$87</f>
        <v>0</v>
      </c>
      <c r="E47" s="1" t="s">
        <v>74</v>
      </c>
      <c r="F47" s="34">
        <v>37377</v>
      </c>
      <c r="G47" s="1">
        <f>C47*(Sheet1!$E$31-D47)</f>
        <v>3079.63</v>
      </c>
      <c r="H47" s="11">
        <f t="shared" si="0"/>
        <v>1846.2381850000002</v>
      </c>
      <c r="I47" s="10"/>
      <c r="J47" s="10"/>
      <c r="K47" s="5"/>
    </row>
    <row r="48" spans="1:11" s="2" customFormat="1" x14ac:dyDescent="0.25">
      <c r="A48" s="10" t="s">
        <v>52</v>
      </c>
      <c r="B48" s="5" t="s">
        <v>76</v>
      </c>
      <c r="C48" s="13">
        <v>223</v>
      </c>
      <c r="D48" s="1">
        <f>D$87</f>
        <v>0</v>
      </c>
      <c r="E48" s="1" t="s">
        <v>74</v>
      </c>
      <c r="F48" s="34">
        <v>37742</v>
      </c>
      <c r="G48" s="1">
        <f>C48*(Sheet1!$E$31-D48)</f>
        <v>3079.63</v>
      </c>
      <c r="H48" s="11">
        <f t="shared" si="0"/>
        <v>1846.2381850000002</v>
      </c>
      <c r="I48" s="10"/>
      <c r="J48" s="10"/>
      <c r="K48" s="5"/>
    </row>
    <row r="49" spans="1:11" s="2" customFormat="1" x14ac:dyDescent="0.25">
      <c r="A49" s="10" t="s">
        <v>52</v>
      </c>
      <c r="B49" s="5" t="s">
        <v>76</v>
      </c>
      <c r="C49" s="13">
        <v>222</v>
      </c>
      <c r="D49" s="1">
        <f>D$87</f>
        <v>0</v>
      </c>
      <c r="E49" s="1" t="s">
        <v>74</v>
      </c>
      <c r="F49" s="34">
        <v>38108</v>
      </c>
      <c r="G49" s="1">
        <f>C49*(Sheet1!$E$31-D49)</f>
        <v>3065.82</v>
      </c>
      <c r="H49" s="11">
        <f t="shared" si="0"/>
        <v>1837.9590900000003</v>
      </c>
      <c r="I49" s="10"/>
      <c r="J49" s="10"/>
      <c r="K49" s="5"/>
    </row>
    <row r="50" spans="1:11" s="2" customFormat="1" x14ac:dyDescent="0.25">
      <c r="A50" s="10"/>
      <c r="B50" s="5"/>
      <c r="C50" s="13"/>
      <c r="D50" s="1"/>
      <c r="E50" s="1"/>
      <c r="F50" s="34"/>
      <c r="G50" s="1"/>
      <c r="H50" s="11" t="s">
        <v>52</v>
      </c>
      <c r="I50" s="10"/>
      <c r="J50" s="10"/>
      <c r="K50" s="5"/>
    </row>
    <row r="51" spans="1:11" s="2" customFormat="1" x14ac:dyDescent="0.25">
      <c r="A51" s="10">
        <v>171029</v>
      </c>
      <c r="B51" s="5" t="s">
        <v>68</v>
      </c>
      <c r="C51" s="91">
        <v>348</v>
      </c>
      <c r="D51" s="33">
        <v>53.04</v>
      </c>
      <c r="E51" s="31" t="s">
        <v>74</v>
      </c>
      <c r="F51" s="88">
        <v>37226</v>
      </c>
      <c r="G51" s="1">
        <v>0</v>
      </c>
      <c r="H51" s="11">
        <f t="shared" si="0"/>
        <v>0</v>
      </c>
      <c r="I51" s="10"/>
      <c r="J51" s="10"/>
      <c r="K51" s="5"/>
    </row>
    <row r="52" spans="1:11" s="2" customFormat="1" x14ac:dyDescent="0.25">
      <c r="A52" s="10"/>
      <c r="B52" s="5" t="s">
        <v>68</v>
      </c>
      <c r="C52" s="13">
        <v>348</v>
      </c>
      <c r="D52" s="33">
        <v>53.04</v>
      </c>
      <c r="E52" s="31" t="s">
        <v>74</v>
      </c>
      <c r="F52" s="34">
        <v>37408</v>
      </c>
      <c r="G52" s="1">
        <v>0</v>
      </c>
      <c r="H52" s="11">
        <f t="shared" si="0"/>
        <v>0</v>
      </c>
      <c r="I52" s="10"/>
      <c r="J52" s="10"/>
      <c r="K52" s="5"/>
    </row>
    <row r="53" spans="1:11" s="2" customFormat="1" x14ac:dyDescent="0.25">
      <c r="A53" s="23" t="s">
        <v>52</v>
      </c>
      <c r="B53" s="5" t="s">
        <v>68</v>
      </c>
      <c r="C53" s="13">
        <v>348</v>
      </c>
      <c r="D53" s="33">
        <v>53.04</v>
      </c>
      <c r="E53" s="31" t="s">
        <v>74</v>
      </c>
      <c r="F53" s="34">
        <v>37591</v>
      </c>
      <c r="G53" s="1">
        <v>0</v>
      </c>
      <c r="H53" s="11">
        <f t="shared" si="0"/>
        <v>0</v>
      </c>
      <c r="I53" s="10"/>
      <c r="J53" s="10"/>
      <c r="K53" s="5"/>
    </row>
    <row r="54" spans="1:11" s="2" customFormat="1" x14ac:dyDescent="0.25">
      <c r="A54" s="10" t="s">
        <v>52</v>
      </c>
      <c r="B54" s="5" t="s">
        <v>68</v>
      </c>
      <c r="C54" s="13">
        <v>348</v>
      </c>
      <c r="D54" s="33">
        <v>53.04</v>
      </c>
      <c r="E54" s="31" t="s">
        <v>74</v>
      </c>
      <c r="F54" s="34">
        <v>37773</v>
      </c>
      <c r="G54" s="1">
        <v>0</v>
      </c>
      <c r="H54" s="11">
        <f t="shared" si="0"/>
        <v>0</v>
      </c>
      <c r="I54" s="10"/>
      <c r="J54" s="10"/>
      <c r="K54" s="5"/>
    </row>
    <row r="55" spans="1:11" s="2" customFormat="1" x14ac:dyDescent="0.25">
      <c r="A55" s="10" t="s">
        <v>52</v>
      </c>
      <c r="B55" s="5" t="s">
        <v>68</v>
      </c>
      <c r="C55" s="13">
        <v>348</v>
      </c>
      <c r="D55" s="33">
        <v>53.04</v>
      </c>
      <c r="E55" s="31" t="s">
        <v>74</v>
      </c>
      <c r="F55" s="34">
        <v>37956</v>
      </c>
      <c r="G55" s="1">
        <v>0</v>
      </c>
      <c r="H55" s="11">
        <f t="shared" si="0"/>
        <v>0</v>
      </c>
      <c r="I55" s="10"/>
      <c r="J55" s="10"/>
      <c r="K55" s="5"/>
    </row>
    <row r="56" spans="1:11" s="2" customFormat="1" x14ac:dyDescent="0.25">
      <c r="A56" s="23" t="s">
        <v>52</v>
      </c>
      <c r="B56" s="5" t="s">
        <v>68</v>
      </c>
      <c r="C56" s="13">
        <v>227</v>
      </c>
      <c r="D56" s="33">
        <v>53.04</v>
      </c>
      <c r="E56" s="31" t="s">
        <v>74</v>
      </c>
      <c r="F56" s="34">
        <v>38139</v>
      </c>
      <c r="G56" s="1">
        <v>0</v>
      </c>
      <c r="H56" s="11">
        <f t="shared" si="0"/>
        <v>0</v>
      </c>
      <c r="I56" s="23" t="s">
        <v>52</v>
      </c>
      <c r="J56" s="10"/>
      <c r="K56" s="5"/>
    </row>
    <row r="57" spans="1:11" s="2" customFormat="1" x14ac:dyDescent="0.25">
      <c r="A57" s="10"/>
      <c r="B57" s="5"/>
      <c r="C57" s="13"/>
      <c r="D57" s="33"/>
      <c r="E57" s="31"/>
      <c r="F57" s="34"/>
      <c r="G57" s="1"/>
      <c r="H57" s="11"/>
      <c r="I57" s="23"/>
      <c r="J57" s="10"/>
      <c r="K57" s="5"/>
    </row>
    <row r="58" spans="1:11" s="2" customFormat="1" x14ac:dyDescent="0.25">
      <c r="A58" s="10">
        <v>171088</v>
      </c>
      <c r="B58" s="5" t="s">
        <v>76</v>
      </c>
      <c r="C58" s="13">
        <v>262</v>
      </c>
      <c r="D58" s="1">
        <f>D$87</f>
        <v>0</v>
      </c>
      <c r="E58" s="1" t="s">
        <v>74</v>
      </c>
      <c r="F58" s="34">
        <v>37408</v>
      </c>
      <c r="G58" s="1">
        <f>C58*(Sheet1!$E$31-D58)</f>
        <v>3618.2200000000003</v>
      </c>
      <c r="H58" s="11">
        <f t="shared" si="0"/>
        <v>2169.1228900000001</v>
      </c>
      <c r="I58" s="10"/>
      <c r="J58" s="10"/>
      <c r="K58" s="5"/>
    </row>
    <row r="59" spans="1:11" s="2" customFormat="1" x14ac:dyDescent="0.25">
      <c r="A59" s="10" t="s">
        <v>52</v>
      </c>
      <c r="B59" s="5" t="s">
        <v>76</v>
      </c>
      <c r="C59" s="13">
        <v>262</v>
      </c>
      <c r="D59" s="1">
        <f>D$87</f>
        <v>0</v>
      </c>
      <c r="E59" s="1" t="s">
        <v>74</v>
      </c>
      <c r="F59" s="34">
        <v>37773</v>
      </c>
      <c r="G59" s="1">
        <f>C59*(Sheet1!$E$31-D59)</f>
        <v>3618.2200000000003</v>
      </c>
      <c r="H59" s="11">
        <f t="shared" si="0"/>
        <v>2169.1228900000001</v>
      </c>
      <c r="I59" s="10"/>
      <c r="J59" s="10"/>
      <c r="K59" s="5"/>
    </row>
    <row r="60" spans="1:11" s="2" customFormat="1" x14ac:dyDescent="0.25">
      <c r="A60" s="23" t="s">
        <v>52</v>
      </c>
      <c r="B60" s="5" t="s">
        <v>76</v>
      </c>
      <c r="C60" s="13">
        <v>262</v>
      </c>
      <c r="D60" s="1">
        <f>D$87</f>
        <v>0</v>
      </c>
      <c r="E60" s="1" t="s">
        <v>74</v>
      </c>
      <c r="F60" s="34">
        <v>38139</v>
      </c>
      <c r="G60" s="1">
        <f>C60*(Sheet1!$E$31-D60)</f>
        <v>3618.2200000000003</v>
      </c>
      <c r="H60" s="11">
        <f t="shared" si="0"/>
        <v>2169.1228900000001</v>
      </c>
      <c r="I60" s="10"/>
      <c r="J60" s="10"/>
      <c r="K60" s="5"/>
    </row>
    <row r="61" spans="1:11" s="2" customFormat="1" x14ac:dyDescent="0.25">
      <c r="A61" s="10"/>
      <c r="B61" s="5"/>
      <c r="C61" s="13"/>
      <c r="D61" s="1"/>
      <c r="E61" s="1"/>
      <c r="F61" s="34"/>
      <c r="G61" s="1"/>
      <c r="H61" s="11"/>
      <c r="I61" s="10"/>
      <c r="J61" s="10"/>
      <c r="K61" s="5"/>
    </row>
    <row r="62" spans="1:11" s="2" customFormat="1" x14ac:dyDescent="0.25">
      <c r="A62" s="10">
        <v>171153</v>
      </c>
      <c r="B62" s="5" t="s">
        <v>68</v>
      </c>
      <c r="C62" s="13">
        <v>417</v>
      </c>
      <c r="D62" s="33">
        <v>48.3</v>
      </c>
      <c r="E62" s="31" t="s">
        <v>74</v>
      </c>
      <c r="F62" s="34">
        <v>37258</v>
      </c>
      <c r="G62" s="1">
        <v>0</v>
      </c>
      <c r="H62" s="11">
        <f t="shared" si="0"/>
        <v>0</v>
      </c>
      <c r="I62" s="10"/>
      <c r="J62" s="10"/>
      <c r="K62" s="5"/>
    </row>
    <row r="63" spans="1:11" s="2" customFormat="1" x14ac:dyDescent="0.25">
      <c r="A63" s="10"/>
      <c r="B63" s="5" t="s">
        <v>68</v>
      </c>
      <c r="C63" s="13">
        <v>417</v>
      </c>
      <c r="D63" s="33">
        <v>48.3</v>
      </c>
      <c r="E63" s="31" t="s">
        <v>74</v>
      </c>
      <c r="F63" s="34">
        <v>37439</v>
      </c>
      <c r="G63" s="1">
        <v>0</v>
      </c>
      <c r="H63" s="11">
        <f t="shared" si="0"/>
        <v>0</v>
      </c>
      <c r="I63" s="10"/>
      <c r="J63" s="10"/>
      <c r="K63" s="5"/>
    </row>
    <row r="64" spans="1:11" s="2" customFormat="1" x14ac:dyDescent="0.25">
      <c r="A64" s="10"/>
      <c r="B64" s="5" t="s">
        <v>68</v>
      </c>
      <c r="C64" s="13">
        <v>417</v>
      </c>
      <c r="D64" s="33">
        <v>48.3</v>
      </c>
      <c r="E64" s="31" t="s">
        <v>74</v>
      </c>
      <c r="F64" s="34">
        <v>37623</v>
      </c>
      <c r="G64" s="1">
        <v>0</v>
      </c>
      <c r="H64" s="11">
        <f t="shared" si="0"/>
        <v>0</v>
      </c>
      <c r="I64" s="10"/>
      <c r="J64" s="10"/>
      <c r="K64" s="5"/>
    </row>
    <row r="65" spans="1:11" s="2" customFormat="1" x14ac:dyDescent="0.25">
      <c r="A65" s="10" t="s">
        <v>52</v>
      </c>
      <c r="B65" s="5" t="s">
        <v>68</v>
      </c>
      <c r="C65" s="13">
        <v>417</v>
      </c>
      <c r="D65" s="33">
        <v>48.3</v>
      </c>
      <c r="E65" s="31" t="s">
        <v>74</v>
      </c>
      <c r="F65" s="34">
        <v>37804</v>
      </c>
      <c r="G65" s="1">
        <v>0</v>
      </c>
      <c r="H65" s="11">
        <f t="shared" si="0"/>
        <v>0</v>
      </c>
      <c r="I65" s="10"/>
      <c r="J65" s="10"/>
      <c r="K65" s="5"/>
    </row>
    <row r="66" spans="1:11" s="2" customFormat="1" x14ac:dyDescent="0.25">
      <c r="A66" s="10" t="s">
        <v>52</v>
      </c>
      <c r="B66" s="5" t="s">
        <v>68</v>
      </c>
      <c r="C66" s="13">
        <v>417</v>
      </c>
      <c r="D66" s="33">
        <v>48.3</v>
      </c>
      <c r="E66" s="31" t="s">
        <v>74</v>
      </c>
      <c r="F66" s="34">
        <v>37988</v>
      </c>
      <c r="G66" s="1">
        <v>0</v>
      </c>
      <c r="H66" s="11">
        <f t="shared" si="0"/>
        <v>0</v>
      </c>
      <c r="I66" s="10"/>
      <c r="J66" s="10"/>
      <c r="K66" s="5"/>
    </row>
    <row r="67" spans="1:11" s="2" customFormat="1" x14ac:dyDescent="0.25">
      <c r="A67" s="10" t="s">
        <v>52</v>
      </c>
      <c r="B67" s="5" t="s">
        <v>68</v>
      </c>
      <c r="C67" s="13">
        <v>276</v>
      </c>
      <c r="D67" s="33">
        <v>48.3</v>
      </c>
      <c r="E67" s="31" t="s">
        <v>74</v>
      </c>
      <c r="F67" s="34">
        <v>38170</v>
      </c>
      <c r="G67" s="1">
        <v>0</v>
      </c>
      <c r="H67" s="11">
        <f t="shared" si="0"/>
        <v>0</v>
      </c>
      <c r="I67" s="10"/>
      <c r="J67" s="10"/>
      <c r="K67" s="5"/>
    </row>
    <row r="68" spans="1:11" s="2" customFormat="1" x14ac:dyDescent="0.25">
      <c r="A68" s="10"/>
      <c r="B68" s="5"/>
      <c r="C68" s="13"/>
      <c r="D68" s="1"/>
      <c r="E68" s="1"/>
      <c r="F68" s="34"/>
      <c r="G68" s="1"/>
      <c r="H68" s="11"/>
      <c r="I68" s="10"/>
      <c r="J68" s="10"/>
      <c r="K68" s="5"/>
    </row>
    <row r="69" spans="1:11" s="2" customFormat="1" x14ac:dyDescent="0.25">
      <c r="A69" s="10">
        <v>171230</v>
      </c>
      <c r="B69" s="5" t="s">
        <v>76</v>
      </c>
      <c r="C69" s="13">
        <v>288</v>
      </c>
      <c r="D69" s="1">
        <v>0</v>
      </c>
      <c r="E69" s="1" t="s">
        <v>74</v>
      </c>
      <c r="F69" s="34">
        <v>37439</v>
      </c>
      <c r="G69" s="1">
        <f>C69*(Sheet1!$E$31-D69)</f>
        <v>3977.28</v>
      </c>
      <c r="H69" s="11">
        <f t="shared" si="0"/>
        <v>2384.3793600000004</v>
      </c>
      <c r="I69" s="10"/>
      <c r="J69" s="10"/>
      <c r="K69" s="5"/>
    </row>
    <row r="70" spans="1:11" s="2" customFormat="1" x14ac:dyDescent="0.25">
      <c r="A70" s="10" t="s">
        <v>52</v>
      </c>
      <c r="B70" s="5" t="s">
        <v>76</v>
      </c>
      <c r="C70" s="13">
        <v>288</v>
      </c>
      <c r="D70" s="1">
        <f>D$87</f>
        <v>0</v>
      </c>
      <c r="E70" s="1" t="s">
        <v>74</v>
      </c>
      <c r="F70" s="34">
        <v>37804</v>
      </c>
      <c r="G70" s="1">
        <f>C70*(Sheet1!$E$31-D70)</f>
        <v>3977.28</v>
      </c>
      <c r="H70" s="11">
        <f t="shared" si="0"/>
        <v>2384.3793600000004</v>
      </c>
      <c r="I70" s="10"/>
      <c r="J70" s="10"/>
      <c r="K70" s="5"/>
    </row>
    <row r="71" spans="1:11" s="2" customFormat="1" x14ac:dyDescent="0.25">
      <c r="A71" s="10" t="s">
        <v>52</v>
      </c>
      <c r="B71" s="5" t="s">
        <v>76</v>
      </c>
      <c r="C71" s="13">
        <v>287</v>
      </c>
      <c r="D71" s="1">
        <f>D$87</f>
        <v>0</v>
      </c>
      <c r="E71" s="1" t="s">
        <v>74</v>
      </c>
      <c r="F71" s="34">
        <v>38170</v>
      </c>
      <c r="G71" s="1">
        <f>C71*(Sheet1!$E$31-D71)</f>
        <v>3963.4700000000003</v>
      </c>
      <c r="H71" s="11">
        <f t="shared" si="0"/>
        <v>2376.1002650000005</v>
      </c>
      <c r="I71" s="10"/>
      <c r="J71" s="10"/>
      <c r="K71" s="5"/>
    </row>
    <row r="72" spans="1:11" s="2" customFormat="1" x14ac:dyDescent="0.25">
      <c r="A72" s="10"/>
      <c r="B72" s="5"/>
      <c r="C72" s="13"/>
      <c r="D72" s="1"/>
      <c r="E72" s="1"/>
      <c r="F72" s="34"/>
      <c r="G72" s="1"/>
      <c r="H72" s="7"/>
      <c r="I72" s="10"/>
      <c r="J72" s="10"/>
      <c r="K72" s="5"/>
    </row>
    <row r="73" spans="1:11" x14ac:dyDescent="0.25">
      <c r="B73" s="5"/>
      <c r="C73" s="13"/>
      <c r="F73" s="34"/>
      <c r="G73" s="1"/>
      <c r="H73" s="7"/>
      <c r="I73" s="10"/>
      <c r="J73" s="10"/>
    </row>
    <row r="74" spans="1:11" s="2" customFormat="1" ht="13.8" thickBot="1" x14ac:dyDescent="0.3">
      <c r="A74" s="51"/>
      <c r="B74" s="18"/>
      <c r="C74" s="24"/>
      <c r="D74" s="82"/>
      <c r="E74" s="82"/>
      <c r="F74" s="83"/>
      <c r="G74" s="44"/>
      <c r="H74" s="44"/>
      <c r="I74" s="10"/>
      <c r="J74" s="10"/>
      <c r="K74" s="5"/>
    </row>
    <row r="75" spans="1:11" x14ac:dyDescent="0.25">
      <c r="A75" s="39"/>
      <c r="B75" s="85"/>
      <c r="C75" s="36" t="s">
        <v>52</v>
      </c>
      <c r="D75" s="86"/>
      <c r="E75" s="84"/>
      <c r="F75" s="85"/>
      <c r="I75" s="10"/>
      <c r="J75" s="9" t="s">
        <v>52</v>
      </c>
    </row>
    <row r="76" spans="1:11" x14ac:dyDescent="0.25">
      <c r="C76" s="31" t="s">
        <v>52</v>
      </c>
      <c r="E76" s="1"/>
      <c r="G76" s="15">
        <f>SUM(G14:G74)</f>
        <v>12222.960000000006</v>
      </c>
      <c r="H76" s="15">
        <f>SUM(H14:H74)</f>
        <v>7327.6645200000021</v>
      </c>
      <c r="I76" s="10"/>
      <c r="J76" s="9" t="s">
        <v>52</v>
      </c>
    </row>
    <row r="77" spans="1:11" ht="13.8" thickBot="1" x14ac:dyDescent="0.3">
      <c r="C77" s="31" t="s">
        <v>93</v>
      </c>
      <c r="G77" s="44"/>
      <c r="H77" s="44"/>
    </row>
    <row r="78" spans="1:11" x14ac:dyDescent="0.25">
      <c r="C78" s="31" t="s">
        <v>52</v>
      </c>
      <c r="G78" s="15"/>
      <c r="H78" s="15"/>
    </row>
    <row r="79" spans="1:11" x14ac:dyDescent="0.25">
      <c r="A79" s="10" t="s">
        <v>52</v>
      </c>
      <c r="B79" s="31" t="s">
        <v>52</v>
      </c>
      <c r="C79" s="31" t="s">
        <v>52</v>
      </c>
      <c r="G79" s="15"/>
      <c r="H79" s="15"/>
    </row>
    <row r="80" spans="1:11" x14ac:dyDescent="0.25">
      <c r="C80" s="31" t="s">
        <v>52</v>
      </c>
      <c r="G80" s="15"/>
      <c r="H80" s="15"/>
    </row>
    <row r="81" spans="2:8" x14ac:dyDescent="0.25">
      <c r="C81" s="31" t="s">
        <v>52</v>
      </c>
      <c r="G81" s="15"/>
      <c r="H81" s="15"/>
    </row>
    <row r="82" spans="2:8" x14ac:dyDescent="0.25">
      <c r="C82" s="31" t="s">
        <v>52</v>
      </c>
      <c r="G82" s="15"/>
      <c r="H82" s="15"/>
    </row>
    <row r="83" spans="2:8" x14ac:dyDescent="0.25">
      <c r="C83" s="31" t="s">
        <v>52</v>
      </c>
      <c r="G83" s="15"/>
      <c r="H83" s="15"/>
    </row>
    <row r="84" spans="2:8" x14ac:dyDescent="0.25">
      <c r="B84" s="75" t="s">
        <v>96</v>
      </c>
      <c r="C84" s="31" t="s">
        <v>52</v>
      </c>
      <c r="G84" s="15"/>
      <c r="H84" s="15"/>
    </row>
    <row r="85" spans="2:8" x14ac:dyDescent="0.25">
      <c r="B85" s="76">
        <v>1703520.19</v>
      </c>
      <c r="C85" s="31" t="s">
        <v>97</v>
      </c>
      <c r="G85" s="15"/>
      <c r="H85" s="15"/>
    </row>
    <row r="86" spans="2:8" x14ac:dyDescent="0.25">
      <c r="B86" s="76">
        <f>8102.62*11</f>
        <v>89128.819999999992</v>
      </c>
      <c r="C86" s="31" t="s">
        <v>98</v>
      </c>
      <c r="G86" s="15"/>
      <c r="H86" s="15"/>
    </row>
    <row r="87" spans="2:8" x14ac:dyDescent="0.25">
      <c r="B87" s="76">
        <v>333000</v>
      </c>
      <c r="C87" s="31" t="s">
        <v>106</v>
      </c>
      <c r="G87" s="15"/>
      <c r="H87" s="15"/>
    </row>
    <row r="88" spans="2:8" x14ac:dyDescent="0.25">
      <c r="B88" s="76"/>
      <c r="C88" s="31" t="s">
        <v>52</v>
      </c>
      <c r="G88" s="15"/>
      <c r="H88" s="15"/>
    </row>
    <row r="89" spans="2:8" x14ac:dyDescent="0.25">
      <c r="B89" s="76"/>
      <c r="C89" s="31" t="s">
        <v>52</v>
      </c>
      <c r="G89" s="15"/>
      <c r="H89" s="15"/>
    </row>
    <row r="90" spans="2:8" x14ac:dyDescent="0.25">
      <c r="B90" s="76"/>
      <c r="C90" s="31" t="s">
        <v>52</v>
      </c>
      <c r="G90" s="15"/>
      <c r="H90" s="15"/>
    </row>
    <row r="91" spans="2:8" ht="13.8" thickBot="1" x14ac:dyDescent="0.3">
      <c r="B91" s="77"/>
      <c r="C91" s="31" t="s">
        <v>52</v>
      </c>
      <c r="G91" s="15"/>
      <c r="H91" s="15"/>
    </row>
    <row r="92" spans="2:8" x14ac:dyDescent="0.25">
      <c r="B92" s="76"/>
      <c r="C92" s="31" t="s">
        <v>52</v>
      </c>
      <c r="G92" s="15"/>
      <c r="H92" s="15"/>
    </row>
    <row r="93" spans="2:8" x14ac:dyDescent="0.25">
      <c r="B93" s="76">
        <f>SUM(B85:B91)</f>
        <v>2125649.0099999998</v>
      </c>
      <c r="C93" s="32" t="s">
        <v>99</v>
      </c>
      <c r="G93" s="15"/>
      <c r="H93" s="15"/>
    </row>
    <row r="94" spans="2:8" ht="13.8" thickBot="1" x14ac:dyDescent="0.3">
      <c r="B94" s="77">
        <v>0.39600000000000002</v>
      </c>
      <c r="C94" s="74" t="s">
        <v>100</v>
      </c>
      <c r="G94" s="15"/>
      <c r="H94" s="15"/>
    </row>
    <row r="95" spans="2:8" x14ac:dyDescent="0.25">
      <c r="B95" s="76"/>
      <c r="C95" s="32" t="s">
        <v>102</v>
      </c>
      <c r="G95" s="15"/>
      <c r="H95" s="15"/>
    </row>
    <row r="96" spans="2:8" x14ac:dyDescent="0.25">
      <c r="B96" s="76">
        <f>B93*B94</f>
        <v>841757.00795999996</v>
      </c>
      <c r="C96" s="32" t="s">
        <v>101</v>
      </c>
      <c r="G96" s="15"/>
      <c r="H96" s="15"/>
    </row>
    <row r="97" spans="2:8" x14ac:dyDescent="0.25">
      <c r="B97" s="76"/>
      <c r="G97" s="15"/>
      <c r="H97" s="15"/>
    </row>
    <row r="98" spans="2:8" x14ac:dyDescent="0.25">
      <c r="B98" s="76">
        <v>-475166.71</v>
      </c>
      <c r="C98" s="32" t="s">
        <v>103</v>
      </c>
      <c r="G98" s="15"/>
      <c r="H98" s="15"/>
    </row>
    <row r="99" spans="2:8" x14ac:dyDescent="0.25">
      <c r="B99" s="76"/>
      <c r="G99" s="15"/>
      <c r="H99" s="15"/>
    </row>
    <row r="100" spans="2:8" x14ac:dyDescent="0.25">
      <c r="B100" s="76">
        <f>-21*1677</f>
        <v>-35217</v>
      </c>
      <c r="C100" s="32" t="s">
        <v>104</v>
      </c>
      <c r="G100" s="15"/>
      <c r="H100" s="15"/>
    </row>
    <row r="101" spans="2:8" x14ac:dyDescent="0.25">
      <c r="B101" s="76"/>
      <c r="C101" s="32" t="s">
        <v>105</v>
      </c>
      <c r="G101" s="15"/>
      <c r="H101" s="15"/>
    </row>
    <row r="102" spans="2:8" x14ac:dyDescent="0.25">
      <c r="B102" s="76"/>
      <c r="G102" s="15"/>
      <c r="H102" s="15"/>
    </row>
    <row r="103" spans="2:8" x14ac:dyDescent="0.25">
      <c r="B103" s="76">
        <f>-333000*0.28</f>
        <v>-93240.000000000015</v>
      </c>
      <c r="C103" s="32" t="s">
        <v>107</v>
      </c>
      <c r="G103" s="15"/>
      <c r="H103" s="15"/>
    </row>
    <row r="104" spans="2:8" ht="13.8" thickBot="1" x14ac:dyDescent="0.3">
      <c r="B104" s="77"/>
      <c r="C104" s="32" t="s">
        <v>108</v>
      </c>
      <c r="G104" s="15"/>
      <c r="H104" s="15"/>
    </row>
    <row r="105" spans="2:8" x14ac:dyDescent="0.25">
      <c r="B105" s="76"/>
      <c r="G105" s="15"/>
      <c r="H105" s="15"/>
    </row>
    <row r="106" spans="2:8" x14ac:dyDescent="0.25">
      <c r="B106" s="76">
        <f>SUM(B96:B103)</f>
        <v>238133.29795999994</v>
      </c>
      <c r="C106" s="32" t="s">
        <v>109</v>
      </c>
      <c r="G106" s="15"/>
      <c r="H106" s="15"/>
    </row>
    <row r="107" spans="2:8" ht="13.8" thickBot="1" x14ac:dyDescent="0.3">
      <c r="B107" s="77"/>
      <c r="C107" s="32" t="s">
        <v>110</v>
      </c>
      <c r="G107" s="15"/>
      <c r="H107" s="15"/>
    </row>
    <row r="108" spans="2:8" x14ac:dyDescent="0.25">
      <c r="B108" s="76"/>
      <c r="C108" s="32" t="s">
        <v>111</v>
      </c>
    </row>
    <row r="109" spans="2:8" x14ac:dyDescent="0.25">
      <c r="B109" s="76"/>
    </row>
    <row r="110" spans="2:8" x14ac:dyDescent="0.25">
      <c r="B110" s="76">
        <f>+B$106/4</f>
        <v>59533.324489999985</v>
      </c>
      <c r="C110" s="32" t="s">
        <v>113</v>
      </c>
    </row>
    <row r="111" spans="2:8" x14ac:dyDescent="0.25">
      <c r="B111" s="76">
        <f>+B$106/4</f>
        <v>59533.324489999985</v>
      </c>
      <c r="C111" s="32" t="s">
        <v>114</v>
      </c>
    </row>
    <row r="112" spans="2:8" x14ac:dyDescent="0.25">
      <c r="B112" s="76">
        <f>+B$106/4</f>
        <v>59533.324489999985</v>
      </c>
      <c r="C112" s="32" t="s">
        <v>115</v>
      </c>
    </row>
    <row r="113" spans="2:9" x14ac:dyDescent="0.25">
      <c r="B113" s="76">
        <f>+B$106/4</f>
        <v>59533.324489999985</v>
      </c>
      <c r="C113" s="32" t="s">
        <v>112</v>
      </c>
    </row>
    <row r="114" spans="2:9" x14ac:dyDescent="0.25">
      <c r="B114" s="76" t="s">
        <v>52</v>
      </c>
    </row>
    <row r="115" spans="2:9" x14ac:dyDescent="0.25">
      <c r="B115" s="76"/>
    </row>
    <row r="119" spans="2:9" x14ac:dyDescent="0.25">
      <c r="B119" s="2" t="s">
        <v>52</v>
      </c>
      <c r="C119" s="13" t="s">
        <v>52</v>
      </c>
      <c r="D119" s="13" t="s">
        <v>52</v>
      </c>
      <c r="E119" s="1" t="s">
        <v>52</v>
      </c>
      <c r="I119" s="1"/>
    </row>
    <row r="120" spans="2:9" x14ac:dyDescent="0.25">
      <c r="B120" s="2" t="s">
        <v>52</v>
      </c>
      <c r="C120" s="13" t="s">
        <v>52</v>
      </c>
      <c r="D120" s="13" t="s">
        <v>52</v>
      </c>
      <c r="E120" s="1" t="s">
        <v>52</v>
      </c>
      <c r="I120" s="1"/>
    </row>
    <row r="121" spans="2:9" x14ac:dyDescent="0.25">
      <c r="B121" s="2" t="s">
        <v>52</v>
      </c>
      <c r="C121" s="13" t="s">
        <v>52</v>
      </c>
      <c r="D121" s="13" t="s">
        <v>52</v>
      </c>
      <c r="E121" s="1" t="s">
        <v>52</v>
      </c>
      <c r="I121" s="1"/>
    </row>
    <row r="122" spans="2:9" x14ac:dyDescent="0.25">
      <c r="B122" s="2"/>
      <c r="C122" s="13" t="s">
        <v>52</v>
      </c>
      <c r="D122" s="13" t="s">
        <v>52</v>
      </c>
      <c r="E122" s="1" t="s">
        <v>52</v>
      </c>
      <c r="I122" s="1"/>
    </row>
    <row r="123" spans="2:9" x14ac:dyDescent="0.25">
      <c r="B123" s="5" t="s">
        <v>52</v>
      </c>
      <c r="C123" s="13" t="s">
        <v>52</v>
      </c>
      <c r="D123" s="13" t="s">
        <v>52</v>
      </c>
      <c r="E123" s="1" t="s">
        <v>52</v>
      </c>
      <c r="I123" s="2"/>
    </row>
    <row r="124" spans="2:9" x14ac:dyDescent="0.25">
      <c r="B124" s="2" t="s">
        <v>52</v>
      </c>
      <c r="C124" s="13" t="s">
        <v>52</v>
      </c>
      <c r="D124" s="13" t="s">
        <v>52</v>
      </c>
      <c r="E124" s="1" t="s">
        <v>52</v>
      </c>
      <c r="F124" s="1" t="s">
        <v>52</v>
      </c>
      <c r="I124" s="1" t="s">
        <v>52</v>
      </c>
    </row>
    <row r="125" spans="2:9" x14ac:dyDescent="0.25">
      <c r="B125" s="2" t="s">
        <v>52</v>
      </c>
      <c r="C125" s="13" t="s">
        <v>52</v>
      </c>
      <c r="D125" s="13" t="s">
        <v>52</v>
      </c>
      <c r="E125" s="1" t="s">
        <v>52</v>
      </c>
      <c r="F125" s="1" t="s">
        <v>52</v>
      </c>
      <c r="I125" s="1" t="s">
        <v>52</v>
      </c>
    </row>
    <row r="126" spans="2:9" x14ac:dyDescent="0.25">
      <c r="B126" s="2" t="s">
        <v>52</v>
      </c>
      <c r="C126" s="13" t="s">
        <v>52</v>
      </c>
      <c r="D126" s="13" t="s">
        <v>52</v>
      </c>
      <c r="E126" s="1" t="s">
        <v>52</v>
      </c>
      <c r="F126" s="1" t="s">
        <v>52</v>
      </c>
      <c r="I126" s="1" t="s">
        <v>52</v>
      </c>
    </row>
    <row r="127" spans="2:9" x14ac:dyDescent="0.25">
      <c r="B127" s="2" t="s">
        <v>52</v>
      </c>
      <c r="C127" s="13" t="s">
        <v>52</v>
      </c>
      <c r="D127" s="13" t="s">
        <v>52</v>
      </c>
      <c r="E127" s="1" t="s">
        <v>52</v>
      </c>
      <c r="F127" s="1" t="s">
        <v>52</v>
      </c>
      <c r="I127" s="1" t="s">
        <v>52</v>
      </c>
    </row>
    <row r="128" spans="2:9" x14ac:dyDescent="0.25">
      <c r="B128" s="2" t="s">
        <v>52</v>
      </c>
      <c r="C128" s="13" t="s">
        <v>52</v>
      </c>
      <c r="D128" s="13" t="s">
        <v>52</v>
      </c>
      <c r="E128" s="1" t="s">
        <v>52</v>
      </c>
      <c r="F128" s="1" t="s">
        <v>52</v>
      </c>
      <c r="I128" s="1" t="s">
        <v>52</v>
      </c>
    </row>
    <row r="129" spans="2:9" x14ac:dyDescent="0.25">
      <c r="B129" s="2" t="s">
        <v>52</v>
      </c>
      <c r="C129" s="13" t="s">
        <v>52</v>
      </c>
      <c r="D129" s="13" t="s">
        <v>52</v>
      </c>
      <c r="E129" s="1" t="s">
        <v>52</v>
      </c>
      <c r="F129" s="1" t="s">
        <v>52</v>
      </c>
      <c r="I129" s="1" t="s">
        <v>52</v>
      </c>
    </row>
    <row r="130" spans="2:9" x14ac:dyDescent="0.25">
      <c r="B130" s="2" t="s">
        <v>52</v>
      </c>
      <c r="C130" s="13" t="s">
        <v>52</v>
      </c>
      <c r="D130" s="13" t="s">
        <v>52</v>
      </c>
      <c r="E130" s="1" t="s">
        <v>52</v>
      </c>
      <c r="F130" s="1" t="s">
        <v>52</v>
      </c>
      <c r="I130" s="1" t="s">
        <v>52</v>
      </c>
    </row>
    <row r="131" spans="2:9" x14ac:dyDescent="0.25">
      <c r="B131" s="2" t="s">
        <v>52</v>
      </c>
      <c r="C131" s="13" t="s">
        <v>52</v>
      </c>
      <c r="D131" s="13" t="s">
        <v>52</v>
      </c>
      <c r="E131" s="1" t="s">
        <v>52</v>
      </c>
      <c r="F131" s="1" t="s">
        <v>52</v>
      </c>
      <c r="I131" s="1" t="s">
        <v>52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unvested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Havlíček Jan</cp:lastModifiedBy>
  <cp:lastPrinted>2001-10-16T22:28:21Z</cp:lastPrinted>
  <dcterms:created xsi:type="dcterms:W3CDTF">1998-07-16T04:01:00Z</dcterms:created>
  <dcterms:modified xsi:type="dcterms:W3CDTF">2023-09-13T22:48:25Z</dcterms:modified>
</cp:coreProperties>
</file>