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M18" i="1"/>
  <c r="J20" i="1"/>
  <c r="K20" i="1"/>
  <c r="M20" i="1"/>
  <c r="O20" i="1"/>
  <c r="G23" i="1"/>
  <c r="H23" i="1"/>
  <c r="J23" i="1"/>
  <c r="K23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D34" i="1"/>
  <c r="G34" i="1"/>
  <c r="H34" i="1"/>
  <c r="J34" i="1"/>
  <c r="K34" i="1"/>
  <c r="G35" i="1"/>
  <c r="H35" i="1"/>
  <c r="J35" i="1"/>
  <c r="K35" i="1"/>
  <c r="K37" i="1"/>
  <c r="G38" i="1"/>
  <c r="H38" i="1"/>
  <c r="J38" i="1"/>
  <c r="K38" i="1"/>
  <c r="D40" i="1"/>
  <c r="E40" i="1"/>
  <c r="F40" i="1"/>
  <c r="G40" i="1"/>
  <c r="H40" i="1"/>
  <c r="J40" i="1"/>
  <c r="K40" i="1"/>
  <c r="G43" i="1"/>
  <c r="H43" i="1"/>
  <c r="J43" i="1"/>
  <c r="K43" i="1"/>
  <c r="G46" i="1"/>
  <c r="H46" i="1"/>
  <c r="J46" i="1"/>
  <c r="K46" i="1"/>
  <c r="D47" i="1"/>
  <c r="E47" i="1"/>
  <c r="F47" i="1"/>
  <c r="G47" i="1"/>
  <c r="H47" i="1"/>
  <c r="J47" i="1"/>
  <c r="K47" i="1"/>
  <c r="D50" i="1"/>
  <c r="E50" i="1"/>
  <c r="F50" i="1"/>
  <c r="G50" i="1"/>
  <c r="H50" i="1"/>
  <c r="J50" i="1"/>
  <c r="K50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D67" i="1"/>
  <c r="E67" i="1"/>
  <c r="F67" i="1"/>
  <c r="G67" i="1"/>
  <c r="H67" i="1"/>
  <c r="J67" i="1"/>
  <c r="K67" i="1"/>
  <c r="G70" i="1"/>
  <c r="H70" i="1"/>
  <c r="J70" i="1"/>
  <c r="K70" i="1"/>
  <c r="D71" i="1"/>
  <c r="G71" i="1"/>
  <c r="H71" i="1"/>
  <c r="J71" i="1"/>
  <c r="K71" i="1"/>
  <c r="D72" i="1"/>
  <c r="G72" i="1"/>
  <c r="H72" i="1"/>
  <c r="J72" i="1"/>
  <c r="K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J85" i="1"/>
  <c r="K85" i="1"/>
  <c r="M85" i="1"/>
  <c r="N86" i="1"/>
  <c r="O86" i="1"/>
  <c r="G87" i="1"/>
  <c r="H87" i="1"/>
  <c r="J87" i="1"/>
  <c r="K87" i="1"/>
  <c r="G88" i="1"/>
  <c r="H88" i="1"/>
  <c r="J88" i="1"/>
  <c r="K88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9" i="1"/>
  <c r="H99" i="1"/>
  <c r="J99" i="1"/>
  <c r="K99" i="1"/>
  <c r="G101" i="1"/>
  <c r="H101" i="1"/>
  <c r="J101" i="1"/>
  <c r="K101" i="1"/>
  <c r="G102" i="1"/>
  <c r="H102" i="1"/>
  <c r="J102" i="1"/>
  <c r="K102" i="1"/>
  <c r="G104" i="1"/>
  <c r="H104" i="1"/>
  <c r="J104" i="1"/>
  <c r="K104" i="1"/>
  <c r="G105" i="1"/>
  <c r="H105" i="1"/>
  <c r="J105" i="1"/>
  <c r="K105" i="1"/>
  <c r="M105" i="1"/>
  <c r="N105" i="1"/>
  <c r="G106" i="1"/>
  <c r="H106" i="1"/>
  <c r="J106" i="1"/>
  <c r="K106" i="1"/>
  <c r="M106" i="1"/>
  <c r="N106" i="1"/>
  <c r="G107" i="1"/>
  <c r="H107" i="1"/>
  <c r="J107" i="1"/>
  <c r="K107" i="1"/>
  <c r="G108" i="1"/>
  <c r="H108" i="1"/>
  <c r="J108" i="1"/>
  <c r="K108" i="1"/>
  <c r="M108" i="1"/>
  <c r="N108" i="1"/>
  <c r="J110" i="1"/>
  <c r="K110" i="1"/>
  <c r="M110" i="1"/>
  <c r="N110" i="1"/>
  <c r="J111" i="1"/>
  <c r="K111" i="1"/>
  <c r="J112" i="1"/>
  <c r="K112" i="1"/>
  <c r="M112" i="1"/>
  <c r="N112" i="1"/>
  <c r="C115" i="1"/>
  <c r="D115" i="1"/>
  <c r="G115" i="1"/>
  <c r="H115" i="1"/>
  <c r="J115" i="1"/>
  <c r="K115" i="1"/>
  <c r="M115" i="1"/>
  <c r="N115" i="1"/>
  <c r="G119" i="1"/>
  <c r="H119" i="1"/>
  <c r="J119" i="1"/>
  <c r="K119" i="1"/>
  <c r="E120" i="1"/>
  <c r="F120" i="1"/>
  <c r="G120" i="1"/>
  <c r="H120" i="1"/>
  <c r="J120" i="1"/>
  <c r="K120" i="1"/>
  <c r="G121" i="1"/>
  <c r="H121" i="1"/>
  <c r="J121" i="1"/>
  <c r="K121" i="1"/>
  <c r="G124" i="1"/>
  <c r="H124" i="1"/>
  <c r="J124" i="1"/>
  <c r="K124" i="1"/>
  <c r="E125" i="1"/>
  <c r="F125" i="1"/>
  <c r="G125" i="1"/>
  <c r="H125" i="1"/>
  <c r="J125" i="1"/>
  <c r="K125" i="1"/>
  <c r="G126" i="1"/>
  <c r="H126" i="1"/>
  <c r="J126" i="1"/>
  <c r="K126" i="1"/>
  <c r="E128" i="1"/>
  <c r="F128" i="1"/>
  <c r="G128" i="1"/>
  <c r="H128" i="1"/>
  <c r="J128" i="1"/>
  <c r="K128" i="1"/>
  <c r="G129" i="1"/>
  <c r="H129" i="1"/>
  <c r="J129" i="1"/>
  <c r="K129" i="1"/>
  <c r="E132" i="1"/>
  <c r="F132" i="1"/>
  <c r="G132" i="1"/>
  <c r="H132" i="1"/>
  <c r="J132" i="1"/>
  <c r="K132" i="1"/>
  <c r="M132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M139" i="1"/>
  <c r="N139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M146" i="1"/>
  <c r="N146" i="1"/>
  <c r="E147" i="1"/>
  <c r="F147" i="1"/>
  <c r="G147" i="1"/>
  <c r="H147" i="1"/>
  <c r="J147" i="1"/>
  <c r="K147" i="1"/>
  <c r="E148" i="1"/>
  <c r="F148" i="1"/>
  <c r="G148" i="1"/>
  <c r="H148" i="1"/>
  <c r="J148" i="1"/>
  <c r="K148" i="1"/>
  <c r="C149" i="1"/>
  <c r="E149" i="1"/>
  <c r="F149" i="1"/>
  <c r="G149" i="1"/>
  <c r="H149" i="1"/>
  <c r="J149" i="1"/>
  <c r="K149" i="1"/>
  <c r="C152" i="1"/>
  <c r="D152" i="1"/>
  <c r="G152" i="1"/>
  <c r="H152" i="1"/>
  <c r="J152" i="1"/>
  <c r="K152" i="1"/>
  <c r="M152" i="1"/>
  <c r="N152" i="1"/>
  <c r="O152" i="1"/>
  <c r="K156" i="1"/>
  <c r="K157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<sst xmlns="http://schemas.openxmlformats.org/spreadsheetml/2006/main" count="936" uniqueCount="177">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</sst>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3"/>
  <sheetViews>
    <sheetView tabSelected="1" zoomScale="85" zoomScaleNormal="85" workbookViewId="0">
      <pane xSplit="2" ySplit="3" topLeftCell="C130" activePane="bottomRight" state="frozen"/>
      <selection pane="topRight" activeCell="C1" sqref="C1"/>
      <selection pane="bottomLeft" activeCell="A4" sqref="A4"/>
      <selection pane="bottomRight" activeCell="A130" sqref="A130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37182</v>
      </c>
      <c r="F3" s="12">
        <v>37181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v>2407194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2407194</v>
      </c>
      <c r="K5" s="7">
        <f>J5</f>
        <v>2407194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16.23</v>
      </c>
      <c r="F6" s="1">
        <v>16.23</v>
      </c>
      <c r="G6" s="7">
        <f>C6*(E6-F6)</f>
        <v>0</v>
      </c>
      <c r="H6" s="7">
        <f>C6*(E6-F6)</f>
        <v>0</v>
      </c>
      <c r="J6" s="7">
        <f>C6*E6</f>
        <v>16230</v>
      </c>
      <c r="K6" s="7">
        <f>J6</f>
        <v>16230</v>
      </c>
      <c r="L6" s="3">
        <v>2</v>
      </c>
    </row>
    <row r="7" spans="1:16" x14ac:dyDescent="0.25">
      <c r="A7" s="30" t="s">
        <v>52</v>
      </c>
      <c r="E7" s="1" t="s">
        <v>176</v>
      </c>
      <c r="F7" s="1" t="s">
        <v>176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/>
      <c r="B9" s="62" t="s">
        <v>169</v>
      </c>
      <c r="C9" s="13">
        <v>-15000</v>
      </c>
      <c r="D9" s="13">
        <f>C9*1</f>
        <v>-15000</v>
      </c>
      <c r="E9" s="1">
        <f>E$34</f>
        <v>32.200000000000003</v>
      </c>
      <c r="F9" s="1">
        <f>F$34</f>
        <v>32.200000000000003</v>
      </c>
      <c r="G9" s="7">
        <f>C9*(E9-F9)</f>
        <v>0</v>
      </c>
      <c r="H9" s="7">
        <f>C9*(E9-F9)</f>
        <v>0</v>
      </c>
      <c r="J9" s="7">
        <f>G9</f>
        <v>0</v>
      </c>
      <c r="K9" s="7">
        <f>J9</f>
        <v>0</v>
      </c>
      <c r="L9" s="3">
        <v>1</v>
      </c>
    </row>
    <row r="10" spans="1:16" x14ac:dyDescent="0.25">
      <c r="A10" s="30"/>
      <c r="B10" s="62" t="s">
        <v>170</v>
      </c>
      <c r="C10" s="13">
        <v>-35000</v>
      </c>
      <c r="D10" s="13" t="s">
        <v>52</v>
      </c>
      <c r="E10" s="1">
        <v>80.849999999999994</v>
      </c>
      <c r="F10" s="1">
        <v>80.849999999999994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>J10</f>
        <v>0</v>
      </c>
      <c r="L10" s="3">
        <v>1</v>
      </c>
    </row>
    <row r="11" spans="1:16" x14ac:dyDescent="0.25">
      <c r="A11" s="30"/>
      <c r="B11" s="62" t="s">
        <v>173</v>
      </c>
      <c r="C11" s="13">
        <v>-2000</v>
      </c>
      <c r="D11" s="13" t="s">
        <v>52</v>
      </c>
      <c r="E11" s="1">
        <v>92.3</v>
      </c>
      <c r="F11" s="1">
        <v>92.3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>J11</f>
        <v>0</v>
      </c>
      <c r="L11" s="3">
        <v>1</v>
      </c>
    </row>
    <row r="12" spans="1:16" x14ac:dyDescent="0.25">
      <c r="A12" s="30"/>
      <c r="B12" s="62" t="s">
        <v>174</v>
      </c>
      <c r="C12" s="13">
        <v>-2000</v>
      </c>
      <c r="D12" s="13" t="s">
        <v>52</v>
      </c>
      <c r="E12" s="1">
        <v>107.85</v>
      </c>
      <c r="F12" s="1">
        <v>107.85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>J12</f>
        <v>0</v>
      </c>
      <c r="L12" s="3">
        <v>1</v>
      </c>
    </row>
    <row r="13" spans="1:16" x14ac:dyDescent="0.25">
      <c r="A13" s="30"/>
      <c r="B13" s="62" t="s">
        <v>175</v>
      </c>
      <c r="C13" s="13">
        <v>-5000</v>
      </c>
      <c r="D13" s="13" t="s">
        <v>52</v>
      </c>
      <c r="E13" s="1">
        <v>32.74</v>
      </c>
      <c r="F13" s="1">
        <v>32.74</v>
      </c>
      <c r="G13" s="7">
        <f>C13*(E13-F13)</f>
        <v>0</v>
      </c>
      <c r="H13" s="7">
        <f>C13*(E13-F13)</f>
        <v>0</v>
      </c>
      <c r="J13" s="7">
        <f>G13</f>
        <v>0</v>
      </c>
      <c r="K13" s="7">
        <f>J13</f>
        <v>0</v>
      </c>
      <c r="L13" s="3">
        <v>1</v>
      </c>
    </row>
    <row r="14" spans="1:16" x14ac:dyDescent="0.25">
      <c r="A14" s="30"/>
      <c r="B14" s="62"/>
      <c r="E14" s="1"/>
      <c r="F14" s="1"/>
    </row>
    <row r="15" spans="1:16" x14ac:dyDescent="0.25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>J15</f>
        <v xml:space="preserve"> </v>
      </c>
    </row>
    <row r="16" spans="1:16" x14ac:dyDescent="0.25">
      <c r="A16" s="30"/>
      <c r="B16" s="2" t="s">
        <v>119</v>
      </c>
      <c r="C16" s="13">
        <v>-1500</v>
      </c>
      <c r="E16" s="1">
        <v>0</v>
      </c>
      <c r="F16" s="1">
        <v>0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>J16</f>
        <v>0</v>
      </c>
      <c r="L16" s="3">
        <v>1</v>
      </c>
      <c r="N16" s="80" t="s">
        <v>52</v>
      </c>
      <c r="P16" s="13" t="s">
        <v>52</v>
      </c>
    </row>
    <row r="17" spans="1:15" x14ac:dyDescent="0.25">
      <c r="A17" s="30" t="s">
        <v>52</v>
      </c>
      <c r="B17" s="2" t="s">
        <v>118</v>
      </c>
      <c r="C17" s="13">
        <v>-2000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>J17</f>
        <v>0</v>
      </c>
      <c r="L17" s="3">
        <v>1</v>
      </c>
      <c r="M17" s="80" t="s">
        <v>52</v>
      </c>
      <c r="N17" s="80" t="s">
        <v>52</v>
      </c>
    </row>
    <row r="18" spans="1:15" x14ac:dyDescent="0.25">
      <c r="A18" s="30" t="s">
        <v>52</v>
      </c>
      <c r="B18" s="2" t="s">
        <v>168</v>
      </c>
      <c r="C18" s="13">
        <v>-19000</v>
      </c>
      <c r="E18" s="1">
        <v>2.5499999999999998</v>
      </c>
      <c r="F18" s="1">
        <v>2.5499999999999998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>J18</f>
        <v>0</v>
      </c>
      <c r="L18" s="3">
        <v>1</v>
      </c>
      <c r="M18" s="80">
        <f>C18*E18*-1</f>
        <v>48450</v>
      </c>
      <c r="N18" s="80" t="s">
        <v>52</v>
      </c>
    </row>
    <row r="19" spans="1:15" x14ac:dyDescent="0.25">
      <c r="A19" s="30"/>
      <c r="E19" s="1"/>
      <c r="F19" s="1"/>
    </row>
    <row r="20" spans="1:15" x14ac:dyDescent="0.25">
      <c r="A20" s="8"/>
      <c r="B20" s="2" t="s">
        <v>67</v>
      </c>
      <c r="C20" s="13">
        <v>0</v>
      </c>
      <c r="D20" s="13" t="s">
        <v>52</v>
      </c>
      <c r="E20" s="27" t="s">
        <v>52</v>
      </c>
      <c r="F20" s="27" t="s">
        <v>52</v>
      </c>
      <c r="G20" s="7" t="s">
        <v>52</v>
      </c>
      <c r="J20" s="7">
        <f>+C20</f>
        <v>0</v>
      </c>
      <c r="K20" s="7">
        <f>J20</f>
        <v>0</v>
      </c>
      <c r="L20" s="3">
        <v>1</v>
      </c>
      <c r="M20" s="80">
        <f>SUM(K5:K20)</f>
        <v>2423424</v>
      </c>
      <c r="N20" s="80">
        <v>2423424</v>
      </c>
      <c r="O20" s="67">
        <f>M20-N20</f>
        <v>0</v>
      </c>
    </row>
    <row r="21" spans="1:15" x14ac:dyDescent="0.25">
      <c r="A21" s="8"/>
      <c r="E21" s="27"/>
      <c r="F21" s="27"/>
      <c r="G21" s="15" t="s">
        <v>52</v>
      </c>
      <c r="H21" s="15" t="s">
        <v>52</v>
      </c>
      <c r="M21" s="80" t="s">
        <v>52</v>
      </c>
    </row>
    <row r="22" spans="1:15" x14ac:dyDescent="0.25">
      <c r="A22" s="8" t="s">
        <v>121</v>
      </c>
      <c r="B22" s="5" t="s">
        <v>22</v>
      </c>
      <c r="D22" s="13" t="s">
        <v>52</v>
      </c>
      <c r="E22" s="5" t="s">
        <v>52</v>
      </c>
      <c r="F22" s="5" t="s">
        <v>52</v>
      </c>
      <c r="M22" s="80" t="s">
        <v>52</v>
      </c>
      <c r="N22" s="80" t="s">
        <v>52</v>
      </c>
    </row>
    <row r="23" spans="1:15" x14ac:dyDescent="0.25">
      <c r="A23" s="8" t="s">
        <v>1</v>
      </c>
      <c r="B23" s="2" t="s">
        <v>122</v>
      </c>
      <c r="C23" s="13">
        <v>4055.86</v>
      </c>
      <c r="D23" s="13" t="s">
        <v>52</v>
      </c>
      <c r="E23" s="1">
        <v>1</v>
      </c>
      <c r="F23" s="1">
        <v>1</v>
      </c>
      <c r="G23" s="7">
        <f>C23*(E23-F23)</f>
        <v>0</v>
      </c>
      <c r="H23" s="7">
        <f>C23*(E23-F23)</f>
        <v>0</v>
      </c>
      <c r="J23" s="7">
        <f>C23*E23</f>
        <v>4055.86</v>
      </c>
      <c r="K23" s="7">
        <f>J23</f>
        <v>4055.86</v>
      </c>
      <c r="L23" s="3">
        <v>1</v>
      </c>
      <c r="M23" s="80" t="s">
        <v>52</v>
      </c>
      <c r="N23" s="80" t="s">
        <v>52</v>
      </c>
    </row>
    <row r="24" spans="1:15" x14ac:dyDescent="0.25">
      <c r="A24" s="8"/>
      <c r="D24" s="13" t="s">
        <v>52</v>
      </c>
      <c r="E24" s="27"/>
      <c r="F24" s="27"/>
      <c r="G24" s="15" t="s">
        <v>52</v>
      </c>
      <c r="H24" s="15" t="s">
        <v>52</v>
      </c>
      <c r="N24" s="80" t="s">
        <v>52</v>
      </c>
    </row>
    <row r="25" spans="1:15" x14ac:dyDescent="0.25">
      <c r="A25" s="8" t="s">
        <v>1</v>
      </c>
      <c r="B25" s="5" t="s">
        <v>22</v>
      </c>
      <c r="D25" s="13" t="s">
        <v>52</v>
      </c>
      <c r="E25" s="2"/>
      <c r="F25" s="2"/>
      <c r="G25" s="15"/>
      <c r="H25" s="15"/>
      <c r="I25" s="2"/>
      <c r="K25" s="7" t="s">
        <v>52</v>
      </c>
    </row>
    <row r="26" spans="1:15" x14ac:dyDescent="0.25">
      <c r="A26" s="8" t="s">
        <v>2</v>
      </c>
      <c r="B26" s="62" t="s">
        <v>24</v>
      </c>
      <c r="C26" s="13">
        <v>900</v>
      </c>
      <c r="E26" s="1">
        <v>13.66</v>
      </c>
      <c r="F26" s="1">
        <v>13.66</v>
      </c>
      <c r="G26" s="7">
        <f t="shared" ref="G26:G31" si="0">C26*(E26-F26)</f>
        <v>0</v>
      </c>
      <c r="H26" s="7">
        <f t="shared" ref="H26:H31" si="1">C26*(E26-F26)</f>
        <v>0</v>
      </c>
      <c r="I26" s="1"/>
      <c r="J26" s="7">
        <f t="shared" ref="J26:J31" si="2">C26*E26</f>
        <v>12294</v>
      </c>
      <c r="K26" s="7">
        <f t="shared" ref="K26:K37" si="3">J26</f>
        <v>12294</v>
      </c>
      <c r="L26" s="3">
        <v>2</v>
      </c>
      <c r="M26" s="80" t="s">
        <v>52</v>
      </c>
    </row>
    <row r="27" spans="1:15" x14ac:dyDescent="0.25">
      <c r="A27" s="8" t="s">
        <v>3</v>
      </c>
      <c r="B27" s="62" t="s">
        <v>25</v>
      </c>
      <c r="C27" s="13">
        <v>100</v>
      </c>
      <c r="E27" s="1">
        <v>18.100000000000001</v>
      </c>
      <c r="F27" s="1">
        <v>18.100000000000001</v>
      </c>
      <c r="G27" s="7">
        <f t="shared" si="0"/>
        <v>0</v>
      </c>
      <c r="H27" s="7">
        <f t="shared" si="1"/>
        <v>0</v>
      </c>
      <c r="I27" s="1"/>
      <c r="J27" s="7">
        <f t="shared" si="2"/>
        <v>1810.0000000000002</v>
      </c>
      <c r="K27" s="7">
        <f t="shared" si="3"/>
        <v>1810.0000000000002</v>
      </c>
      <c r="L27" s="3">
        <v>2</v>
      </c>
      <c r="M27" s="80" t="s">
        <v>52</v>
      </c>
    </row>
    <row r="28" spans="1:15" x14ac:dyDescent="0.25">
      <c r="A28" s="8"/>
      <c r="B28" s="62" t="s">
        <v>89</v>
      </c>
      <c r="C28" s="13">
        <v>83</v>
      </c>
      <c r="D28" s="13" t="s">
        <v>52</v>
      </c>
      <c r="E28" s="1">
        <v>48.9</v>
      </c>
      <c r="F28" s="1">
        <v>48.9</v>
      </c>
      <c r="G28" s="7">
        <f t="shared" si="0"/>
        <v>0</v>
      </c>
      <c r="H28" s="7">
        <f t="shared" si="1"/>
        <v>0</v>
      </c>
      <c r="I28" s="1"/>
      <c r="J28" s="7">
        <f t="shared" si="2"/>
        <v>4058.7</v>
      </c>
      <c r="K28" s="7">
        <f t="shared" si="3"/>
        <v>4058.7</v>
      </c>
      <c r="L28" s="3">
        <v>2</v>
      </c>
      <c r="M28" s="80" t="s">
        <v>52</v>
      </c>
    </row>
    <row r="29" spans="1:15" x14ac:dyDescent="0.25">
      <c r="A29" s="8"/>
      <c r="B29" s="62" t="s">
        <v>54</v>
      </c>
      <c r="C29" s="13">
        <v>169</v>
      </c>
      <c r="E29" s="1">
        <v>10.08</v>
      </c>
      <c r="F29" s="1">
        <v>10.08</v>
      </c>
      <c r="G29" s="7">
        <f t="shared" si="0"/>
        <v>0</v>
      </c>
      <c r="H29" s="7">
        <f t="shared" si="1"/>
        <v>0</v>
      </c>
      <c r="I29" s="1"/>
      <c r="J29" s="7">
        <f t="shared" si="2"/>
        <v>1703.52</v>
      </c>
      <c r="K29" s="7">
        <f t="shared" si="3"/>
        <v>1703.52</v>
      </c>
      <c r="L29" s="3">
        <v>2</v>
      </c>
      <c r="M29" s="80" t="s">
        <v>52</v>
      </c>
    </row>
    <row r="30" spans="1:15" x14ac:dyDescent="0.25">
      <c r="A30" s="8"/>
      <c r="B30" s="62" t="s">
        <v>48</v>
      </c>
      <c r="C30" s="13">
        <v>2241.79</v>
      </c>
      <c r="D30" s="13" t="s">
        <v>52</v>
      </c>
      <c r="E30" s="1">
        <v>1</v>
      </c>
      <c r="F30" s="1">
        <v>1</v>
      </c>
      <c r="G30" s="7">
        <f t="shared" si="0"/>
        <v>0</v>
      </c>
      <c r="H30" s="7">
        <f t="shared" si="1"/>
        <v>0</v>
      </c>
      <c r="I30" s="1"/>
      <c r="J30" s="7">
        <f t="shared" si="2"/>
        <v>2241.79</v>
      </c>
      <c r="K30" s="7">
        <f t="shared" si="3"/>
        <v>2241.79</v>
      </c>
      <c r="L30" s="3">
        <v>1</v>
      </c>
      <c r="M30" s="80" t="s">
        <v>52</v>
      </c>
    </row>
    <row r="31" spans="1:15" x14ac:dyDescent="0.25">
      <c r="A31" s="8"/>
      <c r="B31" s="62" t="s">
        <v>143</v>
      </c>
      <c r="C31" s="13">
        <v>605.54</v>
      </c>
      <c r="D31" s="13" t="s">
        <v>52</v>
      </c>
      <c r="E31" s="1">
        <v>1</v>
      </c>
      <c r="F31" s="1">
        <v>1</v>
      </c>
      <c r="G31" s="7">
        <f t="shared" si="0"/>
        <v>0</v>
      </c>
      <c r="H31" s="7">
        <f t="shared" si="1"/>
        <v>0</v>
      </c>
      <c r="I31" s="1"/>
      <c r="J31" s="7">
        <f t="shared" si="2"/>
        <v>605.54</v>
      </c>
      <c r="K31" s="7">
        <f t="shared" si="3"/>
        <v>605.54</v>
      </c>
      <c r="L31" s="3">
        <v>1</v>
      </c>
      <c r="M31" s="80" t="s">
        <v>52</v>
      </c>
    </row>
    <row r="32" spans="1:15" x14ac:dyDescent="0.25">
      <c r="B32" s="62" t="s">
        <v>52</v>
      </c>
      <c r="C32" s="13" t="s">
        <v>52</v>
      </c>
      <c r="D32" s="13" t="s">
        <v>52</v>
      </c>
      <c r="E32" s="2"/>
      <c r="F32" s="2"/>
      <c r="G32" s="15"/>
      <c r="H32" s="15"/>
      <c r="I32" s="2"/>
      <c r="K32" s="15"/>
      <c r="M32" s="80" t="s">
        <v>52</v>
      </c>
    </row>
    <row r="33" spans="1:27" x14ac:dyDescent="0.25">
      <c r="A33" s="8" t="s">
        <v>4</v>
      </c>
      <c r="B33" s="13" t="s">
        <v>22</v>
      </c>
      <c r="D33" s="13" t="s">
        <v>52</v>
      </c>
      <c r="E33" s="4" t="s">
        <v>52</v>
      </c>
      <c r="F33" s="4" t="s">
        <v>52</v>
      </c>
      <c r="I33" s="3"/>
      <c r="K33" s="7" t="s">
        <v>52</v>
      </c>
      <c r="M33" s="80" t="s">
        <v>52</v>
      </c>
    </row>
    <row r="34" spans="1:27" x14ac:dyDescent="0.25">
      <c r="A34" s="25" t="s">
        <v>52</v>
      </c>
      <c r="B34" s="62" t="s">
        <v>134</v>
      </c>
      <c r="C34" s="13">
        <v>264.40780000000001</v>
      </c>
      <c r="D34" s="13">
        <f>C34*1</f>
        <v>264.40780000000001</v>
      </c>
      <c r="E34" s="16">
        <v>32.200000000000003</v>
      </c>
      <c r="F34" s="16">
        <v>32.200000000000003</v>
      </c>
      <c r="G34" s="7">
        <f>C34*(E34-F34)</f>
        <v>0</v>
      </c>
      <c r="H34" s="7">
        <f>C34*(E34-F34)</f>
        <v>0</v>
      </c>
      <c r="I34" s="3"/>
      <c r="J34" s="7">
        <f>C34*E34</f>
        <v>8513.9311600000019</v>
      </c>
      <c r="K34" s="7">
        <f t="shared" si="3"/>
        <v>8513.9311600000019</v>
      </c>
      <c r="L34" s="3">
        <v>2</v>
      </c>
      <c r="M34" s="80" t="s">
        <v>52</v>
      </c>
    </row>
    <row r="35" spans="1:27" x14ac:dyDescent="0.25">
      <c r="A35" s="8" t="s">
        <v>52</v>
      </c>
      <c r="B35" s="2" t="s">
        <v>120</v>
      </c>
      <c r="C35" s="13">
        <v>133683.68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133683.68</v>
      </c>
      <c r="K35" s="7">
        <f>J35</f>
        <v>133683.68</v>
      </c>
      <c r="L35" s="3">
        <v>1</v>
      </c>
      <c r="M35" s="80" t="s">
        <v>52</v>
      </c>
    </row>
    <row r="36" spans="1:27" x14ac:dyDescent="0.25">
      <c r="A36" s="25" t="s">
        <v>52</v>
      </c>
      <c r="B36" s="2" t="s">
        <v>52</v>
      </c>
      <c r="C36" s="68" t="s">
        <v>52</v>
      </c>
      <c r="E36" s="1" t="s">
        <v>52</v>
      </c>
      <c r="F36" s="1" t="s">
        <v>52</v>
      </c>
      <c r="G36" s="2" t="s">
        <v>52</v>
      </c>
      <c r="H36" s="7" t="s">
        <v>52</v>
      </c>
      <c r="I36" s="3"/>
      <c r="J36" s="7" t="s">
        <v>52</v>
      </c>
      <c r="K36" s="15" t="s">
        <v>52</v>
      </c>
      <c r="M36" s="80" t="s">
        <v>52</v>
      </c>
    </row>
    <row r="37" spans="1:27" x14ac:dyDescent="0.25">
      <c r="A37" s="8" t="s">
        <v>5</v>
      </c>
      <c r="B37" s="2" t="s">
        <v>52</v>
      </c>
      <c r="C37" s="13" t="s">
        <v>52</v>
      </c>
      <c r="E37" s="1" t="s">
        <v>52</v>
      </c>
      <c r="F37" s="1" t="s">
        <v>52</v>
      </c>
      <c r="G37" s="7" t="s">
        <v>52</v>
      </c>
      <c r="H37" s="7" t="s">
        <v>52</v>
      </c>
      <c r="I37" s="3"/>
      <c r="J37" s="7" t="s">
        <v>52</v>
      </c>
      <c r="K37" s="7" t="str">
        <f t="shared" si="3"/>
        <v xml:space="preserve"> </v>
      </c>
      <c r="M37" s="80" t="s">
        <v>52</v>
      </c>
    </row>
    <row r="38" spans="1:27" x14ac:dyDescent="0.25">
      <c r="A38" s="8" t="s">
        <v>6</v>
      </c>
      <c r="B38" s="2" t="s">
        <v>23</v>
      </c>
      <c r="C38" s="13">
        <v>46480.62</v>
      </c>
      <c r="E38" s="1">
        <v>1</v>
      </c>
      <c r="F38" s="1">
        <v>1</v>
      </c>
      <c r="G38" s="7">
        <f>C38*(E38-F38)</f>
        <v>0</v>
      </c>
      <c r="H38" s="7">
        <f>C38*(E38-F38)</f>
        <v>0</v>
      </c>
      <c r="I38" s="3"/>
      <c r="J38" s="7">
        <f>C38*E38</f>
        <v>46480.62</v>
      </c>
      <c r="K38" s="7">
        <f>J38</f>
        <v>46480.62</v>
      </c>
      <c r="L38" s="3">
        <v>1</v>
      </c>
      <c r="M38" s="80" t="s">
        <v>52</v>
      </c>
    </row>
    <row r="39" spans="1:27" x14ac:dyDescent="0.25">
      <c r="A39" s="8"/>
      <c r="E39" s="1"/>
      <c r="F39" s="1"/>
      <c r="H39" s="7" t="s">
        <v>52</v>
      </c>
      <c r="I39" s="3"/>
      <c r="M39" s="80" t="s">
        <v>52</v>
      </c>
    </row>
    <row r="40" spans="1:27" x14ac:dyDescent="0.25">
      <c r="A40" s="8" t="s">
        <v>8</v>
      </c>
      <c r="B40" s="2" t="s">
        <v>134</v>
      </c>
      <c r="C40" s="13">
        <v>87.853999999999999</v>
      </c>
      <c r="D40" s="13">
        <f>C40*1</f>
        <v>87.853999999999999</v>
      </c>
      <c r="E40" s="1">
        <f>E$34</f>
        <v>32.200000000000003</v>
      </c>
      <c r="F40" s="1">
        <f>F$34</f>
        <v>32.200000000000003</v>
      </c>
      <c r="G40" s="7">
        <f>C40*(E40-F40)</f>
        <v>0</v>
      </c>
      <c r="H40" s="7">
        <f>C40*(E40-F40)</f>
        <v>0</v>
      </c>
      <c r="I40" s="1"/>
      <c r="J40" s="7">
        <f>C40*E40</f>
        <v>2828.8988000000004</v>
      </c>
      <c r="K40" s="7">
        <f>J40</f>
        <v>2828.8988000000004</v>
      </c>
      <c r="L40" s="3">
        <v>2</v>
      </c>
      <c r="M40" s="80" t="s">
        <v>52</v>
      </c>
    </row>
    <row r="41" spans="1:27" x14ac:dyDescent="0.25">
      <c r="A41" s="8"/>
      <c r="C41" s="13" t="s">
        <v>52</v>
      </c>
      <c r="E41" s="4"/>
      <c r="F41" s="4"/>
      <c r="H41" s="7" t="s">
        <v>52</v>
      </c>
      <c r="I41" s="22" t="s">
        <v>52</v>
      </c>
      <c r="M41" s="80" t="s">
        <v>52</v>
      </c>
    </row>
    <row r="42" spans="1:27" x14ac:dyDescent="0.25">
      <c r="A42" s="8" t="s">
        <v>86</v>
      </c>
      <c r="B42" s="5" t="s">
        <v>22</v>
      </c>
      <c r="D42" s="13" t="s">
        <v>52</v>
      </c>
      <c r="E42" s="3"/>
      <c r="F42" s="3"/>
      <c r="H42" s="7" t="s">
        <v>52</v>
      </c>
      <c r="I42" s="3" t="s">
        <v>52</v>
      </c>
      <c r="M42" s="80" t="s">
        <v>52</v>
      </c>
      <c r="V42" s="3"/>
      <c r="W42" s="3"/>
      <c r="X42" s="3"/>
      <c r="Y42" s="3"/>
      <c r="Z42" s="3"/>
      <c r="AA42" s="3"/>
    </row>
    <row r="43" spans="1:27" x14ac:dyDescent="0.25">
      <c r="A43" s="25" t="s">
        <v>52</v>
      </c>
      <c r="B43" s="2" t="s">
        <v>120</v>
      </c>
      <c r="C43" s="13">
        <v>612088.52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612088.52</v>
      </c>
      <c r="K43" s="7">
        <f>J43*0.614</f>
        <v>375822.35128</v>
      </c>
      <c r="L43" s="3">
        <v>1</v>
      </c>
      <c r="M43" s="80" t="s">
        <v>52</v>
      </c>
    </row>
    <row r="44" spans="1:27" x14ac:dyDescent="0.25">
      <c r="A44" s="25"/>
      <c r="E44" s="1"/>
      <c r="F44" s="1"/>
      <c r="H44" s="7" t="s">
        <v>52</v>
      </c>
      <c r="I44" s="22"/>
      <c r="M44" s="80" t="s">
        <v>52</v>
      </c>
    </row>
    <row r="45" spans="1:27" x14ac:dyDescent="0.25">
      <c r="A45" s="8" t="s">
        <v>66</v>
      </c>
      <c r="B45" s="5" t="s">
        <v>22</v>
      </c>
      <c r="D45" s="13" t="s">
        <v>52</v>
      </c>
      <c r="E45" s="3"/>
      <c r="F45" s="3"/>
      <c r="H45" s="7" t="s">
        <v>52</v>
      </c>
      <c r="I45" s="22" t="s">
        <v>52</v>
      </c>
      <c r="M45" s="80" t="s">
        <v>52</v>
      </c>
    </row>
    <row r="46" spans="1:27" x14ac:dyDescent="0.25">
      <c r="A46" s="25" t="s">
        <v>52</v>
      </c>
      <c r="B46" s="2" t="s">
        <v>120</v>
      </c>
      <c r="C46" s="13">
        <v>263865.26</v>
      </c>
      <c r="D46" s="13" t="s">
        <v>52</v>
      </c>
      <c r="E46" s="1">
        <v>1</v>
      </c>
      <c r="F46" s="1">
        <v>1</v>
      </c>
      <c r="G46" s="7">
        <f>C46*(E46-F46)</f>
        <v>0</v>
      </c>
      <c r="H46" s="7">
        <f>C46*(E46-F46)*0.5895</f>
        <v>0</v>
      </c>
      <c r="I46" s="22" t="s">
        <v>52</v>
      </c>
      <c r="J46" s="7">
        <f>C46*E46</f>
        <v>263865.26</v>
      </c>
      <c r="K46" s="7">
        <f>J46*0.614</f>
        <v>162013.26964000001</v>
      </c>
      <c r="L46" s="3">
        <v>1</v>
      </c>
      <c r="M46" s="80" t="s">
        <v>52</v>
      </c>
    </row>
    <row r="47" spans="1:27" x14ac:dyDescent="0.25">
      <c r="A47" s="25" t="s">
        <v>52</v>
      </c>
      <c r="B47" s="2" t="s">
        <v>134</v>
      </c>
      <c r="C47" s="13">
        <v>8248</v>
      </c>
      <c r="D47" s="13">
        <f>C47*1</f>
        <v>8248</v>
      </c>
      <c r="E47" s="1">
        <f>E$34</f>
        <v>32.200000000000003</v>
      </c>
      <c r="F47" s="1">
        <f>F$34</f>
        <v>32.200000000000003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265585.60000000003</v>
      </c>
      <c r="K47" s="7">
        <f>J47*0.614</f>
        <v>163069.55840000001</v>
      </c>
      <c r="L47" s="3">
        <v>2</v>
      </c>
      <c r="M47" s="80" t="s">
        <v>52</v>
      </c>
      <c r="O47" s="7" t="s">
        <v>52</v>
      </c>
    </row>
    <row r="48" spans="1:27" x14ac:dyDescent="0.25">
      <c r="A48" s="25"/>
      <c r="E48" s="1"/>
      <c r="F48" s="1"/>
      <c r="H48" s="7" t="s">
        <v>52</v>
      </c>
      <c r="I48" s="22"/>
      <c r="J48" s="22"/>
      <c r="M48" s="80" t="s">
        <v>52</v>
      </c>
    </row>
    <row r="49" spans="1:14" x14ac:dyDescent="0.25">
      <c r="A49" s="8" t="s">
        <v>7</v>
      </c>
      <c r="B49" s="5" t="s">
        <v>22</v>
      </c>
      <c r="E49" s="3"/>
      <c r="F49" s="3"/>
      <c r="H49" s="7" t="s">
        <v>52</v>
      </c>
      <c r="I49" s="3"/>
      <c r="M49" s="80" t="s">
        <v>52</v>
      </c>
    </row>
    <row r="50" spans="1:14" x14ac:dyDescent="0.25">
      <c r="A50" s="8"/>
      <c r="B50" s="2" t="s">
        <v>130</v>
      </c>
      <c r="C50" s="13">
        <v>1307.5862</v>
      </c>
      <c r="D50" s="13">
        <f>C50*1</f>
        <v>1307.5862</v>
      </c>
      <c r="E50" s="1">
        <f t="shared" ref="E50:F52" si="4">E$34</f>
        <v>32.200000000000003</v>
      </c>
      <c r="F50" s="1">
        <f t="shared" si="4"/>
        <v>32.200000000000003</v>
      </c>
      <c r="G50" s="7">
        <f>C50*(E50-F50)</f>
        <v>0</v>
      </c>
      <c r="H50" s="7">
        <f>C50*(E50-F50)</f>
        <v>0</v>
      </c>
      <c r="I50" s="1"/>
      <c r="J50" s="7">
        <f>C50*E50</f>
        <v>42104.27564</v>
      </c>
      <c r="K50" s="7">
        <f>J50</f>
        <v>42104.27564</v>
      </c>
      <c r="L50" s="3">
        <v>2</v>
      </c>
      <c r="M50" s="80" t="s">
        <v>52</v>
      </c>
    </row>
    <row r="51" spans="1:14" x14ac:dyDescent="0.25">
      <c r="A51" s="8"/>
      <c r="B51" s="2" t="s">
        <v>131</v>
      </c>
      <c r="C51" s="13">
        <v>178.0334</v>
      </c>
      <c r="D51" s="13">
        <f>C51*1</f>
        <v>178.0334</v>
      </c>
      <c r="E51" s="1">
        <f t="shared" si="4"/>
        <v>32.200000000000003</v>
      </c>
      <c r="F51" s="1">
        <f t="shared" si="4"/>
        <v>32.200000000000003</v>
      </c>
      <c r="G51" s="7">
        <f>C51*(E51-F51)</f>
        <v>0</v>
      </c>
      <c r="H51" s="7">
        <f>C51*(E51-F51)</f>
        <v>0</v>
      </c>
      <c r="I51" s="1"/>
      <c r="J51" s="7">
        <f>C51*E51</f>
        <v>5732.6754800000008</v>
      </c>
      <c r="K51" s="7">
        <f>J51</f>
        <v>5732.6754800000008</v>
      </c>
      <c r="L51" s="3">
        <v>2</v>
      </c>
      <c r="M51" s="80" t="s">
        <v>52</v>
      </c>
    </row>
    <row r="52" spans="1:14" x14ac:dyDescent="0.25">
      <c r="A52" s="8"/>
      <c r="B52" s="2" t="s">
        <v>129</v>
      </c>
      <c r="C52" s="13">
        <v>402.85410000000002</v>
      </c>
      <c r="D52" s="13">
        <f>C52*1</f>
        <v>402.85410000000002</v>
      </c>
      <c r="E52" s="1">
        <f t="shared" si="4"/>
        <v>32.200000000000003</v>
      </c>
      <c r="F52" s="1">
        <f t="shared" si="4"/>
        <v>32.200000000000003</v>
      </c>
      <c r="G52" s="7">
        <f>C52*(E52-F52)</f>
        <v>0</v>
      </c>
      <c r="H52" s="7">
        <f>C52*(E52-F52)</f>
        <v>0</v>
      </c>
      <c r="I52" s="1"/>
      <c r="J52" s="7">
        <f>C52*E52</f>
        <v>12971.902020000001</v>
      </c>
      <c r="K52" s="7">
        <f>J52</f>
        <v>12971.902020000001</v>
      </c>
      <c r="L52" s="3">
        <v>2</v>
      </c>
      <c r="M52" s="80" t="s">
        <v>52</v>
      </c>
    </row>
    <row r="53" spans="1:14" x14ac:dyDescent="0.25">
      <c r="A53" s="8"/>
      <c r="E53" s="1"/>
      <c r="F53" s="1"/>
      <c r="H53" s="7" t="s">
        <v>52</v>
      </c>
      <c r="I53" s="1"/>
      <c r="M53" s="80" t="s">
        <v>52</v>
      </c>
    </row>
    <row r="54" spans="1:14" x14ac:dyDescent="0.25">
      <c r="A54" s="8" t="s">
        <v>59</v>
      </c>
      <c r="B54" s="1" t="s">
        <v>22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L54" s="5"/>
      <c r="M54" s="80" t="s">
        <v>52</v>
      </c>
    </row>
    <row r="55" spans="1:14" x14ac:dyDescent="0.25">
      <c r="A55" s="8" t="s">
        <v>9</v>
      </c>
      <c r="B55" s="2" t="s">
        <v>161</v>
      </c>
      <c r="C55" s="13">
        <v>3262</v>
      </c>
      <c r="D55" s="13" t="s">
        <v>52</v>
      </c>
      <c r="E55" s="1">
        <f t="shared" ref="E55:F61" si="5">E$34</f>
        <v>32.200000000000003</v>
      </c>
      <c r="F55" s="1">
        <f t="shared" si="5"/>
        <v>32.200000000000003</v>
      </c>
      <c r="G55" s="7">
        <f t="shared" ref="G55:G60" si="6">IF(E55&gt;I55,(E55-F55)*C55,0)</f>
        <v>0</v>
      </c>
      <c r="H55" s="7">
        <f t="shared" ref="H55:H60" si="7">IF(E55&gt;I55,(E55-F55)*C55*0.5895,0)</f>
        <v>0</v>
      </c>
      <c r="I55" s="1">
        <v>76.025000000000006</v>
      </c>
      <c r="J55" s="7">
        <f t="shared" ref="J55:J60" si="8">IF(C55*(E55-I55)&gt;0,C55*(E55-I55),0)</f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/>
      <c r="B56" s="2" t="s">
        <v>160</v>
      </c>
      <c r="C56" s="13">
        <v>1270</v>
      </c>
      <c r="D56" s="13" t="s">
        <v>52</v>
      </c>
      <c r="E56" s="1">
        <f t="shared" si="5"/>
        <v>32.200000000000003</v>
      </c>
      <c r="F56" s="1">
        <f t="shared" si="5"/>
        <v>32.200000000000003</v>
      </c>
      <c r="G56" s="7">
        <f t="shared" si="6"/>
        <v>0</v>
      </c>
      <c r="H56" s="7">
        <f t="shared" si="7"/>
        <v>0</v>
      </c>
      <c r="I56" s="1">
        <v>76</v>
      </c>
      <c r="J56" s="7">
        <f t="shared" si="8"/>
        <v>0</v>
      </c>
      <c r="K56" s="7">
        <f>J56*0.5895</f>
        <v>0</v>
      </c>
      <c r="L56" s="3">
        <v>2</v>
      </c>
      <c r="M56" s="80" t="s">
        <v>52</v>
      </c>
      <c r="N56" s="80" t="s">
        <v>52</v>
      </c>
    </row>
    <row r="57" spans="1:14" x14ac:dyDescent="0.25">
      <c r="A57" s="8" t="s">
        <v>52</v>
      </c>
      <c r="B57" s="2" t="s">
        <v>155</v>
      </c>
      <c r="C57" s="13">
        <v>381</v>
      </c>
      <c r="D57" s="13" t="s">
        <v>52</v>
      </c>
      <c r="E57" s="1">
        <f t="shared" si="5"/>
        <v>32.200000000000003</v>
      </c>
      <c r="F57" s="1">
        <f t="shared" si="5"/>
        <v>32.200000000000003</v>
      </c>
      <c r="G57" s="7">
        <f t="shared" si="6"/>
        <v>0</v>
      </c>
      <c r="H57" s="7">
        <f t="shared" si="7"/>
        <v>0</v>
      </c>
      <c r="I57" s="1">
        <v>83.125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147</v>
      </c>
      <c r="C58" s="13">
        <v>347</v>
      </c>
      <c r="D58" s="13" t="s">
        <v>52</v>
      </c>
      <c r="E58" s="1">
        <f t="shared" si="5"/>
        <v>32.200000000000003</v>
      </c>
      <c r="F58" s="1">
        <f t="shared" si="5"/>
        <v>32.200000000000003</v>
      </c>
      <c r="G58" s="7">
        <f t="shared" si="6"/>
        <v>0</v>
      </c>
      <c r="H58" s="7">
        <f t="shared" si="7"/>
        <v>0</v>
      </c>
      <c r="I58" s="1">
        <v>62.41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152</v>
      </c>
      <c r="C59" s="13">
        <v>348</v>
      </c>
      <c r="D59" s="13" t="s">
        <v>52</v>
      </c>
      <c r="E59" s="1">
        <f t="shared" si="5"/>
        <v>32.200000000000003</v>
      </c>
      <c r="F59" s="1">
        <f t="shared" si="5"/>
        <v>32.200000000000003</v>
      </c>
      <c r="G59" s="7">
        <f t="shared" si="6"/>
        <v>0</v>
      </c>
      <c r="H59" s="7">
        <f t="shared" si="7"/>
        <v>0</v>
      </c>
      <c r="I59" s="1">
        <v>53.04</v>
      </c>
      <c r="J59" s="7">
        <f t="shared" si="8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" t="s">
        <v>158</v>
      </c>
      <c r="C60" s="13">
        <v>417</v>
      </c>
      <c r="D60" s="13" t="s">
        <v>52</v>
      </c>
      <c r="E60" s="1">
        <f t="shared" si="5"/>
        <v>32.200000000000003</v>
      </c>
      <c r="F60" s="1">
        <f t="shared" si="5"/>
        <v>32.200000000000003</v>
      </c>
      <c r="G60" s="7">
        <f t="shared" si="6"/>
        <v>0</v>
      </c>
      <c r="H60" s="7">
        <f t="shared" si="7"/>
        <v>0</v>
      </c>
      <c r="I60" s="1">
        <v>48.3</v>
      </c>
      <c r="J60" s="7">
        <f t="shared" si="8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5">
      <c r="A61" s="8" t="s">
        <v>52</v>
      </c>
      <c r="B61" s="2" t="s">
        <v>171</v>
      </c>
      <c r="C61" s="13">
        <v>610</v>
      </c>
      <c r="D61" s="13" t="s">
        <v>52</v>
      </c>
      <c r="E61" s="1">
        <f t="shared" si="5"/>
        <v>32.200000000000003</v>
      </c>
      <c r="F61" s="1">
        <f t="shared" si="5"/>
        <v>32.200000000000003</v>
      </c>
      <c r="G61" s="7">
        <f>IF(E61&gt;I61,(E61-F61)*C61,0)</f>
        <v>0</v>
      </c>
      <c r="H61" s="7">
        <f>IF(E61&gt;I61,(E61-F61)*C61*0.5895,0)</f>
        <v>0</v>
      </c>
      <c r="I61" s="1">
        <v>36.880000000000003</v>
      </c>
      <c r="J61" s="7">
        <f>IF(C61*(E61-I61)&gt;0,C61*(E61-I61),0)</f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5">
      <c r="A62" s="8" t="s">
        <v>52</v>
      </c>
      <c r="B62" s="21" t="s">
        <v>52</v>
      </c>
      <c r="C62" s="13" t="s">
        <v>52</v>
      </c>
      <c r="E62" s="1" t="s">
        <v>52</v>
      </c>
      <c r="F62" s="1" t="s">
        <v>52</v>
      </c>
      <c r="G62" s="15"/>
      <c r="H62" s="7" t="s">
        <v>52</v>
      </c>
      <c r="I62" s="2"/>
      <c r="M62" s="80" t="s">
        <v>52</v>
      </c>
    </row>
    <row r="63" spans="1:14" x14ac:dyDescent="0.25">
      <c r="A63" s="8" t="s">
        <v>10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4" x14ac:dyDescent="0.25">
      <c r="A64" s="8" t="s">
        <v>11</v>
      </c>
      <c r="B64" s="2" t="s">
        <v>132</v>
      </c>
      <c r="C64" s="13">
        <v>2317</v>
      </c>
      <c r="D64" s="13">
        <f>C64*1</f>
        <v>2317</v>
      </c>
      <c r="E64" s="1">
        <f>E$34</f>
        <v>32.200000000000003</v>
      </c>
      <c r="F64" s="1">
        <f>F$34</f>
        <v>32.200000000000003</v>
      </c>
      <c r="G64" s="7">
        <f>C64*(E64-F64)</f>
        <v>0</v>
      </c>
      <c r="H64" s="7">
        <f>C64*(E64-F64)*0.5895</f>
        <v>0</v>
      </c>
      <c r="I64" s="1"/>
      <c r="J64" s="7">
        <f>C64*E64</f>
        <v>74607.400000000009</v>
      </c>
      <c r="K64" s="7">
        <f>J64*0.614</f>
        <v>45808.943600000006</v>
      </c>
      <c r="L64" s="3">
        <v>2</v>
      </c>
      <c r="M64" s="80" t="s">
        <v>52</v>
      </c>
    </row>
    <row r="65" spans="1:16" x14ac:dyDescent="0.25">
      <c r="A65" s="8"/>
      <c r="C65" s="13" t="s">
        <v>52</v>
      </c>
      <c r="D65" s="13" t="s">
        <v>52</v>
      </c>
      <c r="E65" s="1" t="s">
        <v>52</v>
      </c>
      <c r="F65" s="1" t="s">
        <v>52</v>
      </c>
      <c r="G65" s="2"/>
      <c r="H65" s="7" t="s">
        <v>52</v>
      </c>
      <c r="I65" s="2"/>
      <c r="K65" s="7" t="s">
        <v>52</v>
      </c>
      <c r="M65" s="80" t="s">
        <v>52</v>
      </c>
    </row>
    <row r="66" spans="1:16" x14ac:dyDescent="0.25">
      <c r="A66" s="8" t="s">
        <v>64</v>
      </c>
      <c r="B66" s="5" t="s">
        <v>22</v>
      </c>
      <c r="D66" s="13" t="s">
        <v>52</v>
      </c>
      <c r="E66" s="1" t="s">
        <v>52</v>
      </c>
      <c r="F66" s="1" t="s">
        <v>52</v>
      </c>
      <c r="H66" s="7" t="s">
        <v>52</v>
      </c>
      <c r="I66" s="3"/>
      <c r="K66" s="7" t="s">
        <v>52</v>
      </c>
      <c r="M66" s="80" t="s">
        <v>52</v>
      </c>
    </row>
    <row r="67" spans="1:16" x14ac:dyDescent="0.25">
      <c r="A67" s="8" t="s">
        <v>65</v>
      </c>
      <c r="B67" s="2" t="s">
        <v>133</v>
      </c>
      <c r="C67" s="13">
        <v>1924</v>
      </c>
      <c r="D67" s="13">
        <f>+C67*1</f>
        <v>1924</v>
      </c>
      <c r="E67" s="1">
        <f>E$34</f>
        <v>32.200000000000003</v>
      </c>
      <c r="F67" s="1">
        <f>F$34</f>
        <v>32.200000000000003</v>
      </c>
      <c r="G67" s="7">
        <f>C67*(E67-F67)</f>
        <v>0</v>
      </c>
      <c r="H67" s="7">
        <f>C67*(E67-F67)*0.5895</f>
        <v>0</v>
      </c>
      <c r="I67" s="1"/>
      <c r="J67" s="7">
        <f>C67*E67</f>
        <v>61952.800000000003</v>
      </c>
      <c r="K67" s="7">
        <f>J67*0.614</f>
        <v>38039.019200000002</v>
      </c>
      <c r="L67" s="3">
        <v>2</v>
      </c>
      <c r="M67" s="80" t="s">
        <v>52</v>
      </c>
      <c r="O67" s="7" t="s">
        <v>52</v>
      </c>
      <c r="P67" s="15" t="s">
        <v>52</v>
      </c>
    </row>
    <row r="68" spans="1:16" x14ac:dyDescent="0.25">
      <c r="A68" s="87" t="s">
        <v>52</v>
      </c>
      <c r="E68" s="1"/>
      <c r="F68" s="1"/>
      <c r="H68" s="7" t="s">
        <v>52</v>
      </c>
      <c r="I68" s="1"/>
    </row>
    <row r="69" spans="1:16" x14ac:dyDescent="0.25">
      <c r="A69" s="8" t="s">
        <v>57</v>
      </c>
      <c r="B69" s="5" t="s">
        <v>22</v>
      </c>
      <c r="C69" s="13" t="s">
        <v>52</v>
      </c>
      <c r="D69" s="13" t="s">
        <v>52</v>
      </c>
      <c r="E69" s="14"/>
      <c r="F69" s="14"/>
      <c r="H69" s="7" t="s">
        <v>52</v>
      </c>
      <c r="I69" s="3"/>
      <c r="K69" s="7" t="s">
        <v>52</v>
      </c>
    </row>
    <row r="70" spans="1:16" x14ac:dyDescent="0.25">
      <c r="A70" s="8" t="s">
        <v>52</v>
      </c>
      <c r="B70" s="2" t="s">
        <v>172</v>
      </c>
      <c r="C70" s="80">
        <v>2930693</v>
      </c>
      <c r="D70" s="13" t="s">
        <v>52</v>
      </c>
      <c r="E70" s="1">
        <v>1</v>
      </c>
      <c r="F70" s="1">
        <v>1</v>
      </c>
      <c r="G70" s="7">
        <f>C70*(E70-F70)</f>
        <v>0</v>
      </c>
      <c r="H70" s="7">
        <f t="shared" ref="H70:H84" si="9">C70*(E70-F70)</f>
        <v>0</v>
      </c>
      <c r="I70" s="1"/>
      <c r="J70" s="7">
        <f>C70*E70</f>
        <v>2930693</v>
      </c>
      <c r="K70" s="7">
        <f t="shared" ref="K70:K85" si="10">J70</f>
        <v>2930693</v>
      </c>
      <c r="L70" s="3">
        <v>1</v>
      </c>
    </row>
    <row r="71" spans="1:16" x14ac:dyDescent="0.25">
      <c r="A71" s="30" t="s">
        <v>52</v>
      </c>
      <c r="B71" s="2" t="s">
        <v>162</v>
      </c>
      <c r="C71" s="13">
        <v>-5000</v>
      </c>
      <c r="D71" s="13">
        <f>C71*-1</f>
        <v>5000</v>
      </c>
      <c r="E71" s="1">
        <v>6.95</v>
      </c>
      <c r="F71" s="1">
        <v>6.95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0"/>
        <v>0</v>
      </c>
      <c r="L71" s="3">
        <v>1</v>
      </c>
      <c r="M71" s="80" t="s">
        <v>52</v>
      </c>
    </row>
    <row r="72" spans="1:16" x14ac:dyDescent="0.25">
      <c r="A72" s="30" t="s">
        <v>52</v>
      </c>
      <c r="B72" s="2" t="s">
        <v>145</v>
      </c>
      <c r="C72" s="13">
        <v>-2000</v>
      </c>
      <c r="D72" s="13">
        <f>C72*-1</f>
        <v>2000</v>
      </c>
      <c r="E72" s="1">
        <v>17.899999999999999</v>
      </c>
      <c r="F72" s="1">
        <v>17.899999999999999</v>
      </c>
      <c r="G72" s="7">
        <f t="shared" ref="G72:G84" si="11">(E72-F72)*C72</f>
        <v>0</v>
      </c>
      <c r="H72" s="7">
        <f t="shared" si="9"/>
        <v>0</v>
      </c>
      <c r="J72" s="7">
        <f>G72</f>
        <v>0</v>
      </c>
      <c r="K72" s="7">
        <f t="shared" si="10"/>
        <v>0</v>
      </c>
      <c r="L72" s="3">
        <v>1</v>
      </c>
      <c r="M72" s="80" t="s">
        <v>52</v>
      </c>
      <c r="N72" s="80" t="s">
        <v>52</v>
      </c>
    </row>
    <row r="73" spans="1:16" x14ac:dyDescent="0.25">
      <c r="A73" s="30" t="s">
        <v>52</v>
      </c>
      <c r="B73" s="2" t="s">
        <v>167</v>
      </c>
      <c r="C73" s="13">
        <v>-15000</v>
      </c>
      <c r="D73" s="13" t="s">
        <v>52</v>
      </c>
      <c r="E73" s="1">
        <v>2.6</v>
      </c>
      <c r="F73" s="1">
        <v>2.6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39000</v>
      </c>
    </row>
    <row r="74" spans="1:16" x14ac:dyDescent="0.25">
      <c r="A74" s="30" t="s">
        <v>52</v>
      </c>
      <c r="B74" s="2" t="s">
        <v>165</v>
      </c>
      <c r="C74" s="13">
        <v>-7500</v>
      </c>
      <c r="D74" s="13" t="s">
        <v>52</v>
      </c>
      <c r="E74" s="1">
        <v>1.2</v>
      </c>
      <c r="F74" s="1">
        <v>1.2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>J74</f>
        <v>0</v>
      </c>
      <c r="L74" s="3">
        <v>1</v>
      </c>
      <c r="M74" s="80">
        <f>C74*E74*-1</f>
        <v>9000</v>
      </c>
    </row>
    <row r="75" spans="1:16" x14ac:dyDescent="0.25">
      <c r="A75" s="30" t="s">
        <v>52</v>
      </c>
      <c r="B75" s="2" t="s">
        <v>135</v>
      </c>
      <c r="C75" s="13">
        <v>-5000</v>
      </c>
      <c r="D75" s="13" t="s">
        <v>52</v>
      </c>
      <c r="E75" s="1">
        <v>0.3</v>
      </c>
      <c r="F75" s="1">
        <v>0.3</v>
      </c>
      <c r="G75" s="7">
        <f t="shared" si="11"/>
        <v>0</v>
      </c>
      <c r="H75" s="7">
        <f t="shared" si="9"/>
        <v>0</v>
      </c>
      <c r="J75" s="7">
        <f t="shared" ref="J75:J83" si="12">G75</f>
        <v>0</v>
      </c>
      <c r="K75" s="7">
        <f t="shared" si="10"/>
        <v>0</v>
      </c>
      <c r="L75" s="3">
        <v>1</v>
      </c>
      <c r="M75" s="80">
        <f t="shared" ref="M75:M84" si="13">C75*E75*-1</f>
        <v>1500</v>
      </c>
    </row>
    <row r="76" spans="1:16" x14ac:dyDescent="0.25">
      <c r="A76" s="30" t="s">
        <v>52</v>
      </c>
      <c r="B76" s="2" t="s">
        <v>136</v>
      </c>
      <c r="C76" s="13">
        <v>-15000</v>
      </c>
      <c r="D76" s="13" t="s">
        <v>52</v>
      </c>
      <c r="E76" s="1">
        <v>0.1</v>
      </c>
      <c r="F76" s="1">
        <v>0.1</v>
      </c>
      <c r="G76" s="7">
        <f t="shared" si="11"/>
        <v>0</v>
      </c>
      <c r="H76" s="7">
        <f t="shared" si="9"/>
        <v>0</v>
      </c>
      <c r="J76" s="7">
        <f t="shared" si="12"/>
        <v>0</v>
      </c>
      <c r="K76" s="7">
        <f t="shared" si="10"/>
        <v>0</v>
      </c>
      <c r="L76" s="3">
        <v>1</v>
      </c>
      <c r="M76" s="80">
        <f t="shared" si="13"/>
        <v>1500</v>
      </c>
      <c r="N76" s="80" t="s">
        <v>52</v>
      </c>
    </row>
    <row r="77" spans="1:16" x14ac:dyDescent="0.25">
      <c r="A77" s="30" t="s">
        <v>52</v>
      </c>
      <c r="B77" s="2" t="s">
        <v>153</v>
      </c>
      <c r="C77" s="13">
        <v>-5000</v>
      </c>
      <c r="D77" s="13" t="s">
        <v>52</v>
      </c>
      <c r="E77" s="1">
        <v>1.7</v>
      </c>
      <c r="F77" s="1">
        <v>1.7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0"/>
        <v>0</v>
      </c>
      <c r="L77" s="3">
        <v>1</v>
      </c>
      <c r="M77" s="80">
        <f>C77*E77*-1</f>
        <v>8500</v>
      </c>
    </row>
    <row r="78" spans="1:16" x14ac:dyDescent="0.25">
      <c r="A78" s="30" t="s">
        <v>52</v>
      </c>
      <c r="B78" s="2" t="s">
        <v>137</v>
      </c>
      <c r="C78" s="13">
        <v>-15000</v>
      </c>
      <c r="D78" s="13" t="s">
        <v>52</v>
      </c>
      <c r="E78" s="1">
        <v>1.25</v>
      </c>
      <c r="F78" s="1">
        <v>1.25</v>
      </c>
      <c r="G78" s="7">
        <f t="shared" si="11"/>
        <v>0</v>
      </c>
      <c r="H78" s="7">
        <f t="shared" si="9"/>
        <v>0</v>
      </c>
      <c r="J78" s="7">
        <f t="shared" si="12"/>
        <v>0</v>
      </c>
      <c r="K78" s="7">
        <f t="shared" si="10"/>
        <v>0</v>
      </c>
      <c r="L78" s="3">
        <v>1</v>
      </c>
      <c r="M78" s="80">
        <f t="shared" si="13"/>
        <v>18750</v>
      </c>
      <c r="O78" s="5" t="s">
        <v>52</v>
      </c>
    </row>
    <row r="79" spans="1:16" x14ac:dyDescent="0.25">
      <c r="A79" s="30" t="s">
        <v>52</v>
      </c>
      <c r="B79" s="2" t="s">
        <v>149</v>
      </c>
      <c r="C79" s="13">
        <v>-15000</v>
      </c>
      <c r="D79" s="13" t="s">
        <v>52</v>
      </c>
      <c r="E79" s="1">
        <v>0.95</v>
      </c>
      <c r="F79" s="1">
        <v>0.95</v>
      </c>
      <c r="G79" s="7">
        <f>(E79-F79)*C79</f>
        <v>0</v>
      </c>
      <c r="H79" s="7">
        <f>C79*(E79-F79)</f>
        <v>0</v>
      </c>
      <c r="J79" s="7">
        <f>G79</f>
        <v>0</v>
      </c>
      <c r="K79" s="7">
        <f t="shared" si="10"/>
        <v>0</v>
      </c>
      <c r="L79" s="3">
        <v>1</v>
      </c>
      <c r="M79" s="80">
        <f>C79*E79*-1</f>
        <v>14250</v>
      </c>
      <c r="O79" s="5" t="s">
        <v>52</v>
      </c>
    </row>
    <row r="80" spans="1:16" x14ac:dyDescent="0.25">
      <c r="A80" s="30" t="s">
        <v>52</v>
      </c>
      <c r="B80" s="2" t="s">
        <v>138</v>
      </c>
      <c r="C80" s="13">
        <v>-10000</v>
      </c>
      <c r="D80" s="13" t="s">
        <v>52</v>
      </c>
      <c r="E80" s="1">
        <v>0.45</v>
      </c>
      <c r="F80" s="1">
        <v>0.45</v>
      </c>
      <c r="G80" s="7">
        <f t="shared" si="11"/>
        <v>0</v>
      </c>
      <c r="H80" s="7">
        <f t="shared" si="9"/>
        <v>0</v>
      </c>
      <c r="J80" s="7">
        <f>G80</f>
        <v>0</v>
      </c>
      <c r="K80" s="7">
        <f t="shared" si="10"/>
        <v>0</v>
      </c>
      <c r="L80" s="3">
        <v>1</v>
      </c>
      <c r="M80" s="80">
        <f t="shared" si="13"/>
        <v>4500</v>
      </c>
      <c r="O80" s="7" t="s">
        <v>52</v>
      </c>
    </row>
    <row r="81" spans="1:15" x14ac:dyDescent="0.25">
      <c r="A81" s="30" t="s">
        <v>52</v>
      </c>
      <c r="B81" s="2" t="s">
        <v>139</v>
      </c>
      <c r="C81" s="13">
        <v>-10000</v>
      </c>
      <c r="D81" s="13" t="s">
        <v>52</v>
      </c>
      <c r="E81" s="1">
        <v>0.3</v>
      </c>
      <c r="F81" s="1">
        <v>0.3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80">
        <f t="shared" si="13"/>
        <v>3000</v>
      </c>
      <c r="O81" s="7" t="s">
        <v>52</v>
      </c>
    </row>
    <row r="82" spans="1:15" x14ac:dyDescent="0.25">
      <c r="A82" s="30" t="s">
        <v>52</v>
      </c>
      <c r="B82" s="2" t="s">
        <v>140</v>
      </c>
      <c r="C82" s="13">
        <v>-10000</v>
      </c>
      <c r="D82" s="13" t="s">
        <v>52</v>
      </c>
      <c r="E82" s="1">
        <v>0.15</v>
      </c>
      <c r="F82" s="1">
        <v>0.15</v>
      </c>
      <c r="G82" s="7">
        <f t="shared" si="11"/>
        <v>0</v>
      </c>
      <c r="H82" s="7">
        <f t="shared" si="9"/>
        <v>0</v>
      </c>
      <c r="J82" s="7">
        <f t="shared" si="12"/>
        <v>0</v>
      </c>
      <c r="K82" s="7">
        <f t="shared" si="10"/>
        <v>0</v>
      </c>
      <c r="L82" s="3">
        <v>1</v>
      </c>
      <c r="M82" s="80">
        <f t="shared" si="13"/>
        <v>1500</v>
      </c>
      <c r="O82" s="7" t="s">
        <v>52</v>
      </c>
    </row>
    <row r="83" spans="1:15" x14ac:dyDescent="0.25">
      <c r="A83" s="30" t="s">
        <v>52</v>
      </c>
      <c r="B83" s="2" t="s">
        <v>141</v>
      </c>
      <c r="C83" s="13">
        <v>-10000</v>
      </c>
      <c r="D83" s="13" t="s">
        <v>52</v>
      </c>
      <c r="E83" s="1">
        <v>0.1</v>
      </c>
      <c r="F83" s="1">
        <v>0.1</v>
      </c>
      <c r="G83" s="7">
        <f t="shared" si="11"/>
        <v>0</v>
      </c>
      <c r="H83" s="7">
        <f t="shared" si="9"/>
        <v>0</v>
      </c>
      <c r="J83" s="7">
        <f t="shared" si="12"/>
        <v>0</v>
      </c>
      <c r="K83" s="7">
        <f t="shared" si="10"/>
        <v>0</v>
      </c>
      <c r="L83" s="3">
        <v>1</v>
      </c>
      <c r="M83" s="92">
        <f t="shared" si="13"/>
        <v>1000</v>
      </c>
      <c r="O83" s="80" t="s">
        <v>52</v>
      </c>
    </row>
    <row r="84" spans="1:15" ht="13.8" thickBot="1" x14ac:dyDescent="0.3">
      <c r="A84" s="30" t="s">
        <v>52</v>
      </c>
      <c r="B84" s="2" t="s">
        <v>142</v>
      </c>
      <c r="C84" s="13">
        <v>-5000</v>
      </c>
      <c r="D84" s="13" t="s">
        <v>52</v>
      </c>
      <c r="E84" s="1">
        <v>0.1</v>
      </c>
      <c r="F84" s="1">
        <v>0.1</v>
      </c>
      <c r="G84" s="7">
        <f t="shared" si="11"/>
        <v>0</v>
      </c>
      <c r="H84" s="7">
        <f t="shared" si="9"/>
        <v>0</v>
      </c>
      <c r="J84" s="7">
        <f>G84</f>
        <v>0</v>
      </c>
      <c r="K84" s="7">
        <f t="shared" si="10"/>
        <v>0</v>
      </c>
      <c r="L84" s="3">
        <v>1</v>
      </c>
      <c r="M84" s="93">
        <f t="shared" si="13"/>
        <v>500</v>
      </c>
      <c r="N84" s="80" t="s">
        <v>52</v>
      </c>
      <c r="O84" s="7" t="s">
        <v>52</v>
      </c>
    </row>
    <row r="85" spans="1:15" x14ac:dyDescent="0.25">
      <c r="A85" s="8" t="s">
        <v>52</v>
      </c>
      <c r="C85" s="29" t="s">
        <v>52</v>
      </c>
      <c r="D85" s="13" t="s">
        <v>52</v>
      </c>
      <c r="E85" s="1"/>
      <c r="F85" s="1"/>
      <c r="G85" s="7" t="s">
        <v>52</v>
      </c>
      <c r="H85" s="7" t="s">
        <v>52</v>
      </c>
      <c r="I85" s="1"/>
      <c r="J85" s="7" t="str">
        <f>G85</f>
        <v xml:space="preserve"> </v>
      </c>
      <c r="K85" s="7" t="str">
        <f t="shared" si="10"/>
        <v xml:space="preserve"> </v>
      </c>
      <c r="M85" s="80">
        <f>SUM(M71:M84)</f>
        <v>103000</v>
      </c>
      <c r="N85" s="80">
        <v>20750</v>
      </c>
      <c r="O85" s="80">
        <v>2930693</v>
      </c>
    </row>
    <row r="86" spans="1:15" x14ac:dyDescent="0.25">
      <c r="A86" s="8" t="s">
        <v>57</v>
      </c>
      <c r="B86" s="5" t="s">
        <v>22</v>
      </c>
      <c r="C86" s="13" t="s">
        <v>52</v>
      </c>
      <c r="D86" s="13" t="s">
        <v>52</v>
      </c>
      <c r="E86" s="14"/>
      <c r="F86" s="14"/>
      <c r="G86" s="14" t="s">
        <v>52</v>
      </c>
      <c r="H86" s="7" t="s">
        <v>52</v>
      </c>
      <c r="I86" s="3"/>
      <c r="K86" s="7" t="s">
        <v>52</v>
      </c>
      <c r="M86" s="80" t="s">
        <v>52</v>
      </c>
      <c r="N86" s="80">
        <f>SUM(H70:H84)</f>
        <v>0</v>
      </c>
      <c r="O86" s="80">
        <f>SUM(K70:K84)</f>
        <v>2930693</v>
      </c>
    </row>
    <row r="87" spans="1:15" x14ac:dyDescent="0.25">
      <c r="A87" s="30" t="s">
        <v>52</v>
      </c>
      <c r="B87" s="2" t="s">
        <v>62</v>
      </c>
      <c r="C87" s="13">
        <v>387</v>
      </c>
      <c r="D87" s="13" t="s">
        <v>52</v>
      </c>
      <c r="E87" s="16">
        <v>37.15</v>
      </c>
      <c r="F87" s="16">
        <v>37.15</v>
      </c>
      <c r="G87" s="7">
        <f>C87*(E87-F87)</f>
        <v>0</v>
      </c>
      <c r="H87" s="7">
        <f>C87*(E87-F87)</f>
        <v>0</v>
      </c>
      <c r="I87" s="1"/>
      <c r="J87" s="7">
        <f>C87*E87</f>
        <v>14377.05</v>
      </c>
      <c r="K87" s="7">
        <f>J87</f>
        <v>14377.05</v>
      </c>
      <c r="L87" s="3">
        <v>2</v>
      </c>
      <c r="M87" s="80" t="s">
        <v>52</v>
      </c>
    </row>
    <row r="88" spans="1:15" x14ac:dyDescent="0.25">
      <c r="A88" s="8" t="s">
        <v>52</v>
      </c>
      <c r="B88" s="2" t="s">
        <v>23</v>
      </c>
      <c r="C88" s="13">
        <v>158.47999999999999</v>
      </c>
      <c r="D88" s="13" t="s">
        <v>52</v>
      </c>
      <c r="E88" s="1">
        <v>1</v>
      </c>
      <c r="F88" s="1">
        <v>1</v>
      </c>
      <c r="G88" s="7">
        <f>C88*(E88-F88)</f>
        <v>0</v>
      </c>
      <c r="H88" s="7">
        <f>C88*(E88-F88)</f>
        <v>0</v>
      </c>
      <c r="I88" s="1"/>
      <c r="J88" s="7">
        <f>C88*E88</f>
        <v>158.47999999999999</v>
      </c>
      <c r="K88" s="7">
        <f>J88</f>
        <v>158.47999999999999</v>
      </c>
      <c r="L88" s="3">
        <v>1</v>
      </c>
    </row>
    <row r="89" spans="1:15" x14ac:dyDescent="0.25">
      <c r="A89" s="8" t="s">
        <v>52</v>
      </c>
      <c r="B89" s="5" t="s">
        <v>52</v>
      </c>
      <c r="D89" s="13" t="s">
        <v>52</v>
      </c>
      <c r="E89" s="1" t="s">
        <v>52</v>
      </c>
      <c r="F89" s="1" t="s">
        <v>52</v>
      </c>
      <c r="H89" s="7" t="s">
        <v>52</v>
      </c>
      <c r="I89" s="3"/>
      <c r="K89" s="15"/>
      <c r="O89" s="80" t="s">
        <v>52</v>
      </c>
    </row>
    <row r="90" spans="1:15" x14ac:dyDescent="0.25">
      <c r="A90" s="8" t="s">
        <v>12</v>
      </c>
      <c r="B90" s="5" t="s">
        <v>22</v>
      </c>
      <c r="C90" s="13" t="s">
        <v>52</v>
      </c>
      <c r="D90" s="13" t="s">
        <v>52</v>
      </c>
      <c r="E90" s="3"/>
      <c r="F90" s="3"/>
      <c r="H90" s="7" t="s">
        <v>52</v>
      </c>
      <c r="I90" s="3"/>
    </row>
    <row r="91" spans="1:15" x14ac:dyDescent="0.25">
      <c r="A91" s="8" t="s">
        <v>13</v>
      </c>
      <c r="B91" s="2" t="s">
        <v>26</v>
      </c>
      <c r="C91" s="13">
        <v>234.06399999999999</v>
      </c>
      <c r="D91" s="13" t="s">
        <v>52</v>
      </c>
      <c r="E91" s="1">
        <v>47.06</v>
      </c>
      <c r="F91" s="1">
        <v>47.06</v>
      </c>
      <c r="G91" s="7">
        <f t="shared" ref="G91:G97" si="14">C91*(E91-F91)</f>
        <v>0</v>
      </c>
      <c r="H91" s="7">
        <f t="shared" ref="H91:H97" si="15">C91*(E91-F91)</f>
        <v>0</v>
      </c>
      <c r="I91" s="1"/>
      <c r="J91" s="7">
        <f t="shared" ref="J91:J97" si="16">C91*E91</f>
        <v>11015.05184</v>
      </c>
      <c r="K91" s="7">
        <f>J91</f>
        <v>11015.05184</v>
      </c>
      <c r="L91" s="3">
        <v>2</v>
      </c>
    </row>
    <row r="92" spans="1:15" x14ac:dyDescent="0.25">
      <c r="A92" s="8"/>
      <c r="B92" s="2" t="s">
        <v>27</v>
      </c>
      <c r="C92" s="13">
        <v>752.12800000000004</v>
      </c>
      <c r="D92" s="13" t="s">
        <v>52</v>
      </c>
      <c r="E92" s="1">
        <v>8.11</v>
      </c>
      <c r="F92" s="1">
        <v>8.11</v>
      </c>
      <c r="G92" s="7">
        <f t="shared" si="14"/>
        <v>0</v>
      </c>
      <c r="H92" s="7">
        <f t="shared" si="15"/>
        <v>0</v>
      </c>
      <c r="I92" s="1"/>
      <c r="J92" s="7">
        <f t="shared" si="16"/>
        <v>6099.7580799999996</v>
      </c>
      <c r="K92" s="7">
        <f t="shared" ref="K92:K108" si="17">J92</f>
        <v>6099.7580799999996</v>
      </c>
      <c r="L92" s="3">
        <v>2</v>
      </c>
    </row>
    <row r="93" spans="1:15" x14ac:dyDescent="0.25">
      <c r="A93" s="8"/>
      <c r="B93" s="2" t="s">
        <v>28</v>
      </c>
      <c r="C93" s="13">
        <v>2674.7959999999998</v>
      </c>
      <c r="D93" s="13" t="s">
        <v>52</v>
      </c>
      <c r="E93" s="1">
        <v>19.8</v>
      </c>
      <c r="F93" s="1">
        <v>19.8</v>
      </c>
      <c r="G93" s="7">
        <f t="shared" si="14"/>
        <v>0</v>
      </c>
      <c r="H93" s="7">
        <f t="shared" si="15"/>
        <v>0</v>
      </c>
      <c r="I93" s="1"/>
      <c r="J93" s="7">
        <f t="shared" si="16"/>
        <v>52960.960800000001</v>
      </c>
      <c r="K93" s="7">
        <f t="shared" si="17"/>
        <v>52960.960800000001</v>
      </c>
      <c r="L93" s="3">
        <v>2</v>
      </c>
    </row>
    <row r="94" spans="1:15" x14ac:dyDescent="0.25">
      <c r="A94" s="8"/>
      <c r="B94" s="2" t="s">
        <v>29</v>
      </c>
      <c r="C94" s="13">
        <v>1240.306</v>
      </c>
      <c r="D94" s="13" t="s">
        <v>52</v>
      </c>
      <c r="E94" s="1">
        <v>7.83</v>
      </c>
      <c r="F94" s="1">
        <v>7.83</v>
      </c>
      <c r="G94" s="7">
        <f t="shared" si="14"/>
        <v>0</v>
      </c>
      <c r="H94" s="7">
        <f t="shared" si="15"/>
        <v>0</v>
      </c>
      <c r="I94" s="1"/>
      <c r="J94" s="7">
        <f t="shared" si="16"/>
        <v>9711.5959800000001</v>
      </c>
      <c r="K94" s="7">
        <f t="shared" si="17"/>
        <v>9711.5959800000001</v>
      </c>
      <c r="L94" s="3">
        <v>2</v>
      </c>
    </row>
    <row r="95" spans="1:15" x14ac:dyDescent="0.25">
      <c r="A95" s="8"/>
      <c r="B95" s="2" t="s">
        <v>30</v>
      </c>
      <c r="C95" s="13">
        <v>261.04399999999998</v>
      </c>
      <c r="D95" s="13" t="s">
        <v>52</v>
      </c>
      <c r="E95" s="1">
        <v>35.46</v>
      </c>
      <c r="F95" s="1">
        <v>35.46</v>
      </c>
      <c r="G95" s="7">
        <f t="shared" si="14"/>
        <v>0</v>
      </c>
      <c r="H95" s="7">
        <f t="shared" si="15"/>
        <v>0</v>
      </c>
      <c r="I95" s="1"/>
      <c r="J95" s="7">
        <f t="shared" si="16"/>
        <v>9256.6202400000002</v>
      </c>
      <c r="K95" s="7">
        <f t="shared" si="17"/>
        <v>9256.6202400000002</v>
      </c>
      <c r="L95" s="3">
        <v>2</v>
      </c>
    </row>
    <row r="96" spans="1:15" x14ac:dyDescent="0.25">
      <c r="A96" s="8"/>
      <c r="B96" s="2" t="s">
        <v>31</v>
      </c>
      <c r="C96" s="13">
        <v>378.52600000000001</v>
      </c>
      <c r="D96" s="13" t="s">
        <v>52</v>
      </c>
      <c r="E96" s="1">
        <v>25.55</v>
      </c>
      <c r="F96" s="1">
        <v>25.55</v>
      </c>
      <c r="G96" s="7">
        <f t="shared" si="14"/>
        <v>0</v>
      </c>
      <c r="H96" s="7">
        <f t="shared" si="15"/>
        <v>0</v>
      </c>
      <c r="I96" s="1"/>
      <c r="J96" s="7">
        <f t="shared" si="16"/>
        <v>9671.3392999999996</v>
      </c>
      <c r="K96" s="7">
        <f t="shared" si="17"/>
        <v>9671.3392999999996</v>
      </c>
      <c r="L96" s="3">
        <v>2</v>
      </c>
    </row>
    <row r="97" spans="1:15" x14ac:dyDescent="0.25">
      <c r="A97" s="8" t="s">
        <v>52</v>
      </c>
      <c r="B97" s="2" t="s">
        <v>49</v>
      </c>
      <c r="C97" s="13">
        <v>1371</v>
      </c>
      <c r="D97" s="13" t="s">
        <v>52</v>
      </c>
      <c r="E97" s="1">
        <v>11</v>
      </c>
      <c r="F97" s="1">
        <v>11</v>
      </c>
      <c r="G97" s="7">
        <f t="shared" si="14"/>
        <v>0</v>
      </c>
      <c r="H97" s="7">
        <f t="shared" si="15"/>
        <v>0</v>
      </c>
      <c r="I97" s="1" t="s">
        <v>52</v>
      </c>
      <c r="J97" s="7">
        <f t="shared" si="16"/>
        <v>15081</v>
      </c>
      <c r="K97" s="7">
        <f t="shared" si="17"/>
        <v>15081</v>
      </c>
      <c r="L97" s="3">
        <v>1</v>
      </c>
    </row>
    <row r="98" spans="1:15" x14ac:dyDescent="0.25">
      <c r="A98" s="8"/>
      <c r="E98" s="2"/>
      <c r="F98" s="2"/>
      <c r="G98" s="15"/>
      <c r="H98" s="7" t="s">
        <v>52</v>
      </c>
      <c r="I98" s="2" t="s">
        <v>52</v>
      </c>
    </row>
    <row r="99" spans="1:15" x14ac:dyDescent="0.25">
      <c r="A99" s="8" t="s">
        <v>14</v>
      </c>
      <c r="B99" s="2" t="s">
        <v>58</v>
      </c>
      <c r="C99" s="13">
        <v>5000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5000</v>
      </c>
      <c r="K99" s="7">
        <f t="shared" si="17"/>
        <v>5000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</row>
    <row r="101" spans="1:15" x14ac:dyDescent="0.25">
      <c r="A101" s="8" t="s">
        <v>15</v>
      </c>
      <c r="B101" s="2" t="s">
        <v>34</v>
      </c>
      <c r="C101" s="13">
        <v>3829.12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3829.12</v>
      </c>
      <c r="K101" s="7">
        <f t="shared" si="17"/>
        <v>3829.12</v>
      </c>
      <c r="L101" s="3">
        <v>1</v>
      </c>
    </row>
    <row r="102" spans="1:15" x14ac:dyDescent="0.25">
      <c r="A102" s="8"/>
      <c r="B102" s="2" t="s">
        <v>35</v>
      </c>
      <c r="C102" s="13">
        <v>4769.42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4769.42</v>
      </c>
      <c r="K102" s="7">
        <f t="shared" si="17"/>
        <v>4769.42</v>
      </c>
      <c r="L102" s="3">
        <v>1</v>
      </c>
    </row>
    <row r="103" spans="1:15" x14ac:dyDescent="0.25">
      <c r="E103" s="2"/>
      <c r="F103" s="2"/>
      <c r="G103" s="15"/>
      <c r="H103" s="7" t="s">
        <v>52</v>
      </c>
      <c r="I103" s="2"/>
      <c r="K103" s="7" t="s">
        <v>52</v>
      </c>
    </row>
    <row r="104" spans="1:15" x14ac:dyDescent="0.25">
      <c r="A104" s="8" t="s">
        <v>16</v>
      </c>
      <c r="B104" s="2" t="s">
        <v>36</v>
      </c>
      <c r="C104" s="13">
        <v>9759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9759</v>
      </c>
      <c r="K104" s="7">
        <f t="shared" si="17"/>
        <v>9759</v>
      </c>
      <c r="L104" s="3">
        <v>1</v>
      </c>
      <c r="M104" s="80" t="s">
        <v>87</v>
      </c>
    </row>
    <row r="105" spans="1:15" x14ac:dyDescent="0.25">
      <c r="A105" s="8"/>
      <c r="B105" s="2" t="s">
        <v>38</v>
      </c>
      <c r="C105" s="13">
        <v>3718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3718</v>
      </c>
      <c r="K105" s="7">
        <f t="shared" si="17"/>
        <v>3718</v>
      </c>
      <c r="L105" s="3">
        <v>1</v>
      </c>
      <c r="M105" s="80">
        <f>(C9*E9)+(C10*E10)+(C11*E11)+(C12*E12)+(C13*E13)</f>
        <v>-3876750</v>
      </c>
      <c r="N105" s="26">
        <f>M105/M112</f>
        <v>-0.64458810815616729</v>
      </c>
      <c r="O105" s="5" t="s">
        <v>85</v>
      </c>
    </row>
    <row r="106" spans="1:15" x14ac:dyDescent="0.25">
      <c r="A106" s="8"/>
      <c r="B106" s="2" t="s">
        <v>39</v>
      </c>
      <c r="C106" s="13">
        <v>943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943</v>
      </c>
      <c r="K106" s="7">
        <f t="shared" si="17"/>
        <v>943</v>
      </c>
      <c r="L106" s="3">
        <v>1</v>
      </c>
      <c r="M106" s="80">
        <f>SUMIF(L5:L113,2,K5:K113)</f>
        <v>472022.67296672199</v>
      </c>
      <c r="N106" s="26">
        <f>M106/M112</f>
        <v>7.848331766929427E-2</v>
      </c>
      <c r="O106" s="5" t="s">
        <v>22</v>
      </c>
    </row>
    <row r="107" spans="1:15" x14ac:dyDescent="0.25">
      <c r="A107" s="8"/>
      <c r="B107" s="2" t="s">
        <v>40</v>
      </c>
      <c r="C107" s="13">
        <v>1235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1235</v>
      </c>
      <c r="K107" s="7">
        <f t="shared" si="17"/>
        <v>1235</v>
      </c>
      <c r="L107" s="3">
        <v>1</v>
      </c>
      <c r="M107" s="80" t="s">
        <v>60</v>
      </c>
      <c r="N107" s="26"/>
      <c r="O107" s="7" t="s">
        <v>52</v>
      </c>
    </row>
    <row r="108" spans="1:15" x14ac:dyDescent="0.25">
      <c r="A108" s="8"/>
      <c r="B108" s="2" t="s">
        <v>37</v>
      </c>
      <c r="C108" s="13">
        <v>2234.7820000000002</v>
      </c>
      <c r="D108" s="13" t="s">
        <v>52</v>
      </c>
      <c r="E108" s="1">
        <v>1.684671</v>
      </c>
      <c r="F108" s="1">
        <v>1.684671</v>
      </c>
      <c r="G108" s="7">
        <f>C108*(E108-F108)</f>
        <v>0</v>
      </c>
      <c r="H108" s="7">
        <f>C108*(E108-F108)</f>
        <v>0</v>
      </c>
      <c r="I108" s="1"/>
      <c r="J108" s="7">
        <f>C108*E108</f>
        <v>3764.8724267220005</v>
      </c>
      <c r="K108" s="7">
        <f t="shared" si="17"/>
        <v>3764.8724267220005</v>
      </c>
      <c r="L108" s="3">
        <v>2</v>
      </c>
      <c r="M108" s="80">
        <f>SUMIF(L5:L113,1,K5:K113)</f>
        <v>6107283.1309200013</v>
      </c>
      <c r="N108" s="26">
        <f>M108/M112</f>
        <v>1.0154593614067964</v>
      </c>
    </row>
    <row r="109" spans="1:15" x14ac:dyDescent="0.25">
      <c r="A109" s="8"/>
      <c r="E109" s="1"/>
      <c r="F109" s="1"/>
      <c r="I109" s="1"/>
      <c r="M109" s="80" t="s">
        <v>166</v>
      </c>
      <c r="N109" s="26"/>
    </row>
    <row r="110" spans="1:15" x14ac:dyDescent="0.25">
      <c r="A110" s="8" t="s">
        <v>88</v>
      </c>
      <c r="B110" s="2" t="s">
        <v>156</v>
      </c>
      <c r="C110" s="13">
        <v>-150000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-150000</v>
      </c>
      <c r="K110" s="7">
        <f>J110</f>
        <v>-150000</v>
      </c>
      <c r="L110" s="3">
        <v>0</v>
      </c>
      <c r="M110" s="80">
        <f>SUM(K110:K112)</f>
        <v>-565000</v>
      </c>
      <c r="N110" s="26">
        <f>+M110/M112</f>
        <v>-9.3942679076090677E-2</v>
      </c>
    </row>
    <row r="111" spans="1:15" x14ac:dyDescent="0.25">
      <c r="A111" s="8" t="s">
        <v>52</v>
      </c>
      <c r="B111" s="2" t="s">
        <v>163</v>
      </c>
      <c r="C111" s="13">
        <v>-160000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-160000</v>
      </c>
      <c r="K111" s="7">
        <f>J111</f>
        <v>-160000</v>
      </c>
      <c r="L111" s="3">
        <v>0</v>
      </c>
      <c r="M111" s="80" t="s">
        <v>91</v>
      </c>
      <c r="N111" s="26"/>
    </row>
    <row r="112" spans="1:15" x14ac:dyDescent="0.25">
      <c r="A112" s="8" t="s">
        <v>52</v>
      </c>
      <c r="B112" s="2" t="s">
        <v>164</v>
      </c>
      <c r="C112" s="13">
        <v>-255000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-255000</v>
      </c>
      <c r="K112" s="7">
        <f>J112</f>
        <v>-255000</v>
      </c>
      <c r="L112" s="3">
        <v>0</v>
      </c>
      <c r="M112" s="80">
        <f>K115</f>
        <v>6014305.8038867237</v>
      </c>
      <c r="N112" s="26">
        <f>+M112/K115</f>
        <v>1</v>
      </c>
    </row>
    <row r="113" spans="1:14" ht="13.8" thickBot="1" x14ac:dyDescent="0.3">
      <c r="A113" s="8" t="s">
        <v>52</v>
      </c>
      <c r="B113" s="63" t="s">
        <v>52</v>
      </c>
      <c r="C113" s="24"/>
      <c r="D113" s="24" t="s">
        <v>52</v>
      </c>
      <c r="E113" s="18"/>
      <c r="F113" s="18"/>
      <c r="G113" s="19"/>
      <c r="H113" s="19"/>
      <c r="I113" s="18"/>
      <c r="J113" s="19"/>
      <c r="K113" s="19" t="s">
        <v>52</v>
      </c>
      <c r="L113" s="65"/>
      <c r="M113" s="93" t="s">
        <v>52</v>
      </c>
      <c r="N113" s="93"/>
    </row>
    <row r="114" spans="1:14" x14ac:dyDescent="0.25">
      <c r="A114" s="8"/>
      <c r="M114" s="80" t="s">
        <v>56</v>
      </c>
    </row>
    <row r="115" spans="1:14" x14ac:dyDescent="0.25">
      <c r="A115" s="8" t="s">
        <v>17</v>
      </c>
      <c r="C115" s="13">
        <f>SUM(C55:C67)+C34+C40+C47+C50+C51+C52</f>
        <v>21364.735500000003</v>
      </c>
      <c r="D115" s="13">
        <f>SUM(D5:D110)</f>
        <v>6729.7355000000007</v>
      </c>
      <c r="G115" s="7">
        <f>SUM(G5:G113)</f>
        <v>0</v>
      </c>
      <c r="H115" s="7">
        <f>SUM(H5:H113)</f>
        <v>0</v>
      </c>
      <c r="J115" s="7">
        <f>SUM(J5:J113)</f>
        <v>6507652.2417667238</v>
      </c>
      <c r="K115" s="7">
        <f>SUM(K5:K113)</f>
        <v>6014305.8038867237</v>
      </c>
      <c r="M115" s="92">
        <f>SUM(K47:K67)+K34+K40</f>
        <v>319069.20430000004</v>
      </c>
      <c r="N115" s="94">
        <f>M115/K115</f>
        <v>5.3051709491360198E-2</v>
      </c>
    </row>
    <row r="116" spans="1:14" ht="13.8" thickBot="1" x14ac:dyDescent="0.3">
      <c r="A116" s="8"/>
      <c r="B116" s="17"/>
      <c r="C116" s="24"/>
      <c r="D116" s="24"/>
      <c r="E116" s="18"/>
      <c r="F116" s="18"/>
      <c r="G116" s="19"/>
      <c r="H116" s="19"/>
      <c r="I116" s="18"/>
      <c r="J116" s="19"/>
      <c r="K116" s="19"/>
      <c r="L116" s="65"/>
      <c r="M116" s="93"/>
      <c r="N116" s="93"/>
    </row>
    <row r="117" spans="1:14" x14ac:dyDescent="0.25">
      <c r="A117" s="8"/>
    </row>
    <row r="118" spans="1:14" x14ac:dyDescent="0.25">
      <c r="A118" s="8" t="s">
        <v>18</v>
      </c>
      <c r="B118" s="5" t="s">
        <v>22</v>
      </c>
      <c r="C118" s="13" t="s">
        <v>52</v>
      </c>
      <c r="M118" s="80" t="s">
        <v>52</v>
      </c>
    </row>
    <row r="119" spans="1:14" x14ac:dyDescent="0.25">
      <c r="A119" s="8" t="s">
        <v>19</v>
      </c>
      <c r="B119" s="2" t="s">
        <v>32</v>
      </c>
      <c r="C119" s="13">
        <v>1228.5820000000001</v>
      </c>
      <c r="D119" s="13" t="s">
        <v>52</v>
      </c>
      <c r="E119" s="1">
        <v>17.89</v>
      </c>
      <c r="F119" s="1">
        <v>17.89</v>
      </c>
      <c r="G119" s="7">
        <f>C119*(E119-F119)</f>
        <v>0</v>
      </c>
      <c r="H119" s="7">
        <f>C119*(E119-F119)</f>
        <v>0</v>
      </c>
      <c r="I119" s="1"/>
      <c r="J119" s="7">
        <f>C119*E119</f>
        <v>21979.331980000003</v>
      </c>
      <c r="K119" s="7">
        <f>J119</f>
        <v>21979.331980000003</v>
      </c>
      <c r="L119" s="3">
        <v>2</v>
      </c>
    </row>
    <row r="120" spans="1:14" x14ac:dyDescent="0.25">
      <c r="A120" s="8" t="s">
        <v>52</v>
      </c>
      <c r="B120" s="2" t="s">
        <v>61</v>
      </c>
      <c r="C120" s="13">
        <v>387</v>
      </c>
      <c r="D120" s="13" t="s">
        <v>52</v>
      </c>
      <c r="E120" s="1">
        <f>+E87</f>
        <v>37.15</v>
      </c>
      <c r="F120" s="1">
        <f>+F87</f>
        <v>37.15</v>
      </c>
      <c r="G120" s="7">
        <f>C120*(E120-F120)</f>
        <v>0</v>
      </c>
      <c r="H120" s="7">
        <f>C120*(E120-F120)</f>
        <v>0</v>
      </c>
      <c r="I120" s="1"/>
      <c r="J120" s="7">
        <f>C120*E120</f>
        <v>14377.05</v>
      </c>
      <c r="K120" s="7">
        <f>J120</f>
        <v>14377.05</v>
      </c>
      <c r="L120" s="3">
        <v>2</v>
      </c>
    </row>
    <row r="121" spans="1:14" x14ac:dyDescent="0.25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4" x14ac:dyDescent="0.25">
      <c r="A122" s="8"/>
      <c r="E122" s="3"/>
      <c r="F122" s="3"/>
      <c r="H122" s="7" t="s">
        <v>52</v>
      </c>
      <c r="I122" s="3"/>
    </row>
    <row r="123" spans="1:14" x14ac:dyDescent="0.25">
      <c r="A123" s="8" t="s">
        <v>18</v>
      </c>
      <c r="B123" s="5" t="s">
        <v>22</v>
      </c>
      <c r="C123" s="13" t="s">
        <v>52</v>
      </c>
      <c r="E123" s="3"/>
      <c r="F123" s="3"/>
      <c r="H123" s="7" t="s">
        <v>52</v>
      </c>
      <c r="I123" s="3"/>
    </row>
    <row r="124" spans="1:14" x14ac:dyDescent="0.25">
      <c r="A124" s="8" t="s">
        <v>20</v>
      </c>
      <c r="B124" s="2" t="s">
        <v>33</v>
      </c>
      <c r="C124" s="13">
        <v>2013.38</v>
      </c>
      <c r="D124" s="13" t="s">
        <v>52</v>
      </c>
      <c r="E124" s="1">
        <v>10.88</v>
      </c>
      <c r="F124" s="1">
        <v>10.88</v>
      </c>
      <c r="G124" s="7">
        <f>C124*(E124-F124)</f>
        <v>0</v>
      </c>
      <c r="H124" s="7">
        <f>C124*(E124-F124)</f>
        <v>0</v>
      </c>
      <c r="I124" s="1"/>
      <c r="J124" s="7">
        <f>C124*E124</f>
        <v>21905.574400000001</v>
      </c>
      <c r="K124" s="7">
        <f>J124</f>
        <v>21905.574400000001</v>
      </c>
      <c r="L124" s="3">
        <v>2</v>
      </c>
    </row>
    <row r="125" spans="1:14" x14ac:dyDescent="0.25">
      <c r="A125" s="8" t="s">
        <v>52</v>
      </c>
      <c r="B125" s="2" t="s">
        <v>61</v>
      </c>
      <c r="C125" s="13">
        <v>387</v>
      </c>
      <c r="D125" s="13" t="s">
        <v>52</v>
      </c>
      <c r="E125" s="1">
        <f>+E87</f>
        <v>37.15</v>
      </c>
      <c r="F125" s="1">
        <f>+F87</f>
        <v>37.15</v>
      </c>
      <c r="G125" s="7">
        <f>C125*(E125-F125)</f>
        <v>0</v>
      </c>
      <c r="H125" s="7">
        <f>C125*(E125-F125)</f>
        <v>0</v>
      </c>
      <c r="I125" s="1"/>
      <c r="J125" s="7">
        <f>C125*E125</f>
        <v>14377.05</v>
      </c>
      <c r="K125" s="7">
        <f>J125</f>
        <v>14377.05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  <c r="M126" s="80" t="s">
        <v>52</v>
      </c>
    </row>
    <row r="127" spans="1:14" x14ac:dyDescent="0.25">
      <c r="A127" s="8"/>
      <c r="E127" s="1"/>
      <c r="F127" s="1"/>
      <c r="H127" s="7" t="s">
        <v>52</v>
      </c>
      <c r="I127" s="1"/>
    </row>
    <row r="128" spans="1:14" x14ac:dyDescent="0.25">
      <c r="A128" s="8" t="s">
        <v>63</v>
      </c>
      <c r="B128" s="2" t="s">
        <v>61</v>
      </c>
      <c r="C128" s="13">
        <v>387</v>
      </c>
      <c r="D128" s="13" t="s">
        <v>52</v>
      </c>
      <c r="E128" s="1">
        <f>+E87</f>
        <v>37.15</v>
      </c>
      <c r="F128" s="1">
        <f>+F87</f>
        <v>37.15</v>
      </c>
      <c r="G128" s="7">
        <f>C128*(E128-F128)</f>
        <v>0</v>
      </c>
      <c r="H128" s="7">
        <f>C128*(E128-F128)</f>
        <v>0</v>
      </c>
      <c r="I128" s="1"/>
      <c r="J128" s="7">
        <f>C128*E128</f>
        <v>14377.05</v>
      </c>
      <c r="K128" s="7">
        <f>J128</f>
        <v>14377.05</v>
      </c>
      <c r="L128" s="3">
        <v>2</v>
      </c>
    </row>
    <row r="129" spans="1:16" x14ac:dyDescent="0.25">
      <c r="A129" s="8" t="s">
        <v>52</v>
      </c>
      <c r="B129" s="2" t="s">
        <v>23</v>
      </c>
      <c r="C129" s="13">
        <v>158.47999999999999</v>
      </c>
      <c r="D129" s="13" t="s">
        <v>52</v>
      </c>
      <c r="E129" s="1">
        <v>1</v>
      </c>
      <c r="F129" s="1">
        <v>1</v>
      </c>
      <c r="G129" s="7">
        <f>C129*(E129-F129)</f>
        <v>0</v>
      </c>
      <c r="H129" s="7">
        <f>C129*(E129-F129)</f>
        <v>0</v>
      </c>
      <c r="I129" s="1"/>
      <c r="J129" s="7">
        <f>C129*E129</f>
        <v>158.47999999999999</v>
      </c>
      <c r="K129" s="7">
        <f>J129</f>
        <v>158.47999999999999</v>
      </c>
      <c r="L129" s="3">
        <v>1</v>
      </c>
    </row>
    <row r="130" spans="1:16" x14ac:dyDescent="0.25">
      <c r="A130" s="8"/>
      <c r="C130" s="13" t="s">
        <v>52</v>
      </c>
      <c r="E130" s="4"/>
      <c r="F130" s="4"/>
      <c r="H130" s="7" t="s">
        <v>52</v>
      </c>
      <c r="I130" s="1"/>
    </row>
    <row r="131" spans="1:16" x14ac:dyDescent="0.25">
      <c r="A131" s="8" t="s">
        <v>64</v>
      </c>
      <c r="B131" s="5" t="s">
        <v>22</v>
      </c>
      <c r="D131" s="13" t="s">
        <v>52</v>
      </c>
      <c r="E131" s="14"/>
      <c r="F131" s="14"/>
      <c r="H131" s="7" t="s">
        <v>52</v>
      </c>
      <c r="I131" s="3"/>
      <c r="K131" s="7" t="s">
        <v>52</v>
      </c>
    </row>
    <row r="132" spans="1:16" x14ac:dyDescent="0.25">
      <c r="A132" s="8" t="s">
        <v>79</v>
      </c>
      <c r="B132" s="2" t="s">
        <v>90</v>
      </c>
      <c r="C132" s="13">
        <v>288</v>
      </c>
      <c r="D132" s="13">
        <v>0</v>
      </c>
      <c r="E132" s="1">
        <f>E$34</f>
        <v>32.200000000000003</v>
      </c>
      <c r="F132" s="1">
        <f>F$34</f>
        <v>32.200000000000003</v>
      </c>
      <c r="G132" s="7">
        <f>C132*(E132-F132)</f>
        <v>0</v>
      </c>
      <c r="H132" s="7">
        <f>C132*(E132-F132)*0.5895</f>
        <v>0</v>
      </c>
      <c r="I132" s="1"/>
      <c r="J132" s="7">
        <f>C132*E132</f>
        <v>9273.6</v>
      </c>
      <c r="K132" s="7">
        <f>J132*0.5995</f>
        <v>5559.5232000000005</v>
      </c>
      <c r="L132" s="3">
        <v>2</v>
      </c>
      <c r="M132" s="80">
        <f>SUM(K115:K132)+K141</f>
        <v>6233998.8004667247</v>
      </c>
      <c r="O132" s="7" t="s">
        <v>52</v>
      </c>
    </row>
    <row r="133" spans="1:16" x14ac:dyDescent="0.25">
      <c r="A133" s="8"/>
      <c r="E133" s="1" t="s">
        <v>52</v>
      </c>
      <c r="F133" s="1" t="s">
        <v>52</v>
      </c>
      <c r="H133" s="7" t="s">
        <v>52</v>
      </c>
      <c r="I133" s="1"/>
      <c r="K133" s="7" t="s">
        <v>52</v>
      </c>
    </row>
    <row r="134" spans="1:16" x14ac:dyDescent="0.25">
      <c r="A134" s="8" t="s">
        <v>21</v>
      </c>
      <c r="B134" s="5" t="s">
        <v>22</v>
      </c>
      <c r="C134" s="13" t="s">
        <v>52</v>
      </c>
      <c r="E134" s="1" t="s">
        <v>52</v>
      </c>
      <c r="F134" s="1" t="s">
        <v>52</v>
      </c>
      <c r="H134" s="7" t="s">
        <v>52</v>
      </c>
      <c r="I134" s="3"/>
      <c r="K134" s="7" t="s">
        <v>52</v>
      </c>
      <c r="M134" s="95" t="s">
        <v>52</v>
      </c>
    </row>
    <row r="135" spans="1:16" x14ac:dyDescent="0.25">
      <c r="A135" s="8" t="s">
        <v>11</v>
      </c>
      <c r="B135" s="2" t="s">
        <v>95</v>
      </c>
      <c r="C135" s="13">
        <v>3331</v>
      </c>
      <c r="D135" s="13">
        <v>0</v>
      </c>
      <c r="E135" s="1">
        <f t="shared" ref="E135:F138" si="18">E$34</f>
        <v>32.200000000000003</v>
      </c>
      <c r="F135" s="1">
        <f t="shared" si="18"/>
        <v>32.200000000000003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107258.20000000001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148</v>
      </c>
      <c r="C136" s="13">
        <v>668</v>
      </c>
      <c r="D136" s="13">
        <v>0</v>
      </c>
      <c r="E136" s="1">
        <f t="shared" si="18"/>
        <v>32.200000000000003</v>
      </c>
      <c r="F136" s="1">
        <f t="shared" si="18"/>
        <v>32.200000000000003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21509.600000000002</v>
      </c>
      <c r="K136" s="7">
        <v>0</v>
      </c>
      <c r="L136" s="3">
        <v>2</v>
      </c>
      <c r="M136" s="80" t="s">
        <v>52</v>
      </c>
    </row>
    <row r="137" spans="1:16" x14ac:dyDescent="0.25">
      <c r="A137" s="8" t="s">
        <v>52</v>
      </c>
      <c r="B137" s="2" t="s">
        <v>150</v>
      </c>
      <c r="C137" s="13">
        <v>786</v>
      </c>
      <c r="D137" s="13">
        <v>0</v>
      </c>
      <c r="E137" s="1">
        <f t="shared" si="18"/>
        <v>32.200000000000003</v>
      </c>
      <c r="F137" s="1">
        <f t="shared" si="18"/>
        <v>32.200000000000003</v>
      </c>
      <c r="G137" s="7">
        <f>C137*(E137-F137)</f>
        <v>0</v>
      </c>
      <c r="H137" s="7">
        <f>C137*(E137-F137)*0.5895</f>
        <v>0</v>
      </c>
      <c r="I137" s="1"/>
      <c r="J137" s="7">
        <f>C137*E137</f>
        <v>25309.200000000001</v>
      </c>
      <c r="K137" s="7">
        <v>0</v>
      </c>
      <c r="L137" s="3">
        <v>2</v>
      </c>
      <c r="M137" s="80" t="s">
        <v>52</v>
      </c>
    </row>
    <row r="138" spans="1:16" x14ac:dyDescent="0.25">
      <c r="A138" s="8" t="s">
        <v>52</v>
      </c>
      <c r="B138" s="2" t="s">
        <v>157</v>
      </c>
      <c r="C138" s="13">
        <v>863</v>
      </c>
      <c r="D138" s="13">
        <v>0</v>
      </c>
      <c r="E138" s="1">
        <f t="shared" si="18"/>
        <v>32.200000000000003</v>
      </c>
      <c r="F138" s="1">
        <f t="shared" si="18"/>
        <v>32.200000000000003</v>
      </c>
      <c r="G138" s="7">
        <f>C138*(E138-F138)</f>
        <v>0</v>
      </c>
      <c r="H138" s="7">
        <f>C138*(E138-F138)*0.5895</f>
        <v>0</v>
      </c>
      <c r="I138" s="1"/>
      <c r="J138" s="7">
        <f>C138*E138</f>
        <v>27788.600000000002</v>
      </c>
      <c r="K138" s="7">
        <v>0</v>
      </c>
      <c r="L138" s="3">
        <v>2</v>
      </c>
      <c r="M138" s="80" t="s">
        <v>87</v>
      </c>
    </row>
    <row r="139" spans="1:16" x14ac:dyDescent="0.25">
      <c r="A139" s="8"/>
      <c r="C139" s="13" t="s">
        <v>52</v>
      </c>
      <c r="E139" s="1" t="s">
        <v>52</v>
      </c>
      <c r="F139" s="1" t="s">
        <v>52</v>
      </c>
      <c r="I139" s="1"/>
      <c r="K139" s="7" t="s">
        <v>52</v>
      </c>
      <c r="M139" s="80">
        <f>M105</f>
        <v>-3876750</v>
      </c>
      <c r="N139" s="26">
        <f>M139/M146</f>
        <v>-0.62187211195962333</v>
      </c>
      <c r="O139" s="5" t="s">
        <v>85</v>
      </c>
    </row>
    <row r="140" spans="1:16" x14ac:dyDescent="0.25">
      <c r="A140" s="8" t="s">
        <v>59</v>
      </c>
      <c r="B140" s="5" t="s">
        <v>22</v>
      </c>
      <c r="C140" s="13" t="s">
        <v>52</v>
      </c>
      <c r="D140" s="13" t="s">
        <v>52</v>
      </c>
      <c r="E140" s="1" t="s">
        <v>52</v>
      </c>
      <c r="F140" s="1" t="s">
        <v>52</v>
      </c>
      <c r="G140" s="15"/>
      <c r="H140" s="15"/>
      <c r="I140" s="2"/>
      <c r="K140" s="7" t="s">
        <v>52</v>
      </c>
      <c r="M140" s="80">
        <f>SUMIF(L119:L150,2,K119:K150)+M106</f>
        <v>691240.22954672202</v>
      </c>
      <c r="N140" s="26">
        <f>M140/M146</f>
        <v>0.11088231673945312</v>
      </c>
      <c r="O140" s="5" t="s">
        <v>22</v>
      </c>
    </row>
    <row r="141" spans="1:16" x14ac:dyDescent="0.25">
      <c r="A141" s="8" t="s">
        <v>9</v>
      </c>
      <c r="B141" s="2" t="s">
        <v>124</v>
      </c>
      <c r="C141" s="13">
        <v>15280</v>
      </c>
      <c r="D141" s="13">
        <v>15280</v>
      </c>
      <c r="E141" s="1">
        <f t="shared" ref="E141:F149" si="19">E$34</f>
        <v>32.200000000000003</v>
      </c>
      <c r="F141" s="1">
        <f t="shared" si="19"/>
        <v>32.200000000000003</v>
      </c>
      <c r="G141" s="7">
        <f t="shared" ref="G141:G149" si="20">IF(E141&gt;I141,(E141-F141)*C141,0)</f>
        <v>0</v>
      </c>
      <c r="H141" s="7">
        <f t="shared" ref="H141:H149" si="21">IF(E141&gt;I141,(E141-F141)*C141*0.5895,0)</f>
        <v>0</v>
      </c>
      <c r="I141" s="1">
        <v>18.375</v>
      </c>
      <c r="J141" s="7">
        <f t="shared" ref="J141:J149" si="22">IF(C141*(E141-I141)&gt;0,C141*(E141-I141),0)</f>
        <v>211246.00000000003</v>
      </c>
      <c r="K141" s="7">
        <f>J141*0.5995</f>
        <v>126641.97700000003</v>
      </c>
      <c r="L141" s="3">
        <v>2</v>
      </c>
      <c r="M141" s="80" t="s">
        <v>60</v>
      </c>
      <c r="N141" s="26"/>
      <c r="O141" s="7" t="s">
        <v>52</v>
      </c>
      <c r="P141" s="15" t="s">
        <v>52</v>
      </c>
    </row>
    <row r="142" spans="1:16" x14ac:dyDescent="0.25">
      <c r="A142" s="8" t="s">
        <v>52</v>
      </c>
      <c r="B142" s="2" t="s">
        <v>125</v>
      </c>
      <c r="C142" s="13">
        <v>5130</v>
      </c>
      <c r="D142" s="13">
        <v>0</v>
      </c>
      <c r="E142" s="1">
        <f t="shared" si="19"/>
        <v>32.200000000000003</v>
      </c>
      <c r="F142" s="1">
        <f t="shared" si="19"/>
        <v>32.200000000000003</v>
      </c>
      <c r="G142" s="7">
        <f t="shared" si="20"/>
        <v>0</v>
      </c>
      <c r="H142" s="7">
        <f t="shared" si="21"/>
        <v>0</v>
      </c>
      <c r="I142" s="1">
        <v>55.5</v>
      </c>
      <c r="J142" s="7">
        <f t="shared" si="22"/>
        <v>0</v>
      </c>
      <c r="K142" s="7">
        <f t="shared" ref="K142:K149" si="23">J142*0.5895</f>
        <v>0</v>
      </c>
      <c r="L142" s="3">
        <v>2</v>
      </c>
      <c r="M142" s="80">
        <f>SUMIF(L119:L150,1,K119:K150)+M108</f>
        <v>6107758.5709200017</v>
      </c>
      <c r="N142" s="26">
        <f>M142/M146</f>
        <v>0.97974971866576699</v>
      </c>
      <c r="O142" s="7" t="s">
        <v>52</v>
      </c>
      <c r="P142" s="15" t="s">
        <v>52</v>
      </c>
    </row>
    <row r="143" spans="1:16" x14ac:dyDescent="0.25">
      <c r="A143" s="8"/>
      <c r="B143" s="2" t="s">
        <v>126</v>
      </c>
      <c r="C143" s="13">
        <v>25</v>
      </c>
      <c r="D143" s="13">
        <v>0</v>
      </c>
      <c r="E143" s="1">
        <f t="shared" si="19"/>
        <v>32.200000000000003</v>
      </c>
      <c r="F143" s="1">
        <f t="shared" si="19"/>
        <v>32.200000000000003</v>
      </c>
      <c r="G143" s="7">
        <f t="shared" si="20"/>
        <v>0</v>
      </c>
      <c r="H143" s="7">
        <f t="shared" si="21"/>
        <v>0</v>
      </c>
      <c r="I143" s="1">
        <v>55.5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166</v>
      </c>
      <c r="N143" s="26"/>
      <c r="P143" s="2" t="s">
        <v>52</v>
      </c>
    </row>
    <row r="144" spans="1:16" x14ac:dyDescent="0.25">
      <c r="A144" s="8"/>
      <c r="B144" s="2" t="s">
        <v>127</v>
      </c>
      <c r="C144" s="13">
        <v>7608</v>
      </c>
      <c r="D144" s="13">
        <v>0</v>
      </c>
      <c r="E144" s="1">
        <f t="shared" si="19"/>
        <v>32.200000000000003</v>
      </c>
      <c r="F144" s="1">
        <f t="shared" si="19"/>
        <v>32.200000000000003</v>
      </c>
      <c r="G144" s="7">
        <f t="shared" si="20"/>
        <v>0</v>
      </c>
      <c r="H144" s="7">
        <f t="shared" si="21"/>
        <v>0</v>
      </c>
      <c r="I144" s="1">
        <v>75.0625</v>
      </c>
      <c r="J144" s="7">
        <f t="shared" si="22"/>
        <v>0</v>
      </c>
      <c r="K144" s="7">
        <f t="shared" si="23"/>
        <v>0</v>
      </c>
      <c r="L144" s="3">
        <v>2</v>
      </c>
      <c r="M144" s="80">
        <f>+M110</f>
        <v>-565000</v>
      </c>
      <c r="N144" s="26">
        <f>+M144/M146</f>
        <v>-9.0632035405220135E-2</v>
      </c>
      <c r="P144" s="15" t="s">
        <v>52</v>
      </c>
    </row>
    <row r="145" spans="1:15" x14ac:dyDescent="0.25">
      <c r="A145" s="8"/>
      <c r="B145" s="2" t="s">
        <v>128</v>
      </c>
      <c r="C145" s="13">
        <v>2540</v>
      </c>
      <c r="D145" s="13">
        <v>0</v>
      </c>
      <c r="E145" s="1">
        <f t="shared" si="19"/>
        <v>32.200000000000003</v>
      </c>
      <c r="F145" s="1">
        <f t="shared" si="19"/>
        <v>32.200000000000003</v>
      </c>
      <c r="G145" s="7">
        <f t="shared" si="20"/>
        <v>0</v>
      </c>
      <c r="H145" s="7">
        <f t="shared" si="21"/>
        <v>0</v>
      </c>
      <c r="I145" s="1">
        <v>76</v>
      </c>
      <c r="J145" s="7">
        <f t="shared" si="22"/>
        <v>0</v>
      </c>
      <c r="K145" s="7">
        <f t="shared" si="23"/>
        <v>0</v>
      </c>
      <c r="L145" s="3">
        <v>2</v>
      </c>
      <c r="M145" s="80" t="s">
        <v>91</v>
      </c>
      <c r="N145" s="26"/>
    </row>
    <row r="146" spans="1:15" x14ac:dyDescent="0.25">
      <c r="A146" s="8"/>
      <c r="B146" s="2" t="s">
        <v>144</v>
      </c>
      <c r="C146" s="13">
        <v>1524</v>
      </c>
      <c r="D146" s="13">
        <v>0</v>
      </c>
      <c r="E146" s="1">
        <f t="shared" si="19"/>
        <v>32.200000000000003</v>
      </c>
      <c r="F146" s="1">
        <f t="shared" si="19"/>
        <v>32.200000000000003</v>
      </c>
      <c r="G146" s="7">
        <f t="shared" si="20"/>
        <v>0</v>
      </c>
      <c r="H146" s="7">
        <f t="shared" si="21"/>
        <v>0</v>
      </c>
      <c r="I146" s="1">
        <v>83.125</v>
      </c>
      <c r="J146" s="7">
        <f t="shared" si="22"/>
        <v>0</v>
      </c>
      <c r="K146" s="7">
        <f t="shared" si="23"/>
        <v>0</v>
      </c>
      <c r="L146" s="3">
        <v>2</v>
      </c>
      <c r="M146" s="80">
        <f>SUM(K119:K141)+K115</f>
        <v>6233998.8004667237</v>
      </c>
      <c r="N146" s="26">
        <f>+M146/K152</f>
        <v>0.99999999999999989</v>
      </c>
    </row>
    <row r="147" spans="1:15" x14ac:dyDescent="0.25">
      <c r="A147" s="8"/>
      <c r="B147" s="2" t="s">
        <v>146</v>
      </c>
      <c r="C147" s="13">
        <v>1968</v>
      </c>
      <c r="D147" s="13">
        <v>0</v>
      </c>
      <c r="E147" s="1">
        <f t="shared" si="19"/>
        <v>32.200000000000003</v>
      </c>
      <c r="F147" s="1">
        <f t="shared" si="19"/>
        <v>32.200000000000003</v>
      </c>
      <c r="G147" s="7">
        <f>IF(E147&gt;I147,(E147-F147)*C147,0)</f>
        <v>0</v>
      </c>
      <c r="H147" s="7">
        <f>IF(E147&gt;I147,(E147-F147)*C147*0.5895,0)</f>
        <v>0</v>
      </c>
      <c r="I147" s="1">
        <v>62.41</v>
      </c>
      <c r="J147" s="7">
        <f>IF(C147*(E147-I147)&gt;0,C147*(E147-I147),0)</f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x14ac:dyDescent="0.25">
      <c r="A148" s="8"/>
      <c r="B148" s="2" t="s">
        <v>151</v>
      </c>
      <c r="C148" s="13">
        <v>1967</v>
      </c>
      <c r="D148" s="13">
        <v>0</v>
      </c>
      <c r="E148" s="1">
        <f t="shared" si="19"/>
        <v>32.200000000000003</v>
      </c>
      <c r="F148" s="1">
        <f t="shared" si="19"/>
        <v>32.200000000000003</v>
      </c>
      <c r="G148" s="7">
        <f>IF(E148&gt;I148,(E148-F148)*C148,0)</f>
        <v>0</v>
      </c>
      <c r="H148" s="7">
        <f>IF(E148&gt;I148,(E148-F148)*C148*0.5895,0)</f>
        <v>0</v>
      </c>
      <c r="I148" s="1">
        <v>54.03</v>
      </c>
      <c r="J148" s="7">
        <f>IF(C148*(E148-I148)&gt;0,C148*(E148-I148),0)</f>
        <v>0</v>
      </c>
      <c r="K148" s="7">
        <f t="shared" si="23"/>
        <v>0</v>
      </c>
      <c r="L148" s="3">
        <v>2</v>
      </c>
      <c r="M148" s="80" t="s">
        <v>52</v>
      </c>
      <c r="N148" s="80" t="s">
        <v>52</v>
      </c>
    </row>
    <row r="149" spans="1:15" x14ac:dyDescent="0.25">
      <c r="A149" s="8"/>
      <c r="B149" s="2" t="s">
        <v>159</v>
      </c>
      <c r="C149" s="13">
        <f>2778-417</f>
        <v>2361</v>
      </c>
      <c r="D149" s="13">
        <v>0</v>
      </c>
      <c r="E149" s="1">
        <f t="shared" si="19"/>
        <v>32.200000000000003</v>
      </c>
      <c r="F149" s="1">
        <f t="shared" si="19"/>
        <v>32.200000000000003</v>
      </c>
      <c r="G149" s="7">
        <f t="shared" si="20"/>
        <v>0</v>
      </c>
      <c r="H149" s="7">
        <f t="shared" si="21"/>
        <v>0</v>
      </c>
      <c r="I149" s="1">
        <v>48.3</v>
      </c>
      <c r="J149" s="7">
        <f t="shared" si="22"/>
        <v>0</v>
      </c>
      <c r="K149" s="7">
        <f t="shared" si="23"/>
        <v>0</v>
      </c>
      <c r="L149" s="3">
        <v>2</v>
      </c>
      <c r="M149" s="80" t="s">
        <v>52</v>
      </c>
      <c r="N149" s="80" t="s">
        <v>52</v>
      </c>
    </row>
    <row r="150" spans="1:15" ht="13.8" thickBot="1" x14ac:dyDescent="0.3">
      <c r="A150" s="8"/>
      <c r="B150" s="17"/>
      <c r="C150" s="24" t="s">
        <v>52</v>
      </c>
      <c r="D150" s="24"/>
      <c r="E150" s="18"/>
      <c r="F150" s="18"/>
      <c r="G150" s="19"/>
      <c r="H150" s="19"/>
      <c r="I150" s="18"/>
      <c r="J150" s="19"/>
      <c r="K150" s="44"/>
      <c r="L150" s="65"/>
      <c r="M150" s="93"/>
      <c r="N150" s="93"/>
    </row>
    <row r="151" spans="1:15" x14ac:dyDescent="0.25">
      <c r="A151" s="8"/>
      <c r="C151" s="13" t="s">
        <v>52</v>
      </c>
      <c r="M151" s="80" t="s">
        <v>56</v>
      </c>
    </row>
    <row r="152" spans="1:15" x14ac:dyDescent="0.25">
      <c r="A152" s="8" t="s">
        <v>17</v>
      </c>
      <c r="B152" s="29" t="s">
        <v>52</v>
      </c>
      <c r="C152" s="13">
        <f>SUM(C132:C149)+C115</f>
        <v>65703.73550000001</v>
      </c>
      <c r="D152" s="13">
        <f>SUM(D132:D149)+D115</f>
        <v>22009.735500000003</v>
      </c>
      <c r="G152" s="7">
        <f>SUM(G115:G150)</f>
        <v>0</v>
      </c>
      <c r="H152" s="7">
        <f>SUM(H115:H150)</f>
        <v>0</v>
      </c>
      <c r="J152" s="7">
        <f>SUM(J115:J150)</f>
        <v>6997528.9381467244</v>
      </c>
      <c r="K152" s="7">
        <f>SUM(K115:K150)</f>
        <v>6233998.8004667247</v>
      </c>
      <c r="M152" s="92">
        <f>SUM(K132:K149)+M115</f>
        <v>451270.70450000011</v>
      </c>
      <c r="N152" s="94">
        <f>M152/K152</f>
        <v>7.2388641535544501E-2</v>
      </c>
      <c r="O152" s="7">
        <f>SUM(O115:O150)</f>
        <v>0</v>
      </c>
    </row>
    <row r="153" spans="1:15" ht="13.8" thickBot="1" x14ac:dyDescent="0.3">
      <c r="A153" s="8"/>
      <c r="B153" s="17"/>
      <c r="C153" s="24"/>
      <c r="D153" s="24"/>
      <c r="E153" s="18"/>
      <c r="F153" s="18"/>
      <c r="G153" s="19"/>
      <c r="H153" s="19"/>
      <c r="I153" s="18"/>
      <c r="J153" s="19"/>
      <c r="K153" s="19"/>
      <c r="L153" s="65"/>
      <c r="M153" s="93"/>
      <c r="N153" s="93"/>
    </row>
    <row r="154" spans="1:15" x14ac:dyDescent="0.25">
      <c r="A154" s="8"/>
    </row>
    <row r="155" spans="1:15" x14ac:dyDescent="0.25">
      <c r="A155" s="21" t="s">
        <v>52</v>
      </c>
      <c r="B155" s="73" t="s">
        <v>52</v>
      </c>
      <c r="E155" s="2" t="s">
        <v>52</v>
      </c>
      <c r="F155" s="2" t="s">
        <v>52</v>
      </c>
      <c r="G155" s="2"/>
      <c r="H155" s="2"/>
      <c r="I155" s="2"/>
      <c r="K155" s="20">
        <v>7.0000000000000007E-2</v>
      </c>
      <c r="L155" s="66"/>
      <c r="M155" s="81"/>
    </row>
    <row r="156" spans="1:15" x14ac:dyDescent="0.25">
      <c r="A156" s="21" t="s">
        <v>52</v>
      </c>
      <c r="B156" s="73"/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K115*K155</f>
        <v>421001.40627207072</v>
      </c>
      <c r="L156" s="66"/>
      <c r="M156" s="81" t="s">
        <v>52</v>
      </c>
    </row>
    <row r="157" spans="1:15" x14ac:dyDescent="0.25">
      <c r="A157" s="2" t="s">
        <v>52</v>
      </c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K152*K155</f>
        <v>436379.91603267076</v>
      </c>
      <c r="L157" s="66"/>
      <c r="M157" s="81" t="s">
        <v>52</v>
      </c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 t="s">
        <v>52</v>
      </c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15"/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 t="s">
        <v>52</v>
      </c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B168" s="73" t="s">
        <v>52</v>
      </c>
      <c r="D168" s="13" t="s">
        <v>52</v>
      </c>
      <c r="E168" s="28" t="s">
        <v>52</v>
      </c>
      <c r="F168" s="28" t="s">
        <v>52</v>
      </c>
      <c r="G168" s="2" t="s">
        <v>52</v>
      </c>
      <c r="H168" s="2"/>
      <c r="I168" s="2"/>
      <c r="K168" s="15"/>
      <c r="L168" s="66"/>
      <c r="M168" s="81"/>
    </row>
    <row r="169" spans="2:13" x14ac:dyDescent="0.25">
      <c r="B169" s="73" t="s">
        <v>52</v>
      </c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5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 t="s">
        <v>52</v>
      </c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C190" s="13" t="s">
        <v>52</v>
      </c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B196" s="2" t="s">
        <v>52</v>
      </c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K231" s="15"/>
      <c r="L231" s="66"/>
      <c r="M231" s="81"/>
    </row>
    <row r="232" spans="5:13" x14ac:dyDescent="0.25">
      <c r="E232" s="2"/>
      <c r="F232" s="2"/>
      <c r="G232" s="2"/>
      <c r="H232" s="2"/>
      <c r="I232" s="2"/>
      <c r="K232" s="15"/>
      <c r="L232" s="66"/>
      <c r="M232" s="81"/>
    </row>
    <row r="233" spans="5:13" x14ac:dyDescent="0.25">
      <c r="E233" s="2"/>
      <c r="F233" s="2"/>
      <c r="G233" s="2"/>
      <c r="H233" s="2"/>
      <c r="I233" s="2"/>
      <c r="L233" s="66"/>
      <c r="M233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107258.20000000001</v>
      </c>
      <c r="C7" s="16">
        <f>H33</f>
        <v>64301.290900000007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C14*(Sheet1!$E$34-D14)</f>
        <v>211246.00000000003</v>
      </c>
      <c r="H14" s="11">
        <f>G14*0.5995</f>
        <v>126641.97700000003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C25*(Sheet1!$E$34-D25)</f>
        <v>9273.6</v>
      </c>
      <c r="H25" s="11">
        <f t="shared" si="0"/>
        <v>5559.5232000000005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C33*(Sheet1!$E$34-D33)</f>
        <v>107258.20000000001</v>
      </c>
      <c r="H33" s="11">
        <f t="shared" si="0"/>
        <v>64301.290900000007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C47*(Sheet1!$E$34-D47)</f>
        <v>7180.6</v>
      </c>
      <c r="H47" s="11">
        <f t="shared" si="0"/>
        <v>4304.7697000000007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C48*(Sheet1!$E$34-D48)</f>
        <v>7180.6</v>
      </c>
      <c r="H48" s="11">
        <f t="shared" si="0"/>
        <v>4304.7697000000007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C49*(Sheet1!$E$34-D49)</f>
        <v>7148.4000000000005</v>
      </c>
      <c r="H49" s="11">
        <f t="shared" si="0"/>
        <v>4285.4658000000009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C58*(Sheet1!$E$34-D58)</f>
        <v>8436.4000000000015</v>
      </c>
      <c r="H58" s="11">
        <f t="shared" si="0"/>
        <v>5057.6218000000008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C59*(Sheet1!$E$34-D59)</f>
        <v>8436.4000000000015</v>
      </c>
      <c r="H59" s="11">
        <f t="shared" si="0"/>
        <v>5057.6218000000008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C60*(Sheet1!$E$34-D60)</f>
        <v>8436.4000000000015</v>
      </c>
      <c r="H60" s="11">
        <f t="shared" si="0"/>
        <v>5057.6218000000008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C69*(Sheet1!$E$34-D69)</f>
        <v>9273.6</v>
      </c>
      <c r="H69" s="11">
        <f t="shared" si="0"/>
        <v>5559.5232000000005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C70*(Sheet1!$E$34-D70)</f>
        <v>9273.6</v>
      </c>
      <c r="H70" s="11">
        <f t="shared" si="0"/>
        <v>5559.5232000000005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C71*(Sheet1!$E$34-D71)</f>
        <v>9241.4000000000015</v>
      </c>
      <c r="H71" s="11">
        <f t="shared" si="0"/>
        <v>5540.2193000000016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402385.20000000007</v>
      </c>
      <c r="H76" s="15">
        <f>SUM(H14:H74)</f>
        <v>241229.92740000002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2023-09-13T22:48:39Z</dcterms:modified>
</cp:coreProperties>
</file>