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D9" i="1"/>
  <c r="E9" i="1"/>
  <c r="F9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J14" i="1"/>
  <c r="K14" i="1"/>
  <c r="K15" i="1"/>
  <c r="G16" i="1"/>
  <c r="H16" i="1"/>
  <c r="J16" i="1"/>
  <c r="K16" i="1"/>
  <c r="M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G132" i="1"/>
  <c r="H132" i="1"/>
  <c r="J132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O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<sst xmlns="http://schemas.openxmlformats.org/spreadsheetml/2006/main" count="927" uniqueCount="174">
  <si>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</si>
  <si>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</si>
  <si>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</si>
  <si>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</si>
  <si>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</si>
  <si>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</si>
  <si>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</si>
  <si>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</si>
  <si>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</si>
  <si>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</si>
  <si>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</si>
  <si>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</si>
  <si>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</si>
  <si>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</si>
  <si>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</si>
  <si>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</si>
  <si>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</si>
  <si>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</si>
  <si>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</si>
  <si>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</si>
  <si>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</si>
  <si>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</si>
  <si>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</si>
  <si>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</si>
  <si>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</si>
  <si>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</si>
  <si>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</si>
  <si>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</si>
  <si>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</si>
  <si>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</si>
  <si>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</si>
  <si>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</si>
  <si>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</si>
  <si>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</si>
  <si>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</si>
  <si>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</si>
  <si>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</si>
  <si>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</si>
  <si>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</si>
  <si>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</si>
  <si>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</si>
  <si>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</si>
  <si>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</si>
  <si>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</si>
  <si>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</si>
  <si>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</si>
  <si>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</si>
  <si>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</si>
  <si>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</si>
  <si>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</si>
  <si>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</si>
  <si>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</si>
  <si>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</si>
  <si>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</si>
  <si>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</si>
  <si>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</si>
  <si>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</si>
  <si>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</si>
  <si>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</si>
  <si>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</si>
  <si>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</si>
  <si>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</si>
  <si>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</si>
  <si>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</si>
  <si>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</si>
  <si>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</si>
  <si>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</si>
  <si>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</si>
  <si>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</si>
  <si>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</si>
  <si>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</si>
  <si>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</si>
  <si>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</si>
  <si>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</si>
  <si>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</si>
  <si>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</si>
  <si>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</si>
  <si>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</si>
  <si>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</si>
  <si>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</si>
  <si>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</si>
  <si>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</si>
  <si>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</si>
  <si>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</si>
  <si>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</si>
  <si>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</si>
  <si>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</si>
  <si>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</si>
  <si>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</si>
  <si>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</si>
  <si>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</si>
  <si>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</si>
  <si>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</si>
  <si>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</si>
  <si>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</si>
  <si>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</si>
  <si>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</si>
  <si>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</si>
  <si>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</si>
  <si>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</si>
  <si>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</si>
  <si>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</si>
  <si>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</si>
  <si>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</si>
  <si>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</si>
  <si>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</si>
  <si>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</si>
  <si>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</si>
  <si>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</si>
  <si>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</si>
  <si>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</si>
  <si>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</si>
  <si>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</si>
  <si>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</si>
  <si>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</si>
  <si>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</si>
  <si>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</si>
  <si>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</si>
  <si>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</si>
  <si>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</si>
  <si>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</si>
  <si>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</si>
  <si>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</si>
  <si>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</si>
  <si>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</si>
  <si>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</si>
  <si>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</si>
  <si>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</si>
  <si>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</si>
  <si>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</si>
  <si>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</si>
  <si>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</si>
  <si>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</si>
  <si>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</si>
  <si>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</si>
  <si>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</si>
  <si>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</si>
  <si>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</si>
  <si>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</si>
  <si>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</si>
  <si>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</si>
  <si>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</si>
  <si>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</si>
  <si>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</si>
  <si>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</si>
  <si>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</si>
  <si>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</si>
  <si>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</si>
  <si>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</si>
  <si>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</si>
  <si>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</si>
  <si>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</si>
  <si>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</si>
  <si>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</si>
  <si>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</si>
  <si>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</si>
  <si>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</si>
  <si>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</si>
  <si>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</si>
  <si>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</si>
  <si>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</si>
  <si>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</si>
  <si>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</si>
  <si>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</si>
  <si>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</si>
  <si>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</t>
  </si>
  <si>
    <t>FNM</t>
  </si>
  <si>
    <t>ENE  8/1/06  179507</t>
  </si>
  <si>
    <t>Cash, Muni Bonds, Govt. paper</t>
  </si>
  <si>
    <t>DIA</t>
  </si>
  <si>
    <t>SPY</t>
  </si>
  <si>
    <t>QQQ</t>
  </si>
  <si>
    <t>.</t>
  </si>
  <si>
    <t xml:space="preserve">ENE    apr 02 35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</si>
</sst>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H144" activePane="bottomRight" state="frozen"/>
      <selection pane="topRight" activeCell="C1" sqref="C1"/>
      <selection pane="bottomLeft" activeCell="A4" sqref="A4"/>
      <selection pane="bottomRight" activeCell="K162" sqref="K162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116</v>
      </c>
      <c r="H1" s="11" t="s">
        <v>117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37187</v>
      </c>
      <c r="F3" s="12">
        <v>37186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121</v>
      </c>
      <c r="C5" s="67">
        <f>2488463-12064+83890</f>
        <v>2560289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2560289</v>
      </c>
      <c r="K5" s="7">
        <f>J5</f>
        <v>2560289</v>
      </c>
      <c r="L5" s="3">
        <v>1</v>
      </c>
    </row>
    <row r="6" spans="1:15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15.09</v>
      </c>
      <c r="F6" s="1">
        <v>15.09</v>
      </c>
      <c r="G6" s="7">
        <f>C6*(E6-F6)</f>
        <v>0</v>
      </c>
      <c r="H6" s="7">
        <f>C6*(E6-F6)</f>
        <v>0</v>
      </c>
      <c r="J6" s="7">
        <f>C6*E6</f>
        <v>15090</v>
      </c>
      <c r="K6" s="7">
        <f>J6</f>
        <v>15090</v>
      </c>
      <c r="L6" s="3">
        <v>2</v>
      </c>
    </row>
    <row r="7" spans="1:15" x14ac:dyDescent="0.25">
      <c r="A7" s="30" t="s">
        <v>52</v>
      </c>
      <c r="E7" s="1" t="s">
        <v>172</v>
      </c>
      <c r="F7" s="1" t="s">
        <v>172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/>
      <c r="B9" s="62" t="s">
        <v>165</v>
      </c>
      <c r="C9" s="13">
        <v>-15000</v>
      </c>
      <c r="D9" s="13">
        <f>C9*1</f>
        <v>-15000</v>
      </c>
      <c r="E9" s="1">
        <f>E$32</f>
        <v>20.65</v>
      </c>
      <c r="F9" s="1">
        <f>F$32</f>
        <v>20.65</v>
      </c>
      <c r="G9" s="7">
        <f>C9*(E9-F9)</f>
        <v>0</v>
      </c>
      <c r="H9" s="7">
        <f>C9*(E9-F9)</f>
        <v>0</v>
      </c>
      <c r="J9" s="7">
        <f t="shared" ref="J9:J14" si="0">G9</f>
        <v>0</v>
      </c>
      <c r="K9" s="7">
        <f t="shared" ref="K9:K16" si="1">J9</f>
        <v>0</v>
      </c>
      <c r="L9" s="3">
        <v>1</v>
      </c>
    </row>
    <row r="10" spans="1:15" x14ac:dyDescent="0.25">
      <c r="A10" s="30"/>
      <c r="B10" s="62" t="s">
        <v>166</v>
      </c>
      <c r="C10" s="13">
        <v>-35000</v>
      </c>
      <c r="D10" s="13" t="s">
        <v>52</v>
      </c>
      <c r="E10" s="1">
        <v>80.83</v>
      </c>
      <c r="F10" s="1">
        <v>80.83</v>
      </c>
      <c r="G10" s="7">
        <f>C10*(E10-F10)</f>
        <v>0</v>
      </c>
      <c r="H10" s="7">
        <f>C10*(E10-F10)</f>
        <v>0</v>
      </c>
      <c r="J10" s="7">
        <f t="shared" si="0"/>
        <v>0</v>
      </c>
      <c r="K10" s="7">
        <f t="shared" si="1"/>
        <v>0</v>
      </c>
      <c r="L10" s="3">
        <v>1</v>
      </c>
    </row>
    <row r="11" spans="1:15" x14ac:dyDescent="0.25">
      <c r="A11" s="30"/>
      <c r="B11" s="62" t="s">
        <v>169</v>
      </c>
      <c r="C11" s="13">
        <v>-2000</v>
      </c>
      <c r="D11" s="13" t="s">
        <v>52</v>
      </c>
      <c r="E11" s="1">
        <v>94.05</v>
      </c>
      <c r="F11" s="1">
        <v>94.05</v>
      </c>
      <c r="G11" s="7">
        <f>C11*(E11-F11)</f>
        <v>0</v>
      </c>
      <c r="H11" s="7">
        <f>C11*(E11-F11)</f>
        <v>0</v>
      </c>
      <c r="J11" s="7">
        <f t="shared" si="0"/>
        <v>0</v>
      </c>
      <c r="K11" s="7">
        <f t="shared" si="1"/>
        <v>0</v>
      </c>
      <c r="L11" s="3">
        <v>1</v>
      </c>
    </row>
    <row r="12" spans="1:15" x14ac:dyDescent="0.25">
      <c r="A12" s="30"/>
      <c r="B12" s="62" t="s">
        <v>170</v>
      </c>
      <c r="C12" s="13">
        <v>-3000</v>
      </c>
      <c r="D12" s="13" t="s">
        <v>52</v>
      </c>
      <c r="E12" s="1">
        <v>109.47</v>
      </c>
      <c r="F12" s="1">
        <v>109.47</v>
      </c>
      <c r="G12" s="7">
        <f>C12*(E12-F12)</f>
        <v>0</v>
      </c>
      <c r="H12" s="7">
        <f>C12*(E12-F12)</f>
        <v>0</v>
      </c>
      <c r="J12" s="7">
        <f t="shared" si="0"/>
        <v>0</v>
      </c>
      <c r="K12" s="7">
        <f t="shared" si="1"/>
        <v>0</v>
      </c>
      <c r="L12" s="3">
        <v>1</v>
      </c>
    </row>
    <row r="13" spans="1:15" x14ac:dyDescent="0.25">
      <c r="A13" s="30"/>
      <c r="B13" s="62" t="s">
        <v>171</v>
      </c>
      <c r="C13" s="13">
        <v>-5000</v>
      </c>
      <c r="D13" s="13" t="s">
        <v>52</v>
      </c>
      <c r="E13" s="1">
        <v>34.450000000000003</v>
      </c>
      <c r="F13" s="1">
        <v>34.450000000000003</v>
      </c>
      <c r="G13" s="7">
        <f>C13*(E13-F13)</f>
        <v>0</v>
      </c>
      <c r="H13" s="7">
        <f>C13*(E13-F13)</f>
        <v>0</v>
      </c>
      <c r="J13" s="7">
        <f t="shared" si="0"/>
        <v>0</v>
      </c>
      <c r="K13" s="7">
        <f t="shared" si="1"/>
        <v>0</v>
      </c>
      <c r="L13" s="3">
        <v>1</v>
      </c>
    </row>
    <row r="14" spans="1:15" x14ac:dyDescent="0.25">
      <c r="A14" s="30"/>
      <c r="B14" s="62"/>
      <c r="E14" s="1"/>
      <c r="F14" s="1"/>
      <c r="G14" s="7" t="s">
        <v>52</v>
      </c>
      <c r="J14" s="7" t="str">
        <f t="shared" si="0"/>
        <v xml:space="preserve"> </v>
      </c>
      <c r="K14" s="7" t="str">
        <f t="shared" si="1"/>
        <v xml:space="preserve"> </v>
      </c>
    </row>
    <row r="15" spans="1:15" x14ac:dyDescent="0.25">
      <c r="A15" s="30"/>
      <c r="B15" s="10" t="s">
        <v>68</v>
      </c>
      <c r="C15" s="13" t="s">
        <v>52</v>
      </c>
      <c r="E15" s="6" t="s">
        <v>52</v>
      </c>
      <c r="F15" s="6" t="s">
        <v>52</v>
      </c>
      <c r="G15" s="6" t="s">
        <v>52</v>
      </c>
      <c r="H15" s="7" t="s">
        <v>52</v>
      </c>
      <c r="J15" s="7" t="s">
        <v>52</v>
      </c>
      <c r="K15" s="7" t="str">
        <f t="shared" si="1"/>
        <v xml:space="preserve"> </v>
      </c>
    </row>
    <row r="16" spans="1:15" x14ac:dyDescent="0.25">
      <c r="A16" s="30" t="s">
        <v>52</v>
      </c>
      <c r="B16" s="2" t="s">
        <v>164</v>
      </c>
      <c r="C16" s="13">
        <v>-19000</v>
      </c>
      <c r="E16" s="1">
        <v>0.4</v>
      </c>
      <c r="F16" s="1">
        <v>0.4</v>
      </c>
      <c r="G16" s="7">
        <f>(E16-F16)*C16</f>
        <v>0</v>
      </c>
      <c r="H16" s="7">
        <f>C16*(E16-F16)</f>
        <v>0</v>
      </c>
      <c r="J16" s="7">
        <f>G16</f>
        <v>0</v>
      </c>
      <c r="K16" s="7">
        <f t="shared" si="1"/>
        <v>0</v>
      </c>
      <c r="L16" s="3">
        <v>1</v>
      </c>
      <c r="M16" s="80">
        <f>C16*E16*-1</f>
        <v>7600</v>
      </c>
      <c r="N16" s="80" t="s">
        <v>52</v>
      </c>
    </row>
    <row r="17" spans="1:15" x14ac:dyDescent="0.25">
      <c r="A17" s="30"/>
      <c r="E17" s="1"/>
      <c r="F17" s="1"/>
    </row>
    <row r="18" spans="1:15" x14ac:dyDescent="0.25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2575379</v>
      </c>
      <c r="N18" s="80">
        <v>2575379</v>
      </c>
      <c r="O18" s="67">
        <f>M18-N18</f>
        <v>0</v>
      </c>
    </row>
    <row r="19" spans="1:15" x14ac:dyDescent="0.25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5">
      <c r="A20" s="8" t="s">
        <v>119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5">
      <c r="A21" s="8" t="s">
        <v>1</v>
      </c>
      <c r="B21" s="2" t="s">
        <v>120</v>
      </c>
      <c r="C21" s="13">
        <v>4055.86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4055.86</v>
      </c>
      <c r="K21" s="7">
        <f>J21</f>
        <v>4055.86</v>
      </c>
      <c r="L21" s="3">
        <v>1</v>
      </c>
      <c r="M21" s="80" t="s">
        <v>52</v>
      </c>
      <c r="N21" s="80" t="s">
        <v>52</v>
      </c>
    </row>
    <row r="22" spans="1:15" x14ac:dyDescent="0.25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5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5">
      <c r="A24" s="8" t="s">
        <v>2</v>
      </c>
      <c r="B24" s="62" t="s">
        <v>24</v>
      </c>
      <c r="C24" s="13">
        <v>900</v>
      </c>
      <c r="E24" s="1">
        <v>14.95</v>
      </c>
      <c r="F24" s="1">
        <v>14.95</v>
      </c>
      <c r="G24" s="7">
        <f t="shared" ref="G24:G29" si="2">C24*(E24-F24)</f>
        <v>0</v>
      </c>
      <c r="H24" s="7">
        <f t="shared" ref="H24:H29" si="3">C24*(E24-F24)</f>
        <v>0</v>
      </c>
      <c r="I24" s="1"/>
      <c r="J24" s="7">
        <f t="shared" ref="J24:J29" si="4">C24*E24</f>
        <v>13455</v>
      </c>
      <c r="K24" s="7">
        <f t="shared" ref="K24:K35" si="5">J24</f>
        <v>13455</v>
      </c>
      <c r="L24" s="3">
        <v>2</v>
      </c>
      <c r="M24" s="80" t="s">
        <v>52</v>
      </c>
    </row>
    <row r="25" spans="1:15" x14ac:dyDescent="0.25">
      <c r="A25" s="8" t="s">
        <v>3</v>
      </c>
      <c r="B25" s="62" t="s">
        <v>25</v>
      </c>
      <c r="C25" s="13">
        <v>100</v>
      </c>
      <c r="E25" s="1">
        <v>17.91</v>
      </c>
      <c r="F25" s="1">
        <v>17.91</v>
      </c>
      <c r="G25" s="7">
        <f t="shared" si="2"/>
        <v>0</v>
      </c>
      <c r="H25" s="7">
        <f t="shared" si="3"/>
        <v>0</v>
      </c>
      <c r="I25" s="1"/>
      <c r="J25" s="7">
        <f t="shared" si="4"/>
        <v>1791</v>
      </c>
      <c r="K25" s="7">
        <f t="shared" si="5"/>
        <v>1791</v>
      </c>
      <c r="L25" s="3">
        <v>2</v>
      </c>
      <c r="M25" s="80" t="s">
        <v>52</v>
      </c>
    </row>
    <row r="26" spans="1:15" x14ac:dyDescent="0.25">
      <c r="A26" s="8"/>
      <c r="B26" s="62" t="s">
        <v>89</v>
      </c>
      <c r="C26" s="13">
        <v>83</v>
      </c>
      <c r="D26" s="13" t="s">
        <v>52</v>
      </c>
      <c r="E26" s="1">
        <v>50.04</v>
      </c>
      <c r="F26" s="1">
        <v>50.04</v>
      </c>
      <c r="G26" s="7">
        <f t="shared" si="2"/>
        <v>0</v>
      </c>
      <c r="H26" s="7">
        <f t="shared" si="3"/>
        <v>0</v>
      </c>
      <c r="I26" s="1"/>
      <c r="J26" s="7">
        <f t="shared" si="4"/>
        <v>4153.32</v>
      </c>
      <c r="K26" s="7">
        <f t="shared" si="5"/>
        <v>4153.32</v>
      </c>
      <c r="L26" s="3">
        <v>2</v>
      </c>
      <c r="M26" s="80" t="s">
        <v>52</v>
      </c>
    </row>
    <row r="27" spans="1:15" x14ac:dyDescent="0.25">
      <c r="A27" s="8"/>
      <c r="B27" s="62" t="s">
        <v>54</v>
      </c>
      <c r="C27" s="13">
        <v>169</v>
      </c>
      <c r="E27" s="1">
        <v>9.6</v>
      </c>
      <c r="F27" s="1">
        <v>9.6</v>
      </c>
      <c r="G27" s="7">
        <f t="shared" si="2"/>
        <v>0</v>
      </c>
      <c r="H27" s="7">
        <f t="shared" si="3"/>
        <v>0</v>
      </c>
      <c r="I27" s="1"/>
      <c r="J27" s="7">
        <f t="shared" si="4"/>
        <v>1622.3999999999999</v>
      </c>
      <c r="K27" s="7">
        <f t="shared" si="5"/>
        <v>1622.3999999999999</v>
      </c>
      <c r="L27" s="3">
        <v>2</v>
      </c>
      <c r="M27" s="80" t="s">
        <v>52</v>
      </c>
    </row>
    <row r="28" spans="1:15" x14ac:dyDescent="0.25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2"/>
        <v>0</v>
      </c>
      <c r="H28" s="7">
        <f t="shared" si="3"/>
        <v>0</v>
      </c>
      <c r="I28" s="1"/>
      <c r="J28" s="7">
        <f t="shared" si="4"/>
        <v>2241.79</v>
      </c>
      <c r="K28" s="7">
        <f t="shared" si="5"/>
        <v>2241.79</v>
      </c>
      <c r="L28" s="3">
        <v>1</v>
      </c>
      <c r="M28" s="80" t="s">
        <v>52</v>
      </c>
    </row>
    <row r="29" spans="1:15" x14ac:dyDescent="0.25">
      <c r="A29" s="8"/>
      <c r="B29" s="62" t="s">
        <v>141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2"/>
        <v>0</v>
      </c>
      <c r="H29" s="7">
        <f t="shared" si="3"/>
        <v>0</v>
      </c>
      <c r="I29" s="1"/>
      <c r="J29" s="7">
        <f t="shared" si="4"/>
        <v>605.54</v>
      </c>
      <c r="K29" s="7">
        <f t="shared" si="5"/>
        <v>605.54</v>
      </c>
      <c r="L29" s="3">
        <v>1</v>
      </c>
      <c r="M29" s="80" t="s">
        <v>52</v>
      </c>
    </row>
    <row r="30" spans="1:15" x14ac:dyDescent="0.25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5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5">
      <c r="A32" s="25" t="s">
        <v>52</v>
      </c>
      <c r="B32" s="62" t="s">
        <v>132</v>
      </c>
      <c r="C32" s="13">
        <v>266.39519999999999</v>
      </c>
      <c r="D32" s="13">
        <f>C32*1</f>
        <v>266.39519999999999</v>
      </c>
      <c r="E32" s="16">
        <v>20.65</v>
      </c>
      <c r="F32" s="16">
        <v>20.65</v>
      </c>
      <c r="G32" s="7">
        <f>C32*(E32-F32)</f>
        <v>0</v>
      </c>
      <c r="H32" s="7">
        <f>C32*(E32-F32)</f>
        <v>0</v>
      </c>
      <c r="I32" s="3"/>
      <c r="J32" s="7">
        <f>C32*E32</f>
        <v>5501.0608799999991</v>
      </c>
      <c r="K32" s="7">
        <f t="shared" si="5"/>
        <v>5501.0608799999991</v>
      </c>
      <c r="L32" s="3">
        <v>2</v>
      </c>
      <c r="M32" s="80" t="s">
        <v>52</v>
      </c>
    </row>
    <row r="33" spans="1:27" x14ac:dyDescent="0.25">
      <c r="A33" s="8" t="s">
        <v>52</v>
      </c>
      <c r="B33" s="2" t="s">
        <v>118</v>
      </c>
      <c r="C33" s="13">
        <v>133782.25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133782.25</v>
      </c>
      <c r="K33" s="7">
        <f>J33</f>
        <v>133782.25</v>
      </c>
      <c r="L33" s="3">
        <v>1</v>
      </c>
      <c r="M33" s="80" t="s">
        <v>52</v>
      </c>
    </row>
    <row r="34" spans="1:27" x14ac:dyDescent="0.25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5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5"/>
        <v xml:space="preserve"> </v>
      </c>
      <c r="M35" s="80" t="s">
        <v>52</v>
      </c>
      <c r="N35" s="80" t="s">
        <v>52</v>
      </c>
    </row>
    <row r="36" spans="1:27" x14ac:dyDescent="0.25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5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5">
      <c r="A38" s="8" t="s">
        <v>8</v>
      </c>
      <c r="B38" s="2" t="s">
        <v>132</v>
      </c>
      <c r="C38" s="13">
        <v>96.793000000000006</v>
      </c>
      <c r="D38" s="13">
        <f>C38*1</f>
        <v>96.793000000000006</v>
      </c>
      <c r="E38" s="1">
        <f>E$32</f>
        <v>20.65</v>
      </c>
      <c r="F38" s="1">
        <f>F$32</f>
        <v>20.65</v>
      </c>
      <c r="G38" s="7">
        <f>C38*(E38-F38)</f>
        <v>0</v>
      </c>
      <c r="H38" s="7">
        <f>C38*(E38-F38)</f>
        <v>0</v>
      </c>
      <c r="I38" s="1"/>
      <c r="J38" s="7">
        <f>C38*E38</f>
        <v>1998.7754500000001</v>
      </c>
      <c r="K38" s="7">
        <f>J38</f>
        <v>1998.7754500000001</v>
      </c>
      <c r="L38" s="3">
        <v>2</v>
      </c>
      <c r="M38" s="80" t="s">
        <v>52</v>
      </c>
    </row>
    <row r="39" spans="1:27" x14ac:dyDescent="0.25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5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5">
      <c r="A41" s="25" t="s">
        <v>52</v>
      </c>
      <c r="B41" s="2" t="s">
        <v>118</v>
      </c>
      <c r="C41" s="13">
        <v>612539.84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612539.84</v>
      </c>
      <c r="K41" s="7">
        <f>J41*0.614</f>
        <v>376099.46175999998</v>
      </c>
      <c r="L41" s="3">
        <v>1</v>
      </c>
      <c r="M41" s="80" t="s">
        <v>52</v>
      </c>
    </row>
    <row r="42" spans="1:27" x14ac:dyDescent="0.25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5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5">
      <c r="A44" s="25" t="s">
        <v>52</v>
      </c>
      <c r="B44" s="2" t="s">
        <v>118</v>
      </c>
      <c r="C44" s="13">
        <v>264059.82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264059.82</v>
      </c>
      <c r="K44" s="7">
        <f>J44*0.614</f>
        <v>162132.72948000001</v>
      </c>
      <c r="L44" s="3">
        <v>1</v>
      </c>
      <c r="M44" s="80" t="s">
        <v>52</v>
      </c>
    </row>
    <row r="45" spans="1:27" x14ac:dyDescent="0.25">
      <c r="A45" s="25" t="s">
        <v>52</v>
      </c>
      <c r="B45" s="2" t="s">
        <v>132</v>
      </c>
      <c r="C45" s="13">
        <v>8310</v>
      </c>
      <c r="D45" s="13">
        <f>C45*1</f>
        <v>8310</v>
      </c>
      <c r="E45" s="1">
        <f>E$32</f>
        <v>20.65</v>
      </c>
      <c r="F45" s="1">
        <f>F$32</f>
        <v>20.65</v>
      </c>
      <c r="G45" s="7">
        <f>C45*(E45-F45)</f>
        <v>0</v>
      </c>
      <c r="H45" s="7">
        <f>C45*(E45-F45)*0.5895</f>
        <v>0</v>
      </c>
      <c r="I45" s="22" t="s">
        <v>52</v>
      </c>
      <c r="J45" s="7">
        <f>C45*E45</f>
        <v>171601.5</v>
      </c>
      <c r="K45" s="7">
        <f>J45*0.614</f>
        <v>105363.321</v>
      </c>
      <c r="L45" s="3">
        <v>2</v>
      </c>
      <c r="M45" s="80" t="s">
        <v>52</v>
      </c>
      <c r="O45" s="7" t="s">
        <v>52</v>
      </c>
    </row>
    <row r="46" spans="1:27" x14ac:dyDescent="0.25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5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5">
      <c r="A48" s="8"/>
      <c r="B48" s="2" t="s">
        <v>128</v>
      </c>
      <c r="C48" s="13">
        <v>1307.5862</v>
      </c>
      <c r="D48" s="13">
        <f>C48*1</f>
        <v>1307.5862</v>
      </c>
      <c r="E48" s="1">
        <f t="shared" ref="E48:F50" si="6">E$32</f>
        <v>20.65</v>
      </c>
      <c r="F48" s="1">
        <f t="shared" si="6"/>
        <v>20.65</v>
      </c>
      <c r="G48" s="7">
        <f>C48*(E48-F48)</f>
        <v>0</v>
      </c>
      <c r="H48" s="7">
        <f>C48*(E48-F48)</f>
        <v>0</v>
      </c>
      <c r="I48" s="1"/>
      <c r="J48" s="7">
        <f>C48*E48</f>
        <v>27001.655029999998</v>
      </c>
      <c r="K48" s="7">
        <f>J48</f>
        <v>27001.655029999998</v>
      </c>
      <c r="L48" s="3">
        <v>2</v>
      </c>
      <c r="M48" s="80" t="s">
        <v>52</v>
      </c>
    </row>
    <row r="49" spans="1:14" x14ac:dyDescent="0.25">
      <c r="A49" s="8"/>
      <c r="B49" s="2" t="s">
        <v>129</v>
      </c>
      <c r="C49" s="13">
        <v>178.0334</v>
      </c>
      <c r="D49" s="13">
        <f>C49*1</f>
        <v>178.0334</v>
      </c>
      <c r="E49" s="1">
        <f t="shared" si="6"/>
        <v>20.65</v>
      </c>
      <c r="F49" s="1">
        <f t="shared" si="6"/>
        <v>20.65</v>
      </c>
      <c r="G49" s="7">
        <f>C49*(E49-F49)</f>
        <v>0</v>
      </c>
      <c r="H49" s="7">
        <f>C49*(E49-F49)</f>
        <v>0</v>
      </c>
      <c r="I49" s="1"/>
      <c r="J49" s="7">
        <f>C49*E49</f>
        <v>3676.3897099999999</v>
      </c>
      <c r="K49" s="7">
        <f>J49</f>
        <v>3676.3897099999999</v>
      </c>
      <c r="L49" s="3">
        <v>2</v>
      </c>
      <c r="M49" s="80" t="s">
        <v>52</v>
      </c>
    </row>
    <row r="50" spans="1:14" x14ac:dyDescent="0.25">
      <c r="A50" s="8"/>
      <c r="B50" s="2" t="s">
        <v>127</v>
      </c>
      <c r="C50" s="13">
        <v>402.85410000000002</v>
      </c>
      <c r="D50" s="13">
        <f>C50*1</f>
        <v>402.85410000000002</v>
      </c>
      <c r="E50" s="1">
        <f t="shared" si="6"/>
        <v>20.65</v>
      </c>
      <c r="F50" s="1">
        <f t="shared" si="6"/>
        <v>20.65</v>
      </c>
      <c r="G50" s="7">
        <f>C50*(E50-F50)</f>
        <v>0</v>
      </c>
      <c r="H50" s="7">
        <f>C50*(E50-F50)</f>
        <v>0</v>
      </c>
      <c r="I50" s="1"/>
      <c r="J50" s="7">
        <f>C50*E50</f>
        <v>8318.9371649999994</v>
      </c>
      <c r="K50" s="7">
        <f>J50</f>
        <v>8318.9371649999994</v>
      </c>
      <c r="L50" s="3">
        <v>2</v>
      </c>
      <c r="M50" s="80" t="s">
        <v>52</v>
      </c>
    </row>
    <row r="51" spans="1:14" x14ac:dyDescent="0.25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5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5">
      <c r="A53" s="8" t="s">
        <v>9</v>
      </c>
      <c r="B53" s="2" t="s">
        <v>158</v>
      </c>
      <c r="C53" s="13">
        <v>3262</v>
      </c>
      <c r="D53" s="13" t="s">
        <v>52</v>
      </c>
      <c r="E53" s="1">
        <f t="shared" ref="E53:F59" si="7">E$32</f>
        <v>20.65</v>
      </c>
      <c r="F53" s="1">
        <f t="shared" si="7"/>
        <v>20.65</v>
      </c>
      <c r="G53" s="7">
        <f t="shared" ref="G53:G58" si="8">IF(E53&gt;I53,(E53-F53)*C53,0)</f>
        <v>0</v>
      </c>
      <c r="H53" s="7">
        <f t="shared" ref="H53:H58" si="9">IF(E53&gt;I53,(E53-F53)*C53*0.5895,0)</f>
        <v>0</v>
      </c>
      <c r="I53" s="1">
        <v>76.025000000000006</v>
      </c>
      <c r="J53" s="7">
        <f t="shared" ref="J53:J58" si="10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5">
      <c r="A54" s="8"/>
      <c r="B54" s="2" t="s">
        <v>157</v>
      </c>
      <c r="C54" s="13">
        <v>1270</v>
      </c>
      <c r="D54" s="13" t="s">
        <v>52</v>
      </c>
      <c r="E54" s="1">
        <f t="shared" si="7"/>
        <v>20.65</v>
      </c>
      <c r="F54" s="1">
        <f t="shared" si="7"/>
        <v>20.65</v>
      </c>
      <c r="G54" s="7">
        <f t="shared" si="8"/>
        <v>0</v>
      </c>
      <c r="H54" s="7">
        <f t="shared" si="9"/>
        <v>0</v>
      </c>
      <c r="I54" s="1">
        <v>76</v>
      </c>
      <c r="J54" s="7">
        <f t="shared" si="10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5">
      <c r="A55" s="8" t="s">
        <v>52</v>
      </c>
      <c r="B55" s="2" t="s">
        <v>152</v>
      </c>
      <c r="C55" s="13">
        <v>381</v>
      </c>
      <c r="D55" s="13" t="s">
        <v>52</v>
      </c>
      <c r="E55" s="1">
        <f t="shared" si="7"/>
        <v>20.65</v>
      </c>
      <c r="F55" s="1">
        <f t="shared" si="7"/>
        <v>20.65</v>
      </c>
      <c r="G55" s="7">
        <f t="shared" si="8"/>
        <v>0</v>
      </c>
      <c r="H55" s="7">
        <f t="shared" si="9"/>
        <v>0</v>
      </c>
      <c r="I55" s="1">
        <v>83.125</v>
      </c>
      <c r="J55" s="7">
        <f t="shared" si="10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5">
      <c r="A56" s="8" t="s">
        <v>52</v>
      </c>
      <c r="B56" s="2" t="s">
        <v>144</v>
      </c>
      <c r="C56" s="13">
        <v>347</v>
      </c>
      <c r="D56" s="13" t="s">
        <v>52</v>
      </c>
      <c r="E56" s="1">
        <f t="shared" si="7"/>
        <v>20.65</v>
      </c>
      <c r="F56" s="1">
        <f t="shared" si="7"/>
        <v>20.65</v>
      </c>
      <c r="G56" s="7">
        <f t="shared" si="8"/>
        <v>0</v>
      </c>
      <c r="H56" s="7">
        <f t="shared" si="9"/>
        <v>0</v>
      </c>
      <c r="I56" s="1">
        <v>62.41</v>
      </c>
      <c r="J56" s="7">
        <f t="shared" si="10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5">
      <c r="A57" s="8" t="s">
        <v>52</v>
      </c>
      <c r="B57" s="2" t="s">
        <v>149</v>
      </c>
      <c r="C57" s="13">
        <v>348</v>
      </c>
      <c r="D57" s="13" t="s">
        <v>52</v>
      </c>
      <c r="E57" s="1">
        <f t="shared" si="7"/>
        <v>20.65</v>
      </c>
      <c r="F57" s="1">
        <f t="shared" si="7"/>
        <v>20.65</v>
      </c>
      <c r="G57" s="7">
        <f t="shared" si="8"/>
        <v>0</v>
      </c>
      <c r="H57" s="7">
        <f t="shared" si="9"/>
        <v>0</v>
      </c>
      <c r="I57" s="1">
        <v>53.04</v>
      </c>
      <c r="J57" s="7">
        <f t="shared" si="10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5">
      <c r="A58" s="8" t="s">
        <v>52</v>
      </c>
      <c r="B58" s="2" t="s">
        <v>155</v>
      </c>
      <c r="C58" s="13">
        <v>417</v>
      </c>
      <c r="D58" s="13" t="s">
        <v>52</v>
      </c>
      <c r="E58" s="1">
        <f t="shared" si="7"/>
        <v>20.65</v>
      </c>
      <c r="F58" s="1">
        <f t="shared" si="7"/>
        <v>20.65</v>
      </c>
      <c r="G58" s="7">
        <f t="shared" si="8"/>
        <v>0</v>
      </c>
      <c r="H58" s="7">
        <f t="shared" si="9"/>
        <v>0</v>
      </c>
      <c r="I58" s="1">
        <v>48.3</v>
      </c>
      <c r="J58" s="7">
        <f t="shared" si="10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5">
      <c r="A59" s="8" t="s">
        <v>52</v>
      </c>
      <c r="B59" s="2" t="s">
        <v>167</v>
      </c>
      <c r="C59" s="13">
        <v>610</v>
      </c>
      <c r="D59" s="13" t="s">
        <v>52</v>
      </c>
      <c r="E59" s="1">
        <f t="shared" si="7"/>
        <v>20.65</v>
      </c>
      <c r="F59" s="1">
        <f t="shared" si="7"/>
        <v>20.65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5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5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5">
      <c r="A62" s="8" t="s">
        <v>11</v>
      </c>
      <c r="B62" s="2" t="s">
        <v>130</v>
      </c>
      <c r="C62" s="13">
        <v>2317</v>
      </c>
      <c r="D62" s="13">
        <f>C62*1</f>
        <v>2317</v>
      </c>
      <c r="E62" s="1">
        <f>E$32</f>
        <v>20.65</v>
      </c>
      <c r="F62" s="1">
        <f>F$32</f>
        <v>20.65</v>
      </c>
      <c r="G62" s="7">
        <f>C62*(E62-F62)</f>
        <v>0</v>
      </c>
      <c r="H62" s="7">
        <f>C62*(E62-F62)*0.5895</f>
        <v>0</v>
      </c>
      <c r="I62" s="1"/>
      <c r="J62" s="7">
        <f>C62*E62</f>
        <v>47846.049999999996</v>
      </c>
      <c r="K62" s="7">
        <f>J62*0.614</f>
        <v>29377.474699999995</v>
      </c>
      <c r="L62" s="3">
        <v>2</v>
      </c>
      <c r="M62" s="80" t="s">
        <v>52</v>
      </c>
    </row>
    <row r="63" spans="1:14" x14ac:dyDescent="0.25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5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5">
      <c r="A65" s="8" t="s">
        <v>65</v>
      </c>
      <c r="B65" s="2" t="s">
        <v>131</v>
      </c>
      <c r="C65" s="13">
        <v>1924</v>
      </c>
      <c r="D65" s="13">
        <f>+C65*1</f>
        <v>1924</v>
      </c>
      <c r="E65" s="1">
        <f>E$32</f>
        <v>20.65</v>
      </c>
      <c r="F65" s="1">
        <f>F$32</f>
        <v>20.65</v>
      </c>
      <c r="G65" s="7">
        <f>C65*(E65-F65)</f>
        <v>0</v>
      </c>
      <c r="H65" s="7">
        <f>C65*(E65-F65)*0.5895</f>
        <v>0</v>
      </c>
      <c r="I65" s="1"/>
      <c r="J65" s="7">
        <f>C65*E65</f>
        <v>39730.6</v>
      </c>
      <c r="K65" s="7">
        <f>J65*0.614</f>
        <v>24394.588399999997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5">
      <c r="A66" s="87" t="s">
        <v>52</v>
      </c>
      <c r="E66" s="1"/>
      <c r="F66" s="1"/>
      <c r="H66" s="7" t="s">
        <v>52</v>
      </c>
      <c r="I66" s="1"/>
    </row>
    <row r="67" spans="1:16" x14ac:dyDescent="0.25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5">
      <c r="A68" s="8" t="s">
        <v>52</v>
      </c>
      <c r="B68" s="2" t="s">
        <v>168</v>
      </c>
      <c r="C68" s="80">
        <v>2984268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1" si="11">C68*(E68-F68)</f>
        <v>0</v>
      </c>
      <c r="I68" s="1"/>
      <c r="J68" s="7">
        <f>C68*E68</f>
        <v>2984268</v>
      </c>
      <c r="K68" s="7">
        <f t="shared" ref="K68:K82" si="12">J68</f>
        <v>2984268</v>
      </c>
      <c r="L68" s="3">
        <v>1</v>
      </c>
    </row>
    <row r="69" spans="1:16" x14ac:dyDescent="0.25">
      <c r="A69" s="30" t="s">
        <v>52</v>
      </c>
      <c r="B69" s="2" t="s">
        <v>163</v>
      </c>
      <c r="C69" s="13">
        <v>-15000</v>
      </c>
      <c r="D69" s="13" t="s">
        <v>52</v>
      </c>
      <c r="E69" s="1">
        <v>0.4</v>
      </c>
      <c r="F69" s="1">
        <v>0.4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6000</v>
      </c>
    </row>
    <row r="70" spans="1:16" x14ac:dyDescent="0.25">
      <c r="A70" s="30" t="s">
        <v>52</v>
      </c>
      <c r="B70" s="2" t="s">
        <v>161</v>
      </c>
      <c r="C70" s="13">
        <v>-7500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1500</v>
      </c>
    </row>
    <row r="71" spans="1:16" x14ac:dyDescent="0.25">
      <c r="A71" s="30" t="s">
        <v>52</v>
      </c>
      <c r="B71" s="2" t="s">
        <v>133</v>
      </c>
      <c r="C71" s="13">
        <v>-5000</v>
      </c>
      <c r="D71" s="13" t="s">
        <v>52</v>
      </c>
      <c r="E71" s="1">
        <v>0.1</v>
      </c>
      <c r="F71" s="1">
        <v>0.1</v>
      </c>
      <c r="G71" s="7">
        <f t="shared" ref="G71:G81" si="13">(E71-F71)*C71</f>
        <v>0</v>
      </c>
      <c r="H71" s="7">
        <f t="shared" si="11"/>
        <v>0</v>
      </c>
      <c r="J71" s="7">
        <f t="shared" ref="J71:J80" si="14">G71</f>
        <v>0</v>
      </c>
      <c r="K71" s="7">
        <f t="shared" si="12"/>
        <v>0</v>
      </c>
      <c r="L71" s="3">
        <v>1</v>
      </c>
      <c r="M71" s="80">
        <f t="shared" ref="M71:M81" si="15">C71*E71*-1</f>
        <v>500</v>
      </c>
    </row>
    <row r="72" spans="1:16" x14ac:dyDescent="0.25">
      <c r="A72" s="30" t="s">
        <v>52</v>
      </c>
      <c r="B72" s="2" t="s">
        <v>134</v>
      </c>
      <c r="C72" s="13">
        <v>-15000</v>
      </c>
      <c r="D72" s="13" t="s">
        <v>52</v>
      </c>
      <c r="E72" s="1">
        <v>0.05</v>
      </c>
      <c r="F72" s="1">
        <v>0.05</v>
      </c>
      <c r="G72" s="7">
        <f t="shared" si="13"/>
        <v>0</v>
      </c>
      <c r="H72" s="7">
        <f t="shared" si="11"/>
        <v>0</v>
      </c>
      <c r="J72" s="7">
        <f t="shared" si="14"/>
        <v>0</v>
      </c>
      <c r="K72" s="7">
        <f t="shared" si="12"/>
        <v>0</v>
      </c>
      <c r="L72" s="3">
        <v>1</v>
      </c>
      <c r="M72" s="80">
        <f t="shared" si="15"/>
        <v>750</v>
      </c>
      <c r="N72" s="80" t="s">
        <v>52</v>
      </c>
    </row>
    <row r="73" spans="1:16" x14ac:dyDescent="0.25">
      <c r="A73" s="30" t="s">
        <v>52</v>
      </c>
      <c r="B73" s="2" t="s">
        <v>173</v>
      </c>
      <c r="C73" s="13">
        <v>-2500</v>
      </c>
      <c r="D73" s="13" t="s">
        <v>52</v>
      </c>
      <c r="E73" s="1">
        <v>0.7</v>
      </c>
      <c r="F73" s="1">
        <v>0.7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1750</v>
      </c>
    </row>
    <row r="74" spans="1:16" x14ac:dyDescent="0.25">
      <c r="A74" s="30" t="s">
        <v>52</v>
      </c>
      <c r="B74" s="2" t="s">
        <v>150</v>
      </c>
      <c r="C74" s="13">
        <v>-5000</v>
      </c>
      <c r="D74" s="13" t="s">
        <v>52</v>
      </c>
      <c r="E74" s="1">
        <v>0.45</v>
      </c>
      <c r="F74" s="1">
        <v>0.45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 t="shared" si="12"/>
        <v>0</v>
      </c>
      <c r="L74" s="3">
        <v>1</v>
      </c>
      <c r="M74" s="80">
        <f>C74*E74*-1</f>
        <v>2250</v>
      </c>
    </row>
    <row r="75" spans="1:16" x14ac:dyDescent="0.25">
      <c r="A75" s="30" t="s">
        <v>52</v>
      </c>
      <c r="B75" s="2" t="s">
        <v>135</v>
      </c>
      <c r="C75" s="13">
        <v>-15000</v>
      </c>
      <c r="D75" s="13" t="s">
        <v>52</v>
      </c>
      <c r="E75" s="1">
        <v>0.35</v>
      </c>
      <c r="F75" s="1">
        <v>0.35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5250</v>
      </c>
      <c r="O75" s="5" t="s">
        <v>52</v>
      </c>
    </row>
    <row r="76" spans="1:16" x14ac:dyDescent="0.25">
      <c r="A76" s="30" t="s">
        <v>52</v>
      </c>
      <c r="B76" s="2" t="s">
        <v>146</v>
      </c>
      <c r="C76" s="13">
        <v>-15000</v>
      </c>
      <c r="D76" s="13" t="s">
        <v>52</v>
      </c>
      <c r="E76" s="1">
        <v>0.25</v>
      </c>
      <c r="F76" s="1">
        <v>0.25</v>
      </c>
      <c r="G76" s="7">
        <f>(E76-F76)*C76</f>
        <v>0</v>
      </c>
      <c r="H76" s="7">
        <f>C76*(E76-F76)</f>
        <v>0</v>
      </c>
      <c r="J76" s="7">
        <f>G76</f>
        <v>0</v>
      </c>
      <c r="K76" s="7">
        <f t="shared" si="12"/>
        <v>0</v>
      </c>
      <c r="L76" s="3">
        <v>1</v>
      </c>
      <c r="M76" s="80">
        <f>C76*E76*-1</f>
        <v>3750</v>
      </c>
      <c r="O76" s="5" t="s">
        <v>52</v>
      </c>
    </row>
    <row r="77" spans="1:16" x14ac:dyDescent="0.25">
      <c r="A77" s="30" t="s">
        <v>52</v>
      </c>
      <c r="B77" s="2" t="s">
        <v>136</v>
      </c>
      <c r="C77" s="13">
        <v>-10000</v>
      </c>
      <c r="D77" s="13" t="s">
        <v>52</v>
      </c>
      <c r="E77" s="1">
        <v>0.1</v>
      </c>
      <c r="F77" s="1">
        <v>0.1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80">
        <f t="shared" si="15"/>
        <v>1000</v>
      </c>
      <c r="O77" s="7" t="s">
        <v>52</v>
      </c>
    </row>
    <row r="78" spans="1:16" x14ac:dyDescent="0.25">
      <c r="A78" s="30" t="s">
        <v>52</v>
      </c>
      <c r="B78" s="2" t="s">
        <v>137</v>
      </c>
      <c r="C78" s="13">
        <v>-10000</v>
      </c>
      <c r="D78" s="13" t="s">
        <v>52</v>
      </c>
      <c r="E78" s="1">
        <v>0.1</v>
      </c>
      <c r="F78" s="1">
        <v>0.1</v>
      </c>
      <c r="G78" s="7">
        <f t="shared" si="13"/>
        <v>0</v>
      </c>
      <c r="H78" s="7">
        <f t="shared" si="11"/>
        <v>0</v>
      </c>
      <c r="J78" s="7">
        <f t="shared" si="14"/>
        <v>0</v>
      </c>
      <c r="K78" s="7">
        <f t="shared" si="12"/>
        <v>0</v>
      </c>
      <c r="L78" s="3">
        <v>1</v>
      </c>
      <c r="M78" s="80">
        <f t="shared" si="15"/>
        <v>1000</v>
      </c>
      <c r="O78" s="7" t="s">
        <v>52</v>
      </c>
    </row>
    <row r="79" spans="1:16" x14ac:dyDescent="0.25">
      <c r="A79" s="30" t="s">
        <v>52</v>
      </c>
      <c r="B79" s="2" t="s">
        <v>138</v>
      </c>
      <c r="C79" s="13">
        <v>-10000</v>
      </c>
      <c r="D79" s="13" t="s">
        <v>52</v>
      </c>
      <c r="E79" s="1">
        <v>0.1</v>
      </c>
      <c r="F79" s="1">
        <v>0.1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80">
        <f t="shared" si="15"/>
        <v>1000</v>
      </c>
      <c r="O79" s="7" t="s">
        <v>52</v>
      </c>
    </row>
    <row r="80" spans="1:16" x14ac:dyDescent="0.25">
      <c r="A80" s="30" t="s">
        <v>52</v>
      </c>
      <c r="B80" s="2" t="s">
        <v>139</v>
      </c>
      <c r="C80" s="13">
        <v>-10000</v>
      </c>
      <c r="D80" s="13" t="s">
        <v>52</v>
      </c>
      <c r="E80" s="1">
        <v>0.1</v>
      </c>
      <c r="F80" s="1">
        <v>0.1</v>
      </c>
      <c r="G80" s="7">
        <f t="shared" si="13"/>
        <v>0</v>
      </c>
      <c r="H80" s="7">
        <f t="shared" si="11"/>
        <v>0</v>
      </c>
      <c r="J80" s="7">
        <f t="shared" si="14"/>
        <v>0</v>
      </c>
      <c r="K80" s="7">
        <f t="shared" si="12"/>
        <v>0</v>
      </c>
      <c r="L80" s="3">
        <v>1</v>
      </c>
      <c r="M80" s="92">
        <f t="shared" si="15"/>
        <v>1000</v>
      </c>
      <c r="O80" s="80" t="s">
        <v>52</v>
      </c>
    </row>
    <row r="81" spans="1:15" ht="13.8" thickBot="1" x14ac:dyDescent="0.3">
      <c r="A81" s="30" t="s">
        <v>52</v>
      </c>
      <c r="B81" s="2" t="s">
        <v>140</v>
      </c>
      <c r="C81" s="13">
        <v>-5000</v>
      </c>
      <c r="D81" s="13" t="s">
        <v>52</v>
      </c>
      <c r="E81" s="1">
        <v>0.1</v>
      </c>
      <c r="F81" s="1">
        <v>0.1</v>
      </c>
      <c r="G81" s="7">
        <f t="shared" si="13"/>
        <v>0</v>
      </c>
      <c r="H81" s="7">
        <f t="shared" si="11"/>
        <v>0</v>
      </c>
      <c r="J81" s="7">
        <f>G81</f>
        <v>0</v>
      </c>
      <c r="K81" s="7">
        <f t="shared" si="12"/>
        <v>0</v>
      </c>
      <c r="L81" s="3">
        <v>1</v>
      </c>
      <c r="M81" s="93">
        <f t="shared" si="15"/>
        <v>500</v>
      </c>
      <c r="N81" s="80" t="s">
        <v>52</v>
      </c>
      <c r="O81" s="7" t="s">
        <v>52</v>
      </c>
    </row>
    <row r="82" spans="1:15" x14ac:dyDescent="0.25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2"/>
        <v xml:space="preserve"> </v>
      </c>
      <c r="M82" s="80">
        <f>SUM(M69:M81)</f>
        <v>26250</v>
      </c>
      <c r="N82" s="80">
        <v>31063</v>
      </c>
      <c r="O82" s="80">
        <v>2984268</v>
      </c>
    </row>
    <row r="83" spans="1:15" x14ac:dyDescent="0.25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SUM(H68:H81)</f>
        <v>0</v>
      </c>
      <c r="O83" s="80">
        <f>SUM(K68:K81)</f>
        <v>2984268</v>
      </c>
    </row>
    <row r="84" spans="1:15" x14ac:dyDescent="0.25">
      <c r="A84" s="30" t="s">
        <v>52</v>
      </c>
      <c r="B84" s="2" t="s">
        <v>62</v>
      </c>
      <c r="C84" s="13">
        <v>387</v>
      </c>
      <c r="D84" s="13" t="s">
        <v>52</v>
      </c>
      <c r="E84" s="16">
        <v>37.61</v>
      </c>
      <c r="F84" s="16">
        <v>37.61</v>
      </c>
      <c r="G84" s="7">
        <f>C84*(E84-F84)</f>
        <v>0</v>
      </c>
      <c r="H84" s="7">
        <f>C84*(E84-F84)</f>
        <v>0</v>
      </c>
      <c r="I84" s="1"/>
      <c r="J84" s="7">
        <f>C84*E84</f>
        <v>14555.07</v>
      </c>
      <c r="K84" s="7">
        <f>J84</f>
        <v>14555.07</v>
      </c>
      <c r="L84" s="3">
        <v>2</v>
      </c>
      <c r="M84" s="80" t="s">
        <v>52</v>
      </c>
    </row>
    <row r="85" spans="1:15" x14ac:dyDescent="0.25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5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5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5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47</v>
      </c>
      <c r="F88" s="1">
        <v>47</v>
      </c>
      <c r="G88" s="7">
        <f t="shared" ref="G88:G94" si="16">C88*(E88-F88)</f>
        <v>0</v>
      </c>
      <c r="H88" s="7">
        <f t="shared" ref="H88:H94" si="17">C88*(E88-F88)</f>
        <v>0</v>
      </c>
      <c r="I88" s="1"/>
      <c r="J88" s="7">
        <f t="shared" ref="J88:J94" si="18">C88*E88</f>
        <v>11001.008</v>
      </c>
      <c r="K88" s="7">
        <f>J88</f>
        <v>11001.008</v>
      </c>
      <c r="L88" s="3">
        <v>2</v>
      </c>
    </row>
    <row r="89" spans="1:15" x14ac:dyDescent="0.25">
      <c r="A89" s="8"/>
      <c r="B89" s="2" t="s">
        <v>27</v>
      </c>
      <c r="C89" s="13">
        <v>752.12800000000004</v>
      </c>
      <c r="D89" s="13" t="s">
        <v>52</v>
      </c>
      <c r="E89" s="1">
        <v>8.3699999999999992</v>
      </c>
      <c r="F89" s="1">
        <v>8.3699999999999992</v>
      </c>
      <c r="G89" s="7">
        <f t="shared" si="16"/>
        <v>0</v>
      </c>
      <c r="H89" s="7">
        <f t="shared" si="17"/>
        <v>0</v>
      </c>
      <c r="I89" s="1"/>
      <c r="J89" s="7">
        <f t="shared" si="18"/>
        <v>6295.3113599999997</v>
      </c>
      <c r="K89" s="7">
        <f t="shared" ref="K89:K105" si="19">J89</f>
        <v>6295.3113599999997</v>
      </c>
      <c r="L89" s="3">
        <v>2</v>
      </c>
    </row>
    <row r="90" spans="1:15" x14ac:dyDescent="0.25">
      <c r="A90" s="8"/>
      <c r="B90" s="2" t="s">
        <v>28</v>
      </c>
      <c r="C90" s="13">
        <v>2674.7959999999998</v>
      </c>
      <c r="D90" s="13" t="s">
        <v>52</v>
      </c>
      <c r="E90" s="1">
        <v>19.829999999999998</v>
      </c>
      <c r="F90" s="1">
        <v>19.829999999999998</v>
      </c>
      <c r="G90" s="7">
        <f t="shared" si="16"/>
        <v>0</v>
      </c>
      <c r="H90" s="7">
        <f t="shared" si="17"/>
        <v>0</v>
      </c>
      <c r="I90" s="1"/>
      <c r="J90" s="7">
        <f t="shared" si="18"/>
        <v>53041.204679999995</v>
      </c>
      <c r="K90" s="7">
        <f t="shared" si="19"/>
        <v>53041.204679999995</v>
      </c>
      <c r="L90" s="3">
        <v>2</v>
      </c>
    </row>
    <row r="91" spans="1:15" x14ac:dyDescent="0.25">
      <c r="A91" s="8"/>
      <c r="B91" s="2" t="s">
        <v>29</v>
      </c>
      <c r="C91" s="13">
        <v>1240.306</v>
      </c>
      <c r="D91" s="13" t="s">
        <v>52</v>
      </c>
      <c r="E91" s="1">
        <v>7.69</v>
      </c>
      <c r="F91" s="1">
        <v>7.69</v>
      </c>
      <c r="G91" s="7">
        <f t="shared" si="16"/>
        <v>0</v>
      </c>
      <c r="H91" s="7">
        <f t="shared" si="17"/>
        <v>0</v>
      </c>
      <c r="I91" s="1"/>
      <c r="J91" s="7">
        <f t="shared" si="18"/>
        <v>9537.9531400000014</v>
      </c>
      <c r="K91" s="7">
        <f t="shared" si="19"/>
        <v>9537.9531400000014</v>
      </c>
      <c r="L91" s="3">
        <v>2</v>
      </c>
    </row>
    <row r="92" spans="1:15" x14ac:dyDescent="0.25">
      <c r="A92" s="8"/>
      <c r="B92" s="2" t="s">
        <v>30</v>
      </c>
      <c r="C92" s="13">
        <v>261.04399999999998</v>
      </c>
      <c r="D92" s="13" t="s">
        <v>52</v>
      </c>
      <c r="E92" s="1">
        <v>36.03</v>
      </c>
      <c r="F92" s="1">
        <v>36.03</v>
      </c>
      <c r="G92" s="7">
        <f t="shared" si="16"/>
        <v>0</v>
      </c>
      <c r="H92" s="7">
        <f t="shared" si="17"/>
        <v>0</v>
      </c>
      <c r="I92" s="1"/>
      <c r="J92" s="7">
        <f t="shared" si="18"/>
        <v>9405.4153200000001</v>
      </c>
      <c r="K92" s="7">
        <f t="shared" si="19"/>
        <v>9405.4153200000001</v>
      </c>
      <c r="L92" s="3">
        <v>2</v>
      </c>
    </row>
    <row r="93" spans="1:15" x14ac:dyDescent="0.25">
      <c r="A93" s="8"/>
      <c r="B93" s="2" t="s">
        <v>31</v>
      </c>
      <c r="C93" s="13">
        <v>378.52600000000001</v>
      </c>
      <c r="D93" s="13" t="s">
        <v>52</v>
      </c>
      <c r="E93" s="1">
        <v>25.88</v>
      </c>
      <c r="F93" s="1">
        <v>25.88</v>
      </c>
      <c r="G93" s="7">
        <f t="shared" si="16"/>
        <v>0</v>
      </c>
      <c r="H93" s="7">
        <f t="shared" si="17"/>
        <v>0</v>
      </c>
      <c r="I93" s="1"/>
      <c r="J93" s="7">
        <f t="shared" si="18"/>
        <v>9796.25288</v>
      </c>
      <c r="K93" s="7">
        <f t="shared" si="19"/>
        <v>9796.25288</v>
      </c>
      <c r="L93" s="3">
        <v>2</v>
      </c>
    </row>
    <row r="94" spans="1:15" x14ac:dyDescent="0.25">
      <c r="A94" s="8" t="s">
        <v>52</v>
      </c>
      <c r="B94" s="2" t="s">
        <v>49</v>
      </c>
      <c r="C94" s="13">
        <v>1371</v>
      </c>
      <c r="D94" s="13" t="s">
        <v>52</v>
      </c>
      <c r="E94" s="1">
        <v>11</v>
      </c>
      <c r="F94" s="1">
        <v>11</v>
      </c>
      <c r="G94" s="7">
        <f t="shared" si="16"/>
        <v>0</v>
      </c>
      <c r="H94" s="7">
        <f t="shared" si="17"/>
        <v>0</v>
      </c>
      <c r="I94" s="1" t="s">
        <v>52</v>
      </c>
      <c r="J94" s="7">
        <f t="shared" si="18"/>
        <v>15081</v>
      </c>
      <c r="K94" s="7">
        <f t="shared" si="19"/>
        <v>15081</v>
      </c>
      <c r="L94" s="3">
        <v>1</v>
      </c>
    </row>
    <row r="95" spans="1:15" x14ac:dyDescent="0.25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5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9"/>
        <v>5000</v>
      </c>
      <c r="L96" s="3">
        <v>1</v>
      </c>
    </row>
    <row r="97" spans="1:15" x14ac:dyDescent="0.25">
      <c r="E97" s="2"/>
      <c r="F97" s="2"/>
      <c r="G97" s="15"/>
      <c r="H97" s="7" t="s">
        <v>52</v>
      </c>
      <c r="I97" s="2"/>
    </row>
    <row r="98" spans="1:15" x14ac:dyDescent="0.25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9"/>
        <v>3829.12</v>
      </c>
      <c r="L98" s="3">
        <v>1</v>
      </c>
    </row>
    <row r="99" spans="1:15" x14ac:dyDescent="0.25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9"/>
        <v>4769.42</v>
      </c>
      <c r="L99" s="3">
        <v>1</v>
      </c>
    </row>
    <row r="100" spans="1:15" x14ac:dyDescent="0.25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5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9"/>
        <v>9759</v>
      </c>
      <c r="L101" s="3">
        <v>1</v>
      </c>
      <c r="M101" s="80" t="s">
        <v>87</v>
      </c>
    </row>
    <row r="102" spans="1:15" x14ac:dyDescent="0.25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9"/>
        <v>3718</v>
      </c>
      <c r="L102" s="3">
        <v>1</v>
      </c>
      <c r="M102" s="80">
        <f>(C9*E9)+(C10*E10)+(C11*E11)+(C12*E12)+(C13*E13)</f>
        <v>-3827560</v>
      </c>
      <c r="N102" s="26">
        <f>M102/M109</f>
        <v>-0.62658656912258992</v>
      </c>
      <c r="O102" s="5" t="s">
        <v>85</v>
      </c>
    </row>
    <row r="103" spans="1:15" x14ac:dyDescent="0.25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9"/>
        <v>943</v>
      </c>
      <c r="L103" s="3">
        <v>1</v>
      </c>
      <c r="M103" s="80">
        <f>SUMIF(L5:L110,2,K5:K110)</f>
        <v>359141.01014172204</v>
      </c>
      <c r="N103" s="26">
        <f>M103/M109</f>
        <v>5.8792790544347544E-2</v>
      </c>
      <c r="O103" s="5" t="s">
        <v>22</v>
      </c>
    </row>
    <row r="104" spans="1:15" x14ac:dyDescent="0.25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9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5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9"/>
        <v>3764.8724267220005</v>
      </c>
      <c r="L105" s="3">
        <v>2</v>
      </c>
      <c r="M105" s="80">
        <f>SUMIF(L5:L110,1,K5:K110)</f>
        <v>6314448.2712400006</v>
      </c>
      <c r="N105" s="26">
        <f>M105/M109</f>
        <v>1.0336999232352573</v>
      </c>
    </row>
    <row r="106" spans="1:15" x14ac:dyDescent="0.25">
      <c r="A106" s="8"/>
      <c r="E106" s="1"/>
      <c r="F106" s="1"/>
      <c r="I106" s="1"/>
      <c r="M106" s="80" t="s">
        <v>162</v>
      </c>
      <c r="N106" s="26"/>
    </row>
    <row r="107" spans="1:15" x14ac:dyDescent="0.25">
      <c r="A107" s="8" t="s">
        <v>88</v>
      </c>
      <c r="B107" s="2" t="s">
        <v>153</v>
      </c>
      <c r="C107" s="13">
        <v>-155000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-155000</v>
      </c>
      <c r="K107" s="7">
        <f>J107</f>
        <v>-155000</v>
      </c>
      <c r="L107" s="3">
        <v>0</v>
      </c>
      <c r="M107" s="80">
        <f>SUM(K107:K109)</f>
        <v>-565000</v>
      </c>
      <c r="N107" s="26">
        <f>+M107/M109</f>
        <v>-9.249271377960458E-2</v>
      </c>
    </row>
    <row r="108" spans="1:15" x14ac:dyDescent="0.25">
      <c r="A108" s="8" t="s">
        <v>52</v>
      </c>
      <c r="B108" s="2" t="s">
        <v>159</v>
      </c>
      <c r="C108" s="13">
        <v>-155000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-155000</v>
      </c>
      <c r="K108" s="7">
        <f>J108</f>
        <v>-155000</v>
      </c>
      <c r="L108" s="3">
        <v>0</v>
      </c>
      <c r="M108" s="80" t="s">
        <v>91</v>
      </c>
      <c r="N108" s="26"/>
    </row>
    <row r="109" spans="1:15" x14ac:dyDescent="0.25">
      <c r="A109" s="8" t="s">
        <v>52</v>
      </c>
      <c r="B109" s="2" t="s">
        <v>160</v>
      </c>
      <c r="C109" s="13">
        <v>-255000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-255000</v>
      </c>
      <c r="K109" s="7">
        <f>J109</f>
        <v>-255000</v>
      </c>
      <c r="L109" s="3">
        <v>0</v>
      </c>
      <c r="M109" s="80">
        <f>K112</f>
        <v>6108589.2813817216</v>
      </c>
      <c r="N109" s="26">
        <f>+M109/K112</f>
        <v>1</v>
      </c>
    </row>
    <row r="110" spans="1:15" ht="13.8" thickBot="1" x14ac:dyDescent="0.3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5">
      <c r="A111" s="8"/>
      <c r="M111" s="80" t="s">
        <v>56</v>
      </c>
    </row>
    <row r="112" spans="1:15" x14ac:dyDescent="0.25">
      <c r="A112" s="8" t="s">
        <v>17</v>
      </c>
      <c r="C112" s="13">
        <f>SUM(C53:C65)+C32+C38+C45+C48+C49+C50</f>
        <v>21437.661900000003</v>
      </c>
      <c r="D112" s="13">
        <f>SUM(D5:D109)</f>
        <v>-197.33809999999903</v>
      </c>
      <c r="G112" s="7">
        <f>SUM(G5:G110)</f>
        <v>0</v>
      </c>
      <c r="H112" s="7">
        <f>SUM(H5:H110)</f>
        <v>0</v>
      </c>
      <c r="J112" s="7">
        <f>SUM(J5:J110)</f>
        <v>6546999.5160417212</v>
      </c>
      <c r="K112" s="7">
        <f>SUM(K5:K110)</f>
        <v>6108589.2813817216</v>
      </c>
      <c r="M112" s="92">
        <f>SUM(K45:K65)+K32+K38</f>
        <v>205632.20233499998</v>
      </c>
      <c r="N112" s="94">
        <f>M112/K112</f>
        <v>3.3662797229098922E-2</v>
      </c>
    </row>
    <row r="113" spans="1:14" ht="13.8" thickBot="1" x14ac:dyDescent="0.3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5">
      <c r="A114" s="8"/>
    </row>
    <row r="115" spans="1:14" x14ac:dyDescent="0.25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5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18.38</v>
      </c>
      <c r="F116" s="1">
        <v>18.38</v>
      </c>
      <c r="G116" s="7">
        <f>C116*(E116-F116)</f>
        <v>0</v>
      </c>
      <c r="H116" s="7">
        <f>C116*(E116-F116)</f>
        <v>0</v>
      </c>
      <c r="I116" s="1"/>
      <c r="J116" s="7">
        <f>C116*E116</f>
        <v>22581.337159999999</v>
      </c>
      <c r="K116" s="7">
        <f>J116</f>
        <v>22581.337159999999</v>
      </c>
      <c r="L116" s="3">
        <v>2</v>
      </c>
    </row>
    <row r="117" spans="1:14" x14ac:dyDescent="0.25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37.61</v>
      </c>
      <c r="F117" s="1">
        <f>+F84</f>
        <v>37.61</v>
      </c>
      <c r="G117" s="7">
        <f>C117*(E117-F117)</f>
        <v>0</v>
      </c>
      <c r="H117" s="7">
        <f>C117*(E117-F117)</f>
        <v>0</v>
      </c>
      <c r="I117" s="1"/>
      <c r="J117" s="7">
        <f>C117*E117</f>
        <v>14555.07</v>
      </c>
      <c r="K117" s="7">
        <f>J117</f>
        <v>14555.07</v>
      </c>
      <c r="L117" s="3">
        <v>2</v>
      </c>
    </row>
    <row r="118" spans="1:14" x14ac:dyDescent="0.25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5">
      <c r="A119" s="8"/>
      <c r="E119" s="3"/>
      <c r="F119" s="3"/>
      <c r="H119" s="7" t="s">
        <v>52</v>
      </c>
      <c r="I119" s="3"/>
    </row>
    <row r="120" spans="1:14" x14ac:dyDescent="0.25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5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10.95</v>
      </c>
      <c r="F121" s="1">
        <v>10.95</v>
      </c>
      <c r="G121" s="7">
        <f>C121*(E121-F121)</f>
        <v>0</v>
      </c>
      <c r="H121" s="7">
        <f>C121*(E121-F121)</f>
        <v>0</v>
      </c>
      <c r="I121" s="1"/>
      <c r="J121" s="7">
        <f>C121*E121</f>
        <v>22046.510999999999</v>
      </c>
      <c r="K121" s="7">
        <f>J121</f>
        <v>22046.510999999999</v>
      </c>
      <c r="L121" s="3">
        <v>2</v>
      </c>
    </row>
    <row r="122" spans="1:14" x14ac:dyDescent="0.25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37.61</v>
      </c>
      <c r="F122" s="1">
        <f>+F84</f>
        <v>37.61</v>
      </c>
      <c r="G122" s="7">
        <f>C122*(E122-F122)</f>
        <v>0</v>
      </c>
      <c r="H122" s="7">
        <f>C122*(E122-F122)</f>
        <v>0</v>
      </c>
      <c r="I122" s="1"/>
      <c r="J122" s="7">
        <f>C122*E122</f>
        <v>14555.07</v>
      </c>
      <c r="K122" s="7">
        <f>J122</f>
        <v>14555.07</v>
      </c>
      <c r="L122" s="3">
        <v>2</v>
      </c>
    </row>
    <row r="123" spans="1:14" x14ac:dyDescent="0.25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5">
      <c r="A124" s="8"/>
      <c r="E124" s="1"/>
      <c r="F124" s="1"/>
      <c r="H124" s="7" t="s">
        <v>52</v>
      </c>
      <c r="I124" s="1"/>
    </row>
    <row r="125" spans="1:14" x14ac:dyDescent="0.25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37.61</v>
      </c>
      <c r="F125" s="1">
        <f>+F84</f>
        <v>37.61</v>
      </c>
      <c r="G125" s="7">
        <f>C125*(E125-F125)</f>
        <v>0</v>
      </c>
      <c r="H125" s="7">
        <f>C125*(E125-F125)</f>
        <v>0</v>
      </c>
      <c r="I125" s="1"/>
      <c r="J125" s="7">
        <f>C125*E125</f>
        <v>14555.07</v>
      </c>
      <c r="K125" s="7">
        <f>J125</f>
        <v>14555.07</v>
      </c>
      <c r="L125" s="3">
        <v>2</v>
      </c>
    </row>
    <row r="126" spans="1:14" x14ac:dyDescent="0.25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5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5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5">
      <c r="A129" s="8" t="s">
        <v>79</v>
      </c>
      <c r="B129" s="2" t="s">
        <v>90</v>
      </c>
      <c r="C129" s="13">
        <v>288</v>
      </c>
      <c r="D129" s="13">
        <v>0</v>
      </c>
      <c r="E129" s="1">
        <f>E$32</f>
        <v>20.65</v>
      </c>
      <c r="F129" s="1">
        <f>F$32</f>
        <v>20.65</v>
      </c>
      <c r="G129" s="7">
        <f>C129*(E129-F129)</f>
        <v>0</v>
      </c>
      <c r="H129" s="7">
        <f>C129*(E129-F129)*0.5895</f>
        <v>0</v>
      </c>
      <c r="I129" s="1"/>
      <c r="J129" s="7">
        <f>C129*E129</f>
        <v>5947.2</v>
      </c>
      <c r="K129" s="7">
        <f>J129*0.5995</f>
        <v>3565.3463999999999</v>
      </c>
      <c r="L129" s="3">
        <v>2</v>
      </c>
      <c r="M129" s="80">
        <f>SUM(K112:K129)+K138</f>
        <v>6221762.9449417237</v>
      </c>
      <c r="O129" s="7" t="s">
        <v>52</v>
      </c>
    </row>
    <row r="130" spans="1:16" x14ac:dyDescent="0.25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5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5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20">E$32</f>
        <v>20.65</v>
      </c>
      <c r="F132" s="1">
        <f t="shared" si="20"/>
        <v>20.65</v>
      </c>
      <c r="G132" s="7">
        <f>C132*(E132-F132)</f>
        <v>0</v>
      </c>
      <c r="H132" s="7">
        <f>C132*(E132-F132)*0.5895</f>
        <v>0</v>
      </c>
      <c r="I132" s="1"/>
      <c r="J132" s="7">
        <f>C132*E132</f>
        <v>68785.149999999994</v>
      </c>
      <c r="K132" s="7">
        <v>0</v>
      </c>
      <c r="L132" s="3">
        <v>2</v>
      </c>
      <c r="M132" s="80" t="s">
        <v>52</v>
      </c>
    </row>
    <row r="133" spans="1:16" x14ac:dyDescent="0.25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20"/>
        <v>20.65</v>
      </c>
      <c r="F133" s="1">
        <f t="shared" si="20"/>
        <v>20.65</v>
      </c>
      <c r="G133" s="7">
        <f>C133*(E133-F133)</f>
        <v>0</v>
      </c>
      <c r="H133" s="7">
        <f>C133*(E133-F133)*0.5895</f>
        <v>0</v>
      </c>
      <c r="I133" s="1"/>
      <c r="J133" s="7">
        <f>C133*E133</f>
        <v>13794.199999999999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20"/>
        <v>20.65</v>
      </c>
      <c r="F134" s="1">
        <f t="shared" si="20"/>
        <v>20.65</v>
      </c>
      <c r="G134" s="7">
        <f>C134*(E134-F134)</f>
        <v>0</v>
      </c>
      <c r="H134" s="7">
        <f>C134*(E134-F134)*0.5895</f>
        <v>0</v>
      </c>
      <c r="I134" s="1"/>
      <c r="J134" s="7">
        <f>C134*E134</f>
        <v>16230.9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20"/>
        <v>20.65</v>
      </c>
      <c r="F135" s="1">
        <f t="shared" si="20"/>
        <v>20.65</v>
      </c>
      <c r="G135" s="7">
        <f>C135*(E135-F135)</f>
        <v>0</v>
      </c>
      <c r="H135" s="7">
        <f>C135*(E135-F135)*0.5895</f>
        <v>0</v>
      </c>
      <c r="I135" s="1"/>
      <c r="J135" s="7">
        <f>C135*E135</f>
        <v>17820.949999999997</v>
      </c>
      <c r="K135" s="7">
        <v>0</v>
      </c>
      <c r="L135" s="3">
        <v>2</v>
      </c>
      <c r="M135" s="80" t="s">
        <v>87</v>
      </c>
    </row>
    <row r="136" spans="1:16" x14ac:dyDescent="0.25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-3827560</v>
      </c>
      <c r="N136" s="26">
        <f>M136/M143</f>
        <v>-0.6151889800159932</v>
      </c>
      <c r="O136" s="5" t="s">
        <v>85</v>
      </c>
    </row>
    <row r="137" spans="1:16" x14ac:dyDescent="0.25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471839.23370172206</v>
      </c>
      <c r="N137" s="26">
        <f>M137/M143</f>
        <v>7.5836903121699009E-2</v>
      </c>
      <c r="O137" s="5" t="s">
        <v>22</v>
      </c>
    </row>
    <row r="138" spans="1:16" x14ac:dyDescent="0.25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1">E$32</f>
        <v>20.65</v>
      </c>
      <c r="F138" s="1">
        <f t="shared" si="21"/>
        <v>20.65</v>
      </c>
      <c r="G138" s="7">
        <f t="shared" ref="G138:G146" si="22">IF(E138&gt;I138,(E138-F138)*C138,0)</f>
        <v>0</v>
      </c>
      <c r="H138" s="7">
        <f t="shared" ref="H138:H146" si="23">IF(E138&gt;I138,(E138-F138)*C138*0.5895,0)</f>
        <v>0</v>
      </c>
      <c r="I138" s="1">
        <v>18.375</v>
      </c>
      <c r="J138" s="7">
        <f t="shared" ref="J138:J146" si="24">IF(C138*(E138-I138)&gt;0,C138*(E138-I138),0)</f>
        <v>34761.999999999978</v>
      </c>
      <c r="K138" s="7">
        <f>J138*0.5995</f>
        <v>20839.818999999989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5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1"/>
        <v>20.65</v>
      </c>
      <c r="F139" s="1">
        <f t="shared" si="21"/>
        <v>20.65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ref="K139:K146" si="25">J139*0.5895</f>
        <v>0</v>
      </c>
      <c r="L139" s="3">
        <v>2</v>
      </c>
      <c r="M139" s="80">
        <f>SUMIF(L116:L147,1,K116:K147)+M105</f>
        <v>6314923.711240001</v>
      </c>
      <c r="N139" s="26">
        <f>M139/M143</f>
        <v>1.0149733712329909</v>
      </c>
      <c r="O139" s="7" t="s">
        <v>52</v>
      </c>
      <c r="P139" s="15" t="s">
        <v>52</v>
      </c>
    </row>
    <row r="140" spans="1:16" x14ac:dyDescent="0.25">
      <c r="A140" s="8"/>
      <c r="B140" s="2" t="s">
        <v>124</v>
      </c>
      <c r="C140" s="13">
        <v>25</v>
      </c>
      <c r="D140" s="13">
        <v>0</v>
      </c>
      <c r="E140" s="1">
        <f t="shared" si="21"/>
        <v>20.65</v>
      </c>
      <c r="F140" s="1">
        <f t="shared" si="21"/>
        <v>20.65</v>
      </c>
      <c r="G140" s="7">
        <f t="shared" si="22"/>
        <v>0</v>
      </c>
      <c r="H140" s="7">
        <f t="shared" si="23"/>
        <v>0</v>
      </c>
      <c r="I140" s="1">
        <v>55.5</v>
      </c>
      <c r="J140" s="7">
        <f t="shared" si="24"/>
        <v>0</v>
      </c>
      <c r="K140" s="7">
        <f t="shared" si="25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5">
      <c r="A141" s="8"/>
      <c r="B141" s="2" t="s">
        <v>125</v>
      </c>
      <c r="C141" s="13">
        <v>7608</v>
      </c>
      <c r="D141" s="13">
        <v>0</v>
      </c>
      <c r="E141" s="1">
        <f t="shared" si="21"/>
        <v>20.65</v>
      </c>
      <c r="F141" s="1">
        <f t="shared" si="21"/>
        <v>20.65</v>
      </c>
      <c r="G141" s="7">
        <f t="shared" si="22"/>
        <v>0</v>
      </c>
      <c r="H141" s="7">
        <f t="shared" si="23"/>
        <v>0</v>
      </c>
      <c r="I141" s="1">
        <v>75.0625</v>
      </c>
      <c r="J141" s="7">
        <f t="shared" si="24"/>
        <v>0</v>
      </c>
      <c r="K141" s="7">
        <f t="shared" si="25"/>
        <v>0</v>
      </c>
      <c r="L141" s="3">
        <v>2</v>
      </c>
      <c r="M141" s="80">
        <f>+M107</f>
        <v>-565000</v>
      </c>
      <c r="N141" s="26">
        <f>+M141/M143</f>
        <v>-9.0810274354689718E-2</v>
      </c>
      <c r="P141" s="15" t="s">
        <v>52</v>
      </c>
    </row>
    <row r="142" spans="1:16" x14ac:dyDescent="0.25">
      <c r="A142" s="8"/>
      <c r="B142" s="2" t="s">
        <v>126</v>
      </c>
      <c r="C142" s="13">
        <v>2540</v>
      </c>
      <c r="D142" s="13">
        <v>0</v>
      </c>
      <c r="E142" s="1">
        <f t="shared" si="21"/>
        <v>20.65</v>
      </c>
      <c r="F142" s="1">
        <f t="shared" si="21"/>
        <v>20.65</v>
      </c>
      <c r="G142" s="7">
        <f t="shared" si="22"/>
        <v>0</v>
      </c>
      <c r="H142" s="7">
        <f t="shared" si="23"/>
        <v>0</v>
      </c>
      <c r="I142" s="1">
        <v>76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91</v>
      </c>
      <c r="N142" s="26"/>
    </row>
    <row r="143" spans="1:16" x14ac:dyDescent="0.25">
      <c r="A143" s="8"/>
      <c r="B143" s="2" t="s">
        <v>142</v>
      </c>
      <c r="C143" s="13">
        <v>1524</v>
      </c>
      <c r="D143" s="13">
        <v>0</v>
      </c>
      <c r="E143" s="1">
        <f t="shared" si="21"/>
        <v>20.65</v>
      </c>
      <c r="F143" s="1">
        <f t="shared" si="21"/>
        <v>20.65</v>
      </c>
      <c r="G143" s="7">
        <f t="shared" si="22"/>
        <v>0</v>
      </c>
      <c r="H143" s="7">
        <f t="shared" si="23"/>
        <v>0</v>
      </c>
      <c r="I143" s="1">
        <v>83.125</v>
      </c>
      <c r="J143" s="7">
        <f t="shared" si="24"/>
        <v>0</v>
      </c>
      <c r="K143" s="7">
        <f t="shared" si="25"/>
        <v>0</v>
      </c>
      <c r="L143" s="3">
        <v>2</v>
      </c>
      <c r="M143" s="80">
        <f>SUM(K116:K138)+K112</f>
        <v>6221762.9449417219</v>
      </c>
      <c r="N143" s="26">
        <f>+M143/K149</f>
        <v>0.99999999999999967</v>
      </c>
    </row>
    <row r="144" spans="1:16" x14ac:dyDescent="0.25">
      <c r="A144" s="8"/>
      <c r="B144" s="2" t="s">
        <v>143</v>
      </c>
      <c r="C144" s="13">
        <v>1968</v>
      </c>
      <c r="D144" s="13">
        <v>0</v>
      </c>
      <c r="E144" s="1">
        <f t="shared" si="21"/>
        <v>20.65</v>
      </c>
      <c r="F144" s="1">
        <f t="shared" si="21"/>
        <v>20.65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5" x14ac:dyDescent="0.25">
      <c r="A145" s="8"/>
      <c r="B145" s="2" t="s">
        <v>148</v>
      </c>
      <c r="C145" s="13">
        <v>1967</v>
      </c>
      <c r="D145" s="13">
        <v>0</v>
      </c>
      <c r="E145" s="1">
        <f t="shared" si="21"/>
        <v>20.65</v>
      </c>
      <c r="F145" s="1">
        <f t="shared" si="21"/>
        <v>20.65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5" x14ac:dyDescent="0.25">
      <c r="A146" s="8"/>
      <c r="B146" s="2" t="s">
        <v>156</v>
      </c>
      <c r="C146" s="13">
        <f>2778-417</f>
        <v>2361</v>
      </c>
      <c r="D146" s="13">
        <v>0</v>
      </c>
      <c r="E146" s="1">
        <f t="shared" si="21"/>
        <v>20.65</v>
      </c>
      <c r="F146" s="1">
        <f t="shared" si="21"/>
        <v>20.65</v>
      </c>
      <c r="G146" s="7">
        <f t="shared" si="22"/>
        <v>0</v>
      </c>
      <c r="H146" s="7">
        <f t="shared" si="23"/>
        <v>0</v>
      </c>
      <c r="I146" s="1">
        <v>48.3</v>
      </c>
      <c r="J146" s="7">
        <f t="shared" si="24"/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5" ht="13.8" thickBot="1" x14ac:dyDescent="0.3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5" x14ac:dyDescent="0.25">
      <c r="A148" s="8"/>
      <c r="C148" s="13" t="s">
        <v>52</v>
      </c>
      <c r="M148" s="80" t="s">
        <v>56</v>
      </c>
    </row>
    <row r="149" spans="1:15" x14ac:dyDescent="0.25">
      <c r="A149" s="8" t="s">
        <v>17</v>
      </c>
      <c r="B149" s="29" t="s">
        <v>52</v>
      </c>
      <c r="C149" s="13">
        <f>SUM(C129:C146)+C112</f>
        <v>65776.661900000006</v>
      </c>
      <c r="D149" s="13">
        <f>SUM(D129:D146)+D112</f>
        <v>15082.661900000001</v>
      </c>
      <c r="G149" s="7">
        <f>SUM(G112:G147)</f>
        <v>0</v>
      </c>
      <c r="H149" s="7">
        <f>SUM(H112:H147)</f>
        <v>0</v>
      </c>
      <c r="J149" s="7">
        <f>SUM(J112:J147)</f>
        <v>6793108.4142017243</v>
      </c>
      <c r="K149" s="7">
        <f>SUM(K112:K147)</f>
        <v>6221762.9449417237</v>
      </c>
      <c r="M149" s="92">
        <f>SUM(K129:K146)+M112</f>
        <v>230037.36773499998</v>
      </c>
      <c r="N149" s="94">
        <f>M149/K149</f>
        <v>3.6973020311231841E-2</v>
      </c>
      <c r="O149" s="7">
        <f>SUM(O112:O147)</f>
        <v>0</v>
      </c>
    </row>
    <row r="150" spans="1:15" ht="13.8" thickBot="1" x14ac:dyDescent="0.3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5" x14ac:dyDescent="0.25">
      <c r="A151" s="8"/>
    </row>
    <row r="152" spans="1:15" x14ac:dyDescent="0.25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5.3600000000000002E-2</v>
      </c>
      <c r="L152" s="66"/>
      <c r="M152" s="81"/>
    </row>
    <row r="153" spans="1:15" x14ac:dyDescent="0.25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327420.38548206032</v>
      </c>
      <c r="L153" s="66"/>
      <c r="M153" s="81" t="s">
        <v>52</v>
      </c>
    </row>
    <row r="154" spans="1:15" x14ac:dyDescent="0.25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333486.49384887639</v>
      </c>
      <c r="L154" s="66"/>
      <c r="M154" s="81" t="s">
        <v>52</v>
      </c>
    </row>
    <row r="155" spans="1:15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5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5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5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5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E172" s="2"/>
      <c r="F172" s="2"/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68785.149999999994</v>
      </c>
      <c r="C7" s="16">
        <f>H33</f>
        <v>41236.697424999998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34761.999999999978</v>
      </c>
      <c r="H14" s="11">
        <f>G14*0.5995</f>
        <v>20839.818999999989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5947.2</v>
      </c>
      <c r="H25" s="11">
        <f t="shared" si="0"/>
        <v>3565.3463999999999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68785.149999999994</v>
      </c>
      <c r="H33" s="11">
        <f t="shared" si="0"/>
        <v>41236.697424999998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4604.95</v>
      </c>
      <c r="H47" s="11">
        <f t="shared" si="0"/>
        <v>2760.6675249999998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4604.95</v>
      </c>
      <c r="H48" s="11">
        <f t="shared" si="0"/>
        <v>2760.6675249999998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4584.2999999999993</v>
      </c>
      <c r="H49" s="11">
        <f t="shared" si="0"/>
        <v>2748.2878499999997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5410.2999999999993</v>
      </c>
      <c r="H58" s="11">
        <f t="shared" si="0"/>
        <v>3243.4748499999996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5410.2999999999993</v>
      </c>
      <c r="H59" s="11">
        <f t="shared" si="0"/>
        <v>3243.4748499999996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5410.2999999999993</v>
      </c>
      <c r="H60" s="11">
        <f t="shared" si="0"/>
        <v>3243.4748499999996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5947.2</v>
      </c>
      <c r="H69" s="11">
        <f t="shared" si="0"/>
        <v>3565.3463999999999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5947.2</v>
      </c>
      <c r="H70" s="11">
        <f t="shared" si="0"/>
        <v>3565.3463999999999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5926.5499999999993</v>
      </c>
      <c r="H71" s="11">
        <f t="shared" si="0"/>
        <v>3552.9667249999998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157340.39999999997</v>
      </c>
      <c r="H76" s="15">
        <f>SUM(H14:H74)</f>
        <v>94325.569799999968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2023-09-13T22:48:43Z</dcterms:modified>
</cp:coreProperties>
</file>