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<sst xmlns="http://schemas.openxmlformats.org/spreadsheetml/2006/main" count="839" uniqueCount="149">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</sst>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tabSelected="1" zoomScale="85" zoomScaleNormal="85" workbookViewId="0">
      <pane xSplit="2" ySplit="3" topLeftCell="C48" activePane="bottomRight" state="frozen"/>
      <selection pane="topRight" activeCell="C1" sqref="C1"/>
      <selection pane="bottomLeft" activeCell="A4" sqref="A4"/>
      <selection pane="bottomRight" activeCell="E50" sqref="E50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37285</v>
      </c>
      <c r="F3" s="11">
        <v>37284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2301386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2301386</v>
      </c>
      <c r="K5" s="6">
        <f>J5</f>
        <v>2301386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-5000</v>
      </c>
      <c r="D8" s="12" t="s">
        <v>38</v>
      </c>
      <c r="E8" s="1">
        <v>96.19</v>
      </c>
      <c r="F8" s="1">
        <v>98.88</v>
      </c>
      <c r="G8" s="6">
        <f t="shared" ref="G8:G15" si="0">C8*(E8-F8)</f>
        <v>13449.999999999989</v>
      </c>
      <c r="H8" s="6">
        <f t="shared" ref="H8:H15" si="1">C8*(E8-F8)</f>
        <v>13449.999999999989</v>
      </c>
      <c r="J8" s="6">
        <f t="shared" ref="J8:J15" si="2">G8</f>
        <v>13449.999999999989</v>
      </c>
      <c r="K8" s="6">
        <f t="shared" ref="K8:K20" si="3">J8</f>
        <v>13449.999999999989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-1000</v>
      </c>
      <c r="D9" s="12" t="s">
        <v>38</v>
      </c>
      <c r="E9" s="1">
        <v>57.25</v>
      </c>
      <c r="F9" s="1">
        <v>61.79</v>
      </c>
      <c r="G9" s="6">
        <f t="shared" si="0"/>
        <v>4539.9999999999991</v>
      </c>
      <c r="H9" s="6">
        <f t="shared" si="1"/>
        <v>4539.9999999999991</v>
      </c>
      <c r="J9" s="6">
        <f t="shared" si="2"/>
        <v>4539.9999999999991</v>
      </c>
      <c r="K9" s="6">
        <f t="shared" si="3"/>
        <v>4539.9999999999991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32.68</v>
      </c>
      <c r="F10" s="1">
        <v>33.92</v>
      </c>
      <c r="G10" s="6">
        <f t="shared" si="0"/>
        <v>18600.000000000029</v>
      </c>
      <c r="H10" s="6">
        <f t="shared" si="1"/>
        <v>18600.000000000029</v>
      </c>
      <c r="J10" s="6">
        <f t="shared" si="2"/>
        <v>18600.000000000029</v>
      </c>
      <c r="K10" s="6">
        <f t="shared" si="3"/>
        <v>18600.000000000029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54.5</v>
      </c>
      <c r="F11" s="1">
        <v>54.5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62.32</v>
      </c>
      <c r="F12" s="1">
        <v>63.82</v>
      </c>
      <c r="G12" s="6">
        <f t="shared" si="0"/>
        <v>1500</v>
      </c>
      <c r="H12" s="6">
        <f t="shared" si="1"/>
        <v>1500</v>
      </c>
      <c r="J12" s="6">
        <f t="shared" si="2"/>
        <v>1500</v>
      </c>
      <c r="K12" s="6">
        <f t="shared" si="3"/>
        <v>1500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-12000</v>
      </c>
      <c r="D13" s="12" t="s">
        <v>38</v>
      </c>
      <c r="E13" s="1">
        <v>33.42</v>
      </c>
      <c r="F13" s="1">
        <v>35.07</v>
      </c>
      <c r="G13" s="6">
        <f t="shared" si="0"/>
        <v>19799.999999999982</v>
      </c>
      <c r="H13" s="6">
        <f t="shared" si="1"/>
        <v>19799.999999999982</v>
      </c>
      <c r="J13" s="6">
        <f t="shared" si="2"/>
        <v>19799.999999999982</v>
      </c>
      <c r="K13" s="6">
        <f t="shared" si="3"/>
        <v>19799.999999999982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52.53</v>
      </c>
      <c r="F14" s="1">
        <v>53.69</v>
      </c>
      <c r="G14" s="6">
        <f t="shared" si="0"/>
        <v>8119.9999999999764</v>
      </c>
      <c r="H14" s="6">
        <f t="shared" si="1"/>
        <v>8119.9999999999764</v>
      </c>
      <c r="J14" s="6">
        <f t="shared" si="2"/>
        <v>8119.9999999999764</v>
      </c>
      <c r="K14" s="6">
        <f t="shared" si="3"/>
        <v>8119.9999999999764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</v>
      </c>
      <c r="D15" s="12" t="s">
        <v>38</v>
      </c>
      <c r="E15" s="1">
        <v>110.28</v>
      </c>
      <c r="F15" s="1">
        <v>113.86</v>
      </c>
      <c r="G15" s="6">
        <f t="shared" si="0"/>
        <v>3579.9999999999982</v>
      </c>
      <c r="H15" s="6">
        <f t="shared" si="1"/>
        <v>3579.9999999999982</v>
      </c>
      <c r="J15" s="6">
        <f t="shared" si="2"/>
        <v>3579.9999999999982</v>
      </c>
      <c r="K15" s="6">
        <f t="shared" si="3"/>
        <v>3579.9999999999982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0.35</v>
      </c>
      <c r="F17" s="1">
        <v>0.45</v>
      </c>
      <c r="G17" s="6">
        <f>(E17-F17)*C17</f>
        <v>200.00000000000006</v>
      </c>
      <c r="H17" s="6">
        <f>C17*(E17-F17)</f>
        <v>200.00000000000006</v>
      </c>
      <c r="J17" s="6">
        <f>G17</f>
        <v>200.00000000000006</v>
      </c>
      <c r="K17" s="6">
        <f t="shared" si="3"/>
        <v>200.00000000000006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2.5</v>
      </c>
      <c r="F18" s="1">
        <v>2</v>
      </c>
      <c r="G18" s="6">
        <f>(E18-F18)*C18</f>
        <v>1000</v>
      </c>
      <c r="H18" s="6">
        <f>C18*(E18-F18)</f>
        <v>1000</v>
      </c>
      <c r="J18" s="6">
        <f>G18</f>
        <v>1000</v>
      </c>
      <c r="K18" s="6">
        <f t="shared" si="3"/>
        <v>1000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1.1000000000000001</v>
      </c>
      <c r="F19" s="1">
        <v>1.55</v>
      </c>
      <c r="G19" s="6">
        <f>(E19-F19)*C19</f>
        <v>449.99999999999994</v>
      </c>
      <c r="H19" s="6">
        <f>C19*(E19-F19)</f>
        <v>449.99999999999994</v>
      </c>
      <c r="J19" s="6">
        <f>G19</f>
        <v>449.99999999999994</v>
      </c>
      <c r="K19" s="6">
        <f t="shared" si="3"/>
        <v>449.99999999999994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0.45</v>
      </c>
      <c r="F20" s="1">
        <v>0.35</v>
      </c>
      <c r="G20" s="6">
        <f>(E20-F20)*C20</f>
        <v>100.00000000000003</v>
      </c>
      <c r="H20" s="6">
        <f>C20*(E20-F20)</f>
        <v>100.00000000000003</v>
      </c>
      <c r="J20" s="6">
        <f>G20</f>
        <v>100.00000000000003</v>
      </c>
      <c r="K20" s="6">
        <f t="shared" si="3"/>
        <v>100.00000000000003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2372726</v>
      </c>
      <c r="N22" s="42">
        <v>2301435</v>
      </c>
      <c r="O22" s="38">
        <f>M22-N22</f>
        <v>71291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5">
        <f>SUM(M20:M22)/M20*-1</f>
        <v>4.7614167713325786E-3</v>
      </c>
      <c r="N24" s="65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16.5</v>
      </c>
      <c r="F26" s="1">
        <v>16.899999999999999</v>
      </c>
      <c r="G26" s="6">
        <f t="shared" ref="G26:G31" si="4">C26*(E26-F26)</f>
        <v>-359.99999999999875</v>
      </c>
      <c r="H26" s="6">
        <f t="shared" ref="H26:H31" si="5">C26*(E26-F26)</f>
        <v>-359.99999999999875</v>
      </c>
      <c r="I26" s="1"/>
      <c r="J26" s="6">
        <f t="shared" ref="J26:J31" si="6">C26*E26</f>
        <v>14850</v>
      </c>
      <c r="K26" s="6">
        <f t="shared" ref="K26:K31" si="7">J26</f>
        <v>14850</v>
      </c>
      <c r="L26" s="3">
        <v>2</v>
      </c>
      <c r="M26" s="42" t="s">
        <v>38</v>
      </c>
      <c r="O26" s="38">
        <f>O22*O24</f>
        <v>27518.326000000001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16.68</v>
      </c>
      <c r="F27" s="1">
        <v>16.8</v>
      </c>
      <c r="G27" s="6">
        <f t="shared" si="4"/>
        <v>-12.000000000000099</v>
      </c>
      <c r="H27" s="6">
        <f t="shared" si="5"/>
        <v>-12.000000000000099</v>
      </c>
      <c r="I27" s="1"/>
      <c r="J27" s="6">
        <f t="shared" si="6"/>
        <v>1668</v>
      </c>
      <c r="K27" s="6">
        <f t="shared" si="7"/>
        <v>1668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34.08</v>
      </c>
      <c r="F28" s="1">
        <v>34.5</v>
      </c>
      <c r="G28" s="6">
        <f t="shared" si="4"/>
        <v>-34.860000000000142</v>
      </c>
      <c r="H28" s="6">
        <f t="shared" si="5"/>
        <v>-34.860000000000142</v>
      </c>
      <c r="I28" s="1"/>
      <c r="J28" s="6">
        <f t="shared" si="6"/>
        <v>2828.64</v>
      </c>
      <c r="K28" s="6">
        <f t="shared" si="7"/>
        <v>2828.64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14</v>
      </c>
      <c r="F29" s="1">
        <v>14.07</v>
      </c>
      <c r="G29" s="6">
        <f t="shared" si="4"/>
        <v>-11.830000000000048</v>
      </c>
      <c r="H29" s="6">
        <f t="shared" si="5"/>
        <v>-11.830000000000048</v>
      </c>
      <c r="I29" s="1"/>
      <c r="J29" s="6">
        <f t="shared" si="6"/>
        <v>2366</v>
      </c>
      <c r="K29" s="6">
        <f t="shared" si="7"/>
        <v>2366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136591.17000000001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136591.17000000001</v>
      </c>
      <c r="K33" s="6">
        <f>J33</f>
        <v>136591.17000000001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3133707.93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3133707.93</v>
      </c>
      <c r="K38" s="6">
        <f t="shared" si="9"/>
        <v>3133707.93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36.46</v>
      </c>
      <c r="F49" s="15">
        <v>38.15</v>
      </c>
      <c r="G49" s="6">
        <f>C49*(E49-F49)</f>
        <v>-654.02999999999906</v>
      </c>
      <c r="H49" s="6">
        <f>C49*(E49-F49)</f>
        <v>-654.02999999999906</v>
      </c>
      <c r="I49" s="1"/>
      <c r="J49" s="6">
        <f>C49*E49</f>
        <v>14110.02</v>
      </c>
      <c r="K49" s="6">
        <f t="shared" si="9"/>
        <v>14110.02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10.93</v>
      </c>
      <c r="F52" s="1">
        <v>10.93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217850.81407999998</v>
      </c>
      <c r="K52" s="6">
        <f>J52</f>
        <v>217850.81407999998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20000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20000</v>
      </c>
      <c r="K54" s="6">
        <f>J54</f>
        <v>20000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97</v>
      </c>
      <c r="C65" s="12">
        <v>-150000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-150000</v>
      </c>
      <c r="K65" s="6">
        <f>J65</f>
        <v>-150000</v>
      </c>
      <c r="L65" s="3">
        <v>0</v>
      </c>
    </row>
    <row r="66" spans="1:15" x14ac:dyDescent="0.25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5">
      <c r="A67" s="7" t="s">
        <v>38</v>
      </c>
      <c r="L67" s="3">
        <v>0</v>
      </c>
    </row>
    <row r="68" spans="1:15" x14ac:dyDescent="0.25">
      <c r="A68" s="7" t="s">
        <v>14</v>
      </c>
      <c r="B68" s="2" t="s">
        <v>22</v>
      </c>
      <c r="C68" s="12">
        <v>1240.348</v>
      </c>
      <c r="D68" s="12" t="s">
        <v>38</v>
      </c>
      <c r="E68" s="1">
        <v>19.54</v>
      </c>
      <c r="F68" s="1">
        <v>19.54</v>
      </c>
      <c r="G68" s="6">
        <f>C68*(E68-F68)</f>
        <v>0</v>
      </c>
      <c r="H68" s="6">
        <f>C68*(E68-F68)</f>
        <v>0</v>
      </c>
      <c r="I68" s="1"/>
      <c r="J68" s="6">
        <f>C68*E68</f>
        <v>24236.39992</v>
      </c>
      <c r="K68" s="6">
        <f>J68</f>
        <v>24236.39992</v>
      </c>
      <c r="L68" s="3">
        <v>2</v>
      </c>
    </row>
    <row r="69" spans="1:15" x14ac:dyDescent="0.25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36.46</v>
      </c>
      <c r="F69" s="1">
        <f>+F49</f>
        <v>38.15</v>
      </c>
      <c r="G69" s="6">
        <f>C69*(E69-F69)</f>
        <v>-654.02999999999906</v>
      </c>
      <c r="H69" s="6">
        <f>C69*(E69-F69)</f>
        <v>-654.02999999999906</v>
      </c>
      <c r="I69" s="1"/>
      <c r="J69" s="6">
        <f>C69*E69</f>
        <v>14110.02</v>
      </c>
      <c r="K69" s="6">
        <f>J69</f>
        <v>14110.02</v>
      </c>
      <c r="L69" s="3">
        <v>2</v>
      </c>
      <c r="M69" s="42" t="s">
        <v>53</v>
      </c>
    </row>
    <row r="70" spans="1:15" x14ac:dyDescent="0.25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-2623750</v>
      </c>
      <c r="N70" s="24">
        <f>M70/M77</f>
        <v>-0.46165730102704855</v>
      </c>
      <c r="O70" s="4" t="s">
        <v>52</v>
      </c>
    </row>
    <row r="71" spans="1:15" x14ac:dyDescent="0.25">
      <c r="A71" s="7"/>
      <c r="E71" s="3"/>
      <c r="F71" s="3"/>
      <c r="H71" s="6" t="s">
        <v>38</v>
      </c>
      <c r="I71" s="3"/>
      <c r="M71" s="42">
        <f>SUMIF(L5:L78,2,K5:K78)</f>
        <v>128642.09762674202</v>
      </c>
      <c r="N71" s="24">
        <f>M71/M77</f>
        <v>2.2634993268725985E-2</v>
      </c>
      <c r="O71" s="4" t="s">
        <v>18</v>
      </c>
    </row>
    <row r="72" spans="1:15" x14ac:dyDescent="0.25">
      <c r="A72" s="7" t="s">
        <v>14</v>
      </c>
      <c r="B72" s="2" t="s">
        <v>23</v>
      </c>
      <c r="C72" s="12">
        <v>2027.146</v>
      </c>
      <c r="D72" s="12" t="s">
        <v>38</v>
      </c>
      <c r="E72" s="1">
        <v>11.13</v>
      </c>
      <c r="F72" s="1">
        <v>11.13</v>
      </c>
      <c r="G72" s="6">
        <f>C72*(E72-F72)</f>
        <v>0</v>
      </c>
      <c r="H72" s="6">
        <f>C72*(E72-F72)</f>
        <v>0</v>
      </c>
      <c r="I72" s="1"/>
      <c r="J72" s="6">
        <f>C72*E72</f>
        <v>22562.134980000003</v>
      </c>
      <c r="K72" s="6">
        <f>J72</f>
        <v>22562.134980000003</v>
      </c>
      <c r="L72" s="3">
        <v>2</v>
      </c>
      <c r="M72" s="42" t="s">
        <v>129</v>
      </c>
      <c r="N72" s="24"/>
      <c r="O72" s="6" t="s">
        <v>38</v>
      </c>
    </row>
    <row r="73" spans="1:15" x14ac:dyDescent="0.25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36.46</v>
      </c>
      <c r="F73" s="1">
        <f>+F49</f>
        <v>38.15</v>
      </c>
      <c r="G73" s="6">
        <f>C73*(E73-F73)</f>
        <v>-654.02999999999906</v>
      </c>
      <c r="H73" s="6">
        <f>C73*(E73-F73)</f>
        <v>-654.02999999999906</v>
      </c>
      <c r="I73" s="1"/>
      <c r="J73" s="6">
        <f>C73*E73</f>
        <v>14110.02</v>
      </c>
      <c r="K73" s="6">
        <f>J73</f>
        <v>14110.02</v>
      </c>
      <c r="L73" s="3">
        <v>2</v>
      </c>
      <c r="M73" s="42">
        <f>SUMIF(L5:L78,1,K5:K78)</f>
        <v>5964686.1940800007</v>
      </c>
      <c r="N73" s="24">
        <f>M73/M77</f>
        <v>1.0495058331900033</v>
      </c>
    </row>
    <row r="74" spans="1:15" x14ac:dyDescent="0.25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5">
      <c r="A75" s="7"/>
      <c r="E75" s="1"/>
      <c r="F75" s="1"/>
      <c r="H75" s="6" t="s">
        <v>38</v>
      </c>
      <c r="I75" s="1"/>
      <c r="M75" s="42">
        <f>SUM(K65:K66)</f>
        <v>-410000</v>
      </c>
      <c r="N75" s="24">
        <f>+M75/M77</f>
        <v>-7.2140826458728879E-2</v>
      </c>
    </row>
    <row r="76" spans="1:15" x14ac:dyDescent="0.25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36.46</v>
      </c>
      <c r="F76" s="1">
        <f>+F49</f>
        <v>38.15</v>
      </c>
      <c r="G76" s="6">
        <f>C76*(E76-F76)</f>
        <v>-654.02999999999906</v>
      </c>
      <c r="H76" s="6">
        <f>C76*(E76-F76)</f>
        <v>-654.02999999999906</v>
      </c>
      <c r="I76" s="1"/>
      <c r="J76" s="6">
        <f>C76*E76</f>
        <v>14110.02</v>
      </c>
      <c r="K76" s="6">
        <f>J76</f>
        <v>14110.02</v>
      </c>
      <c r="L76" s="3">
        <v>2</v>
      </c>
      <c r="M76" s="42" t="s">
        <v>57</v>
      </c>
      <c r="N76" s="24"/>
    </row>
    <row r="77" spans="1:15" x14ac:dyDescent="0.25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5683328.2917067399</v>
      </c>
      <c r="N77" s="24">
        <f>M77/K80</f>
        <v>1</v>
      </c>
    </row>
    <row r="78" spans="1:15" ht="13.8" thickBot="1" x14ac:dyDescent="0.3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5">
      <c r="A79" s="7"/>
      <c r="C79" s="12" t="s">
        <v>38</v>
      </c>
      <c r="M79" s="42" t="s">
        <v>38</v>
      </c>
    </row>
    <row r="80" spans="1:15" x14ac:dyDescent="0.25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68305.189999999973</v>
      </c>
      <c r="H80" s="6">
        <f>SUM(H5:H78)</f>
        <v>68305.189999999973</v>
      </c>
      <c r="I80" s="6">
        <f>SUM(I5:I78)</f>
        <v>0</v>
      </c>
      <c r="J80" s="6">
        <f>SUM(J5:J78)</f>
        <v>5683328.2917067399</v>
      </c>
      <c r="K80" s="6">
        <f>SUM(K5:K78)</f>
        <v>5683328.2917067399</v>
      </c>
      <c r="M80" s="44" t="s">
        <v>38</v>
      </c>
      <c r="N80" s="46" t="s">
        <v>38</v>
      </c>
    </row>
    <row r="81" spans="1:14" ht="13.8" thickBot="1" x14ac:dyDescent="0.3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5"/>
      <c r="N81" s="45"/>
    </row>
    <row r="82" spans="1:14" x14ac:dyDescent="0.25">
      <c r="A82" s="7"/>
    </row>
    <row r="83" spans="1:14" x14ac:dyDescent="0.25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5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5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5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5">
      <c r="E99" s="2"/>
      <c r="F99" s="2"/>
      <c r="G99" s="2"/>
      <c r="H99" s="2"/>
      <c r="I99" s="2"/>
      <c r="K99" s="14"/>
      <c r="L99" s="37"/>
      <c r="M99" s="43"/>
    </row>
    <row r="100" spans="4:13" x14ac:dyDescent="0.25">
      <c r="E100" s="2"/>
      <c r="F100" s="2"/>
      <c r="G100" s="2"/>
      <c r="H100" s="2"/>
      <c r="I100" s="2"/>
      <c r="K100" s="14"/>
      <c r="L100" s="37"/>
      <c r="M100" s="43"/>
    </row>
    <row r="101" spans="4:13" x14ac:dyDescent="0.25">
      <c r="E101" s="2"/>
      <c r="F101" s="2"/>
      <c r="G101" s="2"/>
      <c r="H101" s="2"/>
      <c r="I101" s="2"/>
      <c r="K101" s="14"/>
      <c r="L101" s="37"/>
      <c r="M101" s="43"/>
    </row>
    <row r="102" spans="4:13" x14ac:dyDescent="0.25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5">
      <c r="E103" s="2"/>
      <c r="F103" s="2"/>
      <c r="G103" s="2"/>
      <c r="H103" s="2"/>
      <c r="I103" s="2"/>
      <c r="K103" s="14"/>
      <c r="L103" s="37"/>
      <c r="M103" s="43"/>
    </row>
    <row r="104" spans="4:13" x14ac:dyDescent="0.25">
      <c r="E104" s="2"/>
      <c r="F104" s="2"/>
      <c r="G104" s="2"/>
      <c r="H104" s="2"/>
      <c r="I104" s="2"/>
      <c r="K104" s="14"/>
      <c r="L104" s="37"/>
      <c r="M104" s="43"/>
    </row>
    <row r="105" spans="4:13" x14ac:dyDescent="0.25">
      <c r="E105" s="2"/>
      <c r="F105" s="2"/>
      <c r="G105" s="2"/>
      <c r="H105" s="2"/>
      <c r="I105" s="2"/>
      <c r="K105" s="14"/>
      <c r="L105" s="37"/>
      <c r="M105" s="43"/>
    </row>
    <row r="106" spans="4:13" x14ac:dyDescent="0.25">
      <c r="E106" s="2"/>
      <c r="F106" s="2"/>
      <c r="G106" s="2"/>
      <c r="H106" s="2"/>
      <c r="I106" s="2"/>
      <c r="K106" s="14"/>
      <c r="L106" s="37"/>
      <c r="M106" s="43"/>
    </row>
    <row r="107" spans="4:13" x14ac:dyDescent="0.25">
      <c r="E107" s="2"/>
      <c r="F107" s="2"/>
      <c r="G107" s="2"/>
      <c r="H107" s="2"/>
      <c r="I107" s="2"/>
      <c r="K107" s="14"/>
      <c r="L107" s="37"/>
      <c r="M107" s="43"/>
    </row>
    <row r="108" spans="4:13" x14ac:dyDescent="0.25">
      <c r="E108" s="2"/>
      <c r="F108" s="2"/>
      <c r="G108" s="2"/>
      <c r="H108" s="2"/>
      <c r="I108" s="2"/>
      <c r="K108" s="14"/>
      <c r="L108" s="37"/>
      <c r="M108" s="43"/>
    </row>
    <row r="109" spans="4:13" x14ac:dyDescent="0.25">
      <c r="E109" s="2"/>
      <c r="F109" s="2"/>
      <c r="G109" s="2"/>
      <c r="H109" s="2"/>
      <c r="I109" s="2"/>
      <c r="K109" s="14"/>
      <c r="L109" s="37"/>
      <c r="M109" s="43"/>
    </row>
    <row r="110" spans="4:13" x14ac:dyDescent="0.25">
      <c r="E110" s="2"/>
      <c r="F110" s="2"/>
      <c r="G110" s="2"/>
      <c r="H110" s="2"/>
      <c r="I110" s="2"/>
      <c r="K110" s="14"/>
      <c r="L110" s="37"/>
      <c r="M110" s="43"/>
    </row>
    <row r="111" spans="4:13" x14ac:dyDescent="0.25">
      <c r="E111" s="2"/>
      <c r="F111" s="2"/>
      <c r="G111" s="2"/>
      <c r="H111" s="2"/>
      <c r="I111" s="2"/>
      <c r="K111" s="14"/>
      <c r="L111" s="37"/>
      <c r="M111" s="43"/>
    </row>
    <row r="112" spans="4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8" workbookViewId="0">
      <selection activeCell="G22" sqref="G22"/>
    </sheetView>
  </sheetViews>
  <sheetFormatPr defaultRowHeight="13.2" x14ac:dyDescent="0.25"/>
  <cols>
    <col min="1" max="1" width="29.6640625" style="2" bestFit="1" customWidth="1"/>
    <col min="2" max="2" width="11.88671875" style="58" bestFit="1" customWidth="1"/>
  </cols>
  <sheetData>
    <row r="2" spans="1:2" x14ac:dyDescent="0.25">
      <c r="A2" s="57" t="s">
        <v>38</v>
      </c>
      <c r="B2" s="59" t="s">
        <v>38</v>
      </c>
    </row>
    <row r="3" spans="1:2" x14ac:dyDescent="0.25">
      <c r="A3" s="57" t="s">
        <v>123</v>
      </c>
      <c r="B3" s="59" t="s">
        <v>117</v>
      </c>
    </row>
    <row r="4" spans="1:2" x14ac:dyDescent="0.25">
      <c r="A4" s="7"/>
    </row>
    <row r="5" spans="1:2" x14ac:dyDescent="0.25">
      <c r="A5" s="7" t="s">
        <v>62</v>
      </c>
      <c r="B5" s="63">
        <f>SUM('mm assets'!K5:K22)</f>
        <v>2372726</v>
      </c>
    </row>
    <row r="6" spans="1:2" x14ac:dyDescent="0.25">
      <c r="A6" s="7"/>
    </row>
    <row r="7" spans="1:2" x14ac:dyDescent="0.25">
      <c r="A7" s="7" t="s">
        <v>105</v>
      </c>
      <c r="B7" s="63">
        <f>'mm assets'!K24</f>
        <v>4068.97</v>
      </c>
    </row>
    <row r="8" spans="1:2" x14ac:dyDescent="0.25">
      <c r="A8" s="7"/>
      <c r="B8" s="63" t="s">
        <v>38</v>
      </c>
    </row>
    <row r="9" spans="1:2" x14ac:dyDescent="0.25">
      <c r="A9" s="7" t="s">
        <v>111</v>
      </c>
      <c r="B9" s="63">
        <f>SUM('mm assets'!K26:K31)</f>
        <v>24744.639999999999</v>
      </c>
    </row>
    <row r="10" spans="1:2" x14ac:dyDescent="0.25">
      <c r="B10" s="63" t="s">
        <v>38</v>
      </c>
    </row>
    <row r="11" spans="1:2" x14ac:dyDescent="0.25">
      <c r="A11" s="7" t="s">
        <v>4</v>
      </c>
      <c r="B11" s="63">
        <f>'mm assets'!K33</f>
        <v>136591.17000000001</v>
      </c>
    </row>
    <row r="12" spans="1:2" x14ac:dyDescent="0.25">
      <c r="A12" s="23" t="s">
        <v>38</v>
      </c>
      <c r="B12" s="63" t="s">
        <v>38</v>
      </c>
    </row>
    <row r="13" spans="1:2" x14ac:dyDescent="0.25">
      <c r="A13" s="7" t="s">
        <v>106</v>
      </c>
      <c r="B13" s="63">
        <f>'mm assets'!K35</f>
        <v>51648.45</v>
      </c>
    </row>
    <row r="14" spans="1:2" x14ac:dyDescent="0.25">
      <c r="A14" s="7"/>
      <c r="B14" s="63" t="s">
        <v>38</v>
      </c>
    </row>
    <row r="15" spans="1:2" x14ac:dyDescent="0.25">
      <c r="A15" s="7" t="s">
        <v>112</v>
      </c>
      <c r="B15" s="63">
        <f>SUM('mm assets'!K37:K47)</f>
        <v>3133707.93</v>
      </c>
    </row>
    <row r="16" spans="1:2" x14ac:dyDescent="0.25">
      <c r="A16" s="7" t="s">
        <v>38</v>
      </c>
      <c r="B16" s="63" t="s">
        <v>38</v>
      </c>
    </row>
    <row r="17" spans="1:2" x14ac:dyDescent="0.25">
      <c r="A17" s="7" t="s">
        <v>112</v>
      </c>
      <c r="B17" s="63">
        <f>SUM('mm assets'!K49:K50)</f>
        <v>14311.85</v>
      </c>
    </row>
    <row r="18" spans="1:2" x14ac:dyDescent="0.25">
      <c r="A18" s="7" t="s">
        <v>38</v>
      </c>
      <c r="B18" s="63" t="s">
        <v>38</v>
      </c>
    </row>
    <row r="19" spans="1:2" x14ac:dyDescent="0.25">
      <c r="A19" s="7" t="s">
        <v>114</v>
      </c>
      <c r="B19" s="63">
        <f>SUM('mm assets'!K76:K77)</f>
        <v>14311.85</v>
      </c>
    </row>
    <row r="20" spans="1:2" x14ac:dyDescent="0.25">
      <c r="A20" s="7"/>
      <c r="B20" s="63" t="s">
        <v>38</v>
      </c>
    </row>
    <row r="21" spans="1:2" x14ac:dyDescent="0.25">
      <c r="A21" s="7" t="s">
        <v>35</v>
      </c>
      <c r="B21" s="63">
        <f>'mm assets'!K52</f>
        <v>217850.81407999998</v>
      </c>
    </row>
    <row r="22" spans="1:2" x14ac:dyDescent="0.25">
      <c r="A22" s="7"/>
      <c r="B22" s="63" t="s">
        <v>38</v>
      </c>
    </row>
    <row r="23" spans="1:2" x14ac:dyDescent="0.25">
      <c r="A23" s="7" t="s">
        <v>113</v>
      </c>
      <c r="B23" s="63">
        <f>'mm assets'!K54</f>
        <v>20000</v>
      </c>
    </row>
    <row r="24" spans="1:2" x14ac:dyDescent="0.25">
      <c r="B24" s="63" t="s">
        <v>38</v>
      </c>
    </row>
    <row r="25" spans="1:2" x14ac:dyDescent="0.25">
      <c r="A25" s="7" t="s">
        <v>11</v>
      </c>
      <c r="B25" s="63">
        <f>SUM('mm assets'!K56:K57)</f>
        <v>8598.5400000000009</v>
      </c>
    </row>
    <row r="26" spans="1:2" x14ac:dyDescent="0.25">
      <c r="B26" s="63" t="s">
        <v>38</v>
      </c>
    </row>
    <row r="27" spans="1:2" x14ac:dyDescent="0.25">
      <c r="A27" s="7" t="s">
        <v>12</v>
      </c>
      <c r="B27" s="63">
        <f>SUM('mm assets'!K59:K63)</f>
        <v>19345.842726742001</v>
      </c>
    </row>
    <row r="28" spans="1:2" x14ac:dyDescent="0.25">
      <c r="A28" s="7"/>
      <c r="B28" s="63" t="s">
        <v>38</v>
      </c>
    </row>
    <row r="29" spans="1:2" x14ac:dyDescent="0.25">
      <c r="A29" s="7" t="s">
        <v>115</v>
      </c>
      <c r="B29" s="63">
        <f>SUM('mm assets'!K68:K70)</f>
        <v>38548.249920000002</v>
      </c>
    </row>
    <row r="30" spans="1:2" x14ac:dyDescent="0.25">
      <c r="A30" s="7"/>
      <c r="B30" s="63" t="s">
        <v>38</v>
      </c>
    </row>
    <row r="31" spans="1:2" x14ac:dyDescent="0.25">
      <c r="A31" s="7" t="s">
        <v>116</v>
      </c>
      <c r="B31" s="63">
        <f>SUM('mm assets'!K72:K74)</f>
        <v>36873.984980000008</v>
      </c>
    </row>
    <row r="32" spans="1:2" x14ac:dyDescent="0.25">
      <c r="A32" s="7"/>
      <c r="B32" s="63" t="s">
        <v>38</v>
      </c>
    </row>
    <row r="33" spans="1:3" x14ac:dyDescent="0.25">
      <c r="A33" s="7" t="s">
        <v>140</v>
      </c>
      <c r="B33" s="63">
        <v>10000</v>
      </c>
    </row>
    <row r="34" spans="1:3" x14ac:dyDescent="0.25">
      <c r="A34" s="7"/>
      <c r="B34" s="63"/>
    </row>
    <row r="35" spans="1:3" x14ac:dyDescent="0.25">
      <c r="A35" s="7" t="s">
        <v>118</v>
      </c>
      <c r="B35" s="63">
        <v>350000</v>
      </c>
      <c r="C35" t="s">
        <v>38</v>
      </c>
    </row>
    <row r="36" spans="1:3" x14ac:dyDescent="0.25">
      <c r="A36" s="7"/>
      <c r="B36" s="63" t="s">
        <v>38</v>
      </c>
    </row>
    <row r="37" spans="1:3" x14ac:dyDescent="0.25">
      <c r="A37" s="7" t="s">
        <v>124</v>
      </c>
      <c r="B37" s="63">
        <v>25000</v>
      </c>
    </row>
    <row r="38" spans="1:3" x14ac:dyDescent="0.25">
      <c r="A38" s="7"/>
      <c r="B38" s="63"/>
    </row>
    <row r="39" spans="1:3" x14ac:dyDescent="0.25">
      <c r="A39" s="57" t="s">
        <v>122</v>
      </c>
      <c r="B39" s="63" t="s">
        <v>38</v>
      </c>
    </row>
    <row r="40" spans="1:3" x14ac:dyDescent="0.25">
      <c r="A40" s="7" t="s">
        <v>54</v>
      </c>
      <c r="B40" s="63" t="s">
        <v>38</v>
      </c>
    </row>
    <row r="41" spans="1:3" x14ac:dyDescent="0.25">
      <c r="A41" s="7">
        <v>2002</v>
      </c>
      <c r="B41" s="63">
        <f>'mm assets'!K65</f>
        <v>-150000</v>
      </c>
    </row>
    <row r="42" spans="1:3" x14ac:dyDescent="0.25">
      <c r="A42" s="7">
        <v>2003</v>
      </c>
      <c r="B42" s="63">
        <f>'mm assets'!K66</f>
        <v>-260000</v>
      </c>
    </row>
    <row r="43" spans="1:3" x14ac:dyDescent="0.25">
      <c r="A43" s="7"/>
      <c r="B43" s="63"/>
    </row>
    <row r="44" spans="1:3" x14ac:dyDescent="0.25">
      <c r="A44" s="7" t="s">
        <v>121</v>
      </c>
      <c r="B44" s="63">
        <v>-21400</v>
      </c>
    </row>
    <row r="45" spans="1:3" ht="13.8" thickBot="1" x14ac:dyDescent="0.3">
      <c r="A45" s="61" t="s">
        <v>38</v>
      </c>
      <c r="B45" s="60"/>
    </row>
    <row r="46" spans="1:3" x14ac:dyDescent="0.25">
      <c r="A46" s="62" t="s">
        <v>38</v>
      </c>
    </row>
    <row r="47" spans="1:3" x14ac:dyDescent="0.25">
      <c r="A47" s="7" t="s">
        <v>13</v>
      </c>
      <c r="B47" s="58">
        <f>SUM(B5:B45)</f>
        <v>6046928.2917067418</v>
      </c>
    </row>
    <row r="48" spans="1:3" ht="13.8" thickBot="1" x14ac:dyDescent="0.3">
      <c r="A48" s="16"/>
      <c r="B48" s="60"/>
    </row>
    <row r="49" spans="1:2" x14ac:dyDescent="0.25">
      <c r="B49" s="64"/>
    </row>
    <row r="50" spans="1:2" x14ac:dyDescent="0.25">
      <c r="A50" s="2" t="s">
        <v>125</v>
      </c>
      <c r="B50" s="64">
        <f>SUM(B35:B37)</f>
        <v>375000</v>
      </c>
    </row>
    <row r="51" spans="1:2" x14ac:dyDescent="0.25">
      <c r="A51" s="2" t="s">
        <v>128</v>
      </c>
      <c r="B51" s="64">
        <f>B44</f>
        <v>-21400</v>
      </c>
    </row>
    <row r="52" spans="1:2" x14ac:dyDescent="0.25">
      <c r="A52" s="2" t="s">
        <v>127</v>
      </c>
      <c r="B52" s="64">
        <f>B47-B50-B51</f>
        <v>5693328.2917067418</v>
      </c>
    </row>
    <row r="53" spans="1:2" x14ac:dyDescent="0.25">
      <c r="A53" s="2" t="s">
        <v>126</v>
      </c>
      <c r="B53" s="63">
        <f>'mm assets'!K80</f>
        <v>5683328.2917067399</v>
      </c>
    </row>
    <row r="54" spans="1:2" x14ac:dyDescent="0.25">
      <c r="A54" s="2" t="s">
        <v>137</v>
      </c>
      <c r="B54" s="64">
        <f>B52-B53</f>
        <v>10000.000000001863</v>
      </c>
    </row>
    <row r="57" spans="1:2" x14ac:dyDescent="0.25">
      <c r="B57" s="58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5" t="s">
        <v>38</v>
      </c>
      <c r="C52" s="50" t="s">
        <v>38</v>
      </c>
      <c r="D52" s="51"/>
      <c r="E52" s="52"/>
      <c r="F52" s="52"/>
      <c r="G52" s="53"/>
      <c r="H52" s="53"/>
      <c r="I52" s="54"/>
      <c r="J52" s="54"/>
      <c r="K52" s="54"/>
    </row>
    <row r="53" spans="1:15" x14ac:dyDescent="0.25">
      <c r="B53" s="56" t="s">
        <v>38</v>
      </c>
      <c r="C53" s="8" t="s">
        <v>38</v>
      </c>
    </row>
    <row r="54" spans="1:15" s="49" customFormat="1" x14ac:dyDescent="0.25">
      <c r="A54" s="47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8" t="s">
        <v>38</v>
      </c>
      <c r="G54" s="10">
        <f t="shared" si="10"/>
        <v>5797.3066800000015</v>
      </c>
      <c r="H54" s="10">
        <f t="shared" si="10"/>
        <v>3743.4930800000006</v>
      </c>
      <c r="I54" s="48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5" t="s">
        <v>38</v>
      </c>
      <c r="C55" s="50" t="s">
        <v>38</v>
      </c>
      <c r="D55" s="51"/>
      <c r="E55" s="52"/>
      <c r="F55" s="52"/>
      <c r="G55" s="53"/>
      <c r="H55" s="53"/>
      <c r="I55" s="54"/>
      <c r="J55" s="54"/>
      <c r="K55" s="54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2023-09-13T22:48:56Z</dcterms:modified>
</cp:coreProperties>
</file>