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300" windowWidth="9168" windowHeight="4368" tabRatio="675" activeTab="1"/>
  </bookViews>
  <sheets>
    <sheet name="PSCO WKST" sheetId="5" r:id="rId1"/>
    <sheet name="CIG  WKST" sheetId="3" r:id="rId2"/>
    <sheet name="Enron  Wire" sheetId="4" r:id="rId3"/>
    <sheet name="Renegade Invoice" sheetId="7" r:id="rId4"/>
    <sheet name="Renegade Check Req" sheetId="8" r:id="rId5"/>
  </sheets>
  <definedNames>
    <definedName name="_Order1" localSheetId="2" hidden="1">255</definedName>
    <definedName name="_Order1" localSheetId="0" hidden="1">255</definedName>
    <definedName name="CANON">#REF!</definedName>
    <definedName name="cigwire">'Enron  Wire'!$B$1:$G$59</definedName>
    <definedName name="cigwkst">'CIG  WKST'!$A$1:$H$105</definedName>
    <definedName name="_xlnm.Print_Area" localSheetId="4">'Renegade Check Req'!$A$1:$K$48</definedName>
    <definedName name="_xlnm.Print_Area" localSheetId="3">'Renegade Invoice'!$B$8:$K$56</definedName>
    <definedName name="PSCO">#REF!</definedName>
    <definedName name="tiffanywire">#REF!</definedName>
    <definedName name="TIFWKSHT">'PSCO WKST'!$B$1:$F$98</definedName>
    <definedName name="WIRE" localSheetId="2">'Enron  Wire'!$A$1:$G$59</definedName>
  </definedNames>
  <calcPr calcId="92512"/>
</workbook>
</file>

<file path=xl/calcChain.xml><?xml version="1.0" encoding="utf-8"?>
<calcChain xmlns="http://schemas.openxmlformats.org/spreadsheetml/2006/main">
  <c r="J1" i="3" l="1"/>
  <c r="M1" i="3"/>
  <c r="A2" i="3"/>
  <c r="B4" i="3"/>
  <c r="D6" i="3"/>
  <c r="E6" i="3"/>
  <c r="F6" i="3"/>
  <c r="L6" i="3"/>
  <c r="D7" i="3"/>
  <c r="E7" i="3"/>
  <c r="F7" i="3"/>
  <c r="D8" i="3"/>
  <c r="E8" i="3"/>
  <c r="F8" i="3"/>
  <c r="E9" i="3"/>
  <c r="F9" i="3"/>
  <c r="M9" i="3"/>
  <c r="K10" i="3"/>
  <c r="L10" i="3"/>
  <c r="M10" i="3"/>
  <c r="D11" i="3"/>
  <c r="E11" i="3"/>
  <c r="F11" i="3"/>
  <c r="K11" i="3"/>
  <c r="L11" i="3"/>
  <c r="D12" i="3"/>
  <c r="E12" i="3"/>
  <c r="F12" i="3"/>
  <c r="K12" i="3"/>
  <c r="E13" i="3"/>
  <c r="F13" i="3"/>
  <c r="K13" i="3"/>
  <c r="L13" i="3"/>
  <c r="J14" i="3"/>
  <c r="E15" i="3"/>
  <c r="F15" i="3"/>
  <c r="K15" i="3"/>
  <c r="D16" i="3"/>
  <c r="E16" i="3"/>
  <c r="F16" i="3"/>
  <c r="G16" i="3"/>
  <c r="H16" i="3"/>
  <c r="K16" i="3"/>
  <c r="D17" i="3"/>
  <c r="E17" i="3"/>
  <c r="F17" i="3"/>
  <c r="G17" i="3"/>
  <c r="H17" i="3"/>
  <c r="K17" i="3"/>
  <c r="D18" i="3"/>
  <c r="E18" i="3"/>
  <c r="F18" i="3"/>
  <c r="G18" i="3"/>
  <c r="H18" i="3"/>
  <c r="K18" i="3"/>
  <c r="D19" i="3"/>
  <c r="E19" i="3"/>
  <c r="F19" i="3"/>
  <c r="G19" i="3"/>
  <c r="H19" i="3"/>
  <c r="E20" i="3"/>
  <c r="F20" i="3"/>
  <c r="G20" i="3"/>
  <c r="H20" i="3"/>
  <c r="B27" i="3"/>
  <c r="D29" i="3"/>
  <c r="E29" i="3"/>
  <c r="F29" i="3"/>
  <c r="D30" i="3"/>
  <c r="E30" i="3"/>
  <c r="F30" i="3"/>
  <c r="D31" i="3"/>
  <c r="E31" i="3"/>
  <c r="F31" i="3"/>
  <c r="L31" i="3"/>
  <c r="E32" i="3"/>
  <c r="F32" i="3"/>
  <c r="M33" i="3"/>
  <c r="D34" i="3"/>
  <c r="E34" i="3"/>
  <c r="F34" i="3"/>
  <c r="M34" i="3"/>
  <c r="D35" i="3"/>
  <c r="E35" i="3"/>
  <c r="F35" i="3"/>
  <c r="K35" i="3"/>
  <c r="E36" i="3"/>
  <c r="F36" i="3"/>
  <c r="E38" i="3"/>
  <c r="F38" i="3"/>
  <c r="D39" i="3"/>
  <c r="E39" i="3"/>
  <c r="F39" i="3"/>
  <c r="G39" i="3"/>
  <c r="H39" i="3"/>
  <c r="D40" i="3"/>
  <c r="E40" i="3"/>
  <c r="F40" i="3"/>
  <c r="G40" i="3"/>
  <c r="H40" i="3"/>
  <c r="K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E44" i="3"/>
  <c r="F44" i="3"/>
  <c r="H44" i="3"/>
  <c r="B47" i="3"/>
  <c r="D49" i="3"/>
  <c r="E49" i="3"/>
  <c r="F49" i="3"/>
  <c r="D50" i="3"/>
  <c r="E50" i="3"/>
  <c r="F50" i="3"/>
  <c r="D51" i="3"/>
  <c r="E51" i="3"/>
  <c r="F51" i="3"/>
  <c r="E52" i="3"/>
  <c r="F52" i="3"/>
  <c r="K53" i="3"/>
  <c r="D54" i="3"/>
  <c r="E54" i="3"/>
  <c r="F54" i="3"/>
  <c r="D55" i="3"/>
  <c r="E55" i="3"/>
  <c r="F55" i="3"/>
  <c r="E56" i="3"/>
  <c r="F56" i="3"/>
  <c r="E58" i="3"/>
  <c r="F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E62" i="3"/>
  <c r="F62" i="3"/>
  <c r="H62" i="3"/>
  <c r="K64" i="3"/>
  <c r="E67" i="3"/>
  <c r="F67" i="3"/>
  <c r="E68" i="3"/>
  <c r="F68" i="3"/>
  <c r="E69" i="3"/>
  <c r="F69" i="3"/>
  <c r="E70" i="3"/>
  <c r="F70" i="3"/>
  <c r="E72" i="3"/>
  <c r="F72" i="3"/>
  <c r="E73" i="3"/>
  <c r="F73" i="3"/>
  <c r="E74" i="3"/>
  <c r="F74" i="3"/>
  <c r="K75" i="3"/>
  <c r="E76" i="3"/>
  <c r="F76" i="3"/>
  <c r="E77" i="3"/>
  <c r="F77" i="3"/>
  <c r="G77" i="3"/>
  <c r="H77" i="3"/>
  <c r="E78" i="3"/>
  <c r="F78" i="3"/>
  <c r="G78" i="3"/>
  <c r="H78" i="3"/>
  <c r="E80" i="3"/>
  <c r="F80" i="3"/>
  <c r="G80" i="3"/>
  <c r="H80" i="3"/>
  <c r="E81" i="3"/>
  <c r="F81" i="3"/>
  <c r="G81" i="3"/>
  <c r="H81" i="3"/>
  <c r="E82" i="3"/>
  <c r="F82" i="3"/>
  <c r="H82" i="3"/>
  <c r="L82" i="3"/>
  <c r="L84" i="3"/>
  <c r="E85" i="3"/>
  <c r="H85" i="3"/>
  <c r="K85" i="3"/>
  <c r="E86" i="3"/>
  <c r="H86" i="3"/>
  <c r="E87" i="3"/>
  <c r="H87" i="3"/>
  <c r="E88" i="3"/>
  <c r="H88" i="3"/>
  <c r="K88" i="3"/>
  <c r="H89" i="3"/>
  <c r="K89" i="3"/>
  <c r="L89" i="3"/>
  <c r="B91" i="3"/>
  <c r="C91" i="3"/>
  <c r="F91" i="3"/>
  <c r="F92" i="3"/>
  <c r="F93" i="3"/>
  <c r="G93" i="3"/>
  <c r="H93" i="3"/>
  <c r="H96" i="3"/>
  <c r="H97" i="3"/>
  <c r="H99" i="3"/>
  <c r="H101" i="3"/>
  <c r="C7" i="4"/>
  <c r="F7" i="4"/>
  <c r="G21" i="4"/>
  <c r="D23" i="4"/>
  <c r="E35" i="4"/>
  <c r="G35" i="4"/>
  <c r="E37" i="4"/>
  <c r="G37" i="4"/>
  <c r="G47" i="4"/>
  <c r="F2" i="5"/>
  <c r="F10" i="5"/>
  <c r="F11" i="5"/>
  <c r="F12" i="5"/>
  <c r="F13" i="5"/>
  <c r="C14" i="5"/>
  <c r="F14" i="5"/>
  <c r="H14" i="5"/>
  <c r="F18" i="5"/>
  <c r="F19" i="5"/>
  <c r="F20" i="5"/>
  <c r="F21" i="5"/>
  <c r="C22" i="5"/>
  <c r="F22" i="5"/>
  <c r="F26" i="5"/>
  <c r="C27" i="5"/>
  <c r="F27" i="5"/>
  <c r="C28" i="5"/>
  <c r="F28" i="5"/>
  <c r="F29" i="5"/>
  <c r="C30" i="5"/>
  <c r="F30" i="5"/>
  <c r="H30" i="5"/>
  <c r="F34" i="5"/>
  <c r="I34" i="5"/>
  <c r="F35" i="5"/>
  <c r="I35" i="5"/>
  <c r="F36" i="5"/>
  <c r="I36" i="5"/>
  <c r="F37" i="5"/>
  <c r="I37" i="5"/>
  <c r="F38" i="5"/>
  <c r="I38" i="5"/>
  <c r="F40" i="5"/>
  <c r="F41" i="5"/>
  <c r="F42" i="5"/>
  <c r="F43" i="5"/>
  <c r="C44" i="5"/>
  <c r="F44" i="5"/>
  <c r="F46" i="5"/>
  <c r="F54" i="5"/>
  <c r="D55" i="5"/>
  <c r="F55" i="5"/>
  <c r="D56" i="5"/>
  <c r="F56" i="5"/>
  <c r="D57" i="5"/>
  <c r="F57" i="5"/>
  <c r="C58" i="5"/>
  <c r="F58" i="5"/>
  <c r="H58" i="5"/>
  <c r="F61" i="5"/>
  <c r="D62" i="5"/>
  <c r="F62" i="5"/>
  <c r="D63" i="5"/>
  <c r="F63" i="5"/>
  <c r="D64" i="5"/>
  <c r="F64" i="5"/>
  <c r="C65" i="5"/>
  <c r="F65" i="5"/>
  <c r="I68" i="5"/>
  <c r="I69" i="5"/>
  <c r="I70" i="5"/>
  <c r="I71" i="5"/>
  <c r="F72" i="5"/>
  <c r="I72" i="5"/>
  <c r="F74" i="5"/>
  <c r="F78" i="5"/>
  <c r="F79" i="5"/>
  <c r="F80" i="5"/>
  <c r="H80" i="5"/>
  <c r="F81" i="5"/>
  <c r="F84" i="5"/>
  <c r="H84" i="5"/>
  <c r="I84" i="5"/>
  <c r="C87" i="5"/>
  <c r="D87" i="5"/>
  <c r="F87" i="5"/>
  <c r="C88" i="5"/>
  <c r="D88" i="5"/>
  <c r="F88" i="5"/>
  <c r="C89" i="5"/>
  <c r="H89" i="5"/>
  <c r="C92" i="5"/>
  <c r="D92" i="5"/>
  <c r="F92" i="5"/>
  <c r="H92" i="5"/>
  <c r="C93" i="5"/>
  <c r="D93" i="5"/>
  <c r="F93" i="5"/>
  <c r="H93" i="5"/>
  <c r="C94" i="5"/>
  <c r="D94" i="5"/>
  <c r="F94" i="5"/>
  <c r="H94" i="5"/>
  <c r="C95" i="5"/>
  <c r="D95" i="5"/>
  <c r="F95" i="5"/>
  <c r="H95" i="5"/>
  <c r="I97" i="5"/>
  <c r="I9" i="8"/>
  <c r="E22" i="8"/>
  <c r="F24" i="8"/>
  <c r="I33" i="8"/>
  <c r="I36" i="8"/>
  <c r="M36" i="8"/>
  <c r="A4" i="7"/>
  <c r="A6" i="7"/>
  <c r="A9" i="7"/>
  <c r="A11" i="7"/>
  <c r="A12" i="7"/>
  <c r="K21" i="7"/>
  <c r="K22" i="7"/>
  <c r="K23" i="7"/>
  <c r="I29" i="7"/>
  <c r="K29" i="7"/>
  <c r="E38" i="7"/>
  <c r="G38" i="7"/>
  <c r="I38" i="7"/>
  <c r="K38" i="7"/>
  <c r="K40" i="7"/>
  <c r="K46" i="7"/>
  <c r="E106" i="7"/>
  <c r="H108" i="7"/>
  <c r="H113" i="7"/>
  <c r="H115" i="7"/>
  <c r="H117" i="7"/>
  <c r="H119" i="7"/>
  <c r="H121" i="7"/>
  <c r="H123" i="7"/>
  <c r="G127" i="7"/>
  <c r="H127" i="7"/>
  <c r="H131" i="7"/>
</calcChain>
</file>

<file path=xl/comments1.xml><?xml version="1.0" encoding="utf-8"?>
<comments xmlns="http://schemas.openxmlformats.org/spreadsheetml/2006/main">
  <authors>
    <author>CWLipke</author>
  </authors>
  <commentList>
    <comment ref="F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1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6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CIG Tariff sheet 11A. Can chg quarterly.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<sst xmlns="http://schemas.openxmlformats.org/spreadsheetml/2006/main" count="437" uniqueCount="275">
  <si>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</si>
  <si>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</si>
  <si>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</si>
  <si>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Location:</t>
  </si>
  <si>
    <t>ACCOUNTS PAYABLE  SAO</t>
  </si>
  <si>
    <t xml:space="preserve">Payment Due Date :    </t>
  </si>
  <si>
    <t>Date:</t>
  </si>
  <si>
    <t xml:space="preserve">Requested By (Please print) : </t>
  </si>
  <si>
    <t xml:space="preserve">PAYEE:   </t>
  </si>
  <si>
    <t xml:space="preserve">PAYEE ADDRESS (If new vendor): </t>
  </si>
  <si>
    <t>BANK NAME: *</t>
  </si>
  <si>
    <t>LOCATION:</t>
  </si>
  <si>
    <t>ABA (Bank Routing Number):*</t>
  </si>
  <si>
    <t>BANK ACCOUNT NAME:</t>
  </si>
  <si>
    <t>BANK ACCOUNT NUMBER:</t>
  </si>
  <si>
    <t>NUMBER OF ITEMS / INVOICES:</t>
  </si>
  <si>
    <t>TOTAL AMOUNT:</t>
  </si>
  <si>
    <t>WIRE TRF COMMENTS (If any):</t>
  </si>
  <si>
    <t>Name of Approver (Please print)</t>
  </si>
  <si>
    <t>APPROVAL SIGNATURE:</t>
  </si>
  <si>
    <t>DATE:</t>
  </si>
  <si>
    <t>NOTES:</t>
  </si>
  <si>
    <t xml:space="preserve">WT Executed  by:  </t>
  </si>
  <si>
    <t xml:space="preserve">EFT Executed  by:  </t>
  </si>
  <si>
    <t>Required:</t>
  </si>
  <si>
    <t>G/L Acct. Distribution:</t>
  </si>
  <si>
    <t xml:space="preserve">                       TOTAL AMOUNT $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</si>
  <si>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</si>
  <si>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</si>
  <si>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</si>
  <si>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</si>
  <si>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</si>
  <si>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</si>
  <si>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</si>
  <si>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</si>
  <si>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</si>
  <si>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</si>
  <si>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</si>
  <si>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</si>
  <si>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</si>
  <si>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</si>
  <si>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</si>
  <si>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</si>
  <si>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</si>
  <si>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</si>
  <si>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</si>
  <si>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</si>
  <si>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</si>
  <si>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</si>
  <si>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</si>
  <si>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</si>
  <si>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</si>
  <si>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</si>
  <si>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</si>
  <si>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</si>
  <si>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</si>
  <si>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</si>
  <si>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</si>
  <si>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</si>
  <si>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</si>
  <si>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</si>
  <si>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</si>
  <si>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</si>
  <si>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</si>
  <si>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</si>
  <si>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</si>
  <si>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</si>
  <si>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</si>
  <si>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</si>
  <si>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</si>
  <si>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</si>
  <si>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Total CIG - NNT Invoice</t>
  </si>
  <si>
    <t>DELIVERED</t>
  </si>
  <si>
    <t>2000-535201-2000621</t>
  </si>
  <si>
    <t>2000-535201-2000620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</si>
  <si>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</si>
  <si>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</si>
  <si>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</si>
  <si>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</si>
  <si>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</si>
  <si>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</si>
  <si>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</si>
  <si>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</si>
  <si>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</si>
  <si>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</si>
  <si>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</si>
  <si>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</si>
  <si>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</si>
  <si>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</si>
  <si>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</si>
  <si>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</si>
  <si>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</si>
  <si>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</si>
  <si>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</si>
  <si>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</si>
  <si>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</si>
  <si>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DELIVER TO:          LISA GRACE (FAX#7689)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</si>
  <si>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</si>
  <si>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</si>
  <si>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</si>
  <si>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</si>
  <si>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</si>
  <si>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</si>
  <si>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Enron North America</t>
  </si>
  <si>
    <t>Nations Bank, Dallas Texas</t>
  </si>
  <si>
    <t>DALLAS, TX</t>
  </si>
  <si>
    <t>#111000012</t>
  </si>
  <si>
    <t>#3750494099</t>
  </si>
  <si>
    <t>CNG</t>
  </si>
  <si>
    <t>ROCKY + .01</t>
  </si>
  <si>
    <t xml:space="preserve">Total Volume To N29 </t>
  </si>
  <si>
    <t>Month:</t>
  </si>
  <si>
    <t>33171000 TF-1</t>
  </si>
  <si>
    <t>33175000 TF-1</t>
  </si>
  <si>
    <t>31029000 NNT-1</t>
  </si>
  <si>
    <t>FIRM CAPACITY CHARGE</t>
  </si>
  <si>
    <t>IFEPSJ:</t>
  </si>
  <si>
    <t>Fuel Rate:</t>
  </si>
  <si>
    <t>IFCIGRky</t>
  </si>
  <si>
    <t>33229000  NNT-1</t>
  </si>
  <si>
    <t>EXPIRED - No longer in use.</t>
  </si>
  <si>
    <t>MMBTU</t>
  </si>
  <si>
    <t>CO.RKYMOUNT</t>
  </si>
  <si>
    <t>MONTH</t>
  </si>
  <si>
    <t>INVOICE REMITTANCE COPY</t>
  </si>
  <si>
    <t>*****CAUTION MACROS ARE CONTAINED IN THESE COLUMNS BELOW*****</t>
  </si>
  <si>
    <t>Renegade Oil &amp; Gas</t>
  </si>
  <si>
    <t xml:space="preserve">     Month Of:</t>
  </si>
  <si>
    <t>P.O. Box 460413</t>
  </si>
  <si>
    <t xml:space="preserve">     Invoice Date:</t>
  </si>
  <si>
    <t>Aurora, CO  80046-0413</t>
  </si>
  <si>
    <t xml:space="preserve">     Due Date:</t>
  </si>
  <si>
    <t xml:space="preserve">     Pressure Base:</t>
  </si>
  <si>
    <t>14.65 PSIA</t>
  </si>
  <si>
    <t xml:space="preserve">     Meter Location:</t>
  </si>
  <si>
    <t>Oberlander Well #2</t>
  </si>
  <si>
    <t>Lamar Field</t>
  </si>
  <si>
    <t>CURRENT BILLING ACTIVITY:</t>
  </si>
  <si>
    <t>From:</t>
  </si>
  <si>
    <t>To:</t>
  </si>
  <si>
    <t>Received Volumes for the Month:</t>
  </si>
  <si>
    <t xml:space="preserve">Oberlander Well #2 </t>
  </si>
  <si>
    <t>@</t>
  </si>
  <si>
    <t>/ MMbtu ............................................................................................</t>
  </si>
  <si>
    <t>Current Month Invoice Total ..............................................................................................................</t>
  </si>
  <si>
    <t>\Z</t>
  </si>
  <si>
    <t>:DZTQ</t>
  </si>
  <si>
    <t>\N</t>
  </si>
  <si>
    <t>:DZNQ</t>
  </si>
  <si>
    <t>LetterPrint Letter Invoice</t>
  </si>
  <si>
    <t>{menubranch aj72}~</t>
  </si>
  <si>
    <t/>
  </si>
  <si>
    <t>LETTER</t>
  </si>
  <si>
    <t>Continue</t>
  </si>
  <si>
    <t>Quit</t>
  </si>
  <si>
    <t>Print Letter Invoice</t>
  </si>
  <si>
    <t>Quit Macros</t>
  </si>
  <si>
    <t>{calc}~</t>
  </si>
  <si>
    <t>{menubranch aa530}~</t>
  </si>
  <si>
    <t>{quit}~</t>
  </si>
  <si>
    <t>:pcoPqlcaqrsLETTER~G</t>
  </si>
  <si>
    <t>:pcoPqlcaqrsWIRE~G</t>
  </si>
  <si>
    <t>TRAVERS RESOURCES, INC.</t>
  </si>
  <si>
    <t>Attention:  Mr. Tom Weil</t>
  </si>
  <si>
    <t>1111 Bagby, Suite 2121</t>
  </si>
  <si>
    <t>Houston, Texas 77002</t>
  </si>
  <si>
    <t>Re:</t>
  </si>
  <si>
    <t>Production from Cordes-Oberlander #2 and Lamar Field for the month of:</t>
  </si>
  <si>
    <t>Volumes:</t>
  </si>
  <si>
    <t>Mmbtu Received at Cordes-Oberlander:</t>
  </si>
  <si>
    <t>Mmbtu Received at Lamar:</t>
  </si>
  <si>
    <t>Total Mmbtu Received:</t>
  </si>
  <si>
    <t>Metered Mmbtu to Lewis Bolt &amp; Nut:</t>
  </si>
  <si>
    <t>Lost and Unaccounted for Volume:</t>
  </si>
  <si>
    <t>Net Mmbtu to Citizens Utilities:</t>
  </si>
  <si>
    <t>Billing:</t>
  </si>
  <si>
    <t>MMBTU @ Inside Ferc "CIG - Rocky Mountain".</t>
  </si>
  <si>
    <t>AMOUNT DUE:</t>
  </si>
  <si>
    <t>Sincerely,</t>
  </si>
  <si>
    <t>Wayne L. Weidenbacher</t>
  </si>
  <si>
    <t>Citizens Utilities Company</t>
  </si>
  <si>
    <t>Gas Supply Accountant</t>
  </si>
  <si>
    <t>QUIT</t>
  </si>
  <si>
    <t>QUIT MACROS</t>
  </si>
  <si>
    <t>{QUIT}</t>
  </si>
  <si>
    <t>QUIT PRINT MACRO</t>
  </si>
  <si>
    <t>SMALL</t>
  </si>
  <si>
    <t>PRINT USING SMALL PRINT</t>
  </si>
  <si>
    <t>/ppcbr  os{esc}\027&amp;l0o7.27C\027(s0p16.67H~ouqagpq</t>
  </si>
  <si>
    <t>/ppcbr  os{esc}\027&amp;l1o5.45C\027(s0p16.67H~ouqagpq</t>
  </si>
  <si>
    <t>CITIZENS UTILITIES</t>
  </si>
  <si>
    <t>CHECK REQUEST</t>
  </si>
  <si>
    <t>TREASURY DEPARTMENT:</t>
  </si>
  <si>
    <t>PLEASE PREPARE VOUCHER:</t>
  </si>
  <si>
    <t>PAYABLE TO:</t>
  </si>
  <si>
    <t>VENDOR #:</t>
  </si>
  <si>
    <t>AMOUNT OF:</t>
  </si>
  <si>
    <t>FOR:</t>
  </si>
  <si>
    <t>INVOICE</t>
  </si>
  <si>
    <t>WELL</t>
  </si>
  <si>
    <t>Federal Tax ID is</t>
  </si>
  <si>
    <t>84-1082538</t>
  </si>
  <si>
    <t>*************************************************************************************</t>
  </si>
  <si>
    <t>****************</t>
  </si>
  <si>
    <t>**********************</t>
  </si>
  <si>
    <t>CHARGE TO ACCT. #</t>
  </si>
  <si>
    <t>TOTAL CHARGES</t>
  </si>
  <si>
    <t>******************</t>
  </si>
  <si>
    <t>MAIL CHECK TO:</t>
  </si>
  <si>
    <t>The Above Address with Attachments</t>
  </si>
  <si>
    <t>REQUESTED BY:</t>
  </si>
  <si>
    <t>APPROVED BY:</t>
  </si>
  <si>
    <t>FLOW DATES:</t>
  </si>
  <si>
    <t>Sean Breen</t>
  </si>
  <si>
    <t>Craig W. Lipke</t>
  </si>
  <si>
    <t>Direct any inquires to Craig W. Lipke at (520) 226-2243</t>
  </si>
  <si>
    <t xml:space="preserve">Attention: Mr. JB Condill  </t>
  </si>
  <si>
    <t xml:space="preserve">Amount: </t>
  </si>
  <si>
    <t>TF-1 and NNT</t>
  </si>
  <si>
    <t>Tiffany and PSCo</t>
  </si>
  <si>
    <t xml:space="preserve">Colorado Gas Cost for 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</si>
  <si>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</si>
  <si>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</si>
  <si>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</si>
  <si>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</si>
  <si>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</si>
  <si>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</si>
  <si>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Net Total</t>
  </si>
  <si>
    <t>Enron, ENA - C.I.G.</t>
  </si>
  <si>
    <t>L &amp; U Rate</t>
  </si>
  <si>
    <t>Fuel Rate (Storage)</t>
  </si>
  <si>
    <t>Storage Summary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</si>
  <si>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</si>
  <si>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</si>
  <si>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</si>
  <si>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</si>
  <si>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 xml:space="preserve">    Change</t>
  </si>
  <si>
    <t xml:space="preserve">          Difference</t>
  </si>
  <si>
    <t>Prior period Adj:</t>
  </si>
  <si>
    <t>Prior Period Adj:</t>
  </si>
  <si>
    <t>Adj Net City Gate Deliv.</t>
  </si>
  <si>
    <t xml:space="preserve">Dth   </t>
  </si>
  <si>
    <t xml:space="preserve">AMOUNT  </t>
  </si>
  <si>
    <t xml:space="preserve">OverRun Adj </t>
  </si>
  <si>
    <t xml:space="preserve">    Injection Gross Qty</t>
  </si>
  <si>
    <t xml:space="preserve">    Injection Fuel Qty</t>
  </si>
  <si>
    <t>Prior Period Adjustment</t>
  </si>
  <si>
    <t>N29 WRK</t>
  </si>
  <si>
    <t>From TF Contracts:</t>
  </si>
  <si>
    <t>Net Change</t>
  </si>
  <si>
    <t>Gross Injection</t>
  </si>
  <si>
    <t>From NNT Contract:</t>
  </si>
  <si>
    <t>Fuel Rate (Transportation)</t>
  </si>
  <si>
    <t>So. Fixed Price</t>
  </si>
  <si>
    <t>No. Fixed Price</t>
  </si>
  <si>
    <t>North Index Price</t>
  </si>
  <si>
    <t>South Index Price</t>
  </si>
  <si>
    <t>NORTH FIXED PRICING</t>
  </si>
  <si>
    <t>SOUTH FIXED PRICING</t>
  </si>
  <si>
    <t>NORTH PRICING (Rocky+.01)</t>
  </si>
  <si>
    <t>SOUTH PRICING (Rocky+.10)</t>
  </si>
  <si>
    <t>SHIPPER THIRD PARTY CREDIT</t>
  </si>
  <si>
    <t xml:space="preserve">    Total Receipts</t>
  </si>
  <si>
    <t># days:</t>
  </si>
  <si>
    <t>Total</t>
  </si>
  <si>
    <t>Per Day</t>
  </si>
  <si>
    <t>Fixed Purchases</t>
  </si>
  <si>
    <t>NORTH FIXED  VOLS</t>
  </si>
  <si>
    <t>SOUTH FIXED  VOLS</t>
  </si>
  <si>
    <t>Deliverd</t>
  </si>
  <si>
    <t>Fixed Daily Qty.</t>
  </si>
  <si>
    <t>Fixed Price/Dth</t>
  </si>
  <si>
    <t>Gross Receipts</t>
  </si>
  <si>
    <t>TIFFANY receipts at Index Price</t>
  </si>
  <si>
    <t>TIFFANY receipts at Fixed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</si>
</sst>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.0000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87" formatCode="mmm\-yy_)"/>
    <numFmt numFmtId="188" formatCode="dd\-mmm\-yy_)"/>
    <numFmt numFmtId="189" formatCode="hh:mm:ss_)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  <numFmt numFmtId="204" formatCode="&quot;$&quot;#,##0.000_);\(&quot;$&quot;#,##0.000\)"/>
  </numFmts>
  <fonts count="59">
    <font>
      <sz val="12"/>
      <name val="Arial"/>
    </font>
    <font>
      <sz val="10"/>
      <name val="Arial"/>
    </font>
    <font>
      <b/>
      <sz val="12"/>
      <name val="Arial"/>
    </font>
    <font>
      <b/>
      <sz val="24"/>
      <name val="Arial"/>
    </font>
    <font>
      <b/>
      <sz val="14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2"/>
      <name val="Arial MT"/>
    </font>
    <font>
      <sz val="14"/>
      <name val="Arial MT"/>
    </font>
    <font>
      <sz val="14"/>
      <color indexed="12"/>
      <name val="Arial MT"/>
    </font>
    <font>
      <b/>
      <sz val="24"/>
      <name val="Arial MT"/>
    </font>
    <font>
      <b/>
      <sz val="18"/>
      <name val="Arial MT"/>
    </font>
    <font>
      <b/>
      <sz val="14"/>
      <name val="Arial MT"/>
    </font>
    <font>
      <b/>
      <sz val="14"/>
      <color indexed="8"/>
      <name val="Arial MT"/>
    </font>
    <font>
      <u/>
      <sz val="14"/>
      <name val="Arial MT"/>
    </font>
    <font>
      <sz val="14"/>
      <color indexed="8"/>
      <name val="Arial MT"/>
    </font>
    <font>
      <sz val="10"/>
      <color indexed="12"/>
      <name val="Courier"/>
    </font>
    <font>
      <b/>
      <sz val="12"/>
      <name val="Arial MT"/>
    </font>
    <font>
      <u/>
      <sz val="12"/>
      <name val="Arial MT"/>
    </font>
    <font>
      <sz val="16"/>
      <name val="Arial MT"/>
    </font>
    <font>
      <sz val="14"/>
      <color indexed="10"/>
      <name val="Arial MT"/>
    </font>
    <font>
      <sz val="12"/>
      <color indexed="12"/>
      <name val="Arial MT"/>
    </font>
    <font>
      <b/>
      <u/>
      <sz val="14"/>
      <name val="Arial MT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  <font>
      <sz val="12"/>
      <color indexed="12"/>
      <name val="Arial"/>
    </font>
    <font>
      <b/>
      <sz val="12"/>
      <color indexed="10"/>
      <name val="Arial"/>
      <family val="2"/>
    </font>
    <font>
      <b/>
      <sz val="16"/>
      <color indexed="12"/>
      <name val="Arial MT"/>
    </font>
    <font>
      <b/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/>
    <xf numFmtId="0" fontId="1" fillId="0" borderId="0"/>
    <xf numFmtId="9" fontId="1" fillId="0" borderId="0" applyFont="0" applyFill="0" applyBorder="0" applyAlignment="0" applyProtection="0"/>
  </cellStyleXfs>
  <cellXfs count="325">
    <xf numFmtId="0" fontId="0" fillId="0" borderId="0" xfId="0"/>
    <xf numFmtId="0" fontId="0" fillId="0" borderId="1" xfId="0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 applyProtection="1"/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6" xfId="0" applyBorder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  <protection locked="0"/>
    </xf>
    <xf numFmtId="7" fontId="5" fillId="0" borderId="0" xfId="0" applyNumberFormat="1" applyFont="1" applyBorder="1" applyAlignment="1" applyProtection="1">
      <alignment horizontal="left"/>
    </xf>
    <xf numFmtId="0" fontId="5" fillId="2" borderId="10" xfId="0" applyFont="1" applyFill="1" applyBorder="1" applyProtection="1"/>
    <xf numFmtId="164" fontId="5" fillId="2" borderId="10" xfId="0" applyNumberFormat="1" applyFont="1" applyFill="1" applyBorder="1" applyProtection="1"/>
    <xf numFmtId="0" fontId="5" fillId="0" borderId="10" xfId="0" applyFont="1" applyBorder="1" applyProtection="1"/>
    <xf numFmtId="0" fontId="6" fillId="0" borderId="10" xfId="0" applyFont="1" applyBorder="1" applyProtection="1"/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0" xfId="0" applyFont="1" applyBorder="1" applyAlignment="1" applyProtection="1">
      <alignment horizontal="right"/>
    </xf>
    <xf numFmtId="0" fontId="7" fillId="0" borderId="0" xfId="0" applyFont="1" applyBorder="1" applyProtection="1">
      <protection locked="0"/>
    </xf>
    <xf numFmtId="39" fontId="7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</xf>
    <xf numFmtId="0" fontId="6" fillId="0" borderId="10" xfId="0" quotePrefix="1" applyFont="1" applyBorder="1" applyProtection="1"/>
    <xf numFmtId="0" fontId="1" fillId="0" borderId="0" xfId="4"/>
    <xf numFmtId="0" fontId="8" fillId="0" borderId="2" xfId="4" applyFont="1" applyBorder="1" applyAlignment="1">
      <alignment horizontal="right"/>
    </xf>
    <xf numFmtId="0" fontId="8" fillId="0" borderId="3" xfId="4" applyFont="1" applyBorder="1"/>
    <xf numFmtId="0" fontId="1" fillId="0" borderId="3" xfId="4" applyBorder="1"/>
    <xf numFmtId="0" fontId="1" fillId="0" borderId="4" xfId="4" applyBorder="1"/>
    <xf numFmtId="0" fontId="1" fillId="0" borderId="5" xfId="4" applyBorder="1"/>
    <xf numFmtId="0" fontId="1" fillId="0" borderId="0" xfId="4" applyBorder="1"/>
    <xf numFmtId="0" fontId="9" fillId="0" borderId="0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10" fillId="0" borderId="0" xfId="1" applyNumberFormat="1" applyFont="1" applyBorder="1"/>
    <xf numFmtId="44" fontId="10" fillId="0" borderId="6" xfId="2" applyFont="1" applyBorder="1"/>
    <xf numFmtId="0" fontId="1" fillId="0" borderId="7" xfId="4" applyBorder="1"/>
    <xf numFmtId="0" fontId="1" fillId="0" borderId="8" xfId="4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8" fillId="0" borderId="3" xfId="4" applyFont="1" applyBorder="1" applyAlignment="1">
      <alignment horizontal="right"/>
    </xf>
    <xf numFmtId="44" fontId="1" fillId="0" borderId="0" xfId="2" applyBorder="1"/>
    <xf numFmtId="44" fontId="10" fillId="0" borderId="0" xfId="2" applyFont="1"/>
    <xf numFmtId="169" fontId="10" fillId="0" borderId="0" xfId="4" applyNumberFormat="1" applyFont="1"/>
    <xf numFmtId="0" fontId="1" fillId="0" borderId="0" xfId="4" applyAlignment="1">
      <alignment horizontal="right"/>
    </xf>
    <xf numFmtId="0" fontId="11" fillId="0" borderId="0" xfId="4" applyFont="1"/>
    <xf numFmtId="0" fontId="1" fillId="0" borderId="5" xfId="4" applyFont="1" applyBorder="1"/>
    <xf numFmtId="169" fontId="12" fillId="0" borderId="0" xfId="1" applyNumberFormat="1" applyFont="1" applyBorder="1"/>
    <xf numFmtId="0" fontId="1" fillId="0" borderId="0" xfId="4" applyFont="1"/>
    <xf numFmtId="0" fontId="13" fillId="0" borderId="0" xfId="4" applyFont="1"/>
    <xf numFmtId="43" fontId="1" fillId="0" borderId="0" xfId="1" applyNumberFormat="1"/>
    <xf numFmtId="17" fontId="1" fillId="0" borderId="0" xfId="4" applyNumberFormat="1"/>
    <xf numFmtId="171" fontId="10" fillId="0" borderId="0" xfId="2" applyNumberFormat="1" applyFont="1" applyBorder="1"/>
    <xf numFmtId="176" fontId="1" fillId="0" borderId="0" xfId="4" applyNumberFormat="1"/>
    <xf numFmtId="44" fontId="1" fillId="0" borderId="0" xfId="4" applyNumberFormat="1" applyFont="1"/>
    <xf numFmtId="0" fontId="14" fillId="0" borderId="0" xfId="4" applyFont="1"/>
    <xf numFmtId="44" fontId="12" fillId="0" borderId="0" xfId="2" applyFont="1"/>
    <xf numFmtId="7" fontId="1" fillId="0" borderId="0" xfId="4" applyNumberFormat="1"/>
    <xf numFmtId="0" fontId="15" fillId="0" borderId="5" xfId="4" applyFont="1" applyBorder="1"/>
    <xf numFmtId="169" fontId="1" fillId="0" borderId="0" xfId="4" applyNumberFormat="1"/>
    <xf numFmtId="169" fontId="14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4" applyNumberFormat="1"/>
    <xf numFmtId="0" fontId="16" fillId="0" borderId="0" xfId="0" applyFont="1" applyBorder="1" applyAlignment="1" applyProtection="1">
      <alignment horizontal="left"/>
      <protection locked="0"/>
    </xf>
    <xf numFmtId="169" fontId="1" fillId="0" borderId="0" xfId="1" applyNumberFormat="1" applyFont="1"/>
    <xf numFmtId="173" fontId="1" fillId="0" borderId="0" xfId="4" applyNumberFormat="1"/>
    <xf numFmtId="41" fontId="1" fillId="0" borderId="0" xfId="1" applyNumberFormat="1"/>
    <xf numFmtId="41" fontId="1" fillId="0" borderId="0" xfId="4" applyNumberFormat="1"/>
    <xf numFmtId="17" fontId="1" fillId="0" borderId="0" xfId="4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1" xfId="4" applyFont="1" applyBorder="1"/>
    <xf numFmtId="17" fontId="5" fillId="0" borderId="10" xfId="0" applyNumberFormat="1" applyFont="1" applyBorder="1" applyProtection="1"/>
    <xf numFmtId="43" fontId="1" fillId="0" borderId="0" xfId="4" applyNumberFormat="1"/>
    <xf numFmtId="169" fontId="1" fillId="0" borderId="0" xfId="1" applyNumberFormat="1" applyFont="1" applyBorder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4" quotePrefix="1" applyFont="1"/>
    <xf numFmtId="44" fontId="1" fillId="0" borderId="0" xfId="4" applyNumberFormat="1"/>
    <xf numFmtId="0" fontId="17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7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/>
    <xf numFmtId="0" fontId="20" fillId="0" borderId="0" xfId="0" applyFont="1"/>
    <xf numFmtId="44" fontId="22" fillId="0" borderId="0" xfId="2" applyFont="1"/>
    <xf numFmtId="0" fontId="18" fillId="0" borderId="0" xfId="0" applyFont="1" applyAlignment="1">
      <alignment horizontal="center"/>
    </xf>
    <xf numFmtId="44" fontId="23" fillId="0" borderId="0" xfId="2" applyFont="1"/>
    <xf numFmtId="17" fontId="16" fillId="0" borderId="0" xfId="0" applyNumberFormat="1" applyFont="1" applyBorder="1" applyAlignment="1" applyProtection="1">
      <alignment horizontal="left"/>
      <protection locked="0"/>
    </xf>
    <xf numFmtId="44" fontId="0" fillId="0" borderId="10" xfId="2" applyFont="1" applyBorder="1"/>
    <xf numFmtId="41" fontId="1" fillId="0" borderId="0" xfId="4" applyNumberFormat="1" applyFont="1" applyAlignment="1">
      <alignment horizontal="right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/>
    </xf>
    <xf numFmtId="0" fontId="24" fillId="0" borderId="0" xfId="0" applyFont="1" applyBorder="1" applyProtection="1"/>
    <xf numFmtId="0" fontId="25" fillId="0" borderId="0" xfId="4" applyFont="1"/>
    <xf numFmtId="169" fontId="26" fillId="0" borderId="0" xfId="1" applyNumberFormat="1" applyFont="1"/>
    <xf numFmtId="44" fontId="26" fillId="0" borderId="0" xfId="2" applyFont="1"/>
    <xf numFmtId="10" fontId="27" fillId="0" borderId="0" xfId="0" applyNumberFormat="1" applyFont="1"/>
    <xf numFmtId="169" fontId="6" fillId="0" borderId="0" xfId="1" applyNumberFormat="1" applyFont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/>
    <xf numFmtId="0" fontId="1" fillId="0" borderId="12" xfId="4" applyFont="1" applyBorder="1"/>
    <xf numFmtId="169" fontId="27" fillId="0" borderId="0" xfId="1" applyNumberFormat="1" applyFont="1"/>
    <xf numFmtId="169" fontId="31" fillId="0" borderId="0" xfId="1" applyNumberFormat="1" applyFont="1"/>
    <xf numFmtId="169" fontId="27" fillId="0" borderId="10" xfId="1" applyNumberFormat="1" applyFont="1" applyBorder="1"/>
    <xf numFmtId="44" fontId="27" fillId="0" borderId="0" xfId="2" applyFont="1"/>
    <xf numFmtId="44" fontId="6" fillId="0" borderId="0" xfId="2" applyFont="1"/>
    <xf numFmtId="44" fontId="0" fillId="0" borderId="13" xfId="2" applyFont="1" applyBorder="1"/>
    <xf numFmtId="0" fontId="33" fillId="0" borderId="0" xfId="4" applyFont="1"/>
    <xf numFmtId="0" fontId="35" fillId="0" borderId="0" xfId="0" applyFont="1"/>
    <xf numFmtId="0" fontId="36" fillId="0" borderId="0" xfId="0" applyFont="1" applyProtection="1">
      <protection locked="0"/>
    </xf>
    <xf numFmtId="0" fontId="37" fillId="0" borderId="0" xfId="0" applyFont="1" applyAlignment="1">
      <alignment horizontal="center"/>
    </xf>
    <xf numFmtId="1" fontId="0" fillId="0" borderId="0" xfId="0" applyNumberFormat="1"/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87" fontId="40" fillId="0" borderId="0" xfId="0" applyNumberFormat="1" applyFont="1" applyAlignment="1" applyProtection="1">
      <alignment horizontal="left"/>
      <protection locked="0"/>
    </xf>
    <xf numFmtId="0" fontId="38" fillId="0" borderId="0" xfId="0" quotePrefix="1" applyFont="1"/>
    <xf numFmtId="0" fontId="39" fillId="0" borderId="14" xfId="0" applyFont="1" applyBorder="1"/>
    <xf numFmtId="0" fontId="35" fillId="0" borderId="14" xfId="0" applyFont="1" applyBorder="1"/>
    <xf numFmtId="0" fontId="35" fillId="0" borderId="0" xfId="0" applyFont="1" applyAlignment="1">
      <alignment horizontal="right"/>
    </xf>
    <xf numFmtId="164" fontId="35" fillId="0" borderId="0" xfId="0" applyNumberFormat="1" applyFont="1" applyAlignment="1" applyProtection="1">
      <alignment horizontal="center"/>
    </xf>
    <xf numFmtId="7" fontId="35" fillId="0" borderId="0" xfId="0" applyNumberFormat="1" applyFont="1" applyProtection="1"/>
    <xf numFmtId="3" fontId="35" fillId="0" borderId="0" xfId="0" applyNumberFormat="1" applyFont="1"/>
    <xf numFmtId="9" fontId="41" fillId="0" borderId="0" xfId="0" applyNumberFormat="1" applyFont="1"/>
    <xf numFmtId="0" fontId="35" fillId="0" borderId="0" xfId="0" applyFont="1" applyAlignment="1">
      <alignment horizontal="center"/>
    </xf>
    <xf numFmtId="39" fontId="35" fillId="0" borderId="0" xfId="0" applyNumberFormat="1" applyFont="1" applyProtection="1"/>
    <xf numFmtId="37" fontId="35" fillId="0" borderId="0" xfId="0" applyNumberFormat="1" applyFont="1" applyProtection="1"/>
    <xf numFmtId="165" fontId="35" fillId="0" borderId="0" xfId="0" applyNumberFormat="1" applyFont="1" applyProtection="1"/>
    <xf numFmtId="0" fontId="35" fillId="0" borderId="10" xfId="0" applyFont="1" applyBorder="1"/>
    <xf numFmtId="10" fontId="35" fillId="0" borderId="0" xfId="0" applyNumberFormat="1" applyFont="1" applyProtection="1"/>
    <xf numFmtId="7" fontId="38" fillId="0" borderId="0" xfId="0" applyNumberFormat="1" applyFont="1" applyProtection="1"/>
    <xf numFmtId="0" fontId="43" fillId="0" borderId="0" xfId="0" applyFont="1" applyProtection="1">
      <protection locked="0"/>
    </xf>
    <xf numFmtId="7" fontId="39" fillId="0" borderId="0" xfId="0" applyNumberFormat="1" applyFont="1" applyProtection="1"/>
    <xf numFmtId="0" fontId="0" fillId="0" borderId="0" xfId="0" applyAlignment="1">
      <alignment horizontal="fill"/>
    </xf>
    <xf numFmtId="0" fontId="35" fillId="0" borderId="0" xfId="0" applyFont="1" applyAlignment="1">
      <alignment horizontal="centerContinuous"/>
    </xf>
    <xf numFmtId="0" fontId="44" fillId="0" borderId="0" xfId="0" applyFont="1"/>
    <xf numFmtId="164" fontId="0" fillId="0" borderId="0" xfId="0" applyNumberFormat="1" applyAlignment="1" applyProtection="1">
      <alignment horizontal="left"/>
    </xf>
    <xf numFmtId="187" fontId="44" fillId="0" borderId="0" xfId="0" applyNumberFormat="1" applyFont="1" applyProtection="1"/>
    <xf numFmtId="37" fontId="0" fillId="0" borderId="0" xfId="0" applyNumberFormat="1" applyProtection="1"/>
    <xf numFmtId="37" fontId="45" fillId="0" borderId="0" xfId="0" applyNumberFormat="1" applyFont="1" applyProtection="1"/>
    <xf numFmtId="0" fontId="0" fillId="0" borderId="15" xfId="0" applyBorder="1"/>
    <xf numFmtId="37" fontId="44" fillId="0" borderId="0" xfId="0" applyNumberFormat="1" applyFont="1" applyProtection="1"/>
    <xf numFmtId="7" fontId="44" fillId="0" borderId="0" xfId="0" applyNumberFormat="1" applyFont="1" applyProtection="1"/>
    <xf numFmtId="7" fontId="0" fillId="0" borderId="0" xfId="0" applyNumberFormat="1" applyProtection="1"/>
    <xf numFmtId="7" fontId="38" fillId="0" borderId="14" xfId="0" applyNumberFormat="1" applyFont="1" applyBorder="1" applyProtection="1"/>
    <xf numFmtId="0" fontId="34" fillId="0" borderId="0" xfId="3"/>
    <xf numFmtId="0" fontId="34" fillId="0" borderId="0" xfId="3" applyBorder="1"/>
    <xf numFmtId="0" fontId="35" fillId="0" borderId="2" xfId="3" applyFont="1" applyBorder="1"/>
    <xf numFmtId="0" fontId="35" fillId="0" borderId="3" xfId="3" applyFont="1" applyBorder="1"/>
    <xf numFmtId="0" fontId="35" fillId="0" borderId="4" xfId="3" applyFont="1" applyBorder="1"/>
    <xf numFmtId="0" fontId="35" fillId="0" borderId="5" xfId="3" applyFont="1" applyBorder="1"/>
    <xf numFmtId="0" fontId="35" fillId="0" borderId="0" xfId="3" applyFont="1" applyBorder="1"/>
    <xf numFmtId="0" fontId="46" fillId="0" borderId="0" xfId="3" applyFont="1" applyBorder="1" applyAlignment="1">
      <alignment horizontal="center"/>
    </xf>
    <xf numFmtId="0" fontId="35" fillId="0" borderId="6" xfId="3" applyFont="1" applyBorder="1"/>
    <xf numFmtId="0" fontId="47" fillId="0" borderId="0" xfId="3" applyFont="1" applyBorder="1"/>
    <xf numFmtId="0" fontId="41" fillId="0" borderId="0" xfId="3" applyFont="1" applyBorder="1"/>
    <xf numFmtId="164" fontId="41" fillId="0" borderId="6" xfId="3" applyNumberFormat="1" applyFont="1" applyBorder="1" applyAlignment="1" applyProtection="1">
      <alignment horizontal="center"/>
    </xf>
    <xf numFmtId="188" fontId="34" fillId="0" borderId="0" xfId="3" applyNumberFormat="1" applyAlignment="1" applyProtection="1">
      <alignment horizontal="center"/>
    </xf>
    <xf numFmtId="189" fontId="35" fillId="0" borderId="0" xfId="3" applyNumberFormat="1" applyFont="1" applyBorder="1" applyAlignment="1" applyProtection="1">
      <alignment horizontal="center"/>
    </xf>
    <xf numFmtId="189" fontId="35" fillId="0" borderId="6" xfId="3" applyNumberFormat="1" applyFont="1" applyBorder="1" applyAlignment="1" applyProtection="1">
      <alignment horizontal="center"/>
    </xf>
    <xf numFmtId="0" fontId="35" fillId="0" borderId="8" xfId="3" applyFont="1" applyBorder="1"/>
    <xf numFmtId="0" fontId="35" fillId="0" borderId="16" xfId="3" applyFont="1" applyBorder="1"/>
    <xf numFmtId="7" fontId="35" fillId="0" borderId="8" xfId="3" applyNumberFormat="1" applyFont="1" applyBorder="1"/>
    <xf numFmtId="7" fontId="35" fillId="0" borderId="0" xfId="3" applyNumberFormat="1" applyFont="1" applyBorder="1" applyProtection="1"/>
    <xf numFmtId="0" fontId="42" fillId="0" borderId="8" xfId="3" applyFont="1" applyBorder="1" applyProtection="1">
      <protection locked="0"/>
    </xf>
    <xf numFmtId="182" fontId="35" fillId="0" borderId="8" xfId="3" applyNumberFormat="1" applyFont="1" applyBorder="1" applyAlignment="1">
      <alignment horizontal="left"/>
    </xf>
    <xf numFmtId="0" fontId="35" fillId="0" borderId="9" xfId="3" applyFont="1" applyBorder="1"/>
    <xf numFmtId="7" fontId="35" fillId="0" borderId="8" xfId="3" applyNumberFormat="1" applyFont="1" applyBorder="1" applyProtection="1"/>
    <xf numFmtId="39" fontId="35" fillId="0" borderId="8" xfId="3" applyNumberFormat="1" applyFont="1" applyBorder="1" applyProtection="1"/>
    <xf numFmtId="39" fontId="35" fillId="0" borderId="9" xfId="3" applyNumberFormat="1" applyFont="1" applyBorder="1" applyProtection="1"/>
    <xf numFmtId="0" fontId="36" fillId="0" borderId="8" xfId="3" applyFont="1" applyBorder="1" applyProtection="1">
      <protection locked="0"/>
    </xf>
    <xf numFmtId="39" fontId="36" fillId="0" borderId="8" xfId="3" applyNumberFormat="1" applyFont="1" applyBorder="1" applyAlignment="1" applyProtection="1">
      <alignment horizontal="right"/>
      <protection locked="0"/>
    </xf>
    <xf numFmtId="39" fontId="36" fillId="0" borderId="9" xfId="3" applyNumberFormat="1" applyFont="1" applyBorder="1" applyAlignment="1" applyProtection="1">
      <alignment horizontal="right"/>
      <protection locked="0"/>
    </xf>
    <xf numFmtId="0" fontId="39" fillId="0" borderId="8" xfId="3" applyFont="1" applyBorder="1"/>
    <xf numFmtId="7" fontId="39" fillId="0" borderId="8" xfId="3" applyNumberFormat="1" applyFont="1" applyBorder="1" applyProtection="1"/>
    <xf numFmtId="39" fontId="39" fillId="0" borderId="8" xfId="3" applyNumberFormat="1" applyFont="1" applyBorder="1" applyProtection="1"/>
    <xf numFmtId="39" fontId="39" fillId="0" borderId="9" xfId="3" applyNumberFormat="1" applyFont="1" applyBorder="1" applyProtection="1"/>
    <xf numFmtId="0" fontId="35" fillId="0" borderId="16" xfId="3" quotePrefix="1" applyFont="1" applyBorder="1"/>
    <xf numFmtId="39" fontId="39" fillId="0" borderId="11" xfId="3" applyNumberFormat="1" applyFont="1" applyBorder="1" applyProtection="1"/>
    <xf numFmtId="39" fontId="39" fillId="0" borderId="17" xfId="3" applyNumberFormat="1" applyFont="1" applyBorder="1" applyProtection="1"/>
    <xf numFmtId="39" fontId="39" fillId="0" borderId="0" xfId="3" applyNumberFormat="1" applyFont="1" applyBorder="1" applyProtection="1"/>
    <xf numFmtId="39" fontId="39" fillId="0" borderId="6" xfId="3" applyNumberFormat="1" applyFont="1" applyBorder="1" applyProtection="1"/>
    <xf numFmtId="39" fontId="35" fillId="0" borderId="0" xfId="3" applyNumberFormat="1" applyFont="1" applyBorder="1" applyProtection="1"/>
    <xf numFmtId="39" fontId="35" fillId="0" borderId="6" xfId="3" applyNumberFormat="1" applyFont="1" applyBorder="1" applyProtection="1"/>
    <xf numFmtId="0" fontId="35" fillId="0" borderId="8" xfId="3" quotePrefix="1" applyFont="1" applyBorder="1"/>
    <xf numFmtId="44" fontId="35" fillId="0" borderId="8" xfId="2" applyFont="1" applyBorder="1" applyProtection="1"/>
    <xf numFmtId="44" fontId="35" fillId="0" borderId="9" xfId="2" applyFont="1" applyBorder="1" applyProtection="1"/>
    <xf numFmtId="39" fontId="35" fillId="0" borderId="18" xfId="3" applyNumberFormat="1" applyFont="1" applyBorder="1" applyProtection="1"/>
    <xf numFmtId="39" fontId="35" fillId="0" borderId="19" xfId="3" applyNumberFormat="1" applyFont="1" applyBorder="1" applyProtection="1"/>
    <xf numFmtId="0" fontId="35" fillId="0" borderId="8" xfId="3" applyFont="1" applyBorder="1" applyAlignment="1">
      <alignment horizontal="left"/>
    </xf>
    <xf numFmtId="0" fontId="35" fillId="0" borderId="7" xfId="3" applyFont="1" applyBorder="1"/>
    <xf numFmtId="0" fontId="34" fillId="0" borderId="0" xfId="3" applyBorder="1" applyAlignment="1">
      <alignment horizontal="right"/>
    </xf>
    <xf numFmtId="39" fontId="34" fillId="0" borderId="0" xfId="3" applyNumberFormat="1" applyBorder="1" applyProtection="1"/>
    <xf numFmtId="39" fontId="34" fillId="0" borderId="0" xfId="3" applyNumberFormat="1" applyProtection="1"/>
    <xf numFmtId="0" fontId="34" fillId="0" borderId="0" xfId="3" applyAlignment="1">
      <alignment horizontal="right"/>
    </xf>
    <xf numFmtId="7" fontId="34" fillId="0" borderId="0" xfId="3" applyNumberFormat="1" applyProtection="1"/>
    <xf numFmtId="0" fontId="1" fillId="0" borderId="11" xfId="4" applyBorder="1"/>
    <xf numFmtId="184" fontId="40" fillId="0" borderId="0" xfId="0" quotePrefix="1" applyNumberFormat="1" applyFont="1" applyAlignment="1" applyProtection="1">
      <alignment horizontal="left"/>
      <protection locked="0"/>
    </xf>
    <xf numFmtId="17" fontId="7" fillId="0" borderId="0" xfId="0" applyNumberFormat="1" applyFont="1" applyAlignment="1">
      <alignment horizontal="center"/>
    </xf>
    <xf numFmtId="44" fontId="21" fillId="0" borderId="13" xfId="0" applyNumberFormat="1" applyFont="1" applyBorder="1"/>
    <xf numFmtId="0" fontId="24" fillId="2" borderId="10" xfId="0" applyFont="1" applyFill="1" applyBorder="1" applyProtection="1"/>
    <xf numFmtId="43" fontId="0" fillId="0" borderId="10" xfId="1" applyFont="1" applyBorder="1"/>
    <xf numFmtId="43" fontId="27" fillId="0" borderId="0" xfId="1" applyFont="1"/>
    <xf numFmtId="43" fontId="27" fillId="0" borderId="10" xfId="1" applyFont="1" applyBorder="1"/>
    <xf numFmtId="2" fontId="27" fillId="0" borderId="10" xfId="0" applyNumberFormat="1" applyFont="1" applyBorder="1"/>
    <xf numFmtId="193" fontId="0" fillId="0" borderId="0" xfId="1" applyNumberFormat="1" applyFont="1"/>
    <xf numFmtId="0" fontId="0" fillId="0" borderId="3" xfId="0" applyBorder="1"/>
    <xf numFmtId="43" fontId="5" fillId="0" borderId="0" xfId="1" applyFont="1" applyBorder="1" applyProtection="1"/>
    <xf numFmtId="39" fontId="6" fillId="0" borderId="10" xfId="0" applyNumberFormat="1" applyFont="1" applyBorder="1" applyProtection="1"/>
    <xf numFmtId="39" fontId="6" fillId="0" borderId="0" xfId="0" applyNumberFormat="1" applyFont="1" applyBorder="1" applyProtection="1"/>
    <xf numFmtId="14" fontId="48" fillId="0" borderId="0" xfId="0" quotePrefix="1" applyNumberFormat="1" applyFont="1"/>
    <xf numFmtId="184" fontId="49" fillId="0" borderId="0" xfId="3" applyNumberFormat="1" applyFont="1" applyBorder="1" applyAlignment="1" applyProtection="1">
      <alignment horizontal="center"/>
    </xf>
    <xf numFmtId="170" fontId="7" fillId="0" borderId="0" xfId="2" applyNumberFormat="1" applyFont="1"/>
    <xf numFmtId="184" fontId="16" fillId="0" borderId="0" xfId="0" applyNumberFormat="1" applyFont="1" applyBorder="1" applyAlignment="1" applyProtection="1">
      <alignment horizontal="left"/>
      <protection locked="0"/>
    </xf>
    <xf numFmtId="198" fontId="50" fillId="0" borderId="0" xfId="0" applyNumberFormat="1" applyFont="1" applyFill="1" applyProtection="1"/>
    <xf numFmtId="44" fontId="5" fillId="0" borderId="14" xfId="2" applyFont="1" applyBorder="1" applyProtection="1"/>
    <xf numFmtId="44" fontId="16" fillId="0" borderId="10" xfId="0" applyNumberFormat="1" applyFont="1" applyBorder="1" applyProtection="1">
      <protection locked="0"/>
    </xf>
    <xf numFmtId="182" fontId="6" fillId="0" borderId="0" xfId="0" applyNumberFormat="1" applyFont="1" applyBorder="1" applyAlignment="1" applyProtection="1">
      <alignment horizontal="left"/>
    </xf>
    <xf numFmtId="182" fontId="6" fillId="0" borderId="1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0" fontId="27" fillId="0" borderId="0" xfId="0" applyFont="1"/>
    <xf numFmtId="169" fontId="5" fillId="0" borderId="0" xfId="1" applyNumberFormat="1" applyFont="1"/>
    <xf numFmtId="202" fontId="26" fillId="0" borderId="0" xfId="1" applyNumberFormat="1" applyFont="1"/>
    <xf numFmtId="44" fontId="26" fillId="0" borderId="11" xfId="2" applyFont="1" applyBorder="1"/>
    <xf numFmtId="43" fontId="53" fillId="0" borderId="0" xfId="1" applyFont="1"/>
    <xf numFmtId="10" fontId="1" fillId="0" borderId="0" xfId="5" applyNumberFormat="1" applyFill="1"/>
    <xf numFmtId="10" fontId="1" fillId="0" borderId="0" xfId="4" applyNumberFormat="1" applyFill="1"/>
    <xf numFmtId="169" fontId="1" fillId="0" borderId="0" xfId="4" applyNumberFormat="1" applyFont="1" applyAlignment="1"/>
    <xf numFmtId="169" fontId="13" fillId="0" borderId="0" xfId="1" applyNumberFormat="1" applyFont="1"/>
    <xf numFmtId="0" fontId="13" fillId="0" borderId="0" xfId="4" applyFont="1" applyAlignment="1"/>
    <xf numFmtId="44" fontId="6" fillId="0" borderId="10" xfId="2" applyFont="1" applyBorder="1"/>
    <xf numFmtId="2" fontId="27" fillId="0" borderId="0" xfId="0" applyNumberFormat="1" applyFont="1" applyFill="1"/>
    <xf numFmtId="1" fontId="27" fillId="0" borderId="10" xfId="0" applyNumberFormat="1" applyFont="1" applyBorder="1"/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  <xf numFmtId="182" fontId="0" fillId="0" borderId="0" xfId="0" applyNumberFormat="1"/>
    <xf numFmtId="7" fontId="36" fillId="0" borderId="0" xfId="0" applyNumberFormat="1" applyFont="1" applyProtection="1">
      <protection locked="0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44" fontId="0" fillId="0" borderId="0" xfId="0" applyNumberFormat="1" applyBorder="1"/>
    <xf numFmtId="0" fontId="6" fillId="0" borderId="0" xfId="0" applyFont="1"/>
    <xf numFmtId="0" fontId="19" fillId="0" borderId="0" xfId="0" applyFont="1" applyAlignment="1"/>
    <xf numFmtId="0" fontId="54" fillId="0" borderId="11" xfId="0" applyFont="1" applyBorder="1" applyAlignment="1"/>
    <xf numFmtId="203" fontId="26" fillId="0" borderId="0" xfId="2" applyNumberFormat="1" applyFont="1"/>
    <xf numFmtId="202" fontId="26" fillId="3" borderId="0" xfId="1" applyNumberFormat="1" applyFont="1" applyFill="1"/>
    <xf numFmtId="171" fontId="12" fillId="0" borderId="0" xfId="2" applyNumberFormat="1" applyFont="1"/>
    <xf numFmtId="171" fontId="1" fillId="0" borderId="0" xfId="2" applyNumberFormat="1" applyFont="1"/>
    <xf numFmtId="171" fontId="32" fillId="0" borderId="0" xfId="2" applyNumberFormat="1" applyFont="1"/>
    <xf numFmtId="43" fontId="13" fillId="0" borderId="0" xfId="1" applyFont="1"/>
    <xf numFmtId="0" fontId="12" fillId="0" borderId="0" xfId="4" applyFont="1" applyAlignment="1"/>
    <xf numFmtId="43" fontId="56" fillId="0" borderId="0" xfId="1" applyFont="1"/>
    <xf numFmtId="10" fontId="26" fillId="3" borderId="0" xfId="5" applyNumberFormat="1" applyFont="1" applyFill="1"/>
    <xf numFmtId="0" fontId="12" fillId="0" borderId="0" xfId="4" applyFont="1"/>
    <xf numFmtId="17" fontId="5" fillId="0" borderId="20" xfId="4" quotePrefix="1" applyNumberFormat="1" applyFont="1" applyBorder="1" applyAlignment="1">
      <alignment horizontal="center"/>
    </xf>
    <xf numFmtId="184" fontId="11" fillId="0" borderId="21" xfId="4" quotePrefix="1" applyNumberFormat="1" applyFont="1" applyBorder="1"/>
    <xf numFmtId="182" fontId="55" fillId="0" borderId="0" xfId="0" applyNumberFormat="1" applyFont="1" applyProtection="1">
      <protection locked="0"/>
    </xf>
    <xf numFmtId="0" fontId="55" fillId="0" borderId="0" xfId="0" applyFont="1" applyProtection="1">
      <protection locked="0"/>
    </xf>
    <xf numFmtId="3" fontId="36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39" fontId="36" fillId="0" borderId="0" xfId="0" applyNumberFormat="1" applyFont="1" applyProtection="1">
      <protection locked="0"/>
    </xf>
    <xf numFmtId="3" fontId="57" fillId="4" borderId="0" xfId="0" applyNumberFormat="1" applyFont="1" applyFill="1" applyAlignment="1" applyProtection="1">
      <alignment horizontal="center"/>
      <protection locked="0"/>
    </xf>
    <xf numFmtId="17" fontId="34" fillId="0" borderId="0" xfId="0" applyNumberFormat="1" applyFont="1" applyAlignment="1" applyProtection="1">
      <alignment horizontal="center"/>
      <protection locked="0"/>
    </xf>
    <xf numFmtId="14" fontId="34" fillId="0" borderId="0" xfId="0" quotePrefix="1" applyNumberFormat="1" applyFont="1" applyAlignment="1">
      <alignment horizontal="center"/>
    </xf>
    <xf numFmtId="171" fontId="34" fillId="0" borderId="0" xfId="2" applyNumberFormat="1" applyFont="1" applyAlignment="1" applyProtection="1">
      <alignment horizontal="center"/>
      <protection locked="0"/>
    </xf>
    <xf numFmtId="204" fontId="42" fillId="0" borderId="0" xfId="0" applyNumberFormat="1" applyFont="1" applyProtection="1">
      <protection locked="0"/>
    </xf>
    <xf numFmtId="0" fontId="1" fillId="0" borderId="0" xfId="4" applyFont="1" applyBorder="1"/>
    <xf numFmtId="173" fontId="26" fillId="0" borderId="0" xfId="1" applyNumberFormat="1" applyFont="1"/>
    <xf numFmtId="0" fontId="32" fillId="0" borderId="0" xfId="4" applyFont="1" applyAlignment="1">
      <alignment horizontal="right"/>
    </xf>
    <xf numFmtId="0" fontId="12" fillId="0" borderId="0" xfId="4" applyFont="1" applyFill="1" applyBorder="1"/>
    <xf numFmtId="17" fontId="12" fillId="0" borderId="0" xfId="4" applyNumberFormat="1" applyFont="1" applyFill="1" applyBorder="1"/>
    <xf numFmtId="169" fontId="12" fillId="0" borderId="0" xfId="1" applyNumberFormat="1" applyFont="1" applyFill="1" applyBorder="1"/>
    <xf numFmtId="171" fontId="12" fillId="0" borderId="0" xfId="2" applyNumberFormat="1" applyFont="1" applyFill="1" applyBorder="1"/>
    <xf numFmtId="169" fontId="1" fillId="0" borderId="22" xfId="1" applyNumberFormat="1" applyBorder="1"/>
    <xf numFmtId="44" fontId="27" fillId="0" borderId="10" xfId="2" applyFont="1" applyBorder="1"/>
    <xf numFmtId="0" fontId="6" fillId="0" borderId="10" xfId="0" applyFont="1" applyBorder="1"/>
    <xf numFmtId="169" fontId="6" fillId="0" borderId="10" xfId="1" applyNumberFormat="1" applyFont="1" applyBorder="1"/>
    <xf numFmtId="0" fontId="11" fillId="5" borderId="23" xfId="4" applyFont="1" applyFill="1" applyBorder="1"/>
    <xf numFmtId="0" fontId="1" fillId="0" borderId="24" xfId="4" applyFon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169" fontId="1" fillId="0" borderId="25" xfId="1" applyNumberFormat="1" applyBorder="1"/>
    <xf numFmtId="169" fontId="26" fillId="0" borderId="26" xfId="1" applyNumberFormat="1" applyFont="1" applyBorder="1"/>
    <xf numFmtId="169" fontId="26" fillId="0" borderId="0" xfId="1" applyNumberFormat="1" applyFont="1" applyBorder="1"/>
    <xf numFmtId="169" fontId="1" fillId="0" borderId="11" xfId="1" applyNumberFormat="1" applyBorder="1"/>
    <xf numFmtId="169" fontId="1" fillId="0" borderId="27" xfId="1" applyNumberFormat="1" applyFont="1" applyBorder="1" applyAlignment="1">
      <alignment horizontal="center"/>
    </xf>
    <xf numFmtId="0" fontId="1" fillId="0" borderId="28" xfId="4" applyFont="1" applyBorder="1" applyAlignment="1">
      <alignment horizontal="center"/>
    </xf>
    <xf numFmtId="169" fontId="1" fillId="0" borderId="26" xfId="1" applyNumberFormat="1" applyBorder="1"/>
    <xf numFmtId="0" fontId="1" fillId="0" borderId="26" xfId="4" applyBorder="1"/>
    <xf numFmtId="202" fontId="26" fillId="3" borderId="29" xfId="1" applyNumberFormat="1" applyFont="1" applyFill="1" applyBorder="1"/>
    <xf numFmtId="169" fontId="1" fillId="0" borderId="24" xfId="4" applyNumberFormat="1" applyBorder="1"/>
    <xf numFmtId="169" fontId="7" fillId="0" borderId="0" xfId="1" applyNumberFormat="1" applyFont="1"/>
    <xf numFmtId="44" fontId="5" fillId="0" borderId="30" xfId="0" applyNumberFormat="1" applyFont="1" applyBorder="1"/>
    <xf numFmtId="0" fontId="27" fillId="0" borderId="10" xfId="0" applyFont="1" applyBorder="1"/>
    <xf numFmtId="44" fontId="58" fillId="0" borderId="0" xfId="2" applyFont="1"/>
    <xf numFmtId="44" fontId="11" fillId="0" borderId="0" xfId="2" applyFont="1"/>
    <xf numFmtId="44" fontId="11" fillId="0" borderId="9" xfId="2" applyFont="1" applyBorder="1"/>
    <xf numFmtId="182" fontId="5" fillId="0" borderId="0" xfId="4" applyNumberFormat="1" applyFont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HECK REQUEST" xfId="3"/>
    <cellStyle name="Normal_NFMCINV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topLeftCell="A70" colorId="22" zoomScale="77" workbookViewId="0">
      <selection activeCell="C95" sqref="C95"/>
    </sheetView>
  </sheetViews>
  <sheetFormatPr defaultColWidth="9.6328125" defaultRowHeight="15"/>
  <cols>
    <col min="1" max="1" width="5.6328125" customWidth="1"/>
    <col min="2" max="2" width="25" bestFit="1" customWidth="1"/>
    <col min="3" max="3" width="12" customWidth="1"/>
    <col min="4" max="4" width="12.81640625" customWidth="1"/>
    <col min="5" max="5" width="4.36328125" customWidth="1"/>
    <col min="6" max="6" width="17.453125" customWidth="1"/>
    <col min="7" max="7" width="4.453125" customWidth="1"/>
    <col min="8" max="8" width="19.453125" bestFit="1" customWidth="1"/>
    <col min="9" max="9" width="17" bestFit="1" customWidth="1"/>
  </cols>
  <sheetData>
    <row r="1" spans="2:8" ht="24.6">
      <c r="B1" s="123" t="s">
        <v>83</v>
      </c>
      <c r="D1" s="122" t="s">
        <v>111</v>
      </c>
      <c r="F1" s="222">
        <v>37104</v>
      </c>
    </row>
    <row r="2" spans="2:8" ht="18.600000000000001">
      <c r="D2" s="122" t="s">
        <v>263</v>
      </c>
      <c r="F2" s="238">
        <f>DATE(YEAR(F1+31),MONTH(F1+31),1)-F1</f>
        <v>31</v>
      </c>
    </row>
    <row r="3" spans="2:8" ht="15.6">
      <c r="D3" s="122" t="s">
        <v>116</v>
      </c>
      <c r="F3" s="236">
        <v>2.46</v>
      </c>
    </row>
    <row r="4" spans="2:8" ht="15.6">
      <c r="D4" s="122" t="s">
        <v>270</v>
      </c>
      <c r="F4" s="316">
        <v>160</v>
      </c>
    </row>
    <row r="5" spans="2:8" ht="15.6">
      <c r="D5" s="122" t="s">
        <v>271</v>
      </c>
      <c r="F5" s="236">
        <v>2.65</v>
      </c>
    </row>
    <row r="6" spans="2:8" ht="15.6">
      <c r="B6" s="105" t="s">
        <v>75</v>
      </c>
      <c r="D6" s="122" t="s">
        <v>117</v>
      </c>
      <c r="F6" s="118">
        <v>1.46E-2</v>
      </c>
    </row>
    <row r="8" spans="2:8">
      <c r="B8" s="98" t="s">
        <v>115</v>
      </c>
      <c r="C8" s="102" t="s">
        <v>84</v>
      </c>
      <c r="D8" s="102" t="s">
        <v>79</v>
      </c>
      <c r="F8" s="102" t="s">
        <v>80</v>
      </c>
    </row>
    <row r="10" spans="2:8">
      <c r="B10" t="s">
        <v>76</v>
      </c>
      <c r="C10" s="125">
        <v>849</v>
      </c>
      <c r="D10" s="99">
        <v>4.07</v>
      </c>
      <c r="F10" s="100">
        <f>+C10*D10</f>
        <v>3455.4300000000003</v>
      </c>
    </row>
    <row r="11" spans="2:8">
      <c r="B11" t="s">
        <v>77</v>
      </c>
      <c r="C11" s="125">
        <v>658</v>
      </c>
      <c r="D11" s="99">
        <v>4.07</v>
      </c>
      <c r="F11" s="100">
        <f>+C11*D11</f>
        <v>2678.0600000000004</v>
      </c>
    </row>
    <row r="12" spans="2:8">
      <c r="B12" t="s">
        <v>78</v>
      </c>
      <c r="C12" s="125">
        <v>1302</v>
      </c>
      <c r="D12" s="99">
        <v>4.07</v>
      </c>
      <c r="F12" s="100">
        <f>+C12*D12</f>
        <v>5299.14</v>
      </c>
    </row>
    <row r="13" spans="2:8" ht="16.8">
      <c r="B13" t="s">
        <v>102</v>
      </c>
      <c r="C13" s="126">
        <v>124</v>
      </c>
      <c r="D13" s="99">
        <v>4.07</v>
      </c>
      <c r="F13" s="108">
        <f>+C13*D13</f>
        <v>504.68000000000006</v>
      </c>
    </row>
    <row r="14" spans="2:8">
      <c r="C14" s="104">
        <f>SUM(C10:C13)</f>
        <v>2933</v>
      </c>
      <c r="D14" s="99"/>
      <c r="F14" s="100">
        <f>SUM(F10:F13)</f>
        <v>11937.310000000001</v>
      </c>
      <c r="H14" s="101">
        <f>+F14</f>
        <v>11937.310000000001</v>
      </c>
    </row>
    <row r="15" spans="2:8">
      <c r="F15" s="100"/>
    </row>
    <row r="16" spans="2:8">
      <c r="B16" s="98" t="s">
        <v>81</v>
      </c>
      <c r="F16" s="100"/>
    </row>
    <row r="17" spans="2:8">
      <c r="F17" s="100"/>
    </row>
    <row r="18" spans="2:8">
      <c r="B18" t="s">
        <v>76</v>
      </c>
      <c r="C18" s="125">
        <v>1</v>
      </c>
      <c r="D18" s="100">
        <v>60</v>
      </c>
      <c r="F18" s="100">
        <f>C18*D18</f>
        <v>60</v>
      </c>
    </row>
    <row r="19" spans="2:8">
      <c r="B19" t="s">
        <v>77</v>
      </c>
      <c r="C19" s="125">
        <v>1</v>
      </c>
      <c r="D19" s="100">
        <v>60</v>
      </c>
      <c r="F19" s="100">
        <f>C19*D19</f>
        <v>60</v>
      </c>
    </row>
    <row r="20" spans="2:8">
      <c r="B20" t="s">
        <v>78</v>
      </c>
      <c r="C20" s="125">
        <v>1</v>
      </c>
      <c r="D20" s="100">
        <v>60</v>
      </c>
      <c r="F20" s="100">
        <f>C20*D20</f>
        <v>60</v>
      </c>
    </row>
    <row r="21" spans="2:8">
      <c r="B21" t="s">
        <v>102</v>
      </c>
      <c r="C21" s="127">
        <v>1</v>
      </c>
      <c r="D21" s="100">
        <v>60</v>
      </c>
      <c r="F21" s="110">
        <f>C21*D21</f>
        <v>60</v>
      </c>
    </row>
    <row r="22" spans="2:8">
      <c r="C22" s="258">
        <f>SUM(C18:C21)</f>
        <v>4</v>
      </c>
      <c r="D22" s="259"/>
      <c r="E22" s="259"/>
      <c r="F22" s="260">
        <f>SUM(F18:F21)</f>
        <v>240</v>
      </c>
      <c r="H22" s="101"/>
    </row>
    <row r="23" spans="2:8">
      <c r="F23" s="100"/>
    </row>
    <row r="24" spans="2:8">
      <c r="B24" s="98" t="s">
        <v>82</v>
      </c>
      <c r="F24" s="100"/>
    </row>
    <row r="25" spans="2:8">
      <c r="F25" s="100"/>
    </row>
    <row r="26" spans="2:8">
      <c r="B26" t="s">
        <v>76</v>
      </c>
      <c r="C26" s="125">
        <v>3325</v>
      </c>
      <c r="D26">
        <v>0.25</v>
      </c>
      <c r="F26" s="100">
        <f>ROUND(+C26*D26,2)</f>
        <v>831.25</v>
      </c>
    </row>
    <row r="27" spans="2:8">
      <c r="B27" t="s">
        <v>77</v>
      </c>
      <c r="C27" s="125">
        <f>1606+62</f>
        <v>1668</v>
      </c>
      <c r="D27">
        <v>0.25</v>
      </c>
      <c r="F27" s="100">
        <f>ROUND(+C27*D27,2)</f>
        <v>417</v>
      </c>
    </row>
    <row r="28" spans="2:8">
      <c r="B28" t="s">
        <v>78</v>
      </c>
      <c r="C28" s="125">
        <f>864+2120</f>
        <v>2984</v>
      </c>
      <c r="D28">
        <v>0.25</v>
      </c>
      <c r="F28" s="100">
        <f>ROUND(+C28*D28,2)</f>
        <v>746</v>
      </c>
    </row>
    <row r="29" spans="2:8">
      <c r="B29" t="s">
        <v>102</v>
      </c>
      <c r="C29" s="127">
        <v>0</v>
      </c>
      <c r="D29">
        <v>0.25</v>
      </c>
      <c r="F29" s="110">
        <f>ROUND(+C29*D29,2)</f>
        <v>0</v>
      </c>
    </row>
    <row r="30" spans="2:8" ht="15.6">
      <c r="C30" s="246">
        <f>SUM(C26:C29)</f>
        <v>7977</v>
      </c>
      <c r="F30" s="100">
        <f>SUM(F26:F29)</f>
        <v>1994.25</v>
      </c>
      <c r="H30" s="101">
        <f>+F30+F22+F38+F44</f>
        <v>3686.2</v>
      </c>
    </row>
    <row r="31" spans="2:8">
      <c r="F31" s="100"/>
      <c r="H31" s="101"/>
    </row>
    <row r="32" spans="2:8">
      <c r="B32" s="98" t="s">
        <v>91</v>
      </c>
      <c r="F32" s="100"/>
    </row>
    <row r="33" spans="2:10" ht="15.6">
      <c r="F33" s="100"/>
      <c r="I33" s="263" t="s">
        <v>221</v>
      </c>
    </row>
    <row r="34" spans="2:10">
      <c r="B34" t="s">
        <v>76</v>
      </c>
      <c r="C34" s="104"/>
      <c r="D34" s="245"/>
      <c r="F34" s="128">
        <f>13.47+43.03+273.84+156.28</f>
        <v>486.62</v>
      </c>
      <c r="H34" s="101"/>
      <c r="I34" s="101">
        <f>F10+F18+F26+F34+F40</f>
        <v>4833.3</v>
      </c>
      <c r="J34" t="s">
        <v>76</v>
      </c>
    </row>
    <row r="35" spans="2:10">
      <c r="B35" t="s">
        <v>77</v>
      </c>
      <c r="C35" s="104"/>
      <c r="F35" s="128">
        <f>9.78+31.24+198.76+78.39</f>
        <v>318.16999999999996</v>
      </c>
      <c r="H35" s="101"/>
      <c r="I35" s="120">
        <f>F11+F19+F27+F35+F41</f>
        <v>3473.2300000000005</v>
      </c>
      <c r="J35" t="s">
        <v>77</v>
      </c>
    </row>
    <row r="36" spans="2:10">
      <c r="B36" t="s">
        <v>78</v>
      </c>
      <c r="C36" s="104"/>
      <c r="F36" s="128">
        <f>18.93+60.44+384.63+140.25</f>
        <v>604.25</v>
      </c>
      <c r="H36" s="101"/>
      <c r="I36" s="120">
        <f>F12+F20+F28+F36+F42</f>
        <v>6709.39</v>
      </c>
      <c r="J36" t="s">
        <v>78</v>
      </c>
    </row>
    <row r="37" spans="2:10">
      <c r="B37" t="s">
        <v>102</v>
      </c>
      <c r="C37" s="104"/>
      <c r="F37" s="299">
        <f>1.75+5.59+35.57</f>
        <v>42.91</v>
      </c>
      <c r="H37" s="101"/>
      <c r="I37" s="225">
        <f>F13+F21+F29+F37+F43</f>
        <v>607.59</v>
      </c>
      <c r="J37" t="s">
        <v>102</v>
      </c>
    </row>
    <row r="38" spans="2:10">
      <c r="F38" s="100">
        <f>SUM(F33:F37)</f>
        <v>1451.95</v>
      </c>
      <c r="H38" s="101"/>
      <c r="I38" s="100">
        <f>SUM(I33:I37)</f>
        <v>15623.510000000002</v>
      </c>
    </row>
    <row r="39" spans="2:10">
      <c r="B39" s="245" t="s">
        <v>239</v>
      </c>
      <c r="F39" s="100"/>
      <c r="H39" s="101"/>
      <c r="I39" s="100"/>
    </row>
    <row r="40" spans="2:10">
      <c r="B40" s="245"/>
      <c r="C40" s="125">
        <v>0</v>
      </c>
      <c r="D40" s="226">
        <v>0</v>
      </c>
      <c r="F40" s="100">
        <f>ROUND(C40*D40,2)</f>
        <v>0</v>
      </c>
      <c r="H40" s="101"/>
      <c r="I40" s="100"/>
    </row>
    <row r="41" spans="2:10">
      <c r="B41" s="245"/>
      <c r="C41" s="125">
        <v>0</v>
      </c>
      <c r="D41" s="226">
        <v>0</v>
      </c>
      <c r="F41" s="100">
        <f>ROUND(C41*D41,2)</f>
        <v>0</v>
      </c>
      <c r="H41" s="101"/>
      <c r="I41" s="100"/>
    </row>
    <row r="42" spans="2:10">
      <c r="B42" s="245"/>
      <c r="C42" s="125">
        <v>0</v>
      </c>
      <c r="D42" s="226">
        <v>0</v>
      </c>
      <c r="F42" s="100">
        <f>ROUND(C42*D42,2)</f>
        <v>0</v>
      </c>
      <c r="H42" s="101"/>
      <c r="I42" s="100"/>
    </row>
    <row r="43" spans="2:10">
      <c r="B43" s="245"/>
      <c r="C43" s="127">
        <v>0</v>
      </c>
      <c r="D43" s="226">
        <v>0</v>
      </c>
      <c r="F43" s="255">
        <f>ROUND(C43*D43,2)</f>
        <v>0</v>
      </c>
      <c r="H43" s="101"/>
    </row>
    <row r="44" spans="2:10">
      <c r="B44" s="245"/>
      <c r="C44" s="104">
        <f>SUM(C40:C43)</f>
        <v>0</v>
      </c>
      <c r="F44" s="100">
        <f>SUM(F40:F43)</f>
        <v>0</v>
      </c>
      <c r="H44" s="101"/>
    </row>
    <row r="45" spans="2:10">
      <c r="B45" s="245"/>
      <c r="F45" s="100"/>
      <c r="H45" s="101"/>
    </row>
    <row r="46" spans="2:10" ht="16.2" thickBot="1">
      <c r="B46" s="103" t="s">
        <v>85</v>
      </c>
      <c r="F46" s="130">
        <f>F44+F38+F30+F22+F14</f>
        <v>15623.510000000002</v>
      </c>
    </row>
    <row r="47" spans="2:10" ht="15.6" thickTop="1">
      <c r="F47" s="100"/>
    </row>
    <row r="48" spans="2:10">
      <c r="F48" s="100"/>
    </row>
    <row r="49" spans="2:8">
      <c r="F49" s="100"/>
    </row>
    <row r="50" spans="2:8" ht="15.6">
      <c r="B50" s="105" t="s">
        <v>86</v>
      </c>
      <c r="F50" s="100"/>
    </row>
    <row r="51" spans="2:8">
      <c r="F51" s="100"/>
    </row>
    <row r="52" spans="2:8" ht="16.8">
      <c r="B52" s="98" t="s">
        <v>87</v>
      </c>
      <c r="C52" s="243" t="s">
        <v>223</v>
      </c>
      <c r="D52" s="243" t="s">
        <v>225</v>
      </c>
      <c r="F52" s="244" t="s">
        <v>224</v>
      </c>
    </row>
    <row r="53" spans="2:8">
      <c r="F53" s="100"/>
    </row>
    <row r="54" spans="2:8">
      <c r="B54" t="s">
        <v>76</v>
      </c>
      <c r="C54" s="256">
        <v>166.73</v>
      </c>
      <c r="D54" s="229">
        <v>2.89</v>
      </c>
      <c r="F54" s="128">
        <f>C54*D54</f>
        <v>481.84969999999998</v>
      </c>
    </row>
    <row r="55" spans="2:8">
      <c r="B55" t="s">
        <v>77</v>
      </c>
      <c r="C55" s="256">
        <v>83.64</v>
      </c>
      <c r="D55" s="229">
        <f>$D$54</f>
        <v>2.89</v>
      </c>
      <c r="F55" s="226">
        <f>C55*D55</f>
        <v>241.71960000000001</v>
      </c>
    </row>
    <row r="56" spans="2:8">
      <c r="B56" t="s">
        <v>78</v>
      </c>
      <c r="C56" s="256">
        <v>149.63</v>
      </c>
      <c r="D56" s="229">
        <f>$D$54</f>
        <v>2.89</v>
      </c>
      <c r="F56" s="226">
        <f>C56*D56</f>
        <v>432.4307</v>
      </c>
    </row>
    <row r="57" spans="2:8">
      <c r="B57" t="s">
        <v>102</v>
      </c>
      <c r="C57" s="228">
        <v>0</v>
      </c>
      <c r="D57" s="229">
        <f>$D$54</f>
        <v>2.89</v>
      </c>
      <c r="F57" s="227">
        <f>C57*D57</f>
        <v>0</v>
      </c>
    </row>
    <row r="58" spans="2:8">
      <c r="C58">
        <f>SUM(C54:C57)</f>
        <v>400</v>
      </c>
      <c r="F58" s="100">
        <f>SUM(F54:F57)</f>
        <v>1156</v>
      </c>
      <c r="H58" s="101">
        <f>+F58+F65+F72</f>
        <v>1156</v>
      </c>
    </row>
    <row r="59" spans="2:8">
      <c r="B59" s="98" t="s">
        <v>88</v>
      </c>
      <c r="F59" s="100"/>
    </row>
    <row r="60" spans="2:8">
      <c r="F60" s="100"/>
    </row>
    <row r="61" spans="2:8">
      <c r="B61" t="s">
        <v>76</v>
      </c>
      <c r="C61" s="245">
        <v>0</v>
      </c>
      <c r="D61" s="245">
        <v>4.9241999999999999</v>
      </c>
      <c r="F61" s="100">
        <f>ROUND(+C61*D61,2)</f>
        <v>0</v>
      </c>
    </row>
    <row r="62" spans="2:8">
      <c r="B62" t="s">
        <v>77</v>
      </c>
      <c r="C62" s="245">
        <v>0</v>
      </c>
      <c r="D62" s="245">
        <f>$D$61</f>
        <v>4.9241999999999999</v>
      </c>
      <c r="F62" s="249">
        <f>ROUND(+C62*D62,2)</f>
        <v>0</v>
      </c>
      <c r="H62" s="101"/>
    </row>
    <row r="63" spans="2:8">
      <c r="B63" t="s">
        <v>78</v>
      </c>
      <c r="C63" s="245">
        <v>0</v>
      </c>
      <c r="D63" s="245">
        <f>$D$61</f>
        <v>4.9241999999999999</v>
      </c>
      <c r="F63" s="120">
        <f>ROUND(+C63*D63,2)</f>
        <v>0</v>
      </c>
      <c r="H63" s="101"/>
    </row>
    <row r="64" spans="2:8">
      <c r="B64" t="s">
        <v>102</v>
      </c>
      <c r="C64" s="257">
        <v>0</v>
      </c>
      <c r="D64" s="245">
        <f>$D$61</f>
        <v>4.9241999999999999</v>
      </c>
      <c r="F64" s="225">
        <f>+C64*D64</f>
        <v>0</v>
      </c>
      <c r="H64" s="99"/>
    </row>
    <row r="65" spans="2:10">
      <c r="C65">
        <f>SUM(C61:C64)</f>
        <v>0</v>
      </c>
      <c r="F65" s="100">
        <f>SUM(F61:F64)</f>
        <v>0</v>
      </c>
      <c r="H65" s="101"/>
    </row>
    <row r="66" spans="2:10">
      <c r="F66" s="100"/>
    </row>
    <row r="67" spans="2:10" ht="15.6">
      <c r="B67" s="98" t="s">
        <v>97</v>
      </c>
      <c r="F67" s="100"/>
      <c r="I67" s="264" t="s">
        <v>222</v>
      </c>
    </row>
    <row r="68" spans="2:10">
      <c r="B68" t="s">
        <v>76</v>
      </c>
      <c r="F68" s="128">
        <v>0</v>
      </c>
      <c r="H68" s="101"/>
      <c r="I68" s="101">
        <f>F54+F61+F68</f>
        <v>481.84969999999998</v>
      </c>
      <c r="J68" t="s">
        <v>76</v>
      </c>
    </row>
    <row r="69" spans="2:10">
      <c r="B69" t="s">
        <v>77</v>
      </c>
      <c r="F69" s="226">
        <v>0</v>
      </c>
      <c r="H69" s="101"/>
      <c r="I69" s="120">
        <f>F55+F62+F69</f>
        <v>241.71960000000001</v>
      </c>
      <c r="J69" t="s">
        <v>77</v>
      </c>
    </row>
    <row r="70" spans="2:10">
      <c r="B70" t="s">
        <v>78</v>
      </c>
      <c r="F70" s="226">
        <v>0</v>
      </c>
      <c r="H70" s="101"/>
      <c r="I70" s="120">
        <f>F56+F63+F70</f>
        <v>432.4307</v>
      </c>
      <c r="J70" t="s">
        <v>78</v>
      </c>
    </row>
    <row r="71" spans="2:10">
      <c r="B71" t="s">
        <v>102</v>
      </c>
      <c r="F71" s="227">
        <v>0</v>
      </c>
      <c r="H71" s="101"/>
      <c r="I71" s="225">
        <f>F57+F64+F71</f>
        <v>0</v>
      </c>
      <c r="J71" t="s">
        <v>102</v>
      </c>
    </row>
    <row r="72" spans="2:10">
      <c r="C72" t="s">
        <v>95</v>
      </c>
      <c r="F72" s="101">
        <f>SUM(F68:F71)</f>
        <v>0</v>
      </c>
      <c r="H72" s="101"/>
      <c r="I72" s="101">
        <f>SUM(I68:I71)</f>
        <v>1156</v>
      </c>
    </row>
    <row r="73" spans="2:10">
      <c r="F73" s="100"/>
    </row>
    <row r="74" spans="2:10" ht="15.6">
      <c r="B74" s="103" t="s">
        <v>89</v>
      </c>
      <c r="F74" s="100">
        <f>+F72+F65+F58</f>
        <v>1156</v>
      </c>
      <c r="H74" s="101"/>
    </row>
    <row r="75" spans="2:10" ht="15.6">
      <c r="B75" s="103"/>
      <c r="F75" s="100"/>
    </row>
    <row r="76" spans="2:10">
      <c r="F76" s="106"/>
    </row>
    <row r="77" spans="2:10" ht="15.6">
      <c r="B77" s="105" t="s">
        <v>93</v>
      </c>
      <c r="F77" s="100"/>
    </row>
    <row r="78" spans="2:10">
      <c r="B78" t="s">
        <v>92</v>
      </c>
      <c r="F78" s="100">
        <f>+F10+F18+F26+F34+F40+F68+F54+F61</f>
        <v>5315.1496999999999</v>
      </c>
      <c r="H78" s="101"/>
    </row>
    <row r="79" spans="2:10">
      <c r="B79" t="s">
        <v>77</v>
      </c>
      <c r="F79" s="100">
        <f>+F11+F19+F27+F35+F41+F69+F55+F62</f>
        <v>3714.9496000000004</v>
      </c>
      <c r="H79" s="101"/>
      <c r="I79" s="101"/>
    </row>
    <row r="80" spans="2:10">
      <c r="B80" t="s">
        <v>78</v>
      </c>
      <c r="F80" s="100">
        <f>+F12+F20+F28+F36+F42+F70+F56+F63</f>
        <v>7141.8207000000002</v>
      </c>
      <c r="H80" s="101">
        <f>SUM(F78:F82)</f>
        <v>16779.509999999998</v>
      </c>
      <c r="I80" s="101"/>
    </row>
    <row r="81" spans="2:9">
      <c r="B81" t="s">
        <v>102</v>
      </c>
      <c r="F81" s="100">
        <f>+F13+F21+F29+F37+F43+F71+F57+F64</f>
        <v>607.59</v>
      </c>
      <c r="H81" s="101"/>
    </row>
    <row r="82" spans="2:9">
      <c r="B82" s="245" t="s">
        <v>246</v>
      </c>
      <c r="F82" s="299">
        <v>0</v>
      </c>
      <c r="H82" s="101"/>
    </row>
    <row r="83" spans="2:9">
      <c r="F83" s="100"/>
    </row>
    <row r="84" spans="2:9" ht="17.399999999999999">
      <c r="C84" s="107" t="s">
        <v>94</v>
      </c>
      <c r="F84" s="100">
        <f>SUM(F78:F83)</f>
        <v>16779.509999999998</v>
      </c>
      <c r="H84" s="317">
        <f>SUM(H13:H58)</f>
        <v>16779.510000000002</v>
      </c>
      <c r="I84" s="276">
        <f>H84-F84</f>
        <v>0</v>
      </c>
    </row>
    <row r="85" spans="2:9" ht="17.399999999999999">
      <c r="C85" s="107"/>
      <c r="F85" s="100"/>
      <c r="H85" s="265"/>
      <c r="I85" s="101"/>
    </row>
    <row r="86" spans="2:9" ht="15.6">
      <c r="B86" s="268" t="s">
        <v>272</v>
      </c>
      <c r="C86" s="243" t="s">
        <v>241</v>
      </c>
      <c r="D86" s="243" t="s">
        <v>79</v>
      </c>
      <c r="E86" s="122"/>
      <c r="F86" s="243" t="s">
        <v>242</v>
      </c>
    </row>
    <row r="87" spans="2:9" ht="15.6">
      <c r="B87" s="266" t="s">
        <v>273</v>
      </c>
      <c r="C87" s="119">
        <f>C89-C88</f>
        <v>3135</v>
      </c>
      <c r="D87" s="129">
        <f>$F$3-0.25</f>
        <v>2.21</v>
      </c>
      <c r="F87" s="100">
        <f>ROUND(+C87*D87,2)</f>
        <v>6928.35</v>
      </c>
      <c r="I87" s="276"/>
    </row>
    <row r="88" spans="2:9" ht="15.6">
      <c r="B88" s="300" t="s">
        <v>274</v>
      </c>
      <c r="C88" s="301">
        <f>ROUND(F4*F2,0)</f>
        <v>4960</v>
      </c>
      <c r="D88" s="110">
        <f>F5</f>
        <v>2.65</v>
      </c>
      <c r="F88" s="110">
        <f>ROUND(+C88*D88,2)</f>
        <v>13144</v>
      </c>
      <c r="H88" s="101"/>
      <c r="I88" s="276"/>
    </row>
    <row r="89" spans="2:9" ht="15.6">
      <c r="B89" s="103" t="s">
        <v>262</v>
      </c>
      <c r="C89" s="246">
        <f>ROUND(+C30/(1-$F$6),0)</f>
        <v>8095</v>
      </c>
      <c r="D89" s="129"/>
      <c r="F89" s="100"/>
      <c r="H89" s="317">
        <f>SUM(F87:F88)</f>
        <v>20072.349999999999</v>
      </c>
      <c r="I89" s="276"/>
    </row>
    <row r="90" spans="2:9">
      <c r="C90" s="119"/>
      <c r="D90" s="129"/>
      <c r="F90" s="100"/>
    </row>
    <row r="91" spans="2:9">
      <c r="B91" s="318" t="s">
        <v>238</v>
      </c>
      <c r="C91" s="119"/>
      <c r="D91" s="106"/>
      <c r="F91" s="100"/>
      <c r="H91" s="98" t="s">
        <v>240</v>
      </c>
    </row>
    <row r="92" spans="2:9">
      <c r="B92" s="125">
        <v>0</v>
      </c>
      <c r="C92" s="125">
        <f>ROUND(+H92/(1-$F$6),0)</f>
        <v>0</v>
      </c>
      <c r="D92" s="128">
        <f>$F$3-0.25</f>
        <v>2.21</v>
      </c>
      <c r="E92" s="245"/>
      <c r="F92" s="100">
        <f>ROUND(+C92*D92,2)</f>
        <v>0</v>
      </c>
      <c r="H92" s="125">
        <f>C40</f>
        <v>0</v>
      </c>
    </row>
    <row r="93" spans="2:9">
      <c r="B93" s="125">
        <v>0</v>
      </c>
      <c r="C93" s="125">
        <f>ROUND(+H93/(1-$F$6),0)</f>
        <v>0</v>
      </c>
      <c r="D93" s="128">
        <f>$F$3-0.25</f>
        <v>2.21</v>
      </c>
      <c r="E93" s="245"/>
      <c r="F93" s="100">
        <f>ROUND(+C93*D93,2)</f>
        <v>0</v>
      </c>
      <c r="H93" s="125">
        <f>C41</f>
        <v>0</v>
      </c>
    </row>
    <row r="94" spans="2:9">
      <c r="B94" s="125">
        <v>0</v>
      </c>
      <c r="C94" s="125">
        <f>ROUND(+H94/(1-$F$6),0)</f>
        <v>0</v>
      </c>
      <c r="D94" s="128">
        <f>$F$3-0.25</f>
        <v>2.21</v>
      </c>
      <c r="E94" s="245"/>
      <c r="F94" s="100">
        <f>ROUND(+C94*D94,2)</f>
        <v>0</v>
      </c>
      <c r="H94" s="125">
        <f>C42</f>
        <v>0</v>
      </c>
    </row>
    <row r="95" spans="2:9">
      <c r="B95" s="125">
        <v>0</v>
      </c>
      <c r="C95" s="125">
        <f>ROUND(+H95/(1-$F$6),0)</f>
        <v>0</v>
      </c>
      <c r="D95" s="128">
        <f>$F$3-0.25</f>
        <v>2.21</v>
      </c>
      <c r="E95" s="245"/>
      <c r="F95" s="100">
        <f>ROUND(+C95*D95,2)</f>
        <v>0</v>
      </c>
      <c r="H95" s="125">
        <f>C43</f>
        <v>0</v>
      </c>
    </row>
    <row r="97" spans="1:9" ht="25.2" thickBot="1">
      <c r="C97" s="267" t="s">
        <v>90</v>
      </c>
      <c r="H97" s="101"/>
      <c r="I97" s="223">
        <f>SUM(H84,H89,F92:F95)</f>
        <v>36851.86</v>
      </c>
    </row>
    <row r="98" spans="1:9" ht="15.6" thickTop="1"/>
    <row r="99" spans="1:9">
      <c r="A99" s="3"/>
      <c r="B99" s="18"/>
      <c r="C99" s="18"/>
      <c r="D99" s="18"/>
      <c r="E99" s="18"/>
      <c r="F99" s="18"/>
      <c r="G99" s="4"/>
      <c r="H99" s="4"/>
    </row>
    <row r="100" spans="1:9">
      <c r="A100" s="3"/>
      <c r="B100" s="18"/>
      <c r="C100" s="18"/>
      <c r="D100" s="18"/>
      <c r="E100" s="18"/>
      <c r="F100" s="18"/>
      <c r="G100" s="4"/>
      <c r="H100" s="4"/>
    </row>
    <row r="101" spans="1:9">
      <c r="A101" s="4"/>
      <c r="B101" s="4"/>
      <c r="C101" s="4"/>
      <c r="D101" s="4"/>
      <c r="E101" s="4"/>
      <c r="F101" s="4"/>
      <c r="G101" s="4"/>
      <c r="H101" s="4"/>
    </row>
    <row r="102" spans="1:9">
      <c r="A102" s="4"/>
      <c r="B102" s="4"/>
      <c r="C102" s="4"/>
      <c r="D102" s="4"/>
      <c r="E102" s="4"/>
      <c r="F102" s="4"/>
      <c r="G102" s="4"/>
      <c r="H102" s="4"/>
    </row>
    <row r="103" spans="1:9">
      <c r="A103" s="4"/>
      <c r="B103" s="4"/>
      <c r="C103" s="4"/>
      <c r="D103" s="4"/>
      <c r="E103" s="4"/>
      <c r="F103" s="4"/>
      <c r="G103" s="4"/>
      <c r="H103" s="4"/>
    </row>
    <row r="104" spans="1:9">
      <c r="A104" s="4"/>
      <c r="B104" s="4"/>
      <c r="C104" s="4"/>
      <c r="D104" s="4"/>
      <c r="E104" s="4"/>
      <c r="F104" s="4"/>
      <c r="G104" s="4"/>
      <c r="H104" s="4"/>
    </row>
    <row r="105" spans="1:9">
      <c r="A105" s="4"/>
      <c r="B105" s="4"/>
      <c r="F105" s="4"/>
      <c r="G105" s="4"/>
      <c r="H105" s="4"/>
    </row>
    <row r="106" spans="1:9">
      <c r="A106" s="4"/>
      <c r="B106" s="4"/>
      <c r="F106" s="4"/>
      <c r="G106" s="4"/>
      <c r="H106" s="4"/>
    </row>
    <row r="107" spans="1:9">
      <c r="A107" s="4"/>
      <c r="B107" s="4"/>
      <c r="F107" s="4"/>
      <c r="G107" s="4"/>
      <c r="H107" s="4"/>
    </row>
    <row r="108" spans="1:9">
      <c r="A108" s="4"/>
      <c r="B108" s="4"/>
      <c r="F108" s="4"/>
      <c r="G108" s="4"/>
      <c r="H108" s="4"/>
    </row>
    <row r="109" spans="1:9">
      <c r="A109" s="4"/>
      <c r="B109" s="4"/>
      <c r="F109" s="4"/>
      <c r="G109" s="4"/>
      <c r="H109" s="4"/>
    </row>
    <row r="110" spans="1:9">
      <c r="A110" s="4"/>
      <c r="B110" s="4"/>
      <c r="F110" s="4"/>
      <c r="G110" s="4"/>
      <c r="H110" s="4"/>
    </row>
    <row r="111" spans="1:9">
      <c r="A111" s="4"/>
      <c r="B111" s="4"/>
      <c r="F111" s="4"/>
      <c r="G111" s="4"/>
      <c r="H111" s="4"/>
    </row>
    <row r="112" spans="1:9">
      <c r="A112" s="4"/>
      <c r="B112" s="4"/>
      <c r="F112" s="4"/>
      <c r="G112" s="4"/>
      <c r="H112" s="4"/>
    </row>
    <row r="113" spans="1:8">
      <c r="A113" s="4"/>
      <c r="B113" s="4"/>
      <c r="F113" s="4"/>
      <c r="G113" s="4"/>
      <c r="H113" s="4"/>
    </row>
    <row r="114" spans="1:8">
      <c r="A114" s="4"/>
      <c r="B114" s="4"/>
      <c r="F114" s="4"/>
      <c r="G114" s="4"/>
      <c r="H114" s="4"/>
    </row>
    <row r="115" spans="1:8">
      <c r="A115" s="4"/>
      <c r="B115" s="4"/>
      <c r="F115" s="4"/>
      <c r="G115" s="4"/>
      <c r="H115" s="4"/>
    </row>
    <row r="116" spans="1:8">
      <c r="A116" s="4"/>
      <c r="B116" s="4"/>
      <c r="F116" s="4"/>
      <c r="G116" s="4"/>
      <c r="H116" s="4"/>
    </row>
    <row r="117" spans="1:8">
      <c r="A117" s="4"/>
      <c r="B117" s="4"/>
      <c r="F117" s="4"/>
      <c r="G117" s="4"/>
      <c r="H117" s="4"/>
    </row>
    <row r="118" spans="1:8">
      <c r="F118" s="4"/>
      <c r="G118" s="4"/>
      <c r="H118" s="4"/>
    </row>
    <row r="119" spans="1:8">
      <c r="F119" s="4"/>
      <c r="G119" s="4"/>
      <c r="H119" s="4"/>
    </row>
    <row r="120" spans="1:8">
      <c r="F120" s="4"/>
      <c r="G120" s="4"/>
      <c r="H120" s="4"/>
    </row>
    <row r="121" spans="1:8">
      <c r="F121" s="4"/>
      <c r="G121" s="4"/>
      <c r="H121" s="4"/>
    </row>
    <row r="122" spans="1:8">
      <c r="F122" s="4"/>
      <c r="G122" s="4"/>
      <c r="H122" s="4"/>
    </row>
    <row r="123" spans="1:8">
      <c r="F123" s="4"/>
      <c r="G123" s="4"/>
      <c r="H123" s="4"/>
    </row>
    <row r="124" spans="1:8">
      <c r="F124" s="4"/>
      <c r="G124" s="4"/>
      <c r="H124" s="4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A70" zoomScale="75" workbookViewId="0">
      <selection activeCell="A7" sqref="A7"/>
    </sheetView>
  </sheetViews>
  <sheetFormatPr defaultColWidth="7.1796875" defaultRowHeight="13.2"/>
  <cols>
    <col min="1" max="1" width="27" style="34" customWidth="1"/>
    <col min="2" max="2" width="11" style="34" customWidth="1"/>
    <col min="3" max="3" width="8.453125" style="34" customWidth="1"/>
    <col min="4" max="4" width="7.1796875" style="34" customWidth="1"/>
    <col min="5" max="5" width="8" style="34" customWidth="1"/>
    <col min="6" max="6" width="9.1796875" style="34" customWidth="1"/>
    <col min="7" max="7" width="11.453125" style="34" customWidth="1"/>
    <col min="8" max="8" width="16.08984375" style="34" customWidth="1"/>
    <col min="9" max="9" width="3.36328125" style="34" customWidth="1"/>
    <col min="10" max="10" width="23.08984375" style="34" bestFit="1" customWidth="1"/>
    <col min="11" max="11" width="10.36328125" style="34" bestFit="1" customWidth="1"/>
    <col min="12" max="12" width="11.453125" style="34" customWidth="1"/>
    <col min="13" max="13" width="10.453125" style="34" bestFit="1" customWidth="1"/>
    <col min="14" max="16384" width="7.1796875" style="34"/>
  </cols>
  <sheetData>
    <row r="1" spans="1:14" ht="21" thickBot="1">
      <c r="A1" s="115" t="s">
        <v>228</v>
      </c>
      <c r="J1" s="279">
        <f>'PSCO WKST'!F1</f>
        <v>37104</v>
      </c>
      <c r="L1" s="124" t="s">
        <v>70</v>
      </c>
      <c r="M1" s="280">
        <f>J1+60</f>
        <v>37164</v>
      </c>
    </row>
    <row r="2" spans="1:14" ht="15.6">
      <c r="A2" s="322">
        <f>+J1</f>
        <v>37104</v>
      </c>
      <c r="J2" s="278"/>
      <c r="L2" s="67" t="s">
        <v>118</v>
      </c>
      <c r="M2" s="273">
        <v>2.0299999999999998</v>
      </c>
    </row>
    <row r="3" spans="1:14" ht="13.8" thickBot="1">
      <c r="A3" s="70"/>
      <c r="J3" s="302" t="s">
        <v>113</v>
      </c>
    </row>
    <row r="4" spans="1:14">
      <c r="A4" s="35" t="s">
        <v>34</v>
      </c>
      <c r="B4" s="36" t="str">
        <f>J3</f>
        <v>33175000 TF-1</v>
      </c>
      <c r="C4" s="37"/>
      <c r="D4" s="37"/>
      <c r="E4" s="37"/>
      <c r="F4" s="37"/>
      <c r="G4" s="37"/>
      <c r="H4" s="38"/>
      <c r="K4" s="90" t="s">
        <v>72</v>
      </c>
    </row>
    <row r="5" spans="1:14">
      <c r="A5" s="39"/>
      <c r="B5" s="40"/>
      <c r="C5" s="40"/>
      <c r="D5" s="41" t="s">
        <v>35</v>
      </c>
      <c r="E5" s="41" t="s">
        <v>36</v>
      </c>
      <c r="F5" s="41" t="s">
        <v>37</v>
      </c>
      <c r="G5" s="41" t="s">
        <v>38</v>
      </c>
      <c r="H5" s="42" t="s">
        <v>39</v>
      </c>
      <c r="J5" s="68" t="s">
        <v>247</v>
      </c>
      <c r="K5" s="116">
        <v>40356</v>
      </c>
    </row>
    <row r="6" spans="1:14">
      <c r="A6" s="65" t="s">
        <v>110</v>
      </c>
      <c r="B6" s="40"/>
      <c r="C6" s="40"/>
      <c r="D6" s="43">
        <f>$K$68+$K$69</f>
        <v>3.8899999999999997E-2</v>
      </c>
      <c r="E6" s="44">
        <f>ROUND(F6/(1-D6),0)</f>
        <v>41989</v>
      </c>
      <c r="F6" s="44">
        <f>+K5</f>
        <v>40356</v>
      </c>
      <c r="G6" s="121"/>
      <c r="H6" s="46"/>
      <c r="J6" s="68" t="s">
        <v>58</v>
      </c>
      <c r="K6" s="116">
        <v>18586</v>
      </c>
      <c r="L6" s="78">
        <f>+K6+K5</f>
        <v>58942</v>
      </c>
    </row>
    <row r="7" spans="1:14">
      <c r="A7" s="39" t="s">
        <v>41</v>
      </c>
      <c r="B7" s="40"/>
      <c r="C7" s="40"/>
      <c r="D7" s="43">
        <f>$K$68+$K$69</f>
        <v>3.8899999999999997E-2</v>
      </c>
      <c r="E7" s="66">
        <f>ROUND(F7/(1-D7),0)</f>
        <v>19338</v>
      </c>
      <c r="F7" s="66">
        <f>+K6</f>
        <v>18586</v>
      </c>
      <c r="G7" s="45"/>
      <c r="H7" s="46"/>
      <c r="J7" s="68" t="s">
        <v>59</v>
      </c>
      <c r="K7" s="116"/>
      <c r="M7" s="323" t="s">
        <v>266</v>
      </c>
      <c r="N7" s="324"/>
    </row>
    <row r="8" spans="1:14" ht="15">
      <c r="A8" s="39" t="s">
        <v>40</v>
      </c>
      <c r="B8" s="40" t="s">
        <v>42</v>
      </c>
      <c r="C8" s="40"/>
      <c r="D8" s="43">
        <f>$K$68+$K$69</f>
        <v>3.8899999999999997E-2</v>
      </c>
      <c r="E8" s="47">
        <f>ROUND(F8/(1-D8),0)</f>
        <v>0</v>
      </c>
      <c r="F8" s="47">
        <f>+F13</f>
        <v>0</v>
      </c>
      <c r="G8" s="45"/>
      <c r="H8" s="46"/>
      <c r="J8" s="68" t="s">
        <v>59</v>
      </c>
      <c r="K8" s="56"/>
      <c r="M8" s="304" t="s">
        <v>264</v>
      </c>
      <c r="N8" s="305" t="s">
        <v>265</v>
      </c>
    </row>
    <row r="9" spans="1:14">
      <c r="A9" s="39"/>
      <c r="B9" s="40"/>
      <c r="C9" s="40"/>
      <c r="D9" s="43"/>
      <c r="E9" s="66">
        <f>ROUND(SUM(E6:E8),0)</f>
        <v>61327</v>
      </c>
      <c r="F9" s="66">
        <f>SUM(F6:F8)</f>
        <v>58942</v>
      </c>
      <c r="G9" s="45"/>
      <c r="H9" s="46"/>
      <c r="J9" s="74"/>
      <c r="K9" s="310" t="s">
        <v>269</v>
      </c>
      <c r="L9" s="311" t="s">
        <v>36</v>
      </c>
      <c r="M9" s="308">
        <f>ROUND(N9*K64,0)</f>
        <v>46500</v>
      </c>
      <c r="N9" s="307">
        <v>1500</v>
      </c>
    </row>
    <row r="10" spans="1:14">
      <c r="A10" s="39"/>
      <c r="B10" s="40"/>
      <c r="C10" s="40"/>
      <c r="D10" s="43"/>
      <c r="E10" s="44"/>
      <c r="F10" s="44"/>
      <c r="G10" s="45"/>
      <c r="H10" s="46"/>
      <c r="J10" s="68" t="s">
        <v>267</v>
      </c>
      <c r="K10" s="306">
        <f>IF(K12&gt;M10,M10,K12)</f>
        <v>42605</v>
      </c>
      <c r="L10" s="312">
        <f>ROUND(K10/(1-($K$68+$K$69)),0)</f>
        <v>44329</v>
      </c>
      <c r="M10" s="309">
        <f>ROUND(M9*(1-($K$68+$K$69)),0)</f>
        <v>44691</v>
      </c>
      <c r="N10" s="303" t="s">
        <v>37</v>
      </c>
    </row>
    <row r="11" spans="1:14">
      <c r="A11" s="39" t="s">
        <v>40</v>
      </c>
      <c r="B11" s="40" t="s">
        <v>42</v>
      </c>
      <c r="C11" s="40"/>
      <c r="D11" s="43">
        <f>$K$68+$K$69</f>
        <v>3.8899999999999997E-2</v>
      </c>
      <c r="E11" s="44">
        <f>ROUND(F11/(1-D11),0)</f>
        <v>0</v>
      </c>
      <c r="F11" s="44">
        <f>+K7</f>
        <v>0</v>
      </c>
      <c r="G11" s="45"/>
      <c r="H11" s="46"/>
      <c r="J11" s="68" t="s">
        <v>268</v>
      </c>
      <c r="K11" s="306">
        <f>M10-K10</f>
        <v>2086</v>
      </c>
      <c r="L11" s="312">
        <f>M9-L10</f>
        <v>2171</v>
      </c>
      <c r="M11" s="44"/>
      <c r="N11" s="291"/>
    </row>
    <row r="12" spans="1:14" ht="15">
      <c r="A12" s="39" t="s">
        <v>40</v>
      </c>
      <c r="B12" s="40" t="s">
        <v>42</v>
      </c>
      <c r="C12" s="40"/>
      <c r="D12" s="43">
        <f>$K$68+$K$69</f>
        <v>3.8899999999999997E-2</v>
      </c>
      <c r="E12" s="47">
        <f>ROUND(F12/(1-D12),0)</f>
        <v>0</v>
      </c>
      <c r="F12" s="47">
        <f>+K8</f>
        <v>0</v>
      </c>
      <c r="G12" s="45"/>
      <c r="H12" s="46"/>
      <c r="J12" s="68" t="s">
        <v>63</v>
      </c>
      <c r="K12" s="306">
        <f>L6-K13</f>
        <v>42605</v>
      </c>
      <c r="L12" s="313"/>
    </row>
    <row r="13" spans="1:14">
      <c r="A13" s="39"/>
      <c r="B13" s="40"/>
      <c r="C13" s="40"/>
      <c r="D13" s="43"/>
      <c r="E13" s="44">
        <f>E11+E12</f>
        <v>0</v>
      </c>
      <c r="F13" s="44">
        <f>F11+F12</f>
        <v>0</v>
      </c>
      <c r="G13" s="94"/>
      <c r="H13" s="46"/>
      <c r="J13" s="68" t="s">
        <v>65</v>
      </c>
      <c r="K13" s="314">
        <f>16337</f>
        <v>16337</v>
      </c>
      <c r="L13" s="315">
        <f>+K13+K12</f>
        <v>58942</v>
      </c>
    </row>
    <row r="14" spans="1:14">
      <c r="A14" s="39"/>
      <c r="B14" s="40"/>
      <c r="C14" s="40"/>
      <c r="D14" s="43"/>
      <c r="E14" s="44"/>
      <c r="F14" s="44"/>
      <c r="G14" s="95"/>
      <c r="H14" s="46"/>
      <c r="J14" s="293" t="str">
        <f>IF(K5+K6=F20,"","Volume Error!")</f>
        <v/>
      </c>
      <c r="K14" s="56"/>
    </row>
    <row r="15" spans="1:14">
      <c r="A15" s="39" t="s">
        <v>43</v>
      </c>
      <c r="B15" s="40"/>
      <c r="C15" s="40"/>
      <c r="D15" s="43"/>
      <c r="E15" s="298">
        <f>E9-E13</f>
        <v>61327</v>
      </c>
      <c r="F15" s="298">
        <f>F9-F13</f>
        <v>58942</v>
      </c>
      <c r="G15" s="45"/>
      <c r="H15" s="46"/>
      <c r="J15" s="68" t="s">
        <v>257</v>
      </c>
      <c r="K15" s="292">
        <f>2.245</f>
        <v>2.2450000000000001</v>
      </c>
    </row>
    <row r="16" spans="1:14">
      <c r="A16" s="65"/>
      <c r="B16" s="291" t="s">
        <v>254</v>
      </c>
      <c r="C16" s="40"/>
      <c r="D16" s="43">
        <f>$K$68+$K$69</f>
        <v>3.8899999999999997E-2</v>
      </c>
      <c r="E16" s="44">
        <f>L10</f>
        <v>44329</v>
      </c>
      <c r="F16" s="44">
        <f>K10</f>
        <v>42605</v>
      </c>
      <c r="G16" s="45">
        <f>+K15</f>
        <v>2.2450000000000001</v>
      </c>
      <c r="H16" s="46">
        <f>ROUND(E16*G16,2)</f>
        <v>99518.61</v>
      </c>
      <c r="J16" s="68" t="s">
        <v>258</v>
      </c>
      <c r="K16" s="292">
        <f>2.245</f>
        <v>2.2450000000000001</v>
      </c>
    </row>
    <row r="17" spans="1:14">
      <c r="A17" s="65"/>
      <c r="B17" s="294" t="s">
        <v>253</v>
      </c>
      <c r="C17" s="295"/>
      <c r="D17" s="43">
        <f>$K$68+$K$69</f>
        <v>3.8899999999999997E-2</v>
      </c>
      <c r="E17" s="44">
        <f>L11</f>
        <v>2171</v>
      </c>
      <c r="F17" s="296">
        <f>K11</f>
        <v>2086</v>
      </c>
      <c r="G17" s="297">
        <f>K16</f>
        <v>2.2450000000000001</v>
      </c>
      <c r="H17" s="46">
        <f>ROUND(E17*G17,2)</f>
        <v>4873.8999999999996</v>
      </c>
      <c r="J17" s="68" t="s">
        <v>259</v>
      </c>
      <c r="K17" s="271">
        <f>M2+0.01</f>
        <v>2.0399999999999996</v>
      </c>
    </row>
    <row r="18" spans="1:14">
      <c r="A18" s="39"/>
      <c r="B18" s="291" t="s">
        <v>255</v>
      </c>
      <c r="C18" s="40"/>
      <c r="D18" s="43">
        <f>$K$68+$K$69</f>
        <v>3.8899999999999997E-2</v>
      </c>
      <c r="E18" s="66">
        <f>ROUND(F18/(1-D18),0)</f>
        <v>0</v>
      </c>
      <c r="F18" s="44">
        <f>K12-F16</f>
        <v>0</v>
      </c>
      <c r="G18" s="45">
        <f>+K17</f>
        <v>2.0399999999999996</v>
      </c>
      <c r="H18" s="46">
        <f>ROUND(E18*G18,2)</f>
        <v>0</v>
      </c>
      <c r="J18" s="68" t="s">
        <v>260</v>
      </c>
      <c r="K18" s="272">
        <f>M2+0.1</f>
        <v>2.13</v>
      </c>
    </row>
    <row r="19" spans="1:14" ht="15">
      <c r="A19" s="39"/>
      <c r="B19" s="291" t="s">
        <v>256</v>
      </c>
      <c r="C19" s="40"/>
      <c r="D19" s="43">
        <f>$K$68+$K$69</f>
        <v>3.8899999999999997E-2</v>
      </c>
      <c r="E19" s="47">
        <f>ROUND(F19/(1-D19),0)</f>
        <v>14828</v>
      </c>
      <c r="F19" s="47">
        <f>K13-F17</f>
        <v>14251</v>
      </c>
      <c r="G19" s="71">
        <f>+K18</f>
        <v>2.13</v>
      </c>
      <c r="H19" s="48">
        <f>ROUND(E19*G19,2)</f>
        <v>31583.64</v>
      </c>
      <c r="J19" s="68" t="s">
        <v>261</v>
      </c>
      <c r="K19" s="269">
        <v>-175.87</v>
      </c>
    </row>
    <row r="20" spans="1:14" ht="13.8" thickBot="1">
      <c r="A20" s="49"/>
      <c r="B20" s="50"/>
      <c r="C20" s="50"/>
      <c r="D20" s="51"/>
      <c r="E20" s="52">
        <f>SUM(E16:E19)</f>
        <v>61328</v>
      </c>
      <c r="F20" s="52">
        <f>SUM(F16:F19)</f>
        <v>58942</v>
      </c>
      <c r="G20" s="53">
        <f>+H20/E20</f>
        <v>2.2171952452387163</v>
      </c>
      <c r="H20" s="54">
        <f>SUM(H16:H19)</f>
        <v>135976.15</v>
      </c>
      <c r="J20" s="68" t="s">
        <v>66</v>
      </c>
      <c r="K20" s="117">
        <v>5179.8500000000004</v>
      </c>
    </row>
    <row r="21" spans="1:14">
      <c r="J21" s="68" t="s">
        <v>67</v>
      </c>
      <c r="K21" s="116">
        <v>2175</v>
      </c>
    </row>
    <row r="22" spans="1:14">
      <c r="E22" s="78"/>
      <c r="L22" s="250"/>
      <c r="M22" s="251"/>
      <c r="N22" s="68"/>
    </row>
    <row r="23" spans="1:14">
      <c r="L23" s="250"/>
      <c r="M23" s="251"/>
      <c r="N23" s="68"/>
    </row>
    <row r="24" spans="1:14">
      <c r="L24" s="250"/>
      <c r="M24" s="251"/>
      <c r="N24" s="68"/>
    </row>
    <row r="25" spans="1:14">
      <c r="D25" s="55"/>
      <c r="E25" s="56"/>
      <c r="F25" s="56"/>
      <c r="G25" s="57"/>
      <c r="H25" s="58"/>
      <c r="K25" s="56"/>
    </row>
    <row r="26" spans="1:14" ht="13.8" thickBot="1">
      <c r="D26" s="55"/>
      <c r="E26" s="56"/>
      <c r="F26" s="56"/>
      <c r="G26" s="57"/>
      <c r="H26" s="58"/>
      <c r="J26" s="302" t="s">
        <v>112</v>
      </c>
      <c r="K26" s="56"/>
    </row>
    <row r="27" spans="1:14">
      <c r="A27" s="35" t="s">
        <v>34</v>
      </c>
      <c r="B27" s="36" t="str">
        <f>J26</f>
        <v>33171000 TF-1</v>
      </c>
      <c r="C27" s="37"/>
      <c r="D27" s="37"/>
      <c r="E27" s="37"/>
      <c r="F27" s="37"/>
      <c r="G27" s="37"/>
      <c r="H27" s="38"/>
      <c r="J27" s="68" t="s">
        <v>57</v>
      </c>
      <c r="K27" s="247">
        <v>0</v>
      </c>
    </row>
    <row r="28" spans="1:14">
      <c r="A28" s="39"/>
      <c r="B28" s="40"/>
      <c r="C28" s="40"/>
      <c r="D28" s="41" t="s">
        <v>35</v>
      </c>
      <c r="E28" s="41" t="s">
        <v>36</v>
      </c>
      <c r="F28" s="41" t="s">
        <v>37</v>
      </c>
      <c r="G28" s="41" t="s">
        <v>38</v>
      </c>
      <c r="H28" s="42" t="s">
        <v>39</v>
      </c>
      <c r="J28" s="68" t="s">
        <v>58</v>
      </c>
      <c r="K28" s="247">
        <v>0</v>
      </c>
    </row>
    <row r="29" spans="1:14">
      <c r="A29" s="65" t="s">
        <v>56</v>
      </c>
      <c r="B29" s="40"/>
      <c r="C29" s="40"/>
      <c r="D29" s="43">
        <f>$K$68+$K$69</f>
        <v>3.8899999999999997E-2</v>
      </c>
      <c r="E29" s="44">
        <f>ROUND(F29/(1-D29),0)</f>
        <v>0</v>
      </c>
      <c r="F29" s="44">
        <f>+K27</f>
        <v>0</v>
      </c>
      <c r="G29" s="45"/>
      <c r="H29" s="46"/>
      <c r="J29" s="68" t="s">
        <v>59</v>
      </c>
      <c r="K29" s="56">
        <v>0</v>
      </c>
    </row>
    <row r="30" spans="1:14">
      <c r="A30" s="39" t="s">
        <v>41</v>
      </c>
      <c r="B30" s="40"/>
      <c r="C30" s="40"/>
      <c r="D30" s="43">
        <f>$K$68+$K$69</f>
        <v>3.8899999999999997E-2</v>
      </c>
      <c r="E30" s="66">
        <f>ROUND(F30/(1-D30),0)</f>
        <v>0</v>
      </c>
      <c r="F30" s="66">
        <f>+K28</f>
        <v>0</v>
      </c>
      <c r="G30" s="45"/>
      <c r="H30" s="46"/>
      <c r="J30" s="68" t="s">
        <v>59</v>
      </c>
      <c r="K30" s="56">
        <v>0</v>
      </c>
      <c r="L30" s="220"/>
    </row>
    <row r="31" spans="1:14" ht="15">
      <c r="A31" s="39" t="s">
        <v>40</v>
      </c>
      <c r="B31" s="40" t="s">
        <v>42</v>
      </c>
      <c r="C31" s="40"/>
      <c r="D31" s="43">
        <f>$K$68+$K$69</f>
        <v>3.8899999999999997E-2</v>
      </c>
      <c r="E31" s="47">
        <f>ROUND(F31/(1-D31),0)</f>
        <v>0</v>
      </c>
      <c r="F31" s="47">
        <f>+F36</f>
        <v>0</v>
      </c>
      <c r="G31" s="45"/>
      <c r="H31" s="46"/>
      <c r="K31" s="56"/>
      <c r="L31" s="78">
        <f>SUM(K27:K30)</f>
        <v>0</v>
      </c>
    </row>
    <row r="32" spans="1:14">
      <c r="A32" s="39"/>
      <c r="B32" s="40"/>
      <c r="C32" s="40"/>
      <c r="D32" s="43"/>
      <c r="E32" s="44">
        <f>SUM(E29:E31)</f>
        <v>0</v>
      </c>
      <c r="F32" s="44">
        <f>SUM(F29:F31)</f>
        <v>0</v>
      </c>
      <c r="G32" s="45"/>
      <c r="H32" s="46"/>
      <c r="J32" s="68" t="s">
        <v>64</v>
      </c>
      <c r="K32" s="84">
        <v>0</v>
      </c>
      <c r="M32" s="67"/>
    </row>
    <row r="33" spans="1:13">
      <c r="A33" s="39"/>
      <c r="B33" s="40"/>
      <c r="C33" s="40"/>
      <c r="D33" s="43"/>
      <c r="E33" s="44"/>
      <c r="F33" s="44"/>
      <c r="G33" s="45"/>
      <c r="H33" s="46"/>
      <c r="J33" s="68" t="s">
        <v>64</v>
      </c>
      <c r="K33" s="56">
        <v>0</v>
      </c>
      <c r="M33" s="78">
        <f>+K10+K33</f>
        <v>42605</v>
      </c>
    </row>
    <row r="34" spans="1:13">
      <c r="A34" s="39" t="s">
        <v>40</v>
      </c>
      <c r="B34" s="40" t="s">
        <v>42</v>
      </c>
      <c r="C34" s="40"/>
      <c r="D34" s="43">
        <f>$K$68+$K$69</f>
        <v>3.8899999999999997E-2</v>
      </c>
      <c r="E34" s="44">
        <f>ROUND(F34/(1-D34),0)</f>
        <v>0</v>
      </c>
      <c r="F34" s="44">
        <f>+K29</f>
        <v>0</v>
      </c>
      <c r="G34" s="45"/>
      <c r="H34" s="46"/>
      <c r="J34" s="68" t="s">
        <v>64</v>
      </c>
      <c r="K34" s="56">
        <v>0</v>
      </c>
      <c r="L34" s="78"/>
      <c r="M34" s="78">
        <f>+K33+K34</f>
        <v>0</v>
      </c>
    </row>
    <row r="35" spans="1:13" ht="15">
      <c r="A35" s="65"/>
      <c r="B35" s="40" t="s">
        <v>42</v>
      </c>
      <c r="C35" s="40"/>
      <c r="D35" s="43">
        <f>$K$68+$K$69</f>
        <v>3.8899999999999997E-2</v>
      </c>
      <c r="E35" s="47">
        <f>ROUND(F35/(1-D35),0)</f>
        <v>0</v>
      </c>
      <c r="F35" s="47">
        <f>+K30</f>
        <v>0</v>
      </c>
      <c r="G35" s="45"/>
      <c r="H35" s="46"/>
      <c r="J35" s="68" t="s">
        <v>63</v>
      </c>
      <c r="K35" s="56">
        <f>SUM(K27:K30)</f>
        <v>0</v>
      </c>
    </row>
    <row r="36" spans="1:13">
      <c r="A36" s="39"/>
      <c r="B36" s="40"/>
      <c r="C36" s="40"/>
      <c r="D36" s="43"/>
      <c r="E36" s="44">
        <f>E34+E35</f>
        <v>0</v>
      </c>
      <c r="F36" s="44">
        <f>F34+F35</f>
        <v>0</v>
      </c>
      <c r="G36" s="45"/>
      <c r="H36" s="46"/>
      <c r="J36" s="68" t="s">
        <v>65</v>
      </c>
      <c r="K36" s="270">
        <v>0</v>
      </c>
      <c r="L36" s="67"/>
    </row>
    <row r="37" spans="1:13">
      <c r="A37" s="39"/>
      <c r="B37" s="40"/>
      <c r="C37" s="40"/>
      <c r="D37" s="43"/>
      <c r="E37" s="44"/>
      <c r="F37" s="44"/>
      <c r="G37" s="45"/>
      <c r="H37" s="46"/>
      <c r="K37" s="56"/>
      <c r="L37" s="67"/>
    </row>
    <row r="38" spans="1:13">
      <c r="A38" s="39" t="s">
        <v>43</v>
      </c>
      <c r="B38" s="40"/>
      <c r="C38" s="40"/>
      <c r="D38" s="43"/>
      <c r="E38" s="44">
        <f>E32-E36</f>
        <v>0</v>
      </c>
      <c r="F38" s="44">
        <f>F32-F36</f>
        <v>0</v>
      </c>
      <c r="G38" s="45"/>
      <c r="H38" s="46"/>
      <c r="J38" s="68" t="s">
        <v>60</v>
      </c>
      <c r="K38" s="55"/>
      <c r="L38" s="67"/>
    </row>
    <row r="39" spans="1:13">
      <c r="A39" s="39"/>
      <c r="B39" s="40" t="s">
        <v>44</v>
      </c>
      <c r="C39" s="40"/>
      <c r="D39" s="43">
        <f>$K$68+$K$69</f>
        <v>3.8899999999999997E-2</v>
      </c>
      <c r="E39" s="44">
        <f>ROUND(F39/(1-D39),0)</f>
        <v>0</v>
      </c>
      <c r="F39" s="44">
        <f>+K32</f>
        <v>0</v>
      </c>
      <c r="G39" s="45">
        <f>+G16</f>
        <v>2.2450000000000001</v>
      </c>
      <c r="H39" s="46">
        <f>ROUND(E39*G39,2)</f>
        <v>0</v>
      </c>
      <c r="J39" s="68" t="s">
        <v>60</v>
      </c>
      <c r="K39" s="55"/>
      <c r="L39" s="67"/>
    </row>
    <row r="40" spans="1:13">
      <c r="A40" s="39"/>
      <c r="B40" s="40" t="s">
        <v>44</v>
      </c>
      <c r="C40" s="40"/>
      <c r="D40" s="43">
        <f>$K$68+$K$69</f>
        <v>3.8899999999999997E-2</v>
      </c>
      <c r="E40" s="44">
        <f>ROUND(F40/(1-D40),0)</f>
        <v>0</v>
      </c>
      <c r="F40" s="44">
        <f>+K33</f>
        <v>0</v>
      </c>
      <c r="G40" s="45">
        <f>+K39</f>
        <v>0</v>
      </c>
      <c r="H40" s="46">
        <f>ROUND(E40*G40,2)</f>
        <v>0</v>
      </c>
      <c r="J40" s="68" t="s">
        <v>109</v>
      </c>
      <c r="K40" s="57">
        <f>+K17</f>
        <v>2.0399999999999996</v>
      </c>
    </row>
    <row r="41" spans="1:13">
      <c r="A41" s="39"/>
      <c r="B41" s="40" t="s">
        <v>44</v>
      </c>
      <c r="C41" s="40"/>
      <c r="D41" s="43">
        <f>$K$68+$K$69</f>
        <v>3.8899999999999997E-2</v>
      </c>
      <c r="E41" s="44">
        <f>ROUND(F41/(1-D41),0)</f>
        <v>0</v>
      </c>
      <c r="F41" s="44">
        <f>+K34</f>
        <v>0</v>
      </c>
      <c r="G41" s="45">
        <f>+K40</f>
        <v>2.0399999999999996</v>
      </c>
      <c r="H41" s="46">
        <f>ROUND(E41*G41,2)</f>
        <v>0</v>
      </c>
    </row>
    <row r="42" spans="1:13">
      <c r="A42" s="39"/>
      <c r="B42" s="40" t="s">
        <v>45</v>
      </c>
      <c r="C42" s="40"/>
      <c r="D42" s="43">
        <f>$K$68+$K$69</f>
        <v>3.8899999999999997E-2</v>
      </c>
      <c r="E42" s="44">
        <f>ROUND(F42/(1-D42),0)</f>
        <v>0</v>
      </c>
      <c r="F42" s="44">
        <f>+K35</f>
        <v>0</v>
      </c>
      <c r="G42" s="45">
        <f>+G18</f>
        <v>2.0399999999999996</v>
      </c>
      <c r="H42" s="46">
        <f>ROUND(E42*G42,2)</f>
        <v>0</v>
      </c>
      <c r="J42" s="68" t="s">
        <v>66</v>
      </c>
      <c r="K42" s="117">
        <v>30548.44</v>
      </c>
    </row>
    <row r="43" spans="1:13" ht="15">
      <c r="A43" s="39"/>
      <c r="B43" s="40" t="s">
        <v>46</v>
      </c>
      <c r="C43" s="40"/>
      <c r="D43" s="43">
        <f>$K$68+$K$69</f>
        <v>3.8899999999999997E-2</v>
      </c>
      <c r="E43" s="47">
        <f>ROUND(F43/(1-D43),0)</f>
        <v>0</v>
      </c>
      <c r="F43" s="47">
        <f>+K36</f>
        <v>0</v>
      </c>
      <c r="G43" s="71">
        <f>+G19</f>
        <v>2.13</v>
      </c>
      <c r="H43" s="48">
        <f>ROUND(E43*G43,2)</f>
        <v>0</v>
      </c>
      <c r="J43" s="68" t="s">
        <v>67</v>
      </c>
      <c r="K43" s="116">
        <v>3130</v>
      </c>
    </row>
    <row r="44" spans="1:13" ht="13.8" thickBot="1">
      <c r="A44" s="49"/>
      <c r="B44" s="50"/>
      <c r="C44" s="50"/>
      <c r="D44" s="51"/>
      <c r="E44" s="52">
        <f>SUM(E39:E43)</f>
        <v>0</v>
      </c>
      <c r="F44" s="52">
        <f>SUM(F39:F43)</f>
        <v>0</v>
      </c>
      <c r="G44" s="53"/>
      <c r="H44" s="54">
        <f>SUM(H39:H43)</f>
        <v>0</v>
      </c>
      <c r="J44" s="67" t="s">
        <v>100</v>
      </c>
      <c r="K44" s="117">
        <v>-1574.66</v>
      </c>
    </row>
    <row r="45" spans="1:13">
      <c r="A45" s="67"/>
      <c r="D45" s="55"/>
      <c r="E45" s="56"/>
      <c r="F45" s="56"/>
      <c r="G45" s="57"/>
      <c r="H45" s="58"/>
      <c r="J45" s="302" t="s">
        <v>119</v>
      </c>
    </row>
    <row r="46" spans="1:13" ht="13.8" thickBot="1">
      <c r="D46" s="55"/>
      <c r="E46" s="56"/>
      <c r="F46" s="56"/>
      <c r="G46" s="57"/>
      <c r="H46" s="58"/>
      <c r="J46" s="131" t="s">
        <v>120</v>
      </c>
    </row>
    <row r="47" spans="1:13">
      <c r="A47" s="35" t="s">
        <v>34</v>
      </c>
      <c r="B47" s="36" t="str">
        <f>J45</f>
        <v>33229000  NNT-1</v>
      </c>
      <c r="C47" s="37"/>
      <c r="D47" s="37"/>
      <c r="E47" s="37"/>
      <c r="F47" s="37"/>
      <c r="G47" s="37"/>
      <c r="H47" s="38"/>
      <c r="J47" s="68" t="s">
        <v>57</v>
      </c>
      <c r="K47" s="56">
        <v>0</v>
      </c>
    </row>
    <row r="48" spans="1:13">
      <c r="A48" s="39"/>
      <c r="B48" s="40"/>
      <c r="C48" s="40"/>
      <c r="D48" s="41" t="s">
        <v>35</v>
      </c>
      <c r="E48" s="41" t="s">
        <v>36</v>
      </c>
      <c r="F48" s="41" t="s">
        <v>37</v>
      </c>
      <c r="G48" s="41" t="s">
        <v>38</v>
      </c>
      <c r="H48" s="42" t="s">
        <v>39</v>
      </c>
      <c r="J48" s="68" t="s">
        <v>58</v>
      </c>
      <c r="K48" s="56">
        <v>0</v>
      </c>
    </row>
    <row r="49" spans="1:14">
      <c r="A49" s="65" t="s">
        <v>56</v>
      </c>
      <c r="B49" s="40"/>
      <c r="C49" s="40"/>
      <c r="D49" s="43">
        <f>$K$68+$K$69</f>
        <v>3.8899999999999997E-2</v>
      </c>
      <c r="E49" s="44">
        <f>ROUND(F49/(1-D49),0)</f>
        <v>0</v>
      </c>
      <c r="F49" s="44">
        <f>+K47</f>
        <v>0</v>
      </c>
      <c r="G49" s="45"/>
      <c r="H49" s="46"/>
      <c r="J49" s="68" t="s">
        <v>59</v>
      </c>
      <c r="K49" s="56"/>
    </row>
    <row r="50" spans="1:14">
      <c r="A50" s="39" t="s">
        <v>41</v>
      </c>
      <c r="B50" s="40"/>
      <c r="C50" s="40"/>
      <c r="D50" s="43">
        <f>$K$68+$K$69</f>
        <v>3.8899999999999997E-2</v>
      </c>
      <c r="E50" s="66">
        <f>ROUND(F50/(1-D50),0)</f>
        <v>0</v>
      </c>
      <c r="F50" s="66">
        <f>+K48</f>
        <v>0</v>
      </c>
      <c r="G50" s="45"/>
      <c r="H50" s="46"/>
      <c r="J50" s="68" t="s">
        <v>59</v>
      </c>
    </row>
    <row r="51" spans="1:14" ht="15">
      <c r="A51" s="39" t="s">
        <v>40</v>
      </c>
      <c r="B51" s="40" t="s">
        <v>42</v>
      </c>
      <c r="C51" s="40"/>
      <c r="D51" s="43">
        <f>$K$68+$K$69</f>
        <v>3.8899999999999997E-2</v>
      </c>
      <c r="E51" s="47">
        <f>ROUND(F51/(1-D51),0)</f>
        <v>0</v>
      </c>
      <c r="F51" s="47">
        <f>+F56</f>
        <v>0</v>
      </c>
      <c r="G51" s="45"/>
      <c r="H51" s="46"/>
      <c r="J51" s="68"/>
    </row>
    <row r="52" spans="1:14">
      <c r="A52" s="39"/>
      <c r="B52" s="40"/>
      <c r="C52" s="40"/>
      <c r="D52" s="43"/>
      <c r="E52" s="44">
        <f>SUM(E49:E51)</f>
        <v>0</v>
      </c>
      <c r="F52" s="44">
        <f>SUM(F49:F51)</f>
        <v>0</v>
      </c>
      <c r="G52" s="45"/>
      <c r="H52" s="46"/>
      <c r="J52" s="68" t="s">
        <v>64</v>
      </c>
      <c r="K52" s="69"/>
    </row>
    <row r="53" spans="1:14">
      <c r="A53" s="39"/>
      <c r="B53" s="40"/>
      <c r="C53" s="40"/>
      <c r="D53" s="43"/>
      <c r="E53" s="44"/>
      <c r="F53" s="44"/>
      <c r="G53" s="45"/>
      <c r="H53" s="46"/>
      <c r="J53" s="68" t="s">
        <v>63</v>
      </c>
      <c r="K53" s="56">
        <f>+K47</f>
        <v>0</v>
      </c>
    </row>
    <row r="54" spans="1:14">
      <c r="A54" s="39" t="s">
        <v>40</v>
      </c>
      <c r="B54" s="40" t="s">
        <v>42</v>
      </c>
      <c r="C54" s="40"/>
      <c r="D54" s="43">
        <f>$K$68+$K$69</f>
        <v>3.8899999999999997E-2</v>
      </c>
      <c r="E54" s="44">
        <f>ROUND(F54/(1-D54),0)</f>
        <v>0</v>
      </c>
      <c r="F54" s="44">
        <f>+K49</f>
        <v>0</v>
      </c>
      <c r="G54" s="45"/>
      <c r="H54" s="46"/>
      <c r="J54" s="68" t="s">
        <v>65</v>
      </c>
    </row>
    <row r="55" spans="1:14" ht="15">
      <c r="A55" s="65"/>
      <c r="B55" s="40" t="s">
        <v>42</v>
      </c>
      <c r="C55" s="40"/>
      <c r="D55" s="43">
        <f>$K$68+$K$69</f>
        <v>3.8899999999999997E-2</v>
      </c>
      <c r="E55" s="47">
        <f>ROUND(F55/(1-D55),0)</f>
        <v>0</v>
      </c>
      <c r="F55" s="47">
        <f>+K50</f>
        <v>0</v>
      </c>
      <c r="G55" s="45"/>
      <c r="H55" s="46"/>
      <c r="J55" s="68"/>
    </row>
    <row r="56" spans="1:14">
      <c r="A56" s="39"/>
      <c r="B56" s="40"/>
      <c r="C56" s="40"/>
      <c r="D56" s="43"/>
      <c r="E56" s="44">
        <f>E54+E55</f>
        <v>0</v>
      </c>
      <c r="F56" s="44">
        <f>F54+F55</f>
        <v>0</v>
      </c>
      <c r="G56" s="45"/>
      <c r="H56" s="46"/>
      <c r="J56" s="68" t="s">
        <v>60</v>
      </c>
      <c r="K56" s="85">
        <v>0</v>
      </c>
      <c r="N56" s="67"/>
    </row>
    <row r="57" spans="1:14">
      <c r="A57" s="39"/>
      <c r="B57" s="40"/>
      <c r="C57" s="40"/>
      <c r="D57" s="43"/>
      <c r="E57" s="44"/>
      <c r="F57" s="44"/>
      <c r="G57" s="45"/>
      <c r="H57" s="46"/>
      <c r="J57" s="68" t="s">
        <v>61</v>
      </c>
      <c r="K57" s="92">
        <v>0</v>
      </c>
    </row>
    <row r="58" spans="1:14">
      <c r="A58" s="39" t="s">
        <v>43</v>
      </c>
      <c r="B58" s="40"/>
      <c r="C58" s="40"/>
      <c r="D58" s="43"/>
      <c r="E58" s="44">
        <f>E52-E56</f>
        <v>0</v>
      </c>
      <c r="F58" s="44">
        <f>F52-F56</f>
        <v>0</v>
      </c>
      <c r="G58" s="45"/>
      <c r="H58" s="46"/>
      <c r="J58" s="68" t="s">
        <v>62</v>
      </c>
    </row>
    <row r="59" spans="1:14">
      <c r="A59" s="39"/>
      <c r="B59" s="40" t="s">
        <v>44</v>
      </c>
      <c r="C59" s="40"/>
      <c r="D59" s="43">
        <f>$K$68+$K$69</f>
        <v>3.8899999999999997E-2</v>
      </c>
      <c r="E59" s="44">
        <f>ROUND(F59/(1-D59),0)</f>
        <v>0</v>
      </c>
      <c r="F59" s="44">
        <f>+K52</f>
        <v>0</v>
      </c>
      <c r="G59" s="45">
        <f>+K56</f>
        <v>0</v>
      </c>
      <c r="H59" s="46">
        <f>ROUND(E59*G59,2)</f>
        <v>0</v>
      </c>
    </row>
    <row r="60" spans="1:14">
      <c r="A60" s="39"/>
      <c r="B60" s="40" t="s">
        <v>45</v>
      </c>
      <c r="C60" s="40"/>
      <c r="D60" s="43">
        <f>$K$68+$K$69</f>
        <v>3.8899999999999997E-2</v>
      </c>
      <c r="E60" s="44">
        <f>ROUND(F60/(1-D60),0)</f>
        <v>0</v>
      </c>
      <c r="F60" s="44">
        <f>+K53</f>
        <v>0</v>
      </c>
      <c r="G60" s="45">
        <f>+K57</f>
        <v>0</v>
      </c>
      <c r="H60" s="46">
        <f>ROUND(E60*G60,2)</f>
        <v>0</v>
      </c>
      <c r="J60" s="68" t="s">
        <v>66</v>
      </c>
      <c r="K60" s="34">
        <v>0</v>
      </c>
    </row>
    <row r="61" spans="1:14" ht="15">
      <c r="A61" s="39"/>
      <c r="B61" s="40" t="s">
        <v>46</v>
      </c>
      <c r="C61" s="40"/>
      <c r="D61" s="43">
        <f>$K$68+$K$69</f>
        <v>3.8899999999999997E-2</v>
      </c>
      <c r="E61" s="47">
        <f>ROUND(F61/(1-D61),0)</f>
        <v>0</v>
      </c>
      <c r="F61" s="47">
        <f>+K54</f>
        <v>0</v>
      </c>
      <c r="G61" s="71">
        <f>+K58</f>
        <v>0</v>
      </c>
      <c r="H61" s="48">
        <f>ROUND(E61*G61,2)</f>
        <v>0</v>
      </c>
      <c r="J61" s="68" t="s">
        <v>67</v>
      </c>
      <c r="K61" s="34">
        <v>0</v>
      </c>
    </row>
    <row r="62" spans="1:14" ht="13.8" thickBot="1">
      <c r="A62" s="49"/>
      <c r="B62" s="50"/>
      <c r="C62" s="50"/>
      <c r="D62" s="51"/>
      <c r="E62" s="52">
        <f>SUM(E59:E61)</f>
        <v>0</v>
      </c>
      <c r="F62" s="52">
        <f>SUM(F59:F61)</f>
        <v>0</v>
      </c>
      <c r="G62" s="53"/>
      <c r="H62" s="54">
        <f>SUM(H59:H61)</f>
        <v>0</v>
      </c>
    </row>
    <row r="63" spans="1:14">
      <c r="D63" s="55"/>
      <c r="E63" s="56"/>
      <c r="F63" s="56"/>
      <c r="G63" s="57"/>
      <c r="H63" s="58"/>
      <c r="J63" s="302" t="s">
        <v>226</v>
      </c>
    </row>
    <row r="64" spans="1:14" ht="19.2" thickBot="1">
      <c r="D64" s="55"/>
      <c r="E64" s="56"/>
      <c r="F64" s="56"/>
      <c r="G64" s="57"/>
      <c r="H64" s="58"/>
      <c r="J64" s="68" t="s">
        <v>68</v>
      </c>
      <c r="K64" s="238">
        <f>DATE(YEAR(J1+31),MONTH(J1+31),1)-J1</f>
        <v>31</v>
      </c>
    </row>
    <row r="65" spans="1:12">
      <c r="A65" s="35" t="s">
        <v>34</v>
      </c>
      <c r="B65" s="59" t="s">
        <v>47</v>
      </c>
      <c r="C65" s="37"/>
      <c r="D65" s="37"/>
      <c r="E65" s="37"/>
      <c r="F65" s="37"/>
      <c r="G65" s="37"/>
      <c r="H65" s="38"/>
      <c r="J65" s="68" t="s">
        <v>69</v>
      </c>
      <c r="K65" s="117">
        <v>0.06</v>
      </c>
    </row>
    <row r="66" spans="1:12">
      <c r="A66" s="39"/>
      <c r="B66" s="40"/>
      <c r="C66" s="40"/>
      <c r="D66" s="41"/>
      <c r="E66" s="41" t="s">
        <v>36</v>
      </c>
      <c r="F66" s="41" t="s">
        <v>37</v>
      </c>
      <c r="G66" s="41" t="s">
        <v>38</v>
      </c>
      <c r="H66" s="42" t="s">
        <v>39</v>
      </c>
      <c r="J66" s="68" t="s">
        <v>98</v>
      </c>
      <c r="K66" s="274">
        <v>0</v>
      </c>
      <c r="L66" s="72"/>
    </row>
    <row r="67" spans="1:12">
      <c r="A67" s="65" t="s">
        <v>56</v>
      </c>
      <c r="B67" s="40"/>
      <c r="C67" s="40"/>
      <c r="D67" s="43"/>
      <c r="E67" s="44">
        <f t="shared" ref="E67:F69" si="0">E6+E29+E49</f>
        <v>41989</v>
      </c>
      <c r="F67" s="44">
        <f t="shared" si="0"/>
        <v>40356</v>
      </c>
      <c r="G67" s="45"/>
      <c r="H67" s="46"/>
      <c r="J67" s="68" t="s">
        <v>98</v>
      </c>
      <c r="K67" s="81">
        <v>0</v>
      </c>
      <c r="L67" s="76"/>
    </row>
    <row r="68" spans="1:12">
      <c r="A68" s="39" t="s">
        <v>41</v>
      </c>
      <c r="B68" s="40"/>
      <c r="C68" s="40"/>
      <c r="D68" s="43"/>
      <c r="E68" s="44">
        <f t="shared" si="0"/>
        <v>19338</v>
      </c>
      <c r="F68" s="44">
        <f t="shared" si="0"/>
        <v>18586</v>
      </c>
      <c r="G68" s="45"/>
      <c r="H68" s="46"/>
      <c r="J68" s="68" t="s">
        <v>252</v>
      </c>
      <c r="K68" s="277">
        <v>2.5899999999999999E-2</v>
      </c>
      <c r="L68" s="76"/>
    </row>
    <row r="69" spans="1:12" ht="15">
      <c r="A69" s="39" t="s">
        <v>40</v>
      </c>
      <c r="B69" s="40" t="s">
        <v>42</v>
      </c>
      <c r="C69" s="40"/>
      <c r="D69" s="43"/>
      <c r="E69" s="47">
        <f t="shared" si="0"/>
        <v>0</v>
      </c>
      <c r="F69" s="47">
        <f t="shared" si="0"/>
        <v>0</v>
      </c>
      <c r="G69" s="45"/>
      <c r="H69" s="46"/>
      <c r="J69" s="68" t="s">
        <v>229</v>
      </c>
      <c r="K69" s="277">
        <v>1.2999999999999999E-2</v>
      </c>
      <c r="L69" s="80"/>
    </row>
    <row r="70" spans="1:12">
      <c r="A70" s="39"/>
      <c r="B70" s="40"/>
      <c r="C70" s="40"/>
      <c r="D70" s="43"/>
      <c r="E70" s="44">
        <f>SUM(E67:E69)</f>
        <v>61327</v>
      </c>
      <c r="F70" s="44">
        <f>SUM(F67:F69)</f>
        <v>58942</v>
      </c>
      <c r="G70" s="45"/>
      <c r="H70" s="46"/>
      <c r="J70" s="68" t="s">
        <v>230</v>
      </c>
      <c r="K70" s="277">
        <v>1.3100000000000001E-2</v>
      </c>
      <c r="L70" s="86"/>
    </row>
    <row r="71" spans="1:12">
      <c r="A71" s="39"/>
      <c r="B71" s="40"/>
      <c r="C71" s="40"/>
      <c r="D71" s="43"/>
      <c r="E71" s="44"/>
      <c r="F71" s="44"/>
      <c r="G71" s="45"/>
      <c r="H71" s="46"/>
      <c r="J71" s="96"/>
      <c r="K71" s="69"/>
      <c r="L71" s="81"/>
    </row>
    <row r="72" spans="1:12">
      <c r="A72" s="39" t="s">
        <v>40</v>
      </c>
      <c r="B72" s="40" t="s">
        <v>42</v>
      </c>
      <c r="C72" s="40"/>
      <c r="D72" s="43"/>
      <c r="E72" s="44">
        <f>E11+E34</f>
        <v>0</v>
      </c>
      <c r="F72" s="44">
        <f>F11+F34</f>
        <v>0</v>
      </c>
      <c r="G72" s="45"/>
      <c r="H72" s="46"/>
      <c r="J72" s="302" t="s">
        <v>114</v>
      </c>
      <c r="K72" s="56"/>
      <c r="L72" s="81"/>
    </row>
    <row r="73" spans="1:12" ht="15">
      <c r="A73" s="39" t="s">
        <v>40</v>
      </c>
      <c r="B73" s="40" t="s">
        <v>42</v>
      </c>
      <c r="C73" s="40"/>
      <c r="D73" s="43"/>
      <c r="E73" s="47">
        <f>E12+E35</f>
        <v>0</v>
      </c>
      <c r="F73" s="47">
        <f>F12+F35</f>
        <v>0</v>
      </c>
      <c r="G73" s="45"/>
      <c r="H73" s="46"/>
      <c r="J73" s="68" t="s">
        <v>66</v>
      </c>
      <c r="K73" s="117">
        <v>706.13</v>
      </c>
      <c r="L73" s="81"/>
    </row>
    <row r="74" spans="1:12">
      <c r="A74" s="39"/>
      <c r="B74" s="40"/>
      <c r="C74" s="40"/>
      <c r="D74" s="43"/>
      <c r="E74" s="44">
        <f>E72+E73</f>
        <v>0</v>
      </c>
      <c r="F74" s="44">
        <f>F72+F73</f>
        <v>0</v>
      </c>
      <c r="G74" s="45"/>
      <c r="H74" s="46"/>
      <c r="J74" s="68" t="s">
        <v>243</v>
      </c>
      <c r="K74" s="248">
        <v>-208.29</v>
      </c>
      <c r="L74" s="81"/>
    </row>
    <row r="75" spans="1:12">
      <c r="A75" s="39"/>
      <c r="B75" s="40"/>
      <c r="C75" s="40"/>
      <c r="D75" s="43"/>
      <c r="E75" s="44"/>
      <c r="F75" s="44"/>
      <c r="G75" s="45"/>
      <c r="H75" s="46"/>
      <c r="J75" s="68" t="s">
        <v>227</v>
      </c>
      <c r="K75" s="58">
        <f>SUM(K73:K74)</f>
        <v>497.84000000000003</v>
      </c>
    </row>
    <row r="76" spans="1:12">
      <c r="A76" s="39" t="s">
        <v>43</v>
      </c>
      <c r="B76" s="40"/>
      <c r="C76" s="40"/>
      <c r="D76" s="43"/>
      <c r="E76" s="44">
        <f>E15+E38+E58</f>
        <v>61327</v>
      </c>
      <c r="F76" s="44">
        <f>F15+F38+F58</f>
        <v>58942</v>
      </c>
      <c r="G76" s="45"/>
      <c r="H76" s="46"/>
    </row>
    <row r="77" spans="1:12">
      <c r="A77" s="77"/>
      <c r="B77" s="40" t="s">
        <v>44</v>
      </c>
      <c r="C77" s="40"/>
      <c r="D77" s="43"/>
      <c r="E77" s="79">
        <f>+E16+E39+E59</f>
        <v>44329</v>
      </c>
      <c r="F77" s="79">
        <f>+F16+F39+F59</f>
        <v>42605</v>
      </c>
      <c r="G77" s="45">
        <f>+G39</f>
        <v>2.2450000000000001</v>
      </c>
      <c r="H77" s="46">
        <f>+E77*G77</f>
        <v>99518.60500000001</v>
      </c>
      <c r="J77" s="302" t="s">
        <v>231</v>
      </c>
    </row>
    <row r="78" spans="1:12">
      <c r="A78" s="39"/>
      <c r="B78" s="40" t="s">
        <v>44</v>
      </c>
      <c r="C78" s="40"/>
      <c r="D78" s="43"/>
      <c r="E78" s="79">
        <f>+E17+E40</f>
        <v>2171</v>
      </c>
      <c r="F78" s="44">
        <f>+F17</f>
        <v>2086</v>
      </c>
      <c r="G78" s="45">
        <f>+K16</f>
        <v>2.2450000000000001</v>
      </c>
      <c r="H78" s="46">
        <f>+E78*G78</f>
        <v>4873.8950000000004</v>
      </c>
      <c r="J78" s="67" t="s">
        <v>251</v>
      </c>
    </row>
    <row r="79" spans="1:12">
      <c r="A79" s="39"/>
      <c r="B79" s="40"/>
      <c r="C79" s="40"/>
      <c r="D79" s="43"/>
      <c r="E79" s="44"/>
      <c r="F79" s="44"/>
      <c r="G79" s="45"/>
      <c r="H79" s="46"/>
      <c r="J79" s="67" t="s">
        <v>235</v>
      </c>
      <c r="K79" s="116">
        <v>80082</v>
      </c>
    </row>
    <row r="80" spans="1:12">
      <c r="A80" s="39"/>
      <c r="B80" s="40" t="s">
        <v>45</v>
      </c>
      <c r="C80" s="40"/>
      <c r="D80" s="93"/>
      <c r="E80" s="44">
        <f>E18+E42+E60</f>
        <v>0</v>
      </c>
      <c r="F80" s="44">
        <f>F18+F42+F60</f>
        <v>0</v>
      </c>
      <c r="G80" s="45">
        <f>+G42</f>
        <v>2.0399999999999996</v>
      </c>
      <c r="H80" s="46">
        <f>ROUND(+E80*G80,2)</f>
        <v>0</v>
      </c>
      <c r="J80" s="67" t="s">
        <v>244</v>
      </c>
      <c r="K80" s="116">
        <v>18586</v>
      </c>
    </row>
    <row r="81" spans="1:12" ht="15">
      <c r="A81" s="39"/>
      <c r="B81" s="40" t="s">
        <v>46</v>
      </c>
      <c r="C81" s="40"/>
      <c r="D81" s="43"/>
      <c r="E81" s="47">
        <f>E19+E43+E61</f>
        <v>14828</v>
      </c>
      <c r="F81" s="47">
        <f>F19+F43+F61</f>
        <v>14251</v>
      </c>
      <c r="G81" s="71">
        <f>+G43</f>
        <v>2.13</v>
      </c>
      <c r="H81" s="48">
        <f>+E81*G81</f>
        <v>31583.64</v>
      </c>
      <c r="J81" s="67" t="s">
        <v>245</v>
      </c>
      <c r="K81" s="116">
        <v>244</v>
      </c>
    </row>
    <row r="82" spans="1:12" ht="13.8" thickBot="1">
      <c r="A82" s="49"/>
      <c r="B82" s="50"/>
      <c r="C82" s="50"/>
      <c r="D82" s="51"/>
      <c r="E82" s="52">
        <f>SUM(E77:E81)</f>
        <v>61328</v>
      </c>
      <c r="F82" s="52">
        <f>SUM(F77:F81)</f>
        <v>58942</v>
      </c>
      <c r="G82" s="53"/>
      <c r="H82" s="321">
        <f>SUM(H77:H81)</f>
        <v>135976.14000000001</v>
      </c>
      <c r="J82" s="67" t="s">
        <v>234</v>
      </c>
      <c r="K82" s="116">
        <v>18342</v>
      </c>
      <c r="L82" s="253" t="str">
        <f>IF(K80-K81=K82,"OK","Inj Qty Mismatch")</f>
        <v>OK</v>
      </c>
    </row>
    <row r="83" spans="1:12">
      <c r="A83" s="40"/>
      <c r="B83" s="40"/>
      <c r="C83" s="40"/>
      <c r="D83" s="43"/>
      <c r="E83" s="44"/>
      <c r="F83" s="44"/>
      <c r="G83" s="45"/>
      <c r="H83" s="60"/>
      <c r="J83" s="252" t="s">
        <v>232</v>
      </c>
      <c r="K83" s="116">
        <v>5726</v>
      </c>
    </row>
    <row r="84" spans="1:12">
      <c r="H84" s="58"/>
      <c r="J84" s="67" t="s">
        <v>233</v>
      </c>
      <c r="K84" s="116">
        <v>92698</v>
      </c>
      <c r="L84" s="253" t="str">
        <f>IF(K79+K80-K81-K83-K84=0,"OK","Qty Mismatch")</f>
        <v>OK</v>
      </c>
    </row>
    <row r="85" spans="1:12">
      <c r="B85" s="34" t="s">
        <v>48</v>
      </c>
      <c r="E85" s="82" t="str">
        <f>B4</f>
        <v>33175000 TF-1</v>
      </c>
      <c r="H85" s="58">
        <f>+K20</f>
        <v>5179.8500000000004</v>
      </c>
      <c r="J85" s="67" t="s">
        <v>236</v>
      </c>
      <c r="K85" s="56">
        <f>K82-K83</f>
        <v>12616</v>
      </c>
      <c r="L85" s="67" t="s">
        <v>249</v>
      </c>
    </row>
    <row r="86" spans="1:12">
      <c r="B86" s="34" t="s">
        <v>48</v>
      </c>
      <c r="E86" s="82" t="str">
        <f>B27</f>
        <v>33171000 TF-1</v>
      </c>
      <c r="H86" s="75">
        <f>+K42</f>
        <v>30548.44</v>
      </c>
    </row>
    <row r="87" spans="1:12">
      <c r="B87" s="34" t="s">
        <v>48</v>
      </c>
      <c r="E87" s="82" t="str">
        <f>J45</f>
        <v>33229000  NNT-1</v>
      </c>
      <c r="H87" s="75">
        <f>+K60</f>
        <v>0</v>
      </c>
      <c r="J87" s="67" t="s">
        <v>248</v>
      </c>
    </row>
    <row r="88" spans="1:12" ht="15">
      <c r="B88" s="67" t="s">
        <v>71</v>
      </c>
      <c r="E88" s="82" t="str">
        <f>J72</f>
        <v>31029000 NNT-1</v>
      </c>
      <c r="H88" s="61">
        <f>K75</f>
        <v>497.84000000000003</v>
      </c>
      <c r="J88" s="67" t="s">
        <v>236</v>
      </c>
      <c r="K88" s="56">
        <f>K6+K28</f>
        <v>18586</v>
      </c>
      <c r="L88" s="67" t="s">
        <v>250</v>
      </c>
    </row>
    <row r="89" spans="1:12">
      <c r="H89" s="320">
        <f>SUM(H85:H88)</f>
        <v>36226.129999999997</v>
      </c>
      <c r="J89" s="254" t="s">
        <v>237</v>
      </c>
      <c r="K89" s="78">
        <f>K80-K88</f>
        <v>0</v>
      </c>
      <c r="L89" s="68" t="str">
        <f>IF(K80=K88,"OK","Storage Mismatch")</f>
        <v>OK</v>
      </c>
    </row>
    <row r="90" spans="1:12">
      <c r="H90" s="58"/>
    </row>
    <row r="91" spans="1:12">
      <c r="A91" s="34" t="s">
        <v>49</v>
      </c>
      <c r="B91" s="84">
        <f>+K61+K43</f>
        <v>3130</v>
      </c>
      <c r="C91" s="34">
        <f>+K64</f>
        <v>31</v>
      </c>
      <c r="D91" s="34" t="s">
        <v>50</v>
      </c>
      <c r="F91" s="56">
        <f>ROUND(B91*C91,0)</f>
        <v>97030</v>
      </c>
      <c r="H91" s="58"/>
    </row>
    <row r="92" spans="1:12" ht="15">
      <c r="A92" s="34" t="s">
        <v>51</v>
      </c>
      <c r="F92" s="62">
        <f>+F62+F44</f>
        <v>0</v>
      </c>
      <c r="K92" s="56"/>
    </row>
    <row r="93" spans="1:12">
      <c r="A93" s="34" t="s">
        <v>52</v>
      </c>
      <c r="B93" s="56"/>
      <c r="E93" s="63" t="s">
        <v>53</v>
      </c>
      <c r="F93" s="56">
        <f>F91-F92</f>
        <v>97030</v>
      </c>
      <c r="G93" s="57">
        <f>K65</f>
        <v>0.06</v>
      </c>
      <c r="H93" s="58">
        <f>-ROUND(F93*G93,2)</f>
        <v>-5821.8</v>
      </c>
    </row>
    <row r="94" spans="1:12">
      <c r="F94" s="78"/>
      <c r="H94" s="58"/>
    </row>
    <row r="95" spans="1:12">
      <c r="B95" s="70"/>
      <c r="D95" s="55"/>
      <c r="E95" s="56"/>
      <c r="F95" s="56"/>
      <c r="G95" s="57"/>
      <c r="H95" s="58"/>
    </row>
    <row r="96" spans="1:12">
      <c r="B96" s="70"/>
      <c r="C96" s="112" t="s">
        <v>54</v>
      </c>
      <c r="E96" s="56"/>
      <c r="F96" s="275" t="s">
        <v>101</v>
      </c>
      <c r="G96" s="113"/>
      <c r="H96" s="58">
        <f>K66</f>
        <v>0</v>
      </c>
    </row>
    <row r="97" spans="1:10">
      <c r="A97" s="87"/>
      <c r="B97" s="88"/>
      <c r="D97" s="89"/>
      <c r="E97" s="56"/>
      <c r="F97" s="275" t="s">
        <v>101</v>
      </c>
      <c r="H97" s="58">
        <f>K67</f>
        <v>0</v>
      </c>
    </row>
    <row r="98" spans="1:10">
      <c r="A98" s="87"/>
      <c r="D98" s="55"/>
      <c r="E98" s="56"/>
      <c r="F98" s="56"/>
      <c r="G98" s="113"/>
      <c r="H98" s="58"/>
      <c r="J98" s="67"/>
    </row>
    <row r="99" spans="1:10" ht="15">
      <c r="D99" s="55"/>
      <c r="E99" s="56"/>
      <c r="F99" s="56"/>
      <c r="G99" s="111" t="s">
        <v>99</v>
      </c>
      <c r="H99" s="61">
        <f>K19+K44</f>
        <v>-1750.5300000000002</v>
      </c>
      <c r="J99" s="73"/>
    </row>
    <row r="101" spans="1:10" ht="16.8">
      <c r="A101" s="87"/>
      <c r="D101" s="64" t="s">
        <v>55</v>
      </c>
      <c r="E101" s="64"/>
      <c r="F101" s="64"/>
      <c r="G101" s="64"/>
      <c r="H101" s="319">
        <f>SUM(H82,H89:H99)</f>
        <v>164629.94000000003</v>
      </c>
    </row>
    <row r="102" spans="1:10" ht="15">
      <c r="A102" s="87"/>
      <c r="D102" s="64"/>
      <c r="E102" s="64"/>
      <c r="F102" s="64"/>
      <c r="G102" s="64"/>
      <c r="H102" s="61"/>
    </row>
    <row r="103" spans="1:10">
      <c r="J103" s="73"/>
    </row>
    <row r="104" spans="1:10">
      <c r="H104" s="97"/>
      <c r="J104" s="97"/>
    </row>
    <row r="105" spans="1:10">
      <c r="H105" s="58"/>
    </row>
    <row r="106" spans="1:10">
      <c r="H106" s="97"/>
    </row>
    <row r="107" spans="1:10">
      <c r="H107" s="58"/>
    </row>
    <row r="108" spans="1:10">
      <c r="H108" s="58"/>
    </row>
    <row r="109" spans="1:10">
      <c r="H109" s="58"/>
    </row>
    <row r="110" spans="1:10">
      <c r="H110" s="58"/>
    </row>
    <row r="111" spans="1:10">
      <c r="H111" s="58"/>
    </row>
    <row r="112" spans="1:10">
      <c r="H112" s="58"/>
    </row>
    <row r="113" spans="8:8">
      <c r="H113" s="58"/>
    </row>
    <row r="114" spans="8:8">
      <c r="H114" s="58"/>
    </row>
    <row r="115" spans="8:8">
      <c r="H115" s="58"/>
    </row>
    <row r="116" spans="8:8">
      <c r="H116" s="58"/>
    </row>
    <row r="117" spans="8:8">
      <c r="H117" s="58"/>
    </row>
    <row r="118" spans="8:8">
      <c r="H118" s="58"/>
    </row>
    <row r="119" spans="8:8">
      <c r="H119" s="58"/>
    </row>
    <row r="120" spans="8:8">
      <c r="H120" s="58"/>
    </row>
    <row r="121" spans="8:8">
      <c r="H121" s="58"/>
    </row>
    <row r="122" spans="8:8">
      <c r="H122" s="58"/>
    </row>
    <row r="123" spans="8:8">
      <c r="H123" s="58"/>
    </row>
    <row r="124" spans="8:8">
      <c r="H124" s="58"/>
    </row>
    <row r="125" spans="8:8">
      <c r="H125" s="58"/>
    </row>
    <row r="126" spans="8:8">
      <c r="H126" s="58"/>
    </row>
    <row r="127" spans="8:8">
      <c r="H127" s="58"/>
    </row>
    <row r="128" spans="8:8">
      <c r="H128" s="58"/>
    </row>
    <row r="129" spans="8:8">
      <c r="H129" s="58"/>
    </row>
    <row r="130" spans="8:8">
      <c r="H130" s="58"/>
    </row>
    <row r="131" spans="8:8">
      <c r="H131" s="58"/>
    </row>
    <row r="132" spans="8:8">
      <c r="H132" s="58"/>
    </row>
    <row r="133" spans="8:8">
      <c r="H133" s="58"/>
    </row>
    <row r="134" spans="8:8">
      <c r="H134" s="58"/>
    </row>
    <row r="135" spans="8:8">
      <c r="H135" s="58"/>
    </row>
    <row r="136" spans="8:8">
      <c r="H136" s="58"/>
    </row>
    <row r="137" spans="8:8">
      <c r="H137" s="58"/>
    </row>
    <row r="138" spans="8:8">
      <c r="H138" s="58"/>
    </row>
    <row r="139" spans="8:8">
      <c r="H139" s="58"/>
    </row>
    <row r="140" spans="8:8">
      <c r="H140" s="58"/>
    </row>
    <row r="141" spans="8:8">
      <c r="H141" s="58"/>
    </row>
    <row r="142" spans="8:8">
      <c r="H142" s="58"/>
    </row>
    <row r="143" spans="8:8">
      <c r="H143" s="58"/>
    </row>
    <row r="144" spans="8:8">
      <c r="H144" s="58"/>
    </row>
    <row r="145" spans="8:8">
      <c r="H145" s="58"/>
    </row>
    <row r="146" spans="8:8">
      <c r="H146" s="58"/>
    </row>
    <row r="147" spans="8:8">
      <c r="H147" s="58"/>
    </row>
    <row r="148" spans="8:8">
      <c r="H148" s="58"/>
    </row>
    <row r="149" spans="8:8">
      <c r="H149" s="58"/>
    </row>
    <row r="150" spans="8:8">
      <c r="H150" s="58"/>
    </row>
    <row r="151" spans="8:8">
      <c r="H151" s="58"/>
    </row>
    <row r="152" spans="8:8">
      <c r="H152" s="58"/>
    </row>
    <row r="153" spans="8:8">
      <c r="H153" s="58"/>
    </row>
    <row r="154" spans="8:8">
      <c r="H154" s="58"/>
    </row>
    <row r="155" spans="8:8">
      <c r="H155" s="58"/>
    </row>
    <row r="156" spans="8:8">
      <c r="H156" s="58"/>
    </row>
    <row r="157" spans="8:8">
      <c r="H157" s="58"/>
    </row>
    <row r="158" spans="8:8">
      <c r="H158" s="58"/>
    </row>
    <row r="159" spans="8:8">
      <c r="H159" s="58"/>
    </row>
    <row r="160" spans="8:8">
      <c r="H160" s="58"/>
    </row>
    <row r="161" spans="8:8">
      <c r="H161" s="58"/>
    </row>
    <row r="162" spans="8:8">
      <c r="H162" s="58"/>
    </row>
    <row r="163" spans="8:8">
      <c r="H163" s="58"/>
    </row>
    <row r="164" spans="8:8">
      <c r="H164" s="58"/>
    </row>
    <row r="165" spans="8:8">
      <c r="H165" s="58"/>
    </row>
    <row r="166" spans="8:8">
      <c r="H166" s="58"/>
    </row>
    <row r="167" spans="8:8">
      <c r="H167" s="58"/>
    </row>
    <row r="168" spans="8:8">
      <c r="H168" s="58"/>
    </row>
    <row r="169" spans="8:8">
      <c r="H169" s="58"/>
    </row>
    <row r="170" spans="8:8">
      <c r="H170" s="58"/>
    </row>
    <row r="171" spans="8:8">
      <c r="H171" s="58"/>
    </row>
    <row r="172" spans="8:8">
      <c r="H172" s="58"/>
    </row>
    <row r="173" spans="8:8">
      <c r="H173" s="58"/>
    </row>
    <row r="174" spans="8:8">
      <c r="H174" s="58"/>
    </row>
    <row r="175" spans="8:8">
      <c r="H175" s="58"/>
    </row>
    <row r="176" spans="8:8">
      <c r="H176" s="58"/>
    </row>
    <row r="177" spans="8:8">
      <c r="H177" s="58"/>
    </row>
    <row r="178" spans="8:8">
      <c r="H178" s="58"/>
    </row>
    <row r="179" spans="8:8">
      <c r="H179" s="58"/>
    </row>
    <row r="180" spans="8:8">
      <c r="H180" s="58"/>
    </row>
    <row r="181" spans="8:8">
      <c r="H181" s="58"/>
    </row>
    <row r="182" spans="8:8">
      <c r="H182" s="58"/>
    </row>
    <row r="183" spans="8:8">
      <c r="H183" s="58"/>
    </row>
    <row r="184" spans="8:8">
      <c r="H184" s="58"/>
    </row>
    <row r="185" spans="8:8">
      <c r="H185" s="58"/>
    </row>
    <row r="186" spans="8:8">
      <c r="H186" s="58"/>
    </row>
    <row r="187" spans="8:8">
      <c r="H187" s="58"/>
    </row>
    <row r="188" spans="8:8">
      <c r="H188" s="58"/>
    </row>
    <row r="189" spans="8:8">
      <c r="H189" s="58"/>
    </row>
    <row r="190" spans="8:8">
      <c r="H190" s="58"/>
    </row>
    <row r="191" spans="8:8">
      <c r="H191" s="58"/>
    </row>
    <row r="192" spans="8:8">
      <c r="H192" s="58"/>
    </row>
    <row r="193" spans="8:8">
      <c r="H193" s="58"/>
    </row>
    <row r="194" spans="8:8">
      <c r="H194" s="58"/>
    </row>
    <row r="195" spans="8:8">
      <c r="H195" s="58"/>
    </row>
    <row r="196" spans="8:8">
      <c r="H196" s="58"/>
    </row>
    <row r="197" spans="8:8">
      <c r="H197" s="58"/>
    </row>
    <row r="198" spans="8:8">
      <c r="H198" s="58"/>
    </row>
    <row r="199" spans="8:8">
      <c r="H199" s="58"/>
    </row>
    <row r="200" spans="8:8">
      <c r="H200" s="58"/>
    </row>
    <row r="201" spans="8:8">
      <c r="H201" s="58"/>
    </row>
    <row r="202" spans="8:8">
      <c r="H202" s="58"/>
    </row>
    <row r="203" spans="8:8">
      <c r="H203" s="58"/>
    </row>
    <row r="204" spans="8:8">
      <c r="H204" s="58"/>
    </row>
    <row r="205" spans="8:8">
      <c r="H205" s="58"/>
    </row>
    <row r="206" spans="8:8">
      <c r="H206" s="58"/>
    </row>
    <row r="207" spans="8:8">
      <c r="H207" s="58"/>
    </row>
    <row r="208" spans="8:8">
      <c r="H208" s="58"/>
    </row>
    <row r="209" spans="8:8">
      <c r="H209" s="58"/>
    </row>
    <row r="210" spans="8:8">
      <c r="H210" s="58"/>
    </row>
    <row r="211" spans="8:8">
      <c r="H211" s="58"/>
    </row>
    <row r="212" spans="8:8">
      <c r="H212" s="58"/>
    </row>
    <row r="213" spans="8:8">
      <c r="H213" s="58"/>
    </row>
    <row r="214" spans="8:8">
      <c r="H214" s="58"/>
    </row>
    <row r="215" spans="8:8">
      <c r="H215" s="58"/>
    </row>
    <row r="216" spans="8:8">
      <c r="H216" s="58"/>
    </row>
    <row r="217" spans="8:8">
      <c r="H217" s="58"/>
    </row>
    <row r="218" spans="8:8">
      <c r="H218" s="58"/>
    </row>
    <row r="219" spans="8:8">
      <c r="H219" s="58"/>
    </row>
    <row r="220" spans="8:8">
      <c r="H220" s="58"/>
    </row>
    <row r="221" spans="8:8">
      <c r="H221" s="58"/>
    </row>
    <row r="222" spans="8:8">
      <c r="H222" s="58"/>
    </row>
    <row r="223" spans="8:8">
      <c r="H223" s="58"/>
    </row>
    <row r="224" spans="8:8">
      <c r="H224" s="58"/>
    </row>
    <row r="225" spans="8:8">
      <c r="H225" s="58"/>
    </row>
    <row r="226" spans="8:8">
      <c r="H226" s="58"/>
    </row>
  </sheetData>
  <mergeCells count="1">
    <mergeCell ref="M7:N7"/>
  </mergeCells>
  <phoneticPr fontId="0" type="noConversion"/>
  <printOptions horizontalCentered="1"/>
  <pageMargins left="0.25" right="0.25" top="0.25" bottom="0.25" header="0.22" footer="0.22"/>
  <pageSetup scale="52" orientation="portrait" r:id="rId1"/>
  <headerFooter alignWithMargins="0">
    <oddFooter>&amp;L&amp;F (&amp;A)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99"/>
  <sheetViews>
    <sheetView defaultGridColor="0" topLeftCell="A13" colorId="22" zoomScale="77" workbookViewId="0">
      <selection activeCell="D23" sqref="D23"/>
    </sheetView>
  </sheetViews>
  <sheetFormatPr defaultColWidth="9.6328125" defaultRowHeight="15"/>
  <cols>
    <col min="1" max="1" width="5.6328125" customWidth="1"/>
    <col min="2" max="2" width="31.6328125" customWidth="1"/>
    <col min="3" max="3" width="19.08984375" customWidth="1"/>
    <col min="4" max="4" width="16.6328125" customWidth="1"/>
    <col min="5" max="5" width="15.6328125" customWidth="1"/>
    <col min="7" max="7" width="14.6328125" customWidth="1"/>
    <col min="8" max="8" width="4.453125" customWidth="1"/>
  </cols>
  <sheetData>
    <row r="1" spans="1:8">
      <c r="A1" s="5"/>
      <c r="B1" s="6"/>
      <c r="C1" s="6"/>
      <c r="D1" s="6"/>
      <c r="E1" s="6"/>
      <c r="F1" s="6"/>
      <c r="G1" s="6"/>
      <c r="H1" s="7"/>
    </row>
    <row r="2" spans="1:8" ht="30">
      <c r="A2" s="8"/>
      <c r="B2" s="9"/>
      <c r="C2" s="10" t="s">
        <v>0</v>
      </c>
      <c r="D2" s="3"/>
      <c r="E2" s="3"/>
      <c r="F2" s="3"/>
      <c r="G2" s="3"/>
      <c r="H2" s="11"/>
    </row>
    <row r="3" spans="1:8" ht="30.6" thickBot="1">
      <c r="A3" s="8"/>
      <c r="B3" s="1"/>
      <c r="C3" s="2" t="s">
        <v>1</v>
      </c>
      <c r="D3" s="1"/>
      <c r="E3" s="1"/>
      <c r="F3" s="1"/>
      <c r="G3" s="1"/>
      <c r="H3" s="11"/>
    </row>
    <row r="4" spans="1:8">
      <c r="A4" s="8"/>
      <c r="B4" s="3"/>
      <c r="C4" s="3"/>
      <c r="D4" s="3"/>
      <c r="E4" s="3"/>
      <c r="F4" s="3"/>
      <c r="G4" s="3" t="s">
        <v>2</v>
      </c>
      <c r="H4" s="11"/>
    </row>
    <row r="5" spans="1:8" ht="17.399999999999999">
      <c r="A5" s="8"/>
      <c r="B5" s="12" t="s">
        <v>96</v>
      </c>
      <c r="C5" s="3"/>
      <c r="D5" s="3"/>
      <c r="E5" s="13" t="s">
        <v>3</v>
      </c>
      <c r="F5" s="3" t="s">
        <v>4</v>
      </c>
      <c r="G5" s="3"/>
      <c r="H5" s="11"/>
    </row>
    <row r="6" spans="1:8">
      <c r="A6" s="8"/>
      <c r="B6" s="3"/>
      <c r="C6" s="3"/>
      <c r="D6" s="3"/>
      <c r="E6" s="3"/>
      <c r="F6" s="3"/>
      <c r="G6" s="3"/>
      <c r="H6" s="11"/>
    </row>
    <row r="7" spans="1:8" ht="15.6">
      <c r="A7" s="8"/>
      <c r="B7" s="17" t="s">
        <v>5</v>
      </c>
      <c r="C7" s="237">
        <f>+'CIG  WKST'!M1</f>
        <v>37164</v>
      </c>
      <c r="D7" s="18"/>
      <c r="E7" s="19" t="s">
        <v>6</v>
      </c>
      <c r="F7" s="237">
        <f ca="1">TODAY()</f>
        <v>37168</v>
      </c>
      <c r="G7" s="18"/>
      <c r="H7" s="11"/>
    </row>
    <row r="8" spans="1:8" ht="15.6">
      <c r="A8" s="8"/>
      <c r="B8" s="17"/>
      <c r="C8" s="19"/>
      <c r="D8" s="19"/>
      <c r="E8" s="19"/>
      <c r="F8" s="19"/>
      <c r="G8" s="19"/>
      <c r="H8" s="11"/>
    </row>
    <row r="9" spans="1:8" ht="15.6">
      <c r="A9" s="8"/>
      <c r="B9" s="17" t="s">
        <v>7</v>
      </c>
      <c r="C9" s="20" t="s">
        <v>214</v>
      </c>
      <c r="D9" s="18"/>
      <c r="E9" s="19" t="s">
        <v>3</v>
      </c>
      <c r="F9" s="18" t="s">
        <v>108</v>
      </c>
      <c r="G9" s="18"/>
      <c r="H9" s="11"/>
    </row>
    <row r="10" spans="1:8" ht="15.6">
      <c r="A10" s="8"/>
      <c r="B10" s="19"/>
      <c r="C10" s="19"/>
      <c r="D10" s="19"/>
      <c r="E10" s="19"/>
      <c r="F10" s="19"/>
      <c r="G10" s="19"/>
      <c r="H10" s="11"/>
    </row>
    <row r="11" spans="1:8" ht="17.399999999999999">
      <c r="A11" s="8"/>
      <c r="B11" s="19" t="s">
        <v>8</v>
      </c>
      <c r="C11" s="114" t="s">
        <v>103</v>
      </c>
      <c r="D11" s="19"/>
      <c r="E11" s="19"/>
      <c r="F11" s="19"/>
      <c r="G11" s="19"/>
      <c r="H11" s="11"/>
    </row>
    <row r="12" spans="1:8" ht="15.6">
      <c r="A12" s="8"/>
      <c r="B12" s="19"/>
      <c r="C12" s="18"/>
      <c r="D12" s="19"/>
      <c r="E12" s="19"/>
      <c r="F12" s="19"/>
      <c r="G12" s="19"/>
      <c r="H12" s="11"/>
    </row>
    <row r="13" spans="1:8" ht="15.6">
      <c r="A13" s="8"/>
      <c r="B13" s="19" t="s">
        <v>9</v>
      </c>
      <c r="C13" s="19"/>
      <c r="D13" s="19"/>
      <c r="E13" s="19"/>
      <c r="F13" s="19"/>
      <c r="G13" s="19"/>
      <c r="H13" s="11"/>
    </row>
    <row r="14" spans="1:8" ht="15.6">
      <c r="A14" s="8"/>
      <c r="B14" s="19"/>
      <c r="C14" s="19"/>
      <c r="D14" s="19"/>
      <c r="E14" s="19"/>
      <c r="F14" s="19"/>
      <c r="G14" s="19"/>
      <c r="H14" s="11"/>
    </row>
    <row r="15" spans="1:8" ht="15.6">
      <c r="A15" s="8"/>
      <c r="B15" s="19" t="s">
        <v>10</v>
      </c>
      <c r="C15" s="20" t="s">
        <v>104</v>
      </c>
      <c r="D15" s="19"/>
      <c r="E15" s="19" t="s">
        <v>11</v>
      </c>
      <c r="F15" s="18" t="s">
        <v>105</v>
      </c>
      <c r="G15" s="18"/>
      <c r="H15" s="11"/>
    </row>
    <row r="16" spans="1:8" ht="15.6">
      <c r="A16" s="8"/>
      <c r="B16" s="19"/>
      <c r="C16" s="17"/>
      <c r="D16" s="19"/>
      <c r="E16" s="19"/>
      <c r="F16" s="19"/>
      <c r="G16" s="19"/>
      <c r="H16" s="11"/>
    </row>
    <row r="17" spans="1:8" ht="15.6">
      <c r="A17" s="8"/>
      <c r="B17" s="19" t="s">
        <v>12</v>
      </c>
      <c r="C17" s="20" t="s">
        <v>106</v>
      </c>
      <c r="D17" s="18"/>
      <c r="E17" s="19" t="s">
        <v>13</v>
      </c>
      <c r="F17" s="19"/>
      <c r="G17" s="18"/>
      <c r="H17" s="11"/>
    </row>
    <row r="18" spans="1:8" ht="15.6">
      <c r="A18" s="8"/>
      <c r="B18" s="19"/>
      <c r="C18" s="17"/>
      <c r="D18" s="18"/>
      <c r="E18" s="19"/>
      <c r="F18" s="19"/>
      <c r="G18" s="19"/>
      <c r="H18" s="11"/>
    </row>
    <row r="19" spans="1:8" ht="15.6">
      <c r="A19" s="8"/>
      <c r="B19" s="19" t="s">
        <v>14</v>
      </c>
      <c r="C19" s="20" t="s">
        <v>107</v>
      </c>
      <c r="D19" s="18"/>
      <c r="E19" s="19"/>
      <c r="F19" s="19"/>
      <c r="G19" s="19"/>
      <c r="H19" s="11"/>
    </row>
    <row r="20" spans="1:8" ht="15.6">
      <c r="A20" s="8"/>
      <c r="B20" s="19"/>
      <c r="C20" s="17"/>
      <c r="D20" s="21"/>
      <c r="E20" s="19"/>
      <c r="F20" s="19"/>
      <c r="G20" s="19"/>
      <c r="H20" s="11"/>
    </row>
    <row r="21" spans="1:8" ht="16.2" thickBot="1">
      <c r="A21" s="8"/>
      <c r="B21" s="19" t="s">
        <v>15</v>
      </c>
      <c r="C21" s="83">
        <v>2</v>
      </c>
      <c r="D21" s="18"/>
      <c r="E21" s="19" t="s">
        <v>16</v>
      </c>
      <c r="F21" s="19"/>
      <c r="G21" s="239">
        <f>G47</f>
        <v>201481.80000000005</v>
      </c>
      <c r="H21" s="11"/>
    </row>
    <row r="22" spans="1:8" ht="16.2" thickTop="1">
      <c r="A22" s="8"/>
      <c r="B22" s="19"/>
      <c r="C22" s="17"/>
      <c r="D22" s="22"/>
      <c r="E22" s="19"/>
      <c r="F22" s="19"/>
      <c r="G22" s="231"/>
      <c r="H22" s="11"/>
    </row>
    <row r="23" spans="1:8" ht="15.6">
      <c r="A23" s="8"/>
      <c r="B23" s="17" t="s">
        <v>17</v>
      </c>
      <c r="C23" s="109" t="s">
        <v>220</v>
      </c>
      <c r="D23" s="241">
        <f>'CIG  WKST'!$A$2</f>
        <v>37104</v>
      </c>
      <c r="E23" s="19"/>
      <c r="F23" s="18"/>
      <c r="G23" s="19"/>
      <c r="H23" s="11"/>
    </row>
    <row r="24" spans="1:8" ht="15.6">
      <c r="A24" s="8"/>
      <c r="B24" s="19"/>
      <c r="C24" s="17"/>
      <c r="D24" s="19"/>
      <c r="E24" s="19"/>
      <c r="F24" s="19"/>
      <c r="G24" s="18"/>
      <c r="H24" s="11"/>
    </row>
    <row r="25" spans="1:8" ht="17.399999999999999">
      <c r="A25" s="8"/>
      <c r="B25" s="19" t="s">
        <v>18</v>
      </c>
      <c r="C25" s="224" t="s">
        <v>213</v>
      </c>
      <c r="D25" s="23"/>
      <c r="E25" s="23"/>
      <c r="F25" s="23"/>
      <c r="G25" s="23"/>
      <c r="H25" s="11"/>
    </row>
    <row r="26" spans="1:8" ht="15.6">
      <c r="A26" s="8"/>
      <c r="B26" s="19"/>
      <c r="C26" s="19"/>
      <c r="D26" s="19"/>
      <c r="E26" s="19"/>
      <c r="F26" s="19"/>
      <c r="G26" s="19"/>
      <c r="H26" s="11"/>
    </row>
    <row r="27" spans="1:8" ht="15.6">
      <c r="A27" s="8"/>
      <c r="B27" s="19" t="s">
        <v>19</v>
      </c>
      <c r="C27" s="23"/>
      <c r="D27" s="23"/>
      <c r="E27" s="23"/>
      <c r="F27" s="24" t="s">
        <v>20</v>
      </c>
      <c r="G27" s="23"/>
      <c r="H27" s="11"/>
    </row>
    <row r="28" spans="1:8" ht="15.6">
      <c r="A28" s="8"/>
      <c r="B28" s="19"/>
      <c r="C28" s="19"/>
      <c r="D28" s="19"/>
      <c r="E28" s="19"/>
      <c r="F28" s="19"/>
      <c r="G28" s="19"/>
      <c r="H28" s="11"/>
    </row>
    <row r="29" spans="1:8" ht="15.6">
      <c r="A29" s="8"/>
      <c r="B29" s="19" t="s">
        <v>21</v>
      </c>
      <c r="C29" s="23"/>
      <c r="D29" s="23"/>
      <c r="E29" s="23"/>
      <c r="F29" s="23"/>
      <c r="G29" s="23"/>
      <c r="H29" s="11"/>
    </row>
    <row r="30" spans="1:8" ht="15.6">
      <c r="A30" s="8"/>
      <c r="B30" s="19"/>
      <c r="C30" s="19"/>
      <c r="D30" s="19"/>
      <c r="E30" s="19"/>
      <c r="F30" s="19"/>
      <c r="G30" s="19"/>
      <c r="H30" s="11"/>
    </row>
    <row r="31" spans="1:8" ht="15.6">
      <c r="A31" s="8"/>
      <c r="B31" s="25" t="s">
        <v>22</v>
      </c>
      <c r="C31" s="25" t="s">
        <v>6</v>
      </c>
      <c r="D31" s="25" t="s">
        <v>23</v>
      </c>
      <c r="E31" s="26"/>
      <c r="F31" s="25"/>
      <c r="G31" s="25" t="s">
        <v>6</v>
      </c>
      <c r="H31" s="11"/>
    </row>
    <row r="32" spans="1:8" ht="15.6">
      <c r="A32" s="8"/>
      <c r="B32" s="18"/>
      <c r="C32" s="19"/>
      <c r="D32" s="19"/>
      <c r="E32" s="19"/>
      <c r="F32" s="19"/>
      <c r="G32" s="19"/>
      <c r="H32" s="11"/>
    </row>
    <row r="33" spans="1:8" ht="16.2" thickBot="1">
      <c r="A33" s="8"/>
      <c r="B33" s="27"/>
      <c r="C33" s="28"/>
      <c r="D33" s="28"/>
      <c r="E33" s="28"/>
      <c r="F33" s="28"/>
      <c r="G33" s="28"/>
      <c r="H33" s="11"/>
    </row>
    <row r="34" spans="1:8" ht="15.6">
      <c r="A34" s="8"/>
      <c r="B34" s="17" t="s">
        <v>24</v>
      </c>
      <c r="C34" s="19"/>
      <c r="D34" s="19"/>
      <c r="E34" s="19"/>
      <c r="F34" s="19"/>
      <c r="G34" s="19"/>
      <c r="H34" s="11"/>
    </row>
    <row r="35" spans="1:8" ht="15.6">
      <c r="A35" s="8"/>
      <c r="B35" s="19" t="s">
        <v>25</v>
      </c>
      <c r="C35" s="33" t="s">
        <v>74</v>
      </c>
      <c r="D35" s="26" t="s">
        <v>218</v>
      </c>
      <c r="E35" s="242">
        <f>'CIG  WKST'!$A$2</f>
        <v>37104</v>
      </c>
      <c r="F35" s="25" t="s">
        <v>217</v>
      </c>
      <c r="G35" s="240">
        <f>+'CIG  WKST'!H101</f>
        <v>164629.94000000003</v>
      </c>
      <c r="H35" s="11"/>
    </row>
    <row r="36" spans="1:8" ht="15.6">
      <c r="A36" s="8"/>
      <c r="B36" s="19"/>
      <c r="C36" s="19"/>
      <c r="D36" s="29"/>
      <c r="E36" s="241"/>
      <c r="F36" s="19"/>
      <c r="G36" s="19"/>
      <c r="H36" s="11"/>
    </row>
    <row r="37" spans="1:8" ht="15.6">
      <c r="A37" s="8"/>
      <c r="B37" s="19" t="s">
        <v>25</v>
      </c>
      <c r="C37" s="33" t="s">
        <v>73</v>
      </c>
      <c r="D37" s="26" t="s">
        <v>219</v>
      </c>
      <c r="E37" s="242">
        <f>'CIG  WKST'!$A$2</f>
        <v>37104</v>
      </c>
      <c r="F37" s="25"/>
      <c r="G37" s="240">
        <f>+'PSCO WKST'!I97</f>
        <v>36851.86</v>
      </c>
      <c r="H37" s="11"/>
    </row>
    <row r="38" spans="1:8" ht="15.6">
      <c r="A38" s="8"/>
      <c r="B38" s="19"/>
      <c r="C38" s="30"/>
      <c r="D38" s="31"/>
      <c r="E38" s="19"/>
      <c r="F38" s="19"/>
      <c r="G38" s="233"/>
      <c r="H38" s="11"/>
    </row>
    <row r="39" spans="1:8" ht="15.6">
      <c r="A39" s="8"/>
      <c r="B39" s="19" t="s">
        <v>25</v>
      </c>
      <c r="C39" s="33"/>
      <c r="D39" s="25"/>
      <c r="E39" s="91"/>
      <c r="F39" s="25"/>
      <c r="G39" s="232"/>
      <c r="H39" s="11"/>
    </row>
    <row r="40" spans="1:8" ht="15.6">
      <c r="A40" s="8"/>
      <c r="B40" s="19"/>
      <c r="C40" s="19"/>
      <c r="D40" s="19"/>
      <c r="E40" s="19"/>
      <c r="F40" s="19"/>
      <c r="G40" s="233"/>
      <c r="H40" s="11"/>
    </row>
    <row r="41" spans="1:8" ht="15.6">
      <c r="A41" s="8"/>
      <c r="B41" s="19" t="s">
        <v>25</v>
      </c>
      <c r="C41" s="33"/>
      <c r="D41" s="25"/>
      <c r="E41" s="91"/>
      <c r="F41" s="25"/>
      <c r="G41" s="232"/>
      <c r="H41" s="11"/>
    </row>
    <row r="42" spans="1:8" ht="15.6">
      <c r="A42" s="8"/>
      <c r="B42" s="19"/>
      <c r="C42" s="19"/>
      <c r="D42" s="19"/>
      <c r="E42" s="19"/>
      <c r="F42" s="19"/>
      <c r="G42" s="233"/>
      <c r="H42" s="11"/>
    </row>
    <row r="43" spans="1:8" ht="15.6">
      <c r="A43" s="8"/>
      <c r="B43" s="19" t="s">
        <v>25</v>
      </c>
      <c r="C43" s="33"/>
      <c r="D43" s="25"/>
      <c r="E43" s="91"/>
      <c r="F43" s="25"/>
      <c r="G43" s="232"/>
      <c r="H43" s="11"/>
    </row>
    <row r="44" spans="1:8" ht="15.6">
      <c r="A44" s="8"/>
      <c r="B44" s="19"/>
      <c r="C44" s="19"/>
      <c r="D44" s="19"/>
      <c r="E44" s="19"/>
      <c r="F44" s="19"/>
      <c r="G44" s="233"/>
      <c r="H44" s="11"/>
    </row>
    <row r="45" spans="1:8" ht="15.6">
      <c r="A45" s="8"/>
      <c r="B45" s="19" t="s">
        <v>25</v>
      </c>
      <c r="C45" s="26"/>
      <c r="D45" s="25"/>
      <c r="E45" s="25"/>
      <c r="F45" s="25"/>
      <c r="G45" s="232"/>
      <c r="H45" s="11"/>
    </row>
    <row r="46" spans="1:8">
      <c r="A46" s="8"/>
      <c r="B46" s="18"/>
      <c r="C46" s="18"/>
      <c r="D46" s="18"/>
      <c r="E46" s="18"/>
      <c r="F46" s="18"/>
      <c r="G46" s="18"/>
      <c r="H46" s="11"/>
    </row>
    <row r="47" spans="1:8" ht="16.2" thickBot="1">
      <c r="A47" s="8"/>
      <c r="B47" s="18"/>
      <c r="C47" s="18"/>
      <c r="D47" s="19" t="s">
        <v>26</v>
      </c>
      <c r="E47" s="18"/>
      <c r="F47" s="18"/>
      <c r="G47" s="239">
        <f>SUM(G35:G43)</f>
        <v>201481.80000000005</v>
      </c>
      <c r="H47" s="11"/>
    </row>
    <row r="48" spans="1:8" ht="15.6" thickTop="1">
      <c r="A48" s="8"/>
      <c r="B48" s="18"/>
      <c r="C48" s="18"/>
      <c r="D48" s="18"/>
      <c r="E48" s="18"/>
      <c r="F48" s="18"/>
      <c r="G48" s="18"/>
      <c r="H48" s="11"/>
    </row>
    <row r="49" spans="1:9" ht="16.2" thickBot="1">
      <c r="A49" s="8"/>
      <c r="B49" s="27"/>
      <c r="C49" s="28"/>
      <c r="D49" s="28"/>
      <c r="E49" s="28"/>
      <c r="F49" s="28"/>
      <c r="G49" s="28"/>
      <c r="H49" s="11"/>
    </row>
    <row r="50" spans="1:9">
      <c r="A50" s="8"/>
      <c r="B50" s="18"/>
      <c r="C50" s="18"/>
      <c r="D50" s="18"/>
      <c r="E50" s="18"/>
      <c r="F50" s="18"/>
      <c r="G50" s="18"/>
      <c r="H50" s="11"/>
    </row>
    <row r="51" spans="1:9">
      <c r="A51" s="8"/>
      <c r="B51" s="18" t="s">
        <v>27</v>
      </c>
      <c r="C51" s="18"/>
      <c r="D51" s="18"/>
      <c r="E51" s="18"/>
      <c r="F51" s="18"/>
      <c r="G51" s="18"/>
      <c r="H51" s="11"/>
    </row>
    <row r="52" spans="1:9">
      <c r="A52" s="8"/>
      <c r="B52" s="18"/>
      <c r="C52" s="18"/>
      <c r="D52" s="18"/>
      <c r="E52" s="18"/>
      <c r="F52" s="18"/>
      <c r="G52" s="18"/>
      <c r="H52" s="11"/>
    </row>
    <row r="53" spans="1:9">
      <c r="A53" s="8"/>
      <c r="B53" s="18" t="s">
        <v>28</v>
      </c>
      <c r="C53" s="32" t="s">
        <v>29</v>
      </c>
      <c r="D53" s="26"/>
      <c r="E53" s="18" t="s">
        <v>30</v>
      </c>
      <c r="F53" s="18"/>
      <c r="G53" s="26"/>
      <c r="H53" s="11"/>
    </row>
    <row r="54" spans="1:9">
      <c r="A54" s="8"/>
      <c r="B54" s="18"/>
      <c r="C54" s="18"/>
      <c r="D54" s="18"/>
      <c r="E54" s="18"/>
      <c r="F54" s="18"/>
      <c r="G54" s="18"/>
      <c r="H54" s="11"/>
    </row>
    <row r="55" spans="1:9">
      <c r="A55" s="8"/>
      <c r="B55" s="20" t="s">
        <v>31</v>
      </c>
      <c r="C55" s="26"/>
      <c r="D55" s="26"/>
      <c r="E55" s="32" t="s">
        <v>6</v>
      </c>
      <c r="F55" s="26"/>
      <c r="G55" s="18"/>
      <c r="H55" s="11"/>
    </row>
    <row r="56" spans="1:9">
      <c r="A56" s="8"/>
      <c r="B56" s="18"/>
      <c r="C56" s="18"/>
      <c r="D56" s="18"/>
      <c r="E56" s="18"/>
      <c r="F56" s="18"/>
      <c r="G56" s="18"/>
      <c r="H56" s="11"/>
    </row>
    <row r="57" spans="1:9">
      <c r="A57" s="8"/>
      <c r="B57" s="20" t="s">
        <v>32</v>
      </c>
      <c r="C57" s="18"/>
      <c r="D57" s="18"/>
      <c r="E57" s="18"/>
      <c r="F57" s="18"/>
      <c r="G57" s="18"/>
      <c r="H57" s="11"/>
    </row>
    <row r="58" spans="1:9">
      <c r="A58" s="8"/>
      <c r="B58" s="20" t="s">
        <v>33</v>
      </c>
      <c r="C58" s="18"/>
      <c r="D58" s="18"/>
      <c r="E58" s="18"/>
      <c r="F58" s="18"/>
      <c r="G58" s="18"/>
      <c r="H58" s="11"/>
    </row>
    <row r="59" spans="1:9" ht="15.6" thickBot="1">
      <c r="A59" s="14"/>
      <c r="B59" s="15"/>
      <c r="C59" s="15"/>
      <c r="D59" s="15"/>
      <c r="E59" s="15"/>
      <c r="F59" s="15"/>
      <c r="G59" s="15"/>
      <c r="H59" s="16"/>
    </row>
    <row r="60" spans="1:9">
      <c r="A60" s="4"/>
      <c r="G60" s="4"/>
      <c r="H60" s="230"/>
    </row>
    <row r="61" spans="1:9">
      <c r="A61" s="4"/>
      <c r="G61" s="4"/>
      <c r="H61" s="4"/>
      <c r="I61" s="4"/>
    </row>
    <row r="62" spans="1:9">
      <c r="A62" s="4"/>
      <c r="G62" s="4"/>
      <c r="H62" s="4"/>
      <c r="I62" s="4"/>
    </row>
    <row r="63" spans="1:9">
      <c r="A63" s="4"/>
      <c r="G63" s="4"/>
      <c r="H63" s="4"/>
      <c r="I63" s="4"/>
    </row>
    <row r="64" spans="1:9">
      <c r="A64" s="4"/>
      <c r="G64" s="4"/>
      <c r="H64" s="4"/>
      <c r="I64" s="4"/>
    </row>
    <row r="65" spans="1:9">
      <c r="A65" s="4"/>
      <c r="G65" s="4"/>
      <c r="H65" s="4"/>
      <c r="I65" s="4"/>
    </row>
    <row r="66" spans="1:9">
      <c r="A66" s="4"/>
      <c r="G66" s="4"/>
      <c r="H66" s="4"/>
      <c r="I66" s="4"/>
    </row>
    <row r="67" spans="1:9">
      <c r="A67" s="4"/>
      <c r="G67" s="4"/>
      <c r="H67" s="4"/>
      <c r="I67" s="4"/>
    </row>
    <row r="68" spans="1:9">
      <c r="A68" s="4"/>
      <c r="G68" s="4"/>
      <c r="H68" s="4"/>
      <c r="I68" s="4"/>
    </row>
    <row r="69" spans="1:9">
      <c r="A69" s="4"/>
      <c r="G69" s="4"/>
      <c r="H69" s="4"/>
      <c r="I69" s="4"/>
    </row>
    <row r="70" spans="1:9">
      <c r="A70" s="4"/>
      <c r="G70" s="4"/>
      <c r="H70" s="4"/>
      <c r="I70" s="4"/>
    </row>
    <row r="71" spans="1:9">
      <c r="G71" s="4"/>
      <c r="H71" s="4"/>
      <c r="I71" s="4"/>
    </row>
    <row r="72" spans="1:9">
      <c r="G72" s="4"/>
      <c r="H72" s="4"/>
      <c r="I72" s="4"/>
    </row>
    <row r="73" spans="1:9">
      <c r="G73" s="4"/>
      <c r="H73" s="4"/>
      <c r="I73" s="4"/>
    </row>
    <row r="74" spans="1:9">
      <c r="G74" s="4"/>
      <c r="H74" s="4"/>
      <c r="I74" s="4"/>
    </row>
    <row r="75" spans="1:9">
      <c r="G75" s="4"/>
      <c r="H75" s="4"/>
      <c r="I75" s="4"/>
    </row>
    <row r="76" spans="1:9">
      <c r="G76" s="4"/>
      <c r="H76" s="4"/>
      <c r="I76" s="4"/>
    </row>
    <row r="77" spans="1:9">
      <c r="G77" s="4"/>
      <c r="H77" s="4"/>
      <c r="I77" s="4"/>
    </row>
    <row r="78" spans="1:9">
      <c r="G78" s="4"/>
      <c r="H78" s="4"/>
      <c r="I78" s="4"/>
    </row>
    <row r="79" spans="1:9">
      <c r="G79" s="4"/>
      <c r="H79" s="4"/>
      <c r="I79" s="4"/>
    </row>
    <row r="80" spans="1:9">
      <c r="G80" s="4"/>
      <c r="H80" s="4"/>
      <c r="I80" s="4"/>
    </row>
    <row r="81" spans="7:9">
      <c r="G81" s="4"/>
      <c r="H81" s="4"/>
      <c r="I81" s="4"/>
    </row>
    <row r="82" spans="7:9">
      <c r="G82" s="4"/>
      <c r="H82" s="4"/>
      <c r="I82" s="4"/>
    </row>
    <row r="83" spans="7:9">
      <c r="G83" s="4"/>
      <c r="H83" s="4"/>
      <c r="I83" s="4"/>
    </row>
    <row r="84" spans="7:9">
      <c r="G84" s="4"/>
      <c r="H84" s="4"/>
      <c r="I84" s="4"/>
    </row>
    <row r="85" spans="7:9">
      <c r="G85" s="4"/>
      <c r="H85" s="4"/>
      <c r="I85" s="4"/>
    </row>
    <row r="86" spans="7:9">
      <c r="G86" s="4"/>
      <c r="H86" s="4"/>
      <c r="I86" s="4"/>
    </row>
    <row r="87" spans="7:9">
      <c r="G87" s="4"/>
      <c r="H87" s="4"/>
      <c r="I87" s="4"/>
    </row>
    <row r="88" spans="7:9">
      <c r="G88" s="4"/>
      <c r="H88" s="4"/>
      <c r="I88" s="4"/>
    </row>
    <row r="89" spans="7:9">
      <c r="G89" s="4"/>
      <c r="H89" s="4"/>
      <c r="I89" s="4"/>
    </row>
    <row r="90" spans="7:9">
      <c r="G90" s="4"/>
      <c r="H90" s="4"/>
      <c r="I90" s="4"/>
    </row>
    <row r="91" spans="7:9">
      <c r="G91" s="4"/>
      <c r="H91" s="4"/>
      <c r="I91" s="4"/>
    </row>
    <row r="92" spans="7:9">
      <c r="G92" s="4"/>
      <c r="H92" s="4"/>
      <c r="I92" s="4"/>
    </row>
    <row r="93" spans="7:9">
      <c r="G93" s="4"/>
      <c r="H93" s="4"/>
      <c r="I93" s="4"/>
    </row>
    <row r="94" spans="7:9">
      <c r="G94" s="4"/>
      <c r="H94" s="4"/>
      <c r="I94" s="4"/>
    </row>
    <row r="95" spans="7:9">
      <c r="G95" s="4"/>
      <c r="H95" s="4"/>
      <c r="I95" s="4"/>
    </row>
    <row r="96" spans="7:9">
      <c r="G96" s="4"/>
      <c r="H96" s="4"/>
      <c r="I96" s="4"/>
    </row>
    <row r="97" spans="7:9">
      <c r="G97" s="4"/>
      <c r="H97" s="4"/>
      <c r="I97" s="4"/>
    </row>
    <row r="98" spans="7:9">
      <c r="G98" s="4"/>
      <c r="H98" s="4"/>
      <c r="I98" s="4"/>
    </row>
    <row r="99" spans="7:9">
      <c r="G99" s="4"/>
      <c r="H99" s="4"/>
      <c r="I99" s="4"/>
    </row>
  </sheetData>
  <sheetProtection sheet="1" objects="1" scenarios="1"/>
  <phoneticPr fontId="0" type="noConversion"/>
  <printOptions horizontalCentered="1" verticalCentered="1"/>
  <pageMargins left="0.25" right="0.25" top="0.25" bottom="0.3" header="0.5" footer="0.5"/>
  <pageSetup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1"/>
  <sheetViews>
    <sheetView topLeftCell="A10" zoomScale="50" workbookViewId="0">
      <selection activeCell="A12" sqref="A12"/>
    </sheetView>
  </sheetViews>
  <sheetFormatPr defaultColWidth="19" defaultRowHeight="15"/>
  <cols>
    <col min="1" max="1" width="14.1796875" customWidth="1"/>
    <col min="2" max="2" width="2.6328125" customWidth="1"/>
    <col min="3" max="3" width="11.6328125" customWidth="1"/>
    <col min="4" max="4" width="13.6328125" customWidth="1"/>
    <col min="5" max="5" width="9.6328125" customWidth="1"/>
    <col min="6" max="6" width="2.6328125" customWidth="1"/>
    <col min="7" max="7" width="8.6328125" customWidth="1"/>
    <col min="8" max="8" width="11.6328125" customWidth="1"/>
    <col min="9" max="9" width="15.6328125" customWidth="1"/>
    <col min="10" max="10" width="11.54296875" customWidth="1"/>
    <col min="11" max="11" width="23" bestFit="1" customWidth="1"/>
    <col min="12" max="12" width="12.6328125" customWidth="1"/>
    <col min="14" max="14" width="13.6328125" customWidth="1"/>
  </cols>
  <sheetData>
    <row r="1" spans="1:11">
      <c r="A1" t="s">
        <v>121</v>
      </c>
    </row>
    <row r="2" spans="1:11" ht="21">
      <c r="A2" s="286">
        <v>4646</v>
      </c>
    </row>
    <row r="3" spans="1:11">
      <c r="A3" t="s">
        <v>122</v>
      </c>
    </row>
    <row r="4" spans="1:11">
      <c r="A4" s="289">
        <f>'CIG  WKST'!M2</f>
        <v>2.0299999999999998</v>
      </c>
    </row>
    <row r="5" spans="1:11">
      <c r="A5" t="s">
        <v>123</v>
      </c>
    </row>
    <row r="6" spans="1:11">
      <c r="A6" s="287">
        <f>'PSCO WKST'!F1</f>
        <v>37104</v>
      </c>
    </row>
    <row r="8" spans="1:11">
      <c r="A8" t="s">
        <v>70</v>
      </c>
    </row>
    <row r="9" spans="1:11">
      <c r="A9" s="288">
        <f>DATE(YEAR($A$6+31),MONTH($A$6+62),1)-1</f>
        <v>37164</v>
      </c>
    </row>
    <row r="10" spans="1:11" ht="17.399999999999999">
      <c r="A10" t="s">
        <v>212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</row>
    <row r="11" spans="1:11" ht="17.399999999999999">
      <c r="A11" s="288">
        <f>A6</f>
        <v>37104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</row>
    <row r="12" spans="1:11" ht="17.399999999999999">
      <c r="A12" s="288">
        <f>DATE(YEAR($A$6+31),MONTH($A$6+31),1)-1</f>
        <v>37134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ht="17.399999999999999">
      <c r="A13" s="234"/>
      <c r="B13" s="132"/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30">
      <c r="B14" s="132"/>
      <c r="C14" s="132"/>
      <c r="D14" s="132"/>
      <c r="E14" s="133"/>
      <c r="H14" s="134" t="s">
        <v>124</v>
      </c>
      <c r="I14" s="132"/>
      <c r="J14" s="132"/>
      <c r="K14" s="132"/>
    </row>
    <row r="15" spans="1:11" ht="30">
      <c r="B15" s="132"/>
      <c r="C15" s="132"/>
      <c r="D15" s="132"/>
      <c r="E15" s="133"/>
      <c r="H15" s="134"/>
      <c r="I15" s="132"/>
      <c r="J15" s="132"/>
      <c r="K15" s="132"/>
    </row>
    <row r="16" spans="1:11" ht="30">
      <c r="B16" s="132"/>
      <c r="C16" s="132"/>
      <c r="D16" s="132"/>
      <c r="E16" s="133"/>
      <c r="H16" s="134"/>
      <c r="I16" s="132"/>
      <c r="J16" s="132"/>
      <c r="K16" s="132"/>
    </row>
    <row r="17" spans="1:19" ht="30">
      <c r="B17" s="132"/>
      <c r="C17" s="132"/>
      <c r="D17" s="132"/>
      <c r="E17" s="133"/>
      <c r="H17" s="134"/>
      <c r="I17" s="132"/>
      <c r="J17" s="132"/>
      <c r="K17" s="132"/>
    </row>
    <row r="18" spans="1:19" ht="17.399999999999999">
      <c r="B18" s="132"/>
      <c r="C18" s="132"/>
      <c r="D18" s="132"/>
      <c r="E18" s="132"/>
      <c r="F18" s="132"/>
      <c r="G18" s="132"/>
      <c r="H18" s="132"/>
      <c r="I18" s="132"/>
      <c r="J18" s="132"/>
      <c r="K18" s="132"/>
    </row>
    <row r="19" spans="1:19" ht="17.399999999999999">
      <c r="A19" s="13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S19" t="s">
        <v>125</v>
      </c>
    </row>
    <row r="20" spans="1:19" ht="17.399999999999999">
      <c r="A20" s="135"/>
      <c r="B20" s="132"/>
      <c r="C20" s="132"/>
      <c r="D20" s="132"/>
      <c r="E20" s="132"/>
      <c r="F20" s="132"/>
      <c r="G20" s="132"/>
      <c r="H20" s="132"/>
    </row>
    <row r="21" spans="1:19" ht="22.8">
      <c r="B21" s="132"/>
      <c r="C21" s="136" t="s">
        <v>126</v>
      </c>
      <c r="D21" s="132"/>
      <c r="E21" s="132"/>
      <c r="F21" s="132"/>
      <c r="G21" s="132"/>
      <c r="H21" s="132"/>
      <c r="I21" s="137" t="s">
        <v>127</v>
      </c>
      <c r="J21" s="138"/>
      <c r="K21" s="139">
        <f>A6</f>
        <v>37104</v>
      </c>
    </row>
    <row r="22" spans="1:19" ht="22.8">
      <c r="B22" s="132"/>
      <c r="C22" s="140" t="s">
        <v>128</v>
      </c>
      <c r="D22" s="132"/>
      <c r="E22" s="132"/>
      <c r="F22" s="132"/>
      <c r="G22" s="132"/>
      <c r="H22" s="132"/>
      <c r="I22" s="137" t="s">
        <v>129</v>
      </c>
      <c r="J22" s="138"/>
      <c r="K22" s="221">
        <f>A9-2</f>
        <v>37162</v>
      </c>
    </row>
    <row r="23" spans="1:19" ht="22.8">
      <c r="B23" s="132"/>
      <c r="C23" s="136" t="s">
        <v>130</v>
      </c>
      <c r="D23" s="132"/>
      <c r="E23" s="132"/>
      <c r="F23" s="132"/>
      <c r="G23" s="132"/>
      <c r="H23" s="132"/>
      <c r="I23" s="137" t="s">
        <v>131</v>
      </c>
      <c r="J23" s="138"/>
      <c r="K23" s="221">
        <f>A9</f>
        <v>37164</v>
      </c>
    </row>
    <row r="24" spans="1:19" ht="22.8">
      <c r="B24" s="132"/>
      <c r="C24" s="136"/>
      <c r="D24" s="132"/>
      <c r="E24" s="132"/>
      <c r="F24" s="132"/>
      <c r="G24" s="132"/>
      <c r="H24" s="132"/>
      <c r="I24" s="137" t="s">
        <v>132</v>
      </c>
      <c r="J24" s="138"/>
      <c r="K24" s="138" t="s">
        <v>133</v>
      </c>
    </row>
    <row r="25" spans="1:19" ht="22.8">
      <c r="B25" s="132"/>
      <c r="C25" s="136" t="s">
        <v>216</v>
      </c>
      <c r="D25" s="132"/>
      <c r="E25" s="132"/>
      <c r="F25" s="132"/>
      <c r="G25" s="132"/>
      <c r="H25" s="132"/>
      <c r="I25" s="137" t="s">
        <v>134</v>
      </c>
      <c r="J25" s="138"/>
      <c r="K25" s="138" t="s">
        <v>135</v>
      </c>
    </row>
    <row r="26" spans="1:19" ht="17.399999999999999">
      <c r="B26" s="132"/>
      <c r="C26" s="132"/>
      <c r="D26" s="132"/>
      <c r="E26" s="132"/>
      <c r="F26" s="132"/>
      <c r="G26" s="132"/>
      <c r="H26" s="132"/>
      <c r="J26" s="138"/>
      <c r="K26" s="138" t="s">
        <v>136</v>
      </c>
    </row>
    <row r="27" spans="1:19" ht="18" thickBot="1">
      <c r="B27" s="142"/>
      <c r="C27" s="141"/>
      <c r="D27" s="142"/>
      <c r="E27" s="142"/>
      <c r="F27" s="142"/>
      <c r="G27" s="142"/>
      <c r="H27" s="142"/>
      <c r="I27" s="142"/>
      <c r="J27" s="142"/>
      <c r="K27" s="142"/>
    </row>
    <row r="28" spans="1:19" ht="18" thickTop="1">
      <c r="B28" s="132"/>
      <c r="C28" s="132"/>
      <c r="D28" s="132"/>
      <c r="E28" s="132"/>
      <c r="F28" s="132"/>
      <c r="G28" s="132"/>
      <c r="H28" s="132"/>
      <c r="I28" s="132"/>
      <c r="J28" s="132"/>
      <c r="K28" s="132"/>
    </row>
    <row r="29" spans="1:19" ht="22.8">
      <c r="C29" s="136" t="s">
        <v>137</v>
      </c>
      <c r="D29" s="132"/>
      <c r="E29" s="132"/>
      <c r="F29" s="132"/>
      <c r="G29" s="132"/>
      <c r="H29" s="143" t="s">
        <v>138</v>
      </c>
      <c r="I29" s="221">
        <f>A11</f>
        <v>37104</v>
      </c>
      <c r="J29" s="144" t="s">
        <v>139</v>
      </c>
      <c r="K29" s="221">
        <f>A12</f>
        <v>37134</v>
      </c>
    </row>
    <row r="30" spans="1:19" ht="17.399999999999999">
      <c r="B30" s="132"/>
      <c r="C30" s="132"/>
      <c r="D30" s="132"/>
      <c r="E30" s="132"/>
      <c r="F30" s="132"/>
      <c r="G30" s="132"/>
      <c r="H30" s="132"/>
      <c r="I30" s="132"/>
      <c r="J30" s="132"/>
      <c r="K30" s="145"/>
    </row>
    <row r="31" spans="1:19" ht="17.399999999999999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9" ht="17.399999999999999">
      <c r="C32" s="138" t="s">
        <v>140</v>
      </c>
      <c r="D32" s="132"/>
      <c r="E32" s="132"/>
      <c r="F32" s="132"/>
      <c r="G32" s="146"/>
      <c r="H32" s="132"/>
      <c r="I32" s="132"/>
      <c r="J32" s="132"/>
      <c r="K32" s="132"/>
    </row>
    <row r="33" spans="2:11" ht="17.399999999999999">
      <c r="B33" s="138"/>
      <c r="C33" s="132"/>
      <c r="D33" s="132"/>
      <c r="E33" s="132"/>
      <c r="F33" s="132"/>
      <c r="G33" s="146"/>
      <c r="H33" s="132"/>
      <c r="I33" s="132"/>
      <c r="J33" s="132"/>
      <c r="K33" s="132"/>
    </row>
    <row r="34" spans="2:11" ht="17.399999999999999">
      <c r="B34" s="138"/>
      <c r="F34" s="132"/>
      <c r="G34" s="146"/>
      <c r="H34" s="132"/>
      <c r="I34" s="132"/>
      <c r="J34" s="132"/>
      <c r="K34" s="132"/>
    </row>
    <row r="35" spans="2:11" ht="17.399999999999999">
      <c r="B35" s="138"/>
      <c r="C35" s="132"/>
      <c r="D35" s="132"/>
      <c r="E35" s="132"/>
      <c r="F35" s="132"/>
      <c r="G35" s="146"/>
      <c r="H35" s="132"/>
      <c r="I35" s="132"/>
      <c r="J35" s="132"/>
      <c r="K35" s="132"/>
    </row>
    <row r="36" spans="2:11" ht="17.399999999999999">
      <c r="B36" s="138"/>
      <c r="C36" s="132"/>
      <c r="D36" s="132"/>
      <c r="E36" s="147"/>
      <c r="F36" s="132"/>
      <c r="G36" s="146"/>
      <c r="H36" s="132"/>
      <c r="I36" s="132"/>
      <c r="J36" s="132"/>
      <c r="K36" s="132"/>
    </row>
    <row r="37" spans="2:11" ht="17.399999999999999"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2:11" ht="17.399999999999999">
      <c r="C38" s="132" t="s">
        <v>141</v>
      </c>
      <c r="D38" s="132"/>
      <c r="E38" s="261">
        <f>A6</f>
        <v>37104</v>
      </c>
      <c r="G38" s="146">
        <f>A2</f>
        <v>4646</v>
      </c>
      <c r="H38" s="148" t="s">
        <v>142</v>
      </c>
      <c r="I38" s="290">
        <f>A4</f>
        <v>2.0299999999999998</v>
      </c>
      <c r="J38" s="132" t="s">
        <v>143</v>
      </c>
      <c r="K38" s="149">
        <f>G38*I38</f>
        <v>9431.3799999999992</v>
      </c>
    </row>
    <row r="39" spans="2:11" ht="17.399999999999999">
      <c r="B39" s="132"/>
      <c r="C39" s="132"/>
      <c r="D39" s="132"/>
      <c r="E39" s="151"/>
      <c r="F39" s="132"/>
      <c r="G39" s="132"/>
      <c r="H39" s="132"/>
      <c r="I39" s="149"/>
      <c r="J39" s="132"/>
    </row>
    <row r="40" spans="2:11" ht="17.399999999999999">
      <c r="B40" s="132"/>
      <c r="C40" s="133" t="s">
        <v>141</v>
      </c>
      <c r="D40" s="133"/>
      <c r="E40" s="281"/>
      <c r="F40" s="282"/>
      <c r="G40" s="283"/>
      <c r="H40" s="284" t="s">
        <v>142</v>
      </c>
      <c r="I40" s="262"/>
      <c r="J40" s="133" t="s">
        <v>143</v>
      </c>
      <c r="K40" s="285">
        <f>G40*I40</f>
        <v>0</v>
      </c>
    </row>
    <row r="43" spans="2:11" ht="17.399999999999999">
      <c r="B43" s="132"/>
      <c r="C43" s="132"/>
      <c r="D43" s="132"/>
      <c r="E43" s="132"/>
      <c r="F43" s="132"/>
      <c r="G43" s="132"/>
      <c r="H43" s="132"/>
      <c r="I43" s="132"/>
      <c r="J43" s="132"/>
    </row>
    <row r="44" spans="2:11" ht="17.399999999999999">
      <c r="C44" s="132"/>
      <c r="D44" s="132"/>
      <c r="E44" s="132"/>
      <c r="F44" s="132"/>
      <c r="G44" s="132"/>
      <c r="H44" s="132"/>
      <c r="J44" s="132"/>
      <c r="K44" s="152"/>
    </row>
    <row r="45" spans="2:11" ht="17.399999999999999">
      <c r="B45" s="132"/>
      <c r="C45" s="150"/>
      <c r="D45" s="132"/>
      <c r="E45" s="153"/>
      <c r="F45" s="132"/>
      <c r="G45" s="132"/>
      <c r="H45" s="150"/>
      <c r="J45" s="132"/>
      <c r="K45" s="149"/>
    </row>
    <row r="46" spans="2:11" ht="22.8">
      <c r="C46" s="136" t="s">
        <v>144</v>
      </c>
      <c r="D46" s="132"/>
      <c r="F46" s="132"/>
      <c r="G46" s="132"/>
      <c r="H46" s="132"/>
      <c r="J46" s="132"/>
      <c r="K46" s="154">
        <f>SUM(K37:K44)</f>
        <v>9431.3799999999992</v>
      </c>
    </row>
    <row r="47" spans="2:11" ht="17.399999999999999">
      <c r="B47" s="132"/>
      <c r="C47" s="132"/>
      <c r="D47" s="132"/>
      <c r="E47" s="132"/>
      <c r="F47" s="132"/>
      <c r="G47" s="132"/>
      <c r="H47" s="132"/>
      <c r="I47" s="132"/>
      <c r="J47" s="132"/>
    </row>
    <row r="49" spans="2:29">
      <c r="S49" t="s">
        <v>125</v>
      </c>
    </row>
    <row r="52" spans="2:29" ht="17.399999999999999">
      <c r="B52" s="132"/>
      <c r="C52" s="132"/>
      <c r="D52" s="132"/>
      <c r="E52" s="132"/>
      <c r="F52" s="132"/>
      <c r="G52" s="132"/>
      <c r="H52" s="132"/>
      <c r="I52" s="132"/>
      <c r="J52" s="132"/>
      <c r="K52" s="132"/>
    </row>
    <row r="53" spans="2:29" ht="17.399999999999999">
      <c r="B53" s="132"/>
      <c r="C53" s="132"/>
      <c r="D53" s="132"/>
      <c r="E53" s="132"/>
      <c r="F53" s="132"/>
      <c r="G53" s="132"/>
      <c r="H53" s="132"/>
      <c r="I53" s="132"/>
      <c r="J53" s="132"/>
      <c r="K53" s="132"/>
    </row>
    <row r="54" spans="2:29" ht="17.399999999999999">
      <c r="C54" s="132"/>
      <c r="D54" s="132"/>
      <c r="G54" s="132"/>
      <c r="H54" s="148" t="s">
        <v>215</v>
      </c>
    </row>
    <row r="56" spans="2:29" ht="17.399999999999999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R56" s="122" t="s">
        <v>145</v>
      </c>
      <c r="S56" t="s">
        <v>146</v>
      </c>
      <c r="T56" s="122" t="s">
        <v>147</v>
      </c>
      <c r="U56" t="s">
        <v>148</v>
      </c>
    </row>
    <row r="57" spans="2:29" ht="17.399999999999999">
      <c r="B57" s="132"/>
      <c r="C57" s="132"/>
      <c r="D57" s="132"/>
      <c r="E57" s="150"/>
      <c r="F57" s="132"/>
      <c r="G57" s="132"/>
      <c r="H57" s="132"/>
      <c r="I57" s="132"/>
      <c r="J57" s="132"/>
      <c r="K57" s="132"/>
    </row>
    <row r="58" spans="2:29" ht="17.399999999999999">
      <c r="B58" s="132"/>
      <c r="C58" s="132"/>
      <c r="D58" s="132"/>
      <c r="E58" s="150"/>
      <c r="F58" s="132"/>
      <c r="G58" s="132"/>
      <c r="H58" s="132"/>
      <c r="I58" s="132"/>
      <c r="J58" s="132"/>
      <c r="K58" s="132"/>
    </row>
    <row r="62" spans="2:29" ht="17.399999999999999">
      <c r="B62" s="132"/>
      <c r="C62" s="132"/>
      <c r="D62" s="132"/>
      <c r="E62" s="150"/>
      <c r="F62" s="132"/>
      <c r="G62" s="132"/>
      <c r="H62" s="132"/>
      <c r="I62" s="132"/>
      <c r="J62" s="132"/>
      <c r="K62" s="132"/>
    </row>
    <row r="63" spans="2:29" ht="17.399999999999999">
      <c r="B63" s="132"/>
      <c r="C63" s="132"/>
      <c r="D63" s="132"/>
      <c r="E63" s="150"/>
      <c r="F63" s="132"/>
      <c r="G63" s="132"/>
      <c r="H63" s="132"/>
      <c r="I63" s="132"/>
      <c r="J63" s="132"/>
      <c r="K63" s="132"/>
    </row>
    <row r="64" spans="2:29" ht="17.399999999999999">
      <c r="B64" s="132"/>
      <c r="C64" s="132"/>
      <c r="D64" s="132"/>
      <c r="E64" s="150"/>
      <c r="F64" s="132"/>
      <c r="G64" s="132"/>
      <c r="H64" s="132"/>
      <c r="I64" s="132"/>
      <c r="J64" s="132"/>
      <c r="K64" s="132"/>
      <c r="AC64" s="155"/>
    </row>
    <row r="65" spans="2:30" ht="17.399999999999999">
      <c r="B65" s="132"/>
      <c r="C65" s="132"/>
      <c r="D65" s="132"/>
      <c r="E65" s="150"/>
      <c r="F65" s="132"/>
      <c r="G65" s="132"/>
      <c r="H65" s="132"/>
      <c r="I65" s="132"/>
      <c r="J65" s="132"/>
      <c r="K65" s="132"/>
    </row>
    <row r="66" spans="2:30" ht="17.399999999999999">
      <c r="I66" s="132"/>
      <c r="J66" s="132"/>
      <c r="K66" s="132"/>
      <c r="L66" s="132"/>
      <c r="M66" s="132"/>
      <c r="N66" s="132"/>
      <c r="O66" s="132"/>
    </row>
    <row r="67" spans="2:30" ht="17.399999999999999">
      <c r="I67" s="132"/>
      <c r="J67" s="132"/>
      <c r="K67" s="132"/>
      <c r="L67" s="132"/>
      <c r="M67" s="132"/>
      <c r="N67" s="132"/>
      <c r="O67" s="132"/>
    </row>
    <row r="68" spans="2:30" ht="17.399999999999999">
      <c r="I68" s="132"/>
      <c r="J68" s="132"/>
      <c r="K68" s="132"/>
      <c r="L68" s="132"/>
      <c r="M68" s="132"/>
      <c r="N68" s="132"/>
      <c r="O68" s="149"/>
    </row>
    <row r="69" spans="2:30" ht="17.399999999999999">
      <c r="I69" s="132"/>
      <c r="J69" s="132"/>
      <c r="K69" s="132"/>
      <c r="L69" s="132"/>
      <c r="M69" s="132"/>
      <c r="N69" s="132"/>
      <c r="O69" s="132"/>
    </row>
    <row r="70" spans="2:30" ht="17.399999999999999">
      <c r="I70" s="132"/>
      <c r="J70" s="132"/>
      <c r="K70" s="132"/>
      <c r="L70" s="132"/>
      <c r="M70" s="132"/>
      <c r="N70" s="132"/>
      <c r="O70" s="156"/>
      <c r="S70" t="s">
        <v>149</v>
      </c>
    </row>
    <row r="71" spans="2:30" ht="17.399999999999999">
      <c r="I71" s="132"/>
      <c r="J71" s="132"/>
      <c r="K71" s="132"/>
      <c r="L71" s="132"/>
      <c r="M71" s="132"/>
      <c r="N71" s="132"/>
      <c r="O71" s="132"/>
      <c r="S71" t="s">
        <v>150</v>
      </c>
    </row>
    <row r="72" spans="2:30" ht="17.399999999999999">
      <c r="I72" s="132"/>
      <c r="J72" s="132"/>
      <c r="K72" s="132"/>
      <c r="L72" s="132"/>
      <c r="M72" s="132"/>
      <c r="N72" s="132"/>
      <c r="O72" s="132"/>
    </row>
    <row r="73" spans="2:30" ht="17.399999999999999">
      <c r="I73" s="132"/>
      <c r="J73" s="132"/>
      <c r="K73" s="132"/>
      <c r="L73" s="132"/>
      <c r="M73" s="132"/>
      <c r="N73" s="132"/>
      <c r="O73" s="132"/>
      <c r="AD73" s="155"/>
    </row>
    <row r="74" spans="2:30" ht="17.399999999999999">
      <c r="I74" s="138"/>
      <c r="J74" s="132"/>
      <c r="K74" s="132"/>
      <c r="L74" s="132"/>
      <c r="M74" s="132"/>
      <c r="N74" s="132"/>
      <c r="O74" s="132"/>
    </row>
    <row r="75" spans="2:30" ht="17.399999999999999">
      <c r="I75" s="132"/>
      <c r="J75" s="132"/>
      <c r="K75" s="132"/>
      <c r="L75" s="132"/>
      <c r="M75" s="132"/>
      <c r="N75" s="132"/>
      <c r="O75" s="132"/>
    </row>
    <row r="76" spans="2:30" ht="17.399999999999999">
      <c r="I76" s="132"/>
      <c r="J76" s="132"/>
      <c r="K76" s="132"/>
      <c r="L76" s="132"/>
      <c r="M76" s="132"/>
      <c r="N76" s="132"/>
      <c r="O76" s="132"/>
    </row>
    <row r="77" spans="2:30" ht="17.399999999999999">
      <c r="I77" s="132"/>
      <c r="J77" s="132"/>
      <c r="K77" s="132"/>
      <c r="L77" s="132"/>
      <c r="M77" s="132"/>
      <c r="N77" s="132"/>
      <c r="O77" s="145"/>
    </row>
    <row r="78" spans="2:30" ht="17.399999999999999">
      <c r="I78" s="133"/>
      <c r="J78" s="132"/>
      <c r="K78" s="132"/>
      <c r="L78" s="132"/>
      <c r="M78" s="132"/>
      <c r="N78" s="132"/>
      <c r="O78" s="132"/>
    </row>
    <row r="79" spans="2:30" ht="17.399999999999999">
      <c r="I79" s="132"/>
      <c r="J79" s="132"/>
      <c r="K79" s="132"/>
      <c r="L79" s="132"/>
      <c r="M79" s="132"/>
      <c r="N79" s="132"/>
      <c r="O79" s="132"/>
    </row>
    <row r="80" spans="2:30" ht="17.399999999999999">
      <c r="I80" s="132"/>
      <c r="J80" s="132"/>
      <c r="K80" s="132"/>
      <c r="L80" s="132"/>
      <c r="M80" s="132"/>
      <c r="N80" s="132"/>
      <c r="O80" s="156"/>
      <c r="S80" s="157" t="s">
        <v>151</v>
      </c>
    </row>
    <row r="81" spans="9:31" ht="17.399999999999999">
      <c r="I81" s="132"/>
      <c r="J81" s="132"/>
      <c r="K81" s="132"/>
      <c r="L81" s="132"/>
      <c r="M81" s="132"/>
      <c r="N81" s="132"/>
      <c r="O81" s="132"/>
      <c r="S81" t="s">
        <v>152</v>
      </c>
      <c r="X81" s="122" t="s">
        <v>153</v>
      </c>
      <c r="Y81" s="122" t="s">
        <v>154</v>
      </c>
    </row>
    <row r="82" spans="9:31" ht="17.399999999999999">
      <c r="I82" s="132"/>
      <c r="J82" s="132"/>
      <c r="K82" s="132"/>
      <c r="L82" s="132"/>
      <c r="M82" s="132"/>
      <c r="N82" s="132"/>
      <c r="O82" s="132"/>
      <c r="S82" t="s">
        <v>155</v>
      </c>
      <c r="X82" t="s">
        <v>149</v>
      </c>
      <c r="Y82" t="s">
        <v>156</v>
      </c>
    </row>
    <row r="83" spans="9:31" ht="17.399999999999999">
      <c r="I83" s="132"/>
      <c r="J83" s="132"/>
      <c r="K83" s="132"/>
      <c r="L83" s="132"/>
      <c r="M83" s="132"/>
      <c r="N83" s="132"/>
      <c r="O83" s="132"/>
      <c r="S83" t="s">
        <v>157</v>
      </c>
      <c r="X83" t="s">
        <v>158</v>
      </c>
      <c r="Y83" t="s">
        <v>159</v>
      </c>
    </row>
    <row r="84" spans="9:31" ht="17.399999999999999">
      <c r="I84" s="138"/>
      <c r="J84" s="132"/>
      <c r="K84" s="132"/>
      <c r="L84" s="132"/>
      <c r="M84" s="132"/>
      <c r="N84" s="132"/>
      <c r="O84" s="156"/>
      <c r="S84" s="155" t="s">
        <v>160</v>
      </c>
      <c r="T84" s="155"/>
      <c r="U84" s="155"/>
      <c r="V84" s="155"/>
      <c r="W84" s="155"/>
    </row>
    <row r="85" spans="9:31" ht="17.399999999999999">
      <c r="I85" s="132"/>
      <c r="J85" s="132"/>
      <c r="K85" s="132"/>
      <c r="L85" s="132"/>
      <c r="M85" s="132"/>
      <c r="N85" s="132"/>
      <c r="O85" s="132"/>
      <c r="S85" s="155" t="s">
        <v>161</v>
      </c>
      <c r="T85" s="155"/>
      <c r="U85" s="155"/>
      <c r="V85" s="155"/>
      <c r="W85" s="155"/>
    </row>
    <row r="86" spans="9:31" ht="17.399999999999999">
      <c r="I86" s="132"/>
      <c r="J86" s="132"/>
      <c r="K86" s="132"/>
      <c r="L86" s="132"/>
      <c r="M86" s="156"/>
      <c r="N86" s="132"/>
      <c r="O86" s="132"/>
      <c r="U86" s="155"/>
      <c r="V86" s="155"/>
      <c r="W86" s="155"/>
    </row>
    <row r="87" spans="9:31" ht="17.399999999999999">
      <c r="I87" s="132"/>
      <c r="J87" s="132"/>
      <c r="K87" s="132"/>
      <c r="L87" s="132"/>
      <c r="M87" s="156"/>
      <c r="N87" s="132"/>
      <c r="O87" s="132"/>
    </row>
    <row r="88" spans="9:31" ht="17.399999999999999">
      <c r="I88" s="132"/>
      <c r="J88" s="132"/>
      <c r="K88" s="132"/>
      <c r="L88" s="132"/>
      <c r="M88" s="132"/>
      <c r="N88" s="132"/>
      <c r="O88" s="132"/>
    </row>
    <row r="89" spans="9:31" ht="17.399999999999999">
      <c r="I89" s="132"/>
      <c r="J89" s="132"/>
      <c r="K89" s="132"/>
      <c r="L89" s="132"/>
      <c r="M89" s="132"/>
      <c r="N89" s="132"/>
      <c r="O89" s="132"/>
    </row>
    <row r="90" spans="9:31" ht="17.399999999999999">
      <c r="I90" s="132"/>
      <c r="J90" s="132"/>
      <c r="K90" s="132"/>
      <c r="L90" s="132"/>
      <c r="M90" s="132"/>
      <c r="N90" s="132"/>
      <c r="O90" s="132"/>
    </row>
    <row r="91" spans="9:31" ht="17.399999999999999">
      <c r="I91" s="132"/>
      <c r="J91" s="132"/>
      <c r="K91" s="132"/>
      <c r="L91" s="132"/>
      <c r="M91" s="132"/>
      <c r="N91" s="132"/>
      <c r="O91" s="132"/>
      <c r="X91" s="122"/>
    </row>
    <row r="92" spans="9:31" ht="17.399999999999999">
      <c r="I92" s="158"/>
      <c r="J92" s="158"/>
      <c r="K92" s="158"/>
      <c r="L92" s="158"/>
      <c r="M92" s="158"/>
      <c r="N92" s="158"/>
      <c r="O92" s="158"/>
    </row>
    <row r="93" spans="9:31" ht="17.399999999999999">
      <c r="I93" s="158"/>
      <c r="J93" s="158"/>
      <c r="K93" s="158"/>
      <c r="L93" s="158"/>
      <c r="M93" s="158"/>
      <c r="N93" s="158"/>
      <c r="O93" s="158"/>
      <c r="AC93" s="155"/>
      <c r="AD93" s="155"/>
      <c r="AE93" s="155"/>
    </row>
    <row r="94" spans="9:31" ht="17.399999999999999">
      <c r="I94" s="158"/>
      <c r="J94" s="158"/>
      <c r="K94" s="158"/>
      <c r="L94" s="158"/>
      <c r="M94" s="158"/>
      <c r="N94" s="158"/>
      <c r="O94" s="158"/>
      <c r="S94" s="155"/>
      <c r="T94" s="155"/>
      <c r="U94" s="155"/>
      <c r="V94" s="155"/>
      <c r="W94" s="155"/>
      <c r="X94" s="155"/>
    </row>
    <row r="95" spans="9:31" ht="17.399999999999999">
      <c r="I95" s="158"/>
      <c r="J95" s="158"/>
      <c r="K95" s="158"/>
      <c r="L95" s="158"/>
      <c r="M95" s="158"/>
      <c r="N95" s="158"/>
      <c r="O95" s="158"/>
      <c r="S95" s="155"/>
      <c r="U95" s="155"/>
      <c r="V95" s="155"/>
      <c r="X95" s="155"/>
    </row>
    <row r="96" spans="9:31" ht="17.399999999999999">
      <c r="I96" s="158"/>
      <c r="J96" s="158"/>
      <c r="K96" s="158"/>
      <c r="L96" s="158"/>
      <c r="M96" s="158"/>
      <c r="N96" s="158"/>
      <c r="O96" s="158"/>
      <c r="V96" s="155"/>
      <c r="X96" s="155"/>
    </row>
    <row r="97" spans="4:31" ht="17.399999999999999">
      <c r="I97" s="158"/>
      <c r="J97" s="158"/>
      <c r="K97" s="158"/>
      <c r="L97" s="158"/>
      <c r="M97" s="158"/>
      <c r="N97" s="158"/>
      <c r="O97" s="158"/>
    </row>
    <row r="98" spans="4:31" ht="17.399999999999999">
      <c r="I98" s="132"/>
      <c r="J98" s="132"/>
      <c r="K98" s="132"/>
      <c r="L98" s="132"/>
      <c r="M98" s="132"/>
      <c r="N98" s="132"/>
      <c r="O98" s="132"/>
    </row>
    <row r="99" spans="4:31" ht="17.399999999999999">
      <c r="I99" s="132"/>
      <c r="K99" s="132"/>
      <c r="L99" s="132"/>
      <c r="M99" s="132"/>
      <c r="N99" s="132"/>
      <c r="O99" s="132"/>
    </row>
    <row r="100" spans="4:31" ht="17.399999999999999">
      <c r="D100" s="159" t="s">
        <v>162</v>
      </c>
      <c r="I100" s="132"/>
      <c r="J100" s="158"/>
      <c r="K100" s="132"/>
      <c r="L100" s="132"/>
      <c r="M100" s="132"/>
      <c r="N100" s="132"/>
      <c r="O100" s="132"/>
    </row>
    <row r="101" spans="4:31" ht="17.399999999999999">
      <c r="D101" s="159" t="s">
        <v>163</v>
      </c>
      <c r="I101" s="132"/>
      <c r="J101" s="132"/>
      <c r="K101" s="132"/>
      <c r="L101" s="132"/>
      <c r="M101" s="132"/>
      <c r="N101" s="132"/>
      <c r="O101" s="132"/>
    </row>
    <row r="102" spans="4:31" ht="17.399999999999999">
      <c r="D102" s="159" t="s">
        <v>164</v>
      </c>
      <c r="I102" s="132"/>
      <c r="J102" s="132"/>
      <c r="K102" s="132"/>
      <c r="L102" s="132"/>
      <c r="M102" s="132"/>
      <c r="N102" s="132"/>
      <c r="O102" s="132"/>
    </row>
    <row r="103" spans="4:31" ht="15.6">
      <c r="D103" s="159" t="s">
        <v>165</v>
      </c>
      <c r="AC103" s="155"/>
      <c r="AD103" s="155"/>
      <c r="AE103" s="155"/>
    </row>
    <row r="104" spans="4:31" ht="15.6">
      <c r="D104" s="159"/>
      <c r="S104" s="155"/>
      <c r="T104" s="155"/>
      <c r="U104" s="155"/>
      <c r="W104" s="155"/>
    </row>
    <row r="105" spans="4:31" ht="15.6">
      <c r="S105" s="155"/>
    </row>
    <row r="106" spans="4:31" ht="15.6">
      <c r="D106" t="s">
        <v>6</v>
      </c>
      <c r="E106" s="160">
        <f ca="1">TRUNC(NOW())</f>
        <v>37168</v>
      </c>
      <c r="S106" s="155"/>
    </row>
    <row r="108" spans="4:31" ht="15.6">
      <c r="D108" t="s">
        <v>166</v>
      </c>
      <c r="E108" t="s">
        <v>167</v>
      </c>
      <c r="H108" s="161" t="e">
        <f>#REF!</f>
        <v>#REF!</v>
      </c>
    </row>
    <row r="111" spans="4:31" ht="15.6">
      <c r="D111" s="159" t="s">
        <v>168</v>
      </c>
    </row>
    <row r="112" spans="4:31">
      <c r="H112" s="162"/>
    </row>
    <row r="113" spans="4:25">
      <c r="E113" t="s">
        <v>169</v>
      </c>
      <c r="H113" s="162" t="e">
        <f>ROUND(+#REF!,0)</f>
        <v>#REF!</v>
      </c>
    </row>
    <row r="114" spans="4:25" ht="15.6">
      <c r="H114" s="162"/>
      <c r="T114" s="155"/>
      <c r="U114" s="155"/>
      <c r="V114" s="155"/>
      <c r="W114" s="155"/>
      <c r="X114" s="155"/>
      <c r="Y114" s="155"/>
    </row>
    <row r="115" spans="4:25" ht="15.6">
      <c r="E115" t="s">
        <v>170</v>
      </c>
      <c r="H115" s="163" t="e">
        <f>#REF!</f>
        <v>#REF!</v>
      </c>
      <c r="W115" s="155"/>
      <c r="X115" s="155"/>
    </row>
    <row r="116" spans="4:25" ht="15.6">
      <c r="W116" s="155"/>
      <c r="X116" s="155"/>
    </row>
    <row r="117" spans="4:25" ht="15.6">
      <c r="E117" t="s">
        <v>171</v>
      </c>
      <c r="H117" s="162" t="e">
        <f>SUM(H113+H115)</f>
        <v>#REF!</v>
      </c>
      <c r="W117" s="155"/>
      <c r="X117" s="155"/>
    </row>
    <row r="118" spans="4:25" ht="15.6">
      <c r="H118" s="162"/>
      <c r="W118" s="155"/>
      <c r="X118" s="155"/>
    </row>
    <row r="119" spans="4:25" ht="15.6">
      <c r="E119" t="s">
        <v>172</v>
      </c>
      <c r="H119" s="162" t="e">
        <f>ROUND(#REF!*-#REF!,0)</f>
        <v>#REF!</v>
      </c>
      <c r="W119" s="155"/>
    </row>
    <row r="120" spans="4:25" ht="15.6">
      <c r="H120" s="162"/>
      <c r="W120" s="155"/>
    </row>
    <row r="121" spans="4:25" ht="15.6">
      <c r="E121" t="s">
        <v>173</v>
      </c>
      <c r="H121" s="162" t="e">
        <f>ROUND((#REF!/0.966)-#REF!,0)</f>
        <v>#REF!</v>
      </c>
      <c r="W121" s="155"/>
    </row>
    <row r="122" spans="4:25" ht="15.6">
      <c r="H122" s="164"/>
      <c r="W122" s="155"/>
    </row>
    <row r="123" spans="4:25" ht="15.6">
      <c r="E123" t="s">
        <v>174</v>
      </c>
      <c r="H123" s="165" t="e">
        <f>H117+H119-H121</f>
        <v>#REF!</v>
      </c>
      <c r="W123" s="155"/>
    </row>
    <row r="124" spans="4:25" ht="15.6">
      <c r="H124" s="162"/>
      <c r="W124" s="155"/>
    </row>
    <row r="125" spans="4:25" ht="15.6">
      <c r="D125" s="159" t="s">
        <v>175</v>
      </c>
      <c r="W125" s="155"/>
    </row>
    <row r="126" spans="4:25" ht="15.6">
      <c r="H126" s="162"/>
      <c r="W126" s="155"/>
    </row>
    <row r="127" spans="4:25" ht="15.6">
      <c r="E127" t="s">
        <v>176</v>
      </c>
      <c r="G127" s="166" t="e">
        <f>#REF!</f>
        <v>#REF!</v>
      </c>
      <c r="H127" s="167" t="e">
        <f>SUM(H123*G127)</f>
        <v>#REF!</v>
      </c>
      <c r="W127" s="155"/>
    </row>
    <row r="128" spans="4:25" ht="15.6">
      <c r="H128" s="162"/>
      <c r="W128" s="155"/>
    </row>
    <row r="129" spans="4:23" ht="15.6">
      <c r="W129" s="155"/>
    </row>
    <row r="130" spans="4:23" ht="15.6">
      <c r="W130" s="155"/>
    </row>
    <row r="131" spans="4:23" ht="23.4" thickBot="1">
      <c r="E131" s="136" t="s">
        <v>177</v>
      </c>
      <c r="H131" s="168" t="e">
        <f>H127</f>
        <v>#REF!</v>
      </c>
      <c r="W131" s="155"/>
    </row>
    <row r="132" spans="4:23" ht="16.2" thickTop="1">
      <c r="W132" s="155"/>
    </row>
    <row r="133" spans="4:23" ht="15.6">
      <c r="W133" s="155"/>
    </row>
    <row r="134" spans="4:23" ht="15.6">
      <c r="W134" s="155"/>
    </row>
    <row r="135" spans="4:23" ht="15.6">
      <c r="D135" t="s">
        <v>178</v>
      </c>
      <c r="W135" s="155"/>
    </row>
    <row r="136" spans="4:23" ht="15.6">
      <c r="W136" s="155"/>
    </row>
    <row r="137" spans="4:23" ht="15.6">
      <c r="W137" s="155"/>
    </row>
    <row r="138" spans="4:23" ht="15.6">
      <c r="W138" s="155"/>
    </row>
    <row r="139" spans="4:23" ht="15.6">
      <c r="D139" t="s">
        <v>179</v>
      </c>
      <c r="W139" s="155"/>
    </row>
    <row r="140" spans="4:23">
      <c r="D140" t="s">
        <v>180</v>
      </c>
    </row>
    <row r="141" spans="4:23">
      <c r="D141" t="s">
        <v>181</v>
      </c>
    </row>
    <row r="510" spans="12:12">
      <c r="L510" t="s">
        <v>182</v>
      </c>
    </row>
    <row r="511" spans="12:12">
      <c r="L511" t="s">
        <v>183</v>
      </c>
    </row>
    <row r="512" spans="12:12">
      <c r="L512" t="s">
        <v>184</v>
      </c>
    </row>
    <row r="519" spans="12:12">
      <c r="L519" t="s">
        <v>182</v>
      </c>
    </row>
    <row r="520" spans="12:12">
      <c r="L520" t="s">
        <v>183</v>
      </c>
    </row>
    <row r="521" spans="12:12">
      <c r="L521" t="s">
        <v>184</v>
      </c>
    </row>
    <row r="529" spans="12:13">
      <c r="L529" t="s">
        <v>182</v>
      </c>
    </row>
    <row r="530" spans="12:13">
      <c r="L530" t="s">
        <v>185</v>
      </c>
    </row>
    <row r="531" spans="12:13">
      <c r="L531" t="s">
        <v>184</v>
      </c>
    </row>
    <row r="539" spans="12:13">
      <c r="L539" t="s">
        <v>186</v>
      </c>
      <c r="M539" t="s">
        <v>182</v>
      </c>
    </row>
    <row r="540" spans="12:13">
      <c r="L540" t="s">
        <v>187</v>
      </c>
      <c r="M540" t="s">
        <v>185</v>
      </c>
    </row>
    <row r="541" spans="12:13" ht="15.6">
      <c r="L541" s="155" t="s">
        <v>188</v>
      </c>
      <c r="M541" t="s">
        <v>184</v>
      </c>
    </row>
    <row r="549" spans="12:13">
      <c r="L549" t="s">
        <v>186</v>
      </c>
      <c r="M549" t="s">
        <v>182</v>
      </c>
    </row>
    <row r="550" spans="12:13">
      <c r="L550" t="s">
        <v>187</v>
      </c>
      <c r="M550" t="s">
        <v>185</v>
      </c>
    </row>
    <row r="551" spans="12:13" ht="15.6">
      <c r="L551" s="155" t="s">
        <v>189</v>
      </c>
      <c r="M551" t="s">
        <v>184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scale="6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"/>
  <sheetViews>
    <sheetView zoomScale="75" workbookViewId="0">
      <selection activeCell="I9" sqref="I9"/>
    </sheetView>
  </sheetViews>
  <sheetFormatPr defaultColWidth="9.08984375" defaultRowHeight="15"/>
  <cols>
    <col min="1" max="1" width="3.453125" style="169" customWidth="1"/>
    <col min="2" max="2" width="5.36328125" style="169" customWidth="1"/>
    <col min="3" max="3" width="7.1796875" style="169" customWidth="1"/>
    <col min="4" max="4" width="9.08984375" style="169"/>
    <col min="5" max="5" width="19.81640625" style="169" customWidth="1"/>
    <col min="6" max="6" width="20.54296875" style="169" customWidth="1"/>
    <col min="7" max="7" width="13.90625" style="169" customWidth="1"/>
    <col min="8" max="8" width="6.453125" style="169" customWidth="1"/>
    <col min="9" max="9" width="13" style="169" customWidth="1"/>
    <col min="10" max="10" width="5.36328125" style="169" customWidth="1"/>
    <col min="11" max="11" width="3.453125" style="169" customWidth="1"/>
    <col min="12" max="16384" width="9.08984375" style="169"/>
  </cols>
  <sheetData>
    <row r="2" spans="1:12" ht="15.6" thickBot="1"/>
    <row r="3" spans="1:12" ht="17.399999999999999">
      <c r="A3" s="170"/>
      <c r="B3" s="171"/>
      <c r="C3" s="172"/>
      <c r="D3" s="172"/>
      <c r="E3" s="172"/>
      <c r="F3" s="172"/>
      <c r="G3" s="172"/>
      <c r="H3" s="172"/>
      <c r="I3" s="172"/>
      <c r="J3" s="173"/>
      <c r="K3" s="170"/>
    </row>
    <row r="4" spans="1:12" ht="17.7" customHeight="1">
      <c r="A4" s="170"/>
      <c r="B4" s="174"/>
      <c r="C4" s="175"/>
      <c r="D4" s="175"/>
      <c r="E4" s="175"/>
      <c r="F4" s="176" t="s">
        <v>190</v>
      </c>
      <c r="G4" s="175"/>
      <c r="H4" s="175"/>
      <c r="I4" s="175"/>
      <c r="J4" s="177"/>
      <c r="K4" s="170"/>
    </row>
    <row r="5" spans="1:12" ht="17.7" customHeight="1">
      <c r="A5" s="170"/>
      <c r="B5" s="174"/>
      <c r="C5" s="178"/>
      <c r="D5" s="178"/>
      <c r="E5" s="178"/>
      <c r="F5" s="176"/>
      <c r="G5" s="175"/>
      <c r="H5" s="175"/>
      <c r="I5" s="175"/>
      <c r="J5" s="177"/>
      <c r="K5" s="170"/>
    </row>
    <row r="6" spans="1:12" ht="17.7" customHeight="1">
      <c r="A6" s="170"/>
      <c r="B6" s="174"/>
      <c r="C6" s="178"/>
      <c r="D6" s="178"/>
      <c r="E6" s="178"/>
      <c r="F6" s="176"/>
      <c r="G6" s="175"/>
      <c r="H6" s="175"/>
      <c r="I6" s="175"/>
      <c r="J6" s="177"/>
      <c r="K6" s="170"/>
    </row>
    <row r="7" spans="1:12" ht="17.7" customHeight="1">
      <c r="A7" s="170"/>
      <c r="B7" s="174"/>
      <c r="C7" s="175"/>
      <c r="D7" s="175"/>
      <c r="E7" s="175"/>
      <c r="F7" s="176" t="s">
        <v>191</v>
      </c>
      <c r="G7" s="175"/>
      <c r="H7" s="175"/>
      <c r="I7" s="175"/>
      <c r="J7" s="177"/>
      <c r="K7" s="170"/>
    </row>
    <row r="8" spans="1:12" ht="17.7" customHeight="1">
      <c r="A8" s="170"/>
      <c r="B8" s="174"/>
      <c r="C8" s="175"/>
      <c r="D8" s="175"/>
      <c r="E8" s="175"/>
      <c r="F8" s="175"/>
      <c r="G8" s="175"/>
      <c r="H8" s="175"/>
      <c r="I8" s="175"/>
      <c r="J8" s="177"/>
      <c r="K8" s="170"/>
    </row>
    <row r="9" spans="1:12" ht="17.7" customHeight="1">
      <c r="A9" s="170"/>
      <c r="B9" s="174"/>
      <c r="C9" s="175"/>
      <c r="D9" s="179"/>
      <c r="E9" s="175"/>
      <c r="F9" s="175"/>
      <c r="G9" s="175"/>
      <c r="H9" s="175" t="s">
        <v>20</v>
      </c>
      <c r="I9" s="235">
        <f>'Renegade Invoice'!A9</f>
        <v>37164</v>
      </c>
      <c r="J9" s="180"/>
      <c r="K9" s="170"/>
      <c r="L9" s="181"/>
    </row>
    <row r="10" spans="1:12" ht="17.7" customHeight="1">
      <c r="A10" s="170"/>
      <c r="B10" s="174"/>
      <c r="C10" s="175"/>
      <c r="D10" s="175"/>
      <c r="E10" s="175"/>
      <c r="F10" s="175"/>
      <c r="G10" s="175"/>
      <c r="H10" s="175" t="s">
        <v>95</v>
      </c>
      <c r="I10" s="182" t="s">
        <v>95</v>
      </c>
      <c r="J10" s="183"/>
      <c r="K10" s="170"/>
    </row>
    <row r="11" spans="1:12" ht="17.7" customHeight="1">
      <c r="A11" s="170"/>
      <c r="B11" s="174"/>
      <c r="C11" s="175"/>
      <c r="D11" s="175"/>
      <c r="E11" s="175"/>
      <c r="F11" s="175"/>
      <c r="G11" s="175"/>
      <c r="H11" s="175"/>
      <c r="I11" s="175"/>
      <c r="J11" s="177"/>
      <c r="K11" s="170"/>
    </row>
    <row r="12" spans="1:12" ht="17.7" customHeight="1">
      <c r="A12" s="170"/>
      <c r="B12" s="174"/>
      <c r="C12" s="175" t="s">
        <v>192</v>
      </c>
      <c r="D12" s="175"/>
      <c r="E12" s="175"/>
      <c r="F12" s="175"/>
      <c r="G12" s="175"/>
      <c r="H12" s="175"/>
      <c r="I12" s="175"/>
      <c r="J12" s="177"/>
      <c r="K12" s="170"/>
    </row>
    <row r="13" spans="1:12" ht="17.7" customHeight="1">
      <c r="A13" s="170"/>
      <c r="B13" s="174"/>
      <c r="C13" s="175"/>
      <c r="D13" s="175"/>
      <c r="E13" s="175"/>
      <c r="F13" s="175"/>
      <c r="G13" s="175"/>
      <c r="H13" s="175"/>
      <c r="I13" s="175"/>
      <c r="J13" s="177"/>
      <c r="K13" s="170"/>
    </row>
    <row r="14" spans="1:12" ht="17.7" customHeight="1">
      <c r="A14" s="170"/>
      <c r="B14" s="174"/>
      <c r="C14" s="175" t="s">
        <v>193</v>
      </c>
      <c r="D14" s="175"/>
      <c r="E14" s="175"/>
      <c r="F14" s="175"/>
      <c r="G14" s="175"/>
      <c r="H14" s="175"/>
      <c r="I14" s="175"/>
      <c r="J14" s="177"/>
      <c r="K14" s="170"/>
    </row>
    <row r="15" spans="1:12" ht="17.7" customHeight="1">
      <c r="A15" s="170"/>
      <c r="B15" s="174"/>
      <c r="C15" s="175"/>
      <c r="D15" s="175"/>
      <c r="E15" s="175"/>
      <c r="F15" s="175"/>
      <c r="G15" s="175"/>
      <c r="H15" s="175"/>
      <c r="I15" s="175"/>
      <c r="J15" s="177"/>
      <c r="K15" s="170"/>
    </row>
    <row r="16" spans="1:12" ht="19.95" customHeight="1" thickBot="1">
      <c r="A16" s="170"/>
      <c r="B16" s="174"/>
      <c r="C16" s="175" t="s">
        <v>194</v>
      </c>
      <c r="D16" s="175"/>
      <c r="E16" s="184" t="s">
        <v>126</v>
      </c>
      <c r="F16" s="184"/>
      <c r="G16" s="184"/>
      <c r="H16" s="179"/>
      <c r="I16" s="175"/>
      <c r="J16" s="177"/>
      <c r="K16" s="170"/>
    </row>
    <row r="17" spans="1:11" ht="19.95" customHeight="1" thickBot="1">
      <c r="A17" s="170"/>
      <c r="B17" s="174"/>
      <c r="C17" s="175"/>
      <c r="D17" s="175"/>
      <c r="E17" s="184" t="s">
        <v>128</v>
      </c>
      <c r="F17" s="184"/>
      <c r="G17" s="184"/>
      <c r="H17" s="175"/>
      <c r="I17" s="175"/>
      <c r="J17" s="177"/>
      <c r="K17" s="170"/>
    </row>
    <row r="18" spans="1:11" ht="19.95" customHeight="1" thickBot="1">
      <c r="A18" s="170"/>
      <c r="B18" s="174"/>
      <c r="C18" s="175"/>
      <c r="D18" s="175"/>
      <c r="E18" s="185" t="s">
        <v>130</v>
      </c>
      <c r="F18" s="184"/>
      <c r="G18" s="184"/>
      <c r="H18" s="175"/>
      <c r="I18" s="175"/>
      <c r="J18" s="177"/>
      <c r="K18" s="170"/>
    </row>
    <row r="19" spans="1:11" ht="17.7" customHeight="1">
      <c r="A19" s="170"/>
      <c r="B19" s="174"/>
      <c r="C19" s="175"/>
      <c r="D19" s="175"/>
      <c r="E19" s="175"/>
      <c r="F19" s="175"/>
      <c r="G19" s="175"/>
      <c r="H19" s="175"/>
      <c r="I19" s="175"/>
      <c r="J19" s="177"/>
      <c r="K19" s="170"/>
    </row>
    <row r="20" spans="1:11" ht="17.7" customHeight="1">
      <c r="A20" s="170"/>
      <c r="B20" s="174"/>
      <c r="C20" s="175" t="s">
        <v>195</v>
      </c>
      <c r="D20" s="175"/>
      <c r="E20" s="175"/>
      <c r="F20" s="175"/>
      <c r="G20" s="175"/>
      <c r="H20" s="175"/>
      <c r="I20" s="175"/>
      <c r="J20" s="177"/>
      <c r="K20" s="170"/>
    </row>
    <row r="21" spans="1:11" ht="17.7" customHeight="1">
      <c r="A21" s="170"/>
      <c r="B21" s="174"/>
      <c r="C21" s="175"/>
      <c r="D21" s="175"/>
      <c r="E21" s="175"/>
      <c r="F21" s="175"/>
      <c r="G21" s="175"/>
      <c r="H21" s="175"/>
      <c r="I21" s="175"/>
      <c r="J21" s="177"/>
      <c r="K21" s="170"/>
    </row>
    <row r="22" spans="1:11" ht="17.7" customHeight="1" thickBot="1">
      <c r="A22" s="170"/>
      <c r="B22" s="174"/>
      <c r="C22" s="175" t="s">
        <v>196</v>
      </c>
      <c r="D22" s="175"/>
      <c r="E22" s="186">
        <f>'Renegade Invoice'!K46</f>
        <v>9431.3799999999992</v>
      </c>
      <c r="F22" s="175"/>
      <c r="G22" s="175"/>
      <c r="H22" s="175"/>
      <c r="I22" s="175"/>
      <c r="J22" s="177"/>
      <c r="K22" s="170"/>
    </row>
    <row r="23" spans="1:11" ht="17.7" customHeight="1">
      <c r="A23" s="170"/>
      <c r="B23" s="174"/>
      <c r="C23" s="175"/>
      <c r="D23" s="175"/>
      <c r="E23" s="187"/>
      <c r="F23" s="175"/>
      <c r="G23" s="175"/>
      <c r="H23" s="175"/>
      <c r="I23" s="175"/>
      <c r="J23" s="177"/>
      <c r="K23" s="170"/>
    </row>
    <row r="24" spans="1:11" ht="17.7" customHeight="1" thickBot="1">
      <c r="A24" s="170"/>
      <c r="B24" s="174"/>
      <c r="C24" s="175" t="s">
        <v>197</v>
      </c>
      <c r="D24" s="175"/>
      <c r="E24" s="188" t="s">
        <v>198</v>
      </c>
      <c r="F24" s="189">
        <f>'Renegade Invoice'!A6</f>
        <v>37104</v>
      </c>
      <c r="G24" s="184"/>
      <c r="H24" s="184"/>
      <c r="I24" s="184"/>
      <c r="J24" s="190"/>
      <c r="K24" s="170"/>
    </row>
    <row r="25" spans="1:11" ht="17.7" customHeight="1" thickBot="1">
      <c r="A25" s="170"/>
      <c r="B25" s="174"/>
      <c r="C25" s="175"/>
      <c r="D25" s="175"/>
      <c r="E25" s="188" t="s">
        <v>199</v>
      </c>
      <c r="F25" s="184" t="s">
        <v>135</v>
      </c>
      <c r="G25" s="191"/>
      <c r="H25" s="184"/>
      <c r="I25" s="192"/>
      <c r="J25" s="193"/>
      <c r="K25" s="170"/>
    </row>
    <row r="26" spans="1:11" ht="19.95" customHeight="1" thickBot="1">
      <c r="A26" s="170"/>
      <c r="B26" s="174"/>
      <c r="C26" s="175"/>
      <c r="D26" s="175"/>
      <c r="E26" s="184"/>
      <c r="F26" s="194"/>
      <c r="G26" s="184"/>
      <c r="H26" s="184"/>
      <c r="I26" s="195"/>
      <c r="J26" s="196"/>
      <c r="K26" s="170"/>
    </row>
    <row r="27" spans="1:11" ht="19.95" customHeight="1" thickBot="1">
      <c r="A27" s="170"/>
      <c r="B27" s="174"/>
      <c r="C27" s="175"/>
      <c r="D27" s="175"/>
      <c r="E27" s="197"/>
      <c r="F27" s="194"/>
      <c r="G27" s="198"/>
      <c r="H27" s="184"/>
      <c r="I27" s="199"/>
      <c r="J27" s="200"/>
      <c r="K27" s="170"/>
    </row>
    <row r="28" spans="1:11" ht="19.95" customHeight="1" thickBot="1">
      <c r="A28" s="170"/>
      <c r="B28" s="174"/>
      <c r="C28" s="175"/>
      <c r="D28" s="175"/>
      <c r="E28" s="184" t="s">
        <v>200</v>
      </c>
      <c r="F28" s="201" t="s">
        <v>201</v>
      </c>
      <c r="G28" s="191"/>
      <c r="H28" s="184"/>
      <c r="I28" s="192"/>
      <c r="J28" s="193"/>
      <c r="K28" s="170"/>
    </row>
    <row r="29" spans="1:11" ht="17.7" customHeight="1">
      <c r="A29" s="170"/>
      <c r="B29" s="174"/>
      <c r="C29" s="175"/>
      <c r="D29" s="175"/>
      <c r="G29" s="187"/>
      <c r="H29" s="175"/>
      <c r="I29" s="202"/>
      <c r="J29" s="203"/>
      <c r="K29" s="170"/>
    </row>
    <row r="30" spans="1:11" ht="17.7" customHeight="1">
      <c r="A30" s="170"/>
      <c r="B30" s="174"/>
      <c r="C30" s="175"/>
      <c r="D30" s="175"/>
      <c r="E30" s="175"/>
      <c r="F30" s="175"/>
      <c r="G30" s="187"/>
      <c r="H30" s="175"/>
      <c r="I30" s="204"/>
      <c r="J30" s="205"/>
      <c r="K30" s="170"/>
    </row>
    <row r="31" spans="1:11" ht="17.7" customHeight="1">
      <c r="A31" s="170"/>
      <c r="B31" s="174"/>
      <c r="C31" s="175" t="s">
        <v>202</v>
      </c>
      <c r="D31" s="175"/>
      <c r="E31" s="175"/>
      <c r="F31" s="175"/>
      <c r="G31" s="175" t="s">
        <v>203</v>
      </c>
      <c r="H31" s="175" t="s">
        <v>204</v>
      </c>
      <c r="I31" s="206"/>
      <c r="J31" s="207"/>
      <c r="K31" s="170"/>
    </row>
    <row r="32" spans="1:11" ht="17.7" customHeight="1">
      <c r="A32" s="170"/>
      <c r="B32" s="174"/>
      <c r="C32" s="175"/>
      <c r="D32" s="175"/>
      <c r="E32" s="175"/>
      <c r="F32" s="175"/>
      <c r="G32" s="175"/>
      <c r="H32" s="175"/>
      <c r="I32" s="206"/>
      <c r="J32" s="207"/>
      <c r="K32" s="170"/>
    </row>
    <row r="33" spans="1:13" ht="19.95" customHeight="1" thickBot="1">
      <c r="A33" s="170"/>
      <c r="B33" s="174"/>
      <c r="C33" s="175"/>
      <c r="D33" s="175" t="s">
        <v>205</v>
      </c>
      <c r="E33" s="175"/>
      <c r="F33" s="208" t="s">
        <v>74</v>
      </c>
      <c r="G33" s="184"/>
      <c r="H33" s="184"/>
      <c r="I33" s="209">
        <f>E22</f>
        <v>9431.3799999999992</v>
      </c>
      <c r="J33" s="210"/>
      <c r="K33" s="170"/>
    </row>
    <row r="34" spans="1:13" ht="19.95" customHeight="1" thickBot="1">
      <c r="A34" s="170"/>
      <c r="B34" s="174"/>
      <c r="C34" s="175"/>
      <c r="D34" s="175"/>
      <c r="E34" s="175"/>
      <c r="F34" s="208"/>
      <c r="G34" s="184"/>
      <c r="H34" s="184"/>
      <c r="I34" s="192"/>
      <c r="J34" s="193"/>
      <c r="K34" s="170"/>
    </row>
    <row r="35" spans="1:13" ht="19.95" customHeight="1" thickBot="1">
      <c r="A35" s="170"/>
      <c r="B35" s="174"/>
      <c r="C35" s="175"/>
      <c r="D35" s="175"/>
      <c r="E35" s="175"/>
      <c r="F35" s="184"/>
      <c r="G35" s="184"/>
      <c r="H35" s="184"/>
      <c r="I35" s="192" t="s">
        <v>95</v>
      </c>
      <c r="J35" s="193"/>
      <c r="K35" s="170"/>
    </row>
    <row r="36" spans="1:13" ht="19.95" customHeight="1" thickBot="1">
      <c r="A36" s="170"/>
      <c r="B36" s="174"/>
      <c r="C36" s="175"/>
      <c r="D36" s="175"/>
      <c r="E36" s="175"/>
      <c r="F36" s="175"/>
      <c r="G36" s="175" t="s">
        <v>206</v>
      </c>
      <c r="H36" s="175"/>
      <c r="I36" s="211">
        <f>SUM(I33:I35)</f>
        <v>9431.3799999999992</v>
      </c>
      <c r="J36" s="212"/>
      <c r="K36" s="170"/>
      <c r="M36" s="169">
        <f>E22-I36</f>
        <v>0</v>
      </c>
    </row>
    <row r="37" spans="1:13" ht="17.7" customHeight="1" thickTop="1">
      <c r="A37" s="170"/>
      <c r="B37" s="174"/>
      <c r="C37" s="175"/>
      <c r="D37" s="175"/>
      <c r="E37" s="175"/>
      <c r="F37" s="175"/>
      <c r="G37" s="175"/>
      <c r="H37" s="175"/>
      <c r="I37" s="206"/>
      <c r="J37" s="207"/>
      <c r="K37" s="170"/>
    </row>
    <row r="38" spans="1:13" ht="17.7" customHeight="1">
      <c r="A38" s="170"/>
      <c r="B38" s="174"/>
      <c r="C38" s="175" t="s">
        <v>202</v>
      </c>
      <c r="D38" s="175"/>
      <c r="E38" s="175"/>
      <c r="F38" s="175"/>
      <c r="G38" s="175" t="s">
        <v>207</v>
      </c>
      <c r="H38" s="175" t="s">
        <v>204</v>
      </c>
      <c r="I38" s="206"/>
      <c r="J38" s="207"/>
      <c r="K38" s="170"/>
    </row>
    <row r="39" spans="1:13" ht="17.7" customHeight="1">
      <c r="A39" s="170"/>
      <c r="B39" s="174"/>
      <c r="C39" s="175"/>
      <c r="D39" s="175"/>
      <c r="E39" s="175"/>
      <c r="F39" s="175"/>
      <c r="G39" s="175"/>
      <c r="H39" s="175"/>
      <c r="I39" s="206"/>
      <c r="J39" s="207"/>
      <c r="K39" s="170"/>
    </row>
    <row r="40" spans="1:13" ht="25.2" customHeight="1" thickBot="1">
      <c r="A40" s="170"/>
      <c r="B40" s="174"/>
      <c r="C40" s="175" t="s">
        <v>208</v>
      </c>
      <c r="D40" s="175"/>
      <c r="E40" s="213" t="s">
        <v>209</v>
      </c>
      <c r="F40" s="213"/>
      <c r="G40" s="184"/>
      <c r="H40" s="184"/>
      <c r="I40" s="206"/>
      <c r="J40" s="207"/>
      <c r="K40" s="170"/>
    </row>
    <row r="41" spans="1:13" ht="30" customHeight="1" thickBot="1">
      <c r="A41" s="170"/>
      <c r="B41" s="174"/>
      <c r="C41" s="175" t="s">
        <v>210</v>
      </c>
      <c r="D41" s="175"/>
      <c r="E41" s="184" t="s">
        <v>214</v>
      </c>
      <c r="F41" s="184"/>
      <c r="G41" s="184"/>
      <c r="H41" s="184"/>
      <c r="I41" s="175"/>
      <c r="J41" s="177"/>
      <c r="K41" s="170"/>
    </row>
    <row r="42" spans="1:13" ht="30" customHeight="1" thickBot="1">
      <c r="A42" s="170"/>
      <c r="B42" s="174"/>
      <c r="C42" s="175" t="s">
        <v>211</v>
      </c>
      <c r="D42" s="175"/>
      <c r="E42" s="184" t="s">
        <v>213</v>
      </c>
      <c r="F42" s="184"/>
      <c r="G42" s="184"/>
      <c r="H42" s="184"/>
      <c r="I42" s="175"/>
      <c r="J42" s="177"/>
      <c r="K42" s="170"/>
    </row>
    <row r="43" spans="1:13" ht="30" customHeight="1" thickBot="1">
      <c r="A43" s="170"/>
      <c r="B43" s="174"/>
      <c r="C43" s="175" t="s">
        <v>211</v>
      </c>
      <c r="D43" s="175"/>
      <c r="E43" s="184"/>
      <c r="F43" s="184"/>
      <c r="G43" s="184"/>
      <c r="H43" s="184"/>
      <c r="I43" s="175"/>
      <c r="J43" s="177"/>
      <c r="K43" s="170"/>
    </row>
    <row r="44" spans="1:13" ht="17.7" customHeight="1">
      <c r="A44" s="170"/>
      <c r="B44" s="174"/>
      <c r="C44" s="175"/>
      <c r="D44" s="175"/>
      <c r="E44" s="175"/>
      <c r="F44" s="175"/>
      <c r="G44" s="175"/>
      <c r="H44" s="175"/>
      <c r="I44" s="175"/>
      <c r="J44" s="177"/>
      <c r="K44" s="170"/>
    </row>
    <row r="45" spans="1:13" ht="18" thickBot="1">
      <c r="A45" s="170"/>
      <c r="B45" s="214"/>
      <c r="C45" s="184"/>
      <c r="D45" s="184"/>
      <c r="E45" s="184"/>
      <c r="F45" s="184"/>
      <c r="G45" s="184"/>
      <c r="H45" s="184"/>
      <c r="I45" s="184"/>
      <c r="J45" s="190"/>
      <c r="K45" s="170"/>
    </row>
    <row r="46" spans="1:1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</row>
    <row r="47" spans="1:1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</row>
    <row r="48" spans="1:1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</row>
    <row r="49" spans="1:1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</row>
    <row r="50" spans="1:11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</row>
    <row r="51" spans="1:11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</row>
    <row r="52" spans="1:1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</row>
    <row r="53" spans="1:1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</row>
    <row r="54" spans="1:11">
      <c r="A54" s="170"/>
      <c r="B54" s="170"/>
      <c r="C54" s="170"/>
      <c r="D54" s="170"/>
      <c r="E54" s="170"/>
      <c r="F54" s="170"/>
      <c r="G54" s="170"/>
      <c r="H54" s="170"/>
      <c r="I54" s="215"/>
      <c r="J54" s="215"/>
      <c r="K54" s="170"/>
    </row>
    <row r="55" spans="1:11">
      <c r="A55" s="170"/>
      <c r="B55" s="170"/>
      <c r="C55" s="170"/>
      <c r="D55" s="170"/>
      <c r="E55" s="170"/>
      <c r="F55" s="170"/>
      <c r="G55" s="170"/>
      <c r="H55" s="170"/>
      <c r="I55" s="216"/>
      <c r="J55" s="216"/>
      <c r="K55" s="170"/>
    </row>
    <row r="56" spans="1:11">
      <c r="A56" s="170"/>
      <c r="B56" s="170"/>
      <c r="C56" s="170"/>
      <c r="D56" s="170"/>
      <c r="E56" s="170"/>
      <c r="F56" s="170"/>
      <c r="G56" s="170"/>
      <c r="H56" s="170"/>
      <c r="I56" s="216"/>
      <c r="J56" s="216"/>
      <c r="K56" s="170"/>
    </row>
    <row r="57" spans="1:11">
      <c r="A57" s="170"/>
      <c r="B57" s="170"/>
      <c r="C57" s="170"/>
      <c r="D57" s="170"/>
      <c r="E57" s="170"/>
      <c r="F57" s="170"/>
      <c r="G57" s="170"/>
      <c r="H57" s="170"/>
      <c r="I57" s="216"/>
      <c r="J57" s="216"/>
      <c r="K57" s="170"/>
    </row>
    <row r="58" spans="1:11">
      <c r="A58" s="170"/>
      <c r="B58" s="170"/>
      <c r="C58" s="170"/>
      <c r="D58" s="170"/>
      <c r="E58" s="170"/>
      <c r="F58" s="170"/>
      <c r="G58" s="170"/>
      <c r="H58" s="170"/>
      <c r="I58" s="216"/>
      <c r="J58" s="216"/>
      <c r="K58" s="170"/>
    </row>
    <row r="59" spans="1:11">
      <c r="A59" s="170"/>
      <c r="B59" s="170"/>
      <c r="C59" s="170"/>
      <c r="D59" s="170"/>
      <c r="E59" s="170"/>
      <c r="F59" s="170"/>
      <c r="G59" s="170"/>
      <c r="H59" s="170"/>
      <c r="I59" s="216"/>
      <c r="J59" s="216"/>
      <c r="K59" s="170"/>
    </row>
    <row r="60" spans="1:11">
      <c r="A60" s="170"/>
      <c r="B60" s="170"/>
      <c r="C60" s="170"/>
      <c r="D60" s="170"/>
      <c r="E60" s="170"/>
      <c r="F60" s="170"/>
      <c r="G60" s="170"/>
      <c r="H60" s="170"/>
      <c r="I60" s="216"/>
      <c r="J60" s="216"/>
      <c r="K60" s="170"/>
    </row>
    <row r="61" spans="1:11">
      <c r="A61" s="170"/>
      <c r="B61" s="170"/>
      <c r="C61" s="170"/>
      <c r="D61" s="170"/>
      <c r="E61" s="170"/>
      <c r="F61" s="170"/>
      <c r="G61" s="170"/>
      <c r="H61" s="170"/>
      <c r="I61" s="216"/>
      <c r="J61" s="216"/>
      <c r="K61" s="170"/>
    </row>
    <row r="62" spans="1:11">
      <c r="I62" s="216"/>
      <c r="J62" s="217"/>
    </row>
    <row r="63" spans="1:11">
      <c r="I63" s="216"/>
      <c r="J63" s="217"/>
    </row>
    <row r="64" spans="1:11">
      <c r="I64" s="216"/>
      <c r="J64" s="217"/>
    </row>
    <row r="65" spans="4:10">
      <c r="I65" s="216"/>
      <c r="J65" s="217"/>
    </row>
    <row r="66" spans="4:10">
      <c r="I66" s="216"/>
      <c r="J66" s="217"/>
    </row>
    <row r="67" spans="4:10">
      <c r="I67" s="170"/>
    </row>
    <row r="68" spans="4:10">
      <c r="I68" s="170"/>
    </row>
    <row r="69" spans="4:10">
      <c r="I69" s="170"/>
    </row>
    <row r="70" spans="4:10">
      <c r="I70" s="170"/>
    </row>
    <row r="71" spans="4:10">
      <c r="I71" s="170"/>
    </row>
    <row r="72" spans="4:10">
      <c r="I72" s="170"/>
    </row>
    <row r="73" spans="4:10">
      <c r="D73" s="217"/>
      <c r="E73" s="217"/>
      <c r="F73" s="217"/>
      <c r="I73" s="170"/>
    </row>
    <row r="74" spans="4:10">
      <c r="D74" s="217"/>
      <c r="E74" s="217"/>
      <c r="F74" s="217"/>
      <c r="I74" s="218"/>
      <c r="J74" s="218"/>
    </row>
    <row r="75" spans="4:10">
      <c r="D75" s="217"/>
      <c r="E75" s="217"/>
      <c r="F75" s="217"/>
      <c r="I75" s="219"/>
      <c r="J75" s="219"/>
    </row>
    <row r="76" spans="4:10">
      <c r="D76" s="217"/>
      <c r="E76" s="217"/>
      <c r="F76" s="217"/>
      <c r="I76" s="217"/>
      <c r="J76" s="217"/>
    </row>
    <row r="77" spans="4:10">
      <c r="D77" s="217"/>
      <c r="E77" s="217"/>
      <c r="F77" s="217"/>
      <c r="I77" s="217"/>
      <c r="J77" s="217"/>
    </row>
    <row r="78" spans="4:10">
      <c r="D78" s="217"/>
      <c r="E78" s="217"/>
      <c r="F78" s="217"/>
      <c r="I78" s="217"/>
      <c r="J78" s="217"/>
    </row>
    <row r="79" spans="4:10">
      <c r="I79" s="217"/>
      <c r="J79" s="217"/>
    </row>
    <row r="80" spans="4:10">
      <c r="I80" s="217"/>
      <c r="J80" s="217"/>
    </row>
    <row r="81" spans="9:10">
      <c r="I81" s="217"/>
      <c r="J81" s="217"/>
    </row>
    <row r="82" spans="9:10">
      <c r="I82" s="217"/>
      <c r="J82" s="217"/>
    </row>
    <row r="83" spans="9:10">
      <c r="I83" s="217"/>
      <c r="J83" s="217"/>
    </row>
    <row r="84" spans="9:10">
      <c r="I84" s="217"/>
      <c r="J84" s="217"/>
    </row>
    <row r="85" spans="9:10">
      <c r="I85" s="217"/>
      <c r="J85" s="217"/>
    </row>
    <row r="86" spans="9:10">
      <c r="I86" s="217"/>
      <c r="J86" s="217"/>
    </row>
    <row r="88" spans="9:10">
      <c r="I88" s="219"/>
      <c r="J88" s="219"/>
    </row>
  </sheetData>
  <sheetProtection sheet="1" objects="1" scenarios="1"/>
  <phoneticPr fontId="0" type="noConversion"/>
  <printOptions horizontalCentered="1"/>
  <pageMargins left="0.75" right="0.75" top="0.48" bottom="1" header="0.5" footer="0.5"/>
  <pageSetup scale="6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PSCO WKST</vt:lpstr>
      <vt:lpstr>CIG  WKST</vt:lpstr>
      <vt:lpstr>Enron  Wire</vt:lpstr>
      <vt:lpstr>Renegade Invoice</vt:lpstr>
      <vt:lpstr>Renegade Check Req</vt:lpstr>
      <vt:lpstr>cigwire</vt:lpstr>
      <vt:lpstr>cigwkst</vt:lpstr>
      <vt:lpstr>'Renegade Check Req'!Print_Area</vt:lpstr>
      <vt:lpstr>'Renegade Invoice'!Print_Area</vt:lpstr>
      <vt:lpstr>TIFWKSHT</vt:lpstr>
      <vt:lpstr>'Enron  Wire'!WIRE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Havlíček Jan</cp:lastModifiedBy>
  <cp:lastPrinted>2001-10-04T18:07:31Z</cp:lastPrinted>
  <dcterms:created xsi:type="dcterms:W3CDTF">1999-06-25T16:25:47Z</dcterms:created>
  <dcterms:modified xsi:type="dcterms:W3CDTF">2023-09-13T22:49:09Z</dcterms:modified>
</cp:coreProperties>
</file>