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0" yWindow="276" windowWidth="4776" windowHeight="4932" tabRatio="65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RegAmort!$A$64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RegAmort!$A$61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IntDeduct!$C$37:$C$54</definedName>
    <definedName name="__123Graph_A" localSheetId="3" hidden="1">'O&amp;M'!$B$25:$B$25</definedName>
    <definedName name="__123Graph_A" localSheetId="5" hidden="1">RegAmort!$B$32:$B$56</definedName>
    <definedName name="__123Graph_A" localSheetId="4" hidden="1">Trackers!$B$30:$B$41</definedName>
    <definedName name="__123Graph_A" localSheetId="2" hidden="1">'Transport-OtherRev'!$C$7:$C$35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IntDeduct!$D$37:$D$54</definedName>
    <definedName name="__123Graph_B" localSheetId="3" hidden="1">'O&amp;M'!$C$25:$C$25</definedName>
    <definedName name="__123Graph_B" localSheetId="5" hidden="1">RegAmort!$C$32:$C$56</definedName>
    <definedName name="__123Graph_B" localSheetId="4" hidden="1">Trackers!$D$30:$D$41</definedName>
    <definedName name="__123Graph_B" localSheetId="2" hidden="1">'Transport-OtherRev'!$D$3:$D$37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IntDeduct!$E$37:$E$54</definedName>
    <definedName name="__123Graph_C" localSheetId="3" hidden="1">'O&amp;M'!$D$25:$D$25</definedName>
    <definedName name="__123Graph_C" localSheetId="5" hidden="1">RegAmort!$D$32:$D$56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IntDeduct!$F$37:$F$54</definedName>
    <definedName name="__123Graph_D" localSheetId="3" hidden="1">'O&amp;M'!$E$25:$E$25</definedName>
    <definedName name="__123Graph_D" localSheetId="5" hidden="1">RegAmort!$E$32:$E$56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IntDeduct!$G$37:$G$54</definedName>
    <definedName name="__123Graph_E" localSheetId="3" hidden="1">'O&amp;M'!$F$25:$F$25</definedName>
    <definedName name="__123Graph_E" localSheetId="5" hidden="1">RegAmort!$F$32:$F$56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IntDeduct!$H$37:$H$54</definedName>
    <definedName name="__123Graph_F" localSheetId="3" hidden="1">'O&amp;M'!$G$25:$G$25</definedName>
    <definedName name="__123Graph_F" localSheetId="5" hidden="1">RegAmort!$G$32:$G$56</definedName>
    <definedName name="__123Graph_F" localSheetId="4" hidden="1">Trackers!$H$30:$H$41</definedName>
    <definedName name="__123Graph_F" localSheetId="2" hidden="1">'Transport-OtherRev'!$G$4:$G$35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IntDeduct!$B$37:$B$54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'Fuel-Depr-OtherTax'!$1:$4116</definedName>
    <definedName name="_Sort" localSheetId="11" hidden="1">IncomeState!$A$1:$IU$4077</definedName>
    <definedName name="_Sort" localSheetId="9" hidden="1">IntDeduct!$1:$4086</definedName>
    <definedName name="_Sort" localSheetId="8" hidden="1">OtherInc!$1:$3853</definedName>
    <definedName name="_Sort" localSheetId="5" hidden="1">RegAmort!$6:$4092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'Transport-OtherRev'!$A$1:$N$35</definedName>
    <definedName name="PAGE_ONE">'Transport-OtherRev'!$A$1:$Q$35</definedName>
    <definedName name="PAGE1" localSheetId="10">DeferredTax!$A$1:$J$85</definedName>
    <definedName name="PAGE1" localSheetId="5">RegAmort!$A$1:$Q$58</definedName>
    <definedName name="PAGE1" localSheetId="12">Source!$A$1:$R$76</definedName>
    <definedName name="PAGE1">'Transport-OtherRev'!$A$1:$Q$35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'Transport-OtherRev'!$A$55:$O$101</definedName>
    <definedName name="PRINT" localSheetId="9">IntDeduct!$A$1:$Q$61</definedName>
    <definedName name="PRINT" localSheetId="8">OtherInc!$A$1:$Q$43</definedName>
    <definedName name="PRINT">'Fuel-Depr-OtherTax'!$A$1:$Q$54</definedName>
    <definedName name="_xlnm.Print_Area" localSheetId="0">DataBase!$A$1:$Y$532</definedName>
    <definedName name="_xlnm.Print_Area" localSheetId="10">DeferredTax!$AI$1:$AW$85</definedName>
    <definedName name="_xlnm.Print_Area" localSheetId="7">'Fuel-Depr-OtherTax'!$A$1:$Q$54</definedName>
    <definedName name="_xlnm.Print_Area" localSheetId="11">IncomeState!$A$60:$Q$95</definedName>
    <definedName name="_xlnm.Print_Area" localSheetId="9">IntDeduct!$A$1:$Q$61</definedName>
    <definedName name="_xlnm.Print_Area" localSheetId="3">'O&amp;M'!$A$1:$Q$54</definedName>
    <definedName name="_xlnm.Print_Area" localSheetId="8">OtherInc!$A$1:$Q$43</definedName>
    <definedName name="_xlnm.Print_Area" localSheetId="5">RegAmort!$A$1:$Q$58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'Transport-OtherRev'!$A$1:$Q$51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1" i="20"/>
  <c r="U11" i="20"/>
  <c r="V11" i="20"/>
  <c r="W11" i="20"/>
  <c r="X11" i="20"/>
  <c r="Y11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D36" i="20"/>
  <c r="F36" i="20"/>
  <c r="G36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1" i="20"/>
  <c r="U41" i="20"/>
  <c r="V41" i="20"/>
  <c r="W41" i="20"/>
  <c r="X41" i="20"/>
  <c r="Y41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O50" i="20"/>
  <c r="U50" i="20"/>
  <c r="V50" i="20"/>
  <c r="W50" i="20"/>
  <c r="X50" i="20"/>
  <c r="Y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U79" i="20"/>
  <c r="V79" i="20"/>
  <c r="W79" i="20"/>
  <c r="X79" i="20"/>
  <c r="Y79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E109" i="20"/>
  <c r="F109" i="20"/>
  <c r="N109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U116" i="20"/>
  <c r="V116" i="20"/>
  <c r="W116" i="20"/>
  <c r="X116" i="20"/>
  <c r="Y116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D120" i="20"/>
  <c r="G120" i="20"/>
  <c r="H120" i="20"/>
  <c r="I120" i="20"/>
  <c r="J120" i="20"/>
  <c r="K120" i="20"/>
  <c r="L120" i="20"/>
  <c r="M120" i="20"/>
  <c r="N120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U124" i="20"/>
  <c r="V124" i="20"/>
  <c r="W124" i="20"/>
  <c r="X124" i="20"/>
  <c r="Y124" i="20"/>
  <c r="O127" i="20"/>
  <c r="U127" i="20"/>
  <c r="V127" i="20"/>
  <c r="W127" i="20"/>
  <c r="X127" i="20"/>
  <c r="Y127" i="20"/>
  <c r="O128" i="20"/>
  <c r="U128" i="20"/>
  <c r="V128" i="20"/>
  <c r="W128" i="20"/>
  <c r="X128" i="20"/>
  <c r="Y128" i="20"/>
  <c r="O129" i="20"/>
  <c r="U129" i="20"/>
  <c r="V129" i="20"/>
  <c r="W129" i="20"/>
  <c r="X129" i="20"/>
  <c r="Y129" i="20"/>
  <c r="O130" i="20"/>
  <c r="U130" i="20"/>
  <c r="V130" i="20"/>
  <c r="W130" i="20"/>
  <c r="X130" i="20"/>
  <c r="Y130" i="20"/>
  <c r="H131" i="20"/>
  <c r="I131" i="20"/>
  <c r="J131" i="20"/>
  <c r="K131" i="20"/>
  <c r="M131" i="20"/>
  <c r="N131" i="20"/>
  <c r="O131" i="20"/>
  <c r="U131" i="20"/>
  <c r="V131" i="20"/>
  <c r="W131" i="20"/>
  <c r="X131" i="20"/>
  <c r="Y131" i="20"/>
  <c r="O132" i="20"/>
  <c r="U132" i="20"/>
  <c r="V132" i="20"/>
  <c r="W132" i="20"/>
  <c r="X132" i="20"/>
  <c r="Y132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2" i="20"/>
  <c r="U142" i="20"/>
  <c r="V142" i="20"/>
  <c r="W142" i="20"/>
  <c r="X142" i="20"/>
  <c r="Y142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U145" i="20"/>
  <c r="V145" i="20"/>
  <c r="W145" i="20"/>
  <c r="X145" i="20"/>
  <c r="Y145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U147" i="20"/>
  <c r="V147" i="20"/>
  <c r="W147" i="20"/>
  <c r="X147" i="20"/>
  <c r="Y147" i="20"/>
  <c r="O153" i="20"/>
  <c r="U153" i="20"/>
  <c r="V153" i="20"/>
  <c r="W153" i="20"/>
  <c r="X153" i="20"/>
  <c r="Y153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U161" i="20"/>
  <c r="V161" i="20"/>
  <c r="W161" i="20"/>
  <c r="X161" i="20"/>
  <c r="Y161" i="20"/>
  <c r="O163" i="20"/>
  <c r="U163" i="20"/>
  <c r="V163" i="20"/>
  <c r="W163" i="20"/>
  <c r="X163" i="20"/>
  <c r="Y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U164" i="20"/>
  <c r="V164" i="20"/>
  <c r="W164" i="20"/>
  <c r="X164" i="20"/>
  <c r="Y164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U166" i="20"/>
  <c r="V166" i="20"/>
  <c r="W166" i="20"/>
  <c r="X166" i="20"/>
  <c r="Y166" i="20"/>
  <c r="O169" i="20"/>
  <c r="U169" i="20"/>
  <c r="V169" i="20"/>
  <c r="W169" i="20"/>
  <c r="X169" i="20"/>
  <c r="Y169" i="20"/>
  <c r="C172" i="20"/>
  <c r="D172" i="20"/>
  <c r="E172" i="20"/>
  <c r="F172" i="20"/>
  <c r="G172" i="20"/>
  <c r="H172" i="20"/>
  <c r="O172" i="20"/>
  <c r="U172" i="20"/>
  <c r="V172" i="20"/>
  <c r="W172" i="20"/>
  <c r="X172" i="20"/>
  <c r="Y172" i="20"/>
  <c r="O173" i="20"/>
  <c r="U173" i="20"/>
  <c r="V173" i="20"/>
  <c r="W173" i="20"/>
  <c r="X173" i="20"/>
  <c r="Y173" i="20"/>
  <c r="O174" i="20"/>
  <c r="U174" i="20"/>
  <c r="V174" i="20"/>
  <c r="W174" i="20"/>
  <c r="X174" i="20"/>
  <c r="Y174" i="20"/>
  <c r="O175" i="20"/>
  <c r="U175" i="20"/>
  <c r="V175" i="20"/>
  <c r="W175" i="20"/>
  <c r="X175" i="20"/>
  <c r="Y175" i="20"/>
  <c r="O176" i="20"/>
  <c r="U176" i="20"/>
  <c r="V176" i="20"/>
  <c r="W176" i="20"/>
  <c r="X176" i="20"/>
  <c r="Y176" i="20"/>
  <c r="O177" i="20"/>
  <c r="U177" i="20"/>
  <c r="V177" i="20"/>
  <c r="W177" i="20"/>
  <c r="X177" i="20"/>
  <c r="Y177" i="20"/>
  <c r="O178" i="20"/>
  <c r="U178" i="20"/>
  <c r="V178" i="20"/>
  <c r="W178" i="20"/>
  <c r="X178" i="20"/>
  <c r="Y178" i="20"/>
  <c r="O179" i="20"/>
  <c r="U179" i="20"/>
  <c r="V179" i="20"/>
  <c r="W179" i="20"/>
  <c r="X179" i="20"/>
  <c r="Y179" i="20"/>
  <c r="O180" i="20"/>
  <c r="U180" i="20"/>
  <c r="V180" i="20"/>
  <c r="W180" i="20"/>
  <c r="X180" i="20"/>
  <c r="Y180" i="20"/>
  <c r="O181" i="20"/>
  <c r="U181" i="20"/>
  <c r="V181" i="20"/>
  <c r="W181" i="20"/>
  <c r="X181" i="20"/>
  <c r="Y181" i="20"/>
  <c r="O182" i="20"/>
  <c r="U182" i="20"/>
  <c r="V182" i="20"/>
  <c r="W182" i="20"/>
  <c r="X182" i="20"/>
  <c r="Y182" i="20"/>
  <c r="O183" i="20"/>
  <c r="U183" i="20"/>
  <c r="V183" i="20"/>
  <c r="W183" i="20"/>
  <c r="X183" i="20"/>
  <c r="Y183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C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U186" i="20"/>
  <c r="V186" i="20"/>
  <c r="W186" i="20"/>
  <c r="X186" i="20"/>
  <c r="Y186" i="20"/>
  <c r="O188" i="20"/>
  <c r="U188" i="20"/>
  <c r="V188" i="20"/>
  <c r="W188" i="20"/>
  <c r="X188" i="20"/>
  <c r="Y188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U189" i="20"/>
  <c r="V189" i="20"/>
  <c r="W189" i="20"/>
  <c r="X189" i="20"/>
  <c r="Y189" i="20"/>
  <c r="C191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U191" i="20"/>
  <c r="V191" i="20"/>
  <c r="W191" i="20"/>
  <c r="X191" i="20"/>
  <c r="Y191" i="20"/>
  <c r="O195" i="20"/>
  <c r="U195" i="20"/>
  <c r="V195" i="20"/>
  <c r="W195" i="20"/>
  <c r="X195" i="20"/>
  <c r="Y195" i="20"/>
  <c r="O197" i="20"/>
  <c r="U197" i="20"/>
  <c r="V197" i="20"/>
  <c r="W197" i="20"/>
  <c r="X197" i="20"/>
  <c r="Y197" i="20"/>
  <c r="O200" i="20"/>
  <c r="U200" i="20"/>
  <c r="V200" i="20"/>
  <c r="W200" i="20"/>
  <c r="X200" i="20"/>
  <c r="Y200" i="20"/>
  <c r="O201" i="20"/>
  <c r="U201" i="20"/>
  <c r="V201" i="20"/>
  <c r="W201" i="20"/>
  <c r="X201" i="20"/>
  <c r="Y201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O206" i="20"/>
  <c r="U206" i="20"/>
  <c r="V206" i="20"/>
  <c r="W206" i="20"/>
  <c r="X206" i="20"/>
  <c r="Y206" i="20"/>
  <c r="O207" i="20"/>
  <c r="U207" i="20"/>
  <c r="V207" i="20"/>
  <c r="W207" i="20"/>
  <c r="X207" i="20"/>
  <c r="Y207" i="20"/>
  <c r="O208" i="20"/>
  <c r="U208" i="20"/>
  <c r="V208" i="20"/>
  <c r="W208" i="20"/>
  <c r="X208" i="20"/>
  <c r="Y208" i="20"/>
  <c r="O209" i="20"/>
  <c r="U209" i="20"/>
  <c r="V209" i="20"/>
  <c r="W209" i="20"/>
  <c r="X209" i="20"/>
  <c r="Y209" i="20"/>
  <c r="O210" i="20"/>
  <c r="U210" i="20"/>
  <c r="V210" i="20"/>
  <c r="W210" i="20"/>
  <c r="X210" i="20"/>
  <c r="Y210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C218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U218" i="20"/>
  <c r="V218" i="20"/>
  <c r="W218" i="20"/>
  <c r="X218" i="20"/>
  <c r="Y218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O225" i="20"/>
  <c r="U225" i="20"/>
  <c r="V225" i="20"/>
  <c r="W225" i="20"/>
  <c r="X225" i="20"/>
  <c r="Y225" i="20"/>
  <c r="C227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U227" i="20"/>
  <c r="V227" i="20"/>
  <c r="W227" i="20"/>
  <c r="X227" i="20"/>
  <c r="Y227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O232" i="20"/>
  <c r="U232" i="20"/>
  <c r="V232" i="20"/>
  <c r="W232" i="20"/>
  <c r="X232" i="20"/>
  <c r="Y232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O236" i="20"/>
  <c r="U236" i="20"/>
  <c r="V236" i="20"/>
  <c r="W236" i="20"/>
  <c r="X236" i="20"/>
  <c r="Y236" i="20"/>
  <c r="O237" i="20"/>
  <c r="U237" i="20"/>
  <c r="V237" i="20"/>
  <c r="W237" i="20"/>
  <c r="X237" i="20"/>
  <c r="Y237" i="20"/>
  <c r="O238" i="20"/>
  <c r="U238" i="20"/>
  <c r="V238" i="20"/>
  <c r="W238" i="20"/>
  <c r="X238" i="20"/>
  <c r="Y238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C243" i="20"/>
  <c r="E243" i="20"/>
  <c r="G243" i="20"/>
  <c r="H243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C246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U246" i="20"/>
  <c r="V246" i="20"/>
  <c r="W246" i="20"/>
  <c r="X246" i="20"/>
  <c r="Y246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/>
  <c r="O254" i="20"/>
  <c r="U254" i="20"/>
  <c r="V254" i="20"/>
  <c r="W254" i="20"/>
  <c r="X254" i="20"/>
  <c r="Y254" i="20"/>
  <c r="O255" i="20"/>
  <c r="U255" i="20"/>
  <c r="V255" i="20"/>
  <c r="W255" i="20"/>
  <c r="X255" i="20"/>
  <c r="Y255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O265" i="20"/>
  <c r="U265" i="20"/>
  <c r="V265" i="20"/>
  <c r="W265" i="20"/>
  <c r="X265" i="20"/>
  <c r="Y265" i="20"/>
  <c r="N266" i="20"/>
  <c r="O266" i="20"/>
  <c r="U266" i="20"/>
  <c r="V266" i="20"/>
  <c r="W266" i="20"/>
  <c r="X266" i="20"/>
  <c r="Y266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5" i="20"/>
  <c r="U275" i="20"/>
  <c r="V275" i="20"/>
  <c r="W275" i="20"/>
  <c r="X275" i="20"/>
  <c r="Y275" i="20"/>
  <c r="O277" i="20"/>
  <c r="U277" i="20"/>
  <c r="V277" i="20"/>
  <c r="W277" i="20"/>
  <c r="X277" i="20"/>
  <c r="Y277" i="20"/>
  <c r="C280" i="20"/>
  <c r="D280" i="20"/>
  <c r="E280" i="20"/>
  <c r="F280" i="20"/>
  <c r="G280" i="20"/>
  <c r="H280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O284" i="20"/>
  <c r="U284" i="20"/>
  <c r="V284" i="20"/>
  <c r="W284" i="20"/>
  <c r="X284" i="20"/>
  <c r="Y284" i="20"/>
  <c r="O285" i="20"/>
  <c r="U285" i="20"/>
  <c r="V285" i="20"/>
  <c r="W285" i="20"/>
  <c r="X285" i="20"/>
  <c r="Y285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O288" i="20"/>
  <c r="U288" i="20"/>
  <c r="V288" i="20"/>
  <c r="W288" i="20"/>
  <c r="X288" i="20"/>
  <c r="Y288" i="20"/>
  <c r="O289" i="20"/>
  <c r="U289" i="20"/>
  <c r="V289" i="20"/>
  <c r="W289" i="20"/>
  <c r="X289" i="20"/>
  <c r="Y289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U290" i="20"/>
  <c r="V290" i="20"/>
  <c r="W290" i="20"/>
  <c r="X290" i="20"/>
  <c r="Y290" i="20"/>
  <c r="O292" i="20"/>
  <c r="U292" i="20"/>
  <c r="V292" i="20"/>
  <c r="W292" i="20"/>
  <c r="X292" i="20"/>
  <c r="Y292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U293" i="20"/>
  <c r="V293" i="20"/>
  <c r="W293" i="20"/>
  <c r="X293" i="20"/>
  <c r="Y293" i="20"/>
  <c r="C295" i="20"/>
  <c r="D295" i="20"/>
  <c r="E295" i="20"/>
  <c r="F295" i="20"/>
  <c r="G295" i="20"/>
  <c r="H295" i="20"/>
  <c r="I295" i="20"/>
  <c r="J295" i="20"/>
  <c r="K295" i="20"/>
  <c r="L295" i="20"/>
  <c r="M295" i="20"/>
  <c r="N295" i="20"/>
  <c r="O295" i="20"/>
  <c r="U295" i="20"/>
  <c r="V295" i="20"/>
  <c r="W295" i="20"/>
  <c r="X295" i="20"/>
  <c r="Y295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O304" i="20"/>
  <c r="U304" i="20"/>
  <c r="V304" i="20"/>
  <c r="W304" i="20"/>
  <c r="X304" i="20"/>
  <c r="Y304" i="20"/>
  <c r="C305" i="20"/>
  <c r="D305" i="20"/>
  <c r="E305" i="20"/>
  <c r="F305" i="20"/>
  <c r="G305" i="20"/>
  <c r="H305" i="20"/>
  <c r="I305" i="20"/>
  <c r="J305" i="20"/>
  <c r="K305" i="20"/>
  <c r="L305" i="20"/>
  <c r="M305" i="20"/>
  <c r="N305" i="20"/>
  <c r="O305" i="20"/>
  <c r="U305" i="20"/>
  <c r="V305" i="20"/>
  <c r="W305" i="20"/>
  <c r="X305" i="20"/>
  <c r="Y305" i="20"/>
  <c r="O310" i="20"/>
  <c r="U310" i="20"/>
  <c r="V310" i="20"/>
  <c r="W310" i="20"/>
  <c r="X310" i="20"/>
  <c r="Y310" i="20"/>
  <c r="O311" i="20"/>
  <c r="U311" i="20"/>
  <c r="V311" i="20"/>
  <c r="W311" i="20"/>
  <c r="X311" i="20"/>
  <c r="Y311" i="20"/>
  <c r="O312" i="20"/>
  <c r="U312" i="20"/>
  <c r="V312" i="20"/>
  <c r="W312" i="20"/>
  <c r="X312" i="20"/>
  <c r="Y312" i="20"/>
  <c r="C313" i="20"/>
  <c r="D313" i="20"/>
  <c r="E313" i="20"/>
  <c r="F313" i="20"/>
  <c r="G313" i="20"/>
  <c r="H313" i="20"/>
  <c r="I313" i="20"/>
  <c r="J313" i="20"/>
  <c r="K313" i="20"/>
  <c r="L313" i="20"/>
  <c r="M313" i="20"/>
  <c r="N313" i="20"/>
  <c r="O313" i="20"/>
  <c r="U313" i="20"/>
  <c r="V313" i="20"/>
  <c r="W313" i="20"/>
  <c r="X313" i="20"/>
  <c r="Y313" i="20"/>
  <c r="O315" i="20"/>
  <c r="U315" i="20"/>
  <c r="V315" i="20"/>
  <c r="W315" i="20"/>
  <c r="X315" i="20"/>
  <c r="Y315" i="20"/>
  <c r="C316" i="20"/>
  <c r="D316" i="20"/>
  <c r="E316" i="20"/>
  <c r="F316" i="20"/>
  <c r="G316" i="20"/>
  <c r="H316" i="20"/>
  <c r="I316" i="20"/>
  <c r="J316" i="20"/>
  <c r="K316" i="20"/>
  <c r="L316" i="20"/>
  <c r="M316" i="20"/>
  <c r="N316" i="20"/>
  <c r="O316" i="20"/>
  <c r="U316" i="20"/>
  <c r="V316" i="20"/>
  <c r="W316" i="20"/>
  <c r="X316" i="20"/>
  <c r="Y316" i="20"/>
  <c r="C320" i="20"/>
  <c r="D320" i="20"/>
  <c r="E320" i="20"/>
  <c r="F320" i="20"/>
  <c r="G320" i="20"/>
  <c r="H320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O324" i="20"/>
  <c r="U324" i="20"/>
  <c r="V324" i="20"/>
  <c r="W324" i="20"/>
  <c r="X324" i="20"/>
  <c r="Y324" i="20"/>
  <c r="O325" i="20"/>
  <c r="U325" i="20"/>
  <c r="V325" i="20"/>
  <c r="W325" i="20"/>
  <c r="X325" i="20"/>
  <c r="Y325" i="20"/>
  <c r="O326" i="20"/>
  <c r="U326" i="20"/>
  <c r="V326" i="20"/>
  <c r="W326" i="20"/>
  <c r="X326" i="20"/>
  <c r="Y326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29" i="20"/>
  <c r="U329" i="20"/>
  <c r="V329" i="20"/>
  <c r="W329" i="20"/>
  <c r="X329" i="20"/>
  <c r="Y329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C332" i="20"/>
  <c r="D332" i="20"/>
  <c r="E332" i="20"/>
  <c r="F332" i="20"/>
  <c r="G332" i="20"/>
  <c r="H332" i="20"/>
  <c r="I332" i="20"/>
  <c r="J332" i="20"/>
  <c r="K332" i="20"/>
  <c r="L332" i="20"/>
  <c r="M332" i="20"/>
  <c r="N332" i="20"/>
  <c r="O332" i="20"/>
  <c r="U332" i="20"/>
  <c r="V332" i="20"/>
  <c r="W332" i="20"/>
  <c r="X332" i="20"/>
  <c r="Y332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O341" i="20"/>
  <c r="U341" i="20"/>
  <c r="V341" i="20"/>
  <c r="W341" i="20"/>
  <c r="X341" i="20"/>
  <c r="Y341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O343" i="20"/>
  <c r="U343" i="20"/>
  <c r="V343" i="20"/>
  <c r="W343" i="20"/>
  <c r="X343" i="20"/>
  <c r="Y343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4" i="20"/>
  <c r="D354" i="20"/>
  <c r="E354" i="20"/>
  <c r="F354" i="20"/>
  <c r="G354" i="20"/>
  <c r="H354" i="20"/>
  <c r="I354" i="20"/>
  <c r="J354" i="20"/>
  <c r="K354" i="20"/>
  <c r="L354" i="20"/>
  <c r="M354" i="20"/>
  <c r="N354" i="20"/>
  <c r="O354" i="20"/>
  <c r="U354" i="20"/>
  <c r="V354" i="20"/>
  <c r="W354" i="20"/>
  <c r="X354" i="20"/>
  <c r="Y354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O363" i="20"/>
  <c r="U363" i="20"/>
  <c r="V363" i="20"/>
  <c r="W363" i="20"/>
  <c r="X363" i="20"/>
  <c r="Y363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U365" i="20"/>
  <c r="V365" i="20"/>
  <c r="W365" i="20"/>
  <c r="X365" i="20"/>
  <c r="Y365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U369" i="20"/>
  <c r="V369" i="20"/>
  <c r="W369" i="20"/>
  <c r="X369" i="20"/>
  <c r="Y369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O375" i="20"/>
  <c r="U375" i="20"/>
  <c r="V375" i="20"/>
  <c r="W375" i="20"/>
  <c r="X375" i="20"/>
  <c r="Y375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U395" i="20"/>
  <c r="V395" i="20"/>
  <c r="W395" i="20"/>
  <c r="X395" i="20"/>
  <c r="Y395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U413" i="20"/>
  <c r="V413" i="20"/>
  <c r="W413" i="20"/>
  <c r="X413" i="20"/>
  <c r="Y413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U414" i="20"/>
  <c r="V414" i="20"/>
  <c r="W414" i="20"/>
  <c r="X414" i="20"/>
  <c r="Y414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6" i="20"/>
  <c r="D466" i="20"/>
  <c r="E466" i="20"/>
  <c r="F466" i="20"/>
  <c r="G466" i="20"/>
  <c r="H466" i="20"/>
  <c r="I466" i="20"/>
  <c r="J466" i="20"/>
  <c r="O466" i="20"/>
  <c r="U466" i="20"/>
  <c r="V466" i="20"/>
  <c r="W466" i="20"/>
  <c r="X466" i="20"/>
  <c r="Y466" i="20"/>
  <c r="O467" i="20"/>
  <c r="U467" i="20"/>
  <c r="V467" i="20"/>
  <c r="W467" i="20"/>
  <c r="X467" i="20"/>
  <c r="Y467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U475" i="20"/>
  <c r="V475" i="20"/>
  <c r="W475" i="20"/>
  <c r="X475" i="20"/>
  <c r="Y475" i="20"/>
  <c r="O478" i="20"/>
  <c r="U478" i="20"/>
  <c r="V478" i="20"/>
  <c r="W478" i="20"/>
  <c r="X478" i="20"/>
  <c r="Y478" i="20"/>
  <c r="O479" i="20"/>
  <c r="U479" i="20"/>
  <c r="V479" i="20"/>
  <c r="W479" i="20"/>
  <c r="X479" i="20"/>
  <c r="Y479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O493" i="20"/>
  <c r="U493" i="20"/>
  <c r="V493" i="20"/>
  <c r="W493" i="20"/>
  <c r="X493" i="20"/>
  <c r="Y493" i="20"/>
  <c r="O494" i="20"/>
  <c r="U494" i="20"/>
  <c r="V494" i="20"/>
  <c r="W494" i="20"/>
  <c r="X494" i="20"/>
  <c r="Y494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U495" i="20"/>
  <c r="V495" i="20"/>
  <c r="W495" i="20"/>
  <c r="X495" i="20"/>
  <c r="Y495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C502" i="20"/>
  <c r="D502" i="20"/>
  <c r="E502" i="20"/>
  <c r="F502" i="20"/>
  <c r="G502" i="20"/>
  <c r="H502" i="20"/>
  <c r="I502" i="20"/>
  <c r="J502" i="20"/>
  <c r="K502" i="20"/>
  <c r="L502" i="20"/>
  <c r="M502" i="20"/>
  <c r="N502" i="20"/>
  <c r="O502" i="20"/>
  <c r="U502" i="20"/>
  <c r="V502" i="20"/>
  <c r="W502" i="20"/>
  <c r="X502" i="20"/>
  <c r="Y502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O506" i="20"/>
  <c r="U506" i="20"/>
  <c r="V506" i="20"/>
  <c r="W506" i="20"/>
  <c r="X506" i="20"/>
  <c r="Y506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U513" i="20"/>
  <c r="V513" i="20"/>
  <c r="W513" i="20"/>
  <c r="X513" i="20"/>
  <c r="Y513" i="20"/>
  <c r="C515" i="20"/>
  <c r="D515" i="20"/>
  <c r="E515" i="20"/>
  <c r="F515" i="20"/>
  <c r="G515" i="20"/>
  <c r="H515" i="20"/>
  <c r="I515" i="20"/>
  <c r="J515" i="20"/>
  <c r="K515" i="20"/>
  <c r="L515" i="20"/>
  <c r="M515" i="20"/>
  <c r="N515" i="20"/>
  <c r="O515" i="20"/>
  <c r="U515" i="20"/>
  <c r="V515" i="20"/>
  <c r="W515" i="20"/>
  <c r="X515" i="20"/>
  <c r="Y515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C520" i="20"/>
  <c r="D520" i="20"/>
  <c r="E520" i="20"/>
  <c r="F520" i="20"/>
  <c r="G520" i="20"/>
  <c r="H520" i="20"/>
  <c r="I520" i="20"/>
  <c r="J520" i="20"/>
  <c r="K520" i="20"/>
  <c r="L520" i="20"/>
  <c r="M520" i="20"/>
  <c r="N520" i="20"/>
  <c r="O520" i="20"/>
  <c r="U520" i="20"/>
  <c r="V520" i="20"/>
  <c r="W520" i="20"/>
  <c r="X520" i="20"/>
  <c r="Y520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O522" i="20"/>
  <c r="U522" i="20"/>
  <c r="V522" i="20"/>
  <c r="W522" i="20"/>
  <c r="X522" i="20"/>
  <c r="Y522" i="20"/>
  <c r="O525" i="20"/>
  <c r="U525" i="20"/>
  <c r="V525" i="20"/>
  <c r="W525" i="20"/>
  <c r="X525" i="20"/>
  <c r="Y525" i="20"/>
  <c r="O526" i="20"/>
  <c r="U526" i="20"/>
  <c r="V526" i="20"/>
  <c r="W526" i="20"/>
  <c r="X526" i="20"/>
  <c r="Y526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U527" i="20"/>
  <c r="V527" i="20"/>
  <c r="W527" i="20"/>
  <c r="X527" i="20"/>
  <c r="Y527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O531" i="20"/>
  <c r="U531" i="20"/>
  <c r="V531" i="20"/>
  <c r="W531" i="20"/>
  <c r="X531" i="20"/>
  <c r="Y531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D7" i="10"/>
  <c r="E7" i="10"/>
  <c r="F7" i="10"/>
  <c r="G7" i="10"/>
  <c r="O7" i="10"/>
  <c r="P7" i="10"/>
  <c r="Q7" i="10"/>
  <c r="O8" i="10"/>
  <c r="P8" i="10"/>
  <c r="Q8" i="10"/>
  <c r="D9" i="10"/>
  <c r="G9" i="10"/>
  <c r="H9" i="10"/>
  <c r="J9" i="10"/>
  <c r="K9" i="10"/>
  <c r="L9" i="10"/>
  <c r="M9" i="10"/>
  <c r="N9" i="10"/>
  <c r="O9" i="10"/>
  <c r="P9" i="10"/>
  <c r="Q9" i="10"/>
  <c r="C10" i="10"/>
  <c r="D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O31" i="10"/>
  <c r="P31" i="10"/>
  <c r="Q31" i="10"/>
  <c r="E32" i="10"/>
  <c r="O32" i="10"/>
  <c r="P32" i="10"/>
  <c r="Q32" i="10"/>
  <c r="E33" i="10"/>
  <c r="O33" i="10"/>
  <c r="P33" i="10"/>
  <c r="Q33" i="10"/>
  <c r="O34" i="10"/>
  <c r="P34" i="10"/>
  <c r="Q34" i="10"/>
  <c r="C36" i="10"/>
  <c r="D36" i="10"/>
  <c r="F36" i="10"/>
  <c r="G36" i="10"/>
  <c r="H36" i="10"/>
  <c r="I36" i="10"/>
  <c r="J36" i="10"/>
  <c r="K36" i="10"/>
  <c r="O36" i="10"/>
  <c r="P36" i="10"/>
  <c r="Q36" i="10"/>
  <c r="D37" i="10"/>
  <c r="F37" i="10"/>
  <c r="G37" i="10"/>
  <c r="H37" i="10"/>
  <c r="I37" i="10"/>
  <c r="J37" i="10"/>
  <c r="K37" i="10"/>
  <c r="O37" i="10"/>
  <c r="P37" i="10"/>
  <c r="Q37" i="10"/>
  <c r="C38" i="10"/>
  <c r="D38" i="10"/>
  <c r="E38" i="10"/>
  <c r="F38" i="10"/>
  <c r="G38" i="10"/>
  <c r="H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O39" i="10"/>
  <c r="P39" i="10"/>
  <c r="Q39" i="10"/>
  <c r="D40" i="10"/>
  <c r="E40" i="10"/>
  <c r="O40" i="10"/>
  <c r="P40" i="10"/>
  <c r="Q40" i="10"/>
  <c r="O41" i="10"/>
  <c r="P41" i="10"/>
  <c r="Q41" i="10"/>
  <c r="C42" i="10"/>
  <c r="D42" i="10"/>
  <c r="F42" i="10"/>
  <c r="G42" i="10"/>
  <c r="H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O49" i="10"/>
  <c r="P49" i="10"/>
  <c r="Q49" i="10"/>
  <c r="O50" i="10"/>
  <c r="P50" i="10"/>
  <c r="Q50" i="10"/>
  <c r="O51" i="10"/>
  <c r="P51" i="10"/>
  <c r="Q51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N15" i="12"/>
  <c r="O15" i="12"/>
  <c r="P15" i="12"/>
  <c r="Q15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O20" i="12"/>
  <c r="P20" i="12"/>
  <c r="Q20" i="12"/>
  <c r="O21" i="12"/>
  <c r="P21" i="12"/>
  <c r="Q21" i="12"/>
  <c r="I22" i="12"/>
  <c r="J22" i="12"/>
  <c r="K22" i="12"/>
  <c r="L22" i="12"/>
  <c r="M22" i="12"/>
  <c r="N22" i="12"/>
  <c r="O22" i="12"/>
  <c r="P22" i="12"/>
  <c r="Q22" i="12"/>
  <c r="C23" i="12"/>
  <c r="D23" i="12"/>
  <c r="O23" i="12"/>
  <c r="P23" i="12"/>
  <c r="Q23" i="12"/>
  <c r="O24" i="12"/>
  <c r="P24" i="12"/>
  <c r="Q24" i="12"/>
  <c r="N25" i="12"/>
  <c r="O25" i="12"/>
  <c r="P25" i="12"/>
  <c r="Q25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O30" i="12"/>
  <c r="P30" i="12"/>
  <c r="Q30" i="12"/>
  <c r="O31" i="12"/>
  <c r="P31" i="12"/>
  <c r="Q31" i="12"/>
  <c r="O32" i="12"/>
  <c r="P32" i="12"/>
  <c r="Q32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O37" i="12"/>
  <c r="P37" i="12"/>
  <c r="Q37" i="12"/>
  <c r="O38" i="12"/>
  <c r="P38" i="12"/>
  <c r="Q38" i="12"/>
  <c r="O39" i="12"/>
  <c r="P39" i="12"/>
  <c r="Q39" i="12"/>
  <c r="E40" i="12"/>
  <c r="O40" i="12"/>
  <c r="P40" i="12"/>
  <c r="Q40" i="12"/>
  <c r="E41" i="12"/>
  <c r="O41" i="12"/>
  <c r="P41" i="12"/>
  <c r="Q41" i="12"/>
  <c r="O42" i="12"/>
  <c r="P42" i="12"/>
  <c r="Q42" i="12"/>
  <c r="O43" i="12"/>
  <c r="P43" i="12"/>
  <c r="Q43" i="12"/>
  <c r="O44" i="12"/>
  <c r="P44" i="12"/>
  <c r="Q44" i="12"/>
  <c r="O45" i="12"/>
  <c r="P45" i="12"/>
  <c r="Q45" i="12"/>
  <c r="O46" i="12"/>
  <c r="P46" i="12"/>
  <c r="Q46" i="12"/>
  <c r="O47" i="12"/>
  <c r="P47" i="12"/>
  <c r="Q47" i="12"/>
  <c r="F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C8" i="6"/>
  <c r="D8" i="6"/>
  <c r="E8" i="6"/>
  <c r="F8" i="6"/>
  <c r="G8" i="6"/>
  <c r="H8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O11" i="6"/>
  <c r="P11" i="6"/>
  <c r="Q11" i="6"/>
  <c r="S11" i="6"/>
  <c r="T11" i="6"/>
  <c r="U11" i="6"/>
  <c r="V11" i="6"/>
  <c r="X11" i="6"/>
  <c r="E12" i="6"/>
  <c r="O12" i="6"/>
  <c r="P12" i="6"/>
  <c r="Q12" i="6"/>
  <c r="S12" i="6"/>
  <c r="T12" i="6"/>
  <c r="U12" i="6"/>
  <c r="V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S13" i="6"/>
  <c r="T13" i="6"/>
  <c r="U13" i="6"/>
  <c r="V13" i="6"/>
  <c r="X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S14" i="6"/>
  <c r="T14" i="6"/>
  <c r="U14" i="6"/>
  <c r="V14" i="6"/>
  <c r="X14" i="6"/>
  <c r="O15" i="6"/>
  <c r="P15" i="6"/>
  <c r="Q15" i="6"/>
  <c r="S15" i="6"/>
  <c r="T15" i="6"/>
  <c r="U15" i="6"/>
  <c r="V15" i="6"/>
  <c r="X15" i="6"/>
  <c r="E16" i="6"/>
  <c r="F16" i="6"/>
  <c r="G16" i="6"/>
  <c r="H16" i="6"/>
  <c r="O16" i="6"/>
  <c r="P16" i="6"/>
  <c r="Q16" i="6"/>
  <c r="S16" i="6"/>
  <c r="T16" i="6"/>
  <c r="U16" i="6"/>
  <c r="V16" i="6"/>
  <c r="X16" i="6"/>
  <c r="N17" i="6"/>
  <c r="O17" i="6"/>
  <c r="P17" i="6"/>
  <c r="Q17" i="6"/>
  <c r="S17" i="6"/>
  <c r="T17" i="6"/>
  <c r="U17" i="6"/>
  <c r="V17" i="6"/>
  <c r="X17" i="6"/>
  <c r="C18" i="6"/>
  <c r="D18" i="6"/>
  <c r="E18" i="6"/>
  <c r="F18" i="6"/>
  <c r="G18" i="6"/>
  <c r="H18" i="6"/>
  <c r="O18" i="6"/>
  <c r="P18" i="6"/>
  <c r="Q18" i="6"/>
  <c r="S18" i="6"/>
  <c r="T18" i="6"/>
  <c r="U18" i="6"/>
  <c r="V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S19" i="6"/>
  <c r="T19" i="6"/>
  <c r="U19" i="6"/>
  <c r="V19" i="6"/>
  <c r="X19" i="6"/>
  <c r="E20" i="6"/>
  <c r="F20" i="6"/>
  <c r="G20" i="6"/>
  <c r="H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O22" i="6"/>
  <c r="P22" i="6"/>
  <c r="Q22" i="6"/>
  <c r="S22" i="6"/>
  <c r="T22" i="6"/>
  <c r="U22" i="6"/>
  <c r="V22" i="6"/>
  <c r="X22" i="6"/>
  <c r="O23" i="6"/>
  <c r="P23" i="6"/>
  <c r="Q23" i="6"/>
  <c r="S23" i="6"/>
  <c r="T23" i="6"/>
  <c r="U23" i="6"/>
  <c r="V23" i="6"/>
  <c r="X23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Z27" i="6"/>
  <c r="C30" i="6"/>
  <c r="D30" i="6"/>
  <c r="E30" i="6"/>
  <c r="F30" i="6"/>
  <c r="G30" i="6"/>
  <c r="H30" i="6"/>
  <c r="O30" i="6"/>
  <c r="P30" i="6"/>
  <c r="Q30" i="6"/>
  <c r="S30" i="6"/>
  <c r="T30" i="6"/>
  <c r="U30" i="6"/>
  <c r="V30" i="6"/>
  <c r="X30" i="6"/>
  <c r="C31" i="6"/>
  <c r="D31" i="6"/>
  <c r="E31" i="6"/>
  <c r="O31" i="6"/>
  <c r="P31" i="6"/>
  <c r="Q31" i="6"/>
  <c r="S31" i="6"/>
  <c r="T31" i="6"/>
  <c r="U31" i="6"/>
  <c r="V31" i="6"/>
  <c r="X31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S38" i="6"/>
  <c r="T38" i="6"/>
  <c r="U38" i="6"/>
  <c r="V38" i="6"/>
  <c r="X38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S41" i="6"/>
  <c r="T41" i="6"/>
  <c r="U41" i="6"/>
  <c r="V41" i="6"/>
  <c r="X41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O20" i="11"/>
  <c r="P20" i="11"/>
  <c r="Q20" i="11"/>
  <c r="O21" i="11"/>
  <c r="P21" i="11"/>
  <c r="Q21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O26" i="11"/>
  <c r="P26" i="11"/>
  <c r="Q26" i="11"/>
  <c r="O27" i="11"/>
  <c r="P27" i="11"/>
  <c r="Q27" i="11"/>
  <c r="O28" i="11"/>
  <c r="P28" i="11"/>
  <c r="Q28" i="11"/>
  <c r="H29" i="11"/>
  <c r="I29" i="11"/>
  <c r="J29" i="11"/>
  <c r="K29" i="11"/>
  <c r="M29" i="11"/>
  <c r="N29" i="11"/>
  <c r="O29" i="11"/>
  <c r="P29" i="11"/>
  <c r="Q29" i="11"/>
  <c r="M30" i="11"/>
  <c r="O30" i="11"/>
  <c r="P30" i="11"/>
  <c r="Q30" i="11"/>
  <c r="O31" i="11"/>
  <c r="P31" i="11"/>
  <c r="Q31" i="11"/>
  <c r="O32" i="11"/>
  <c r="P32" i="11"/>
  <c r="Q32" i="11"/>
  <c r="O33" i="11"/>
  <c r="P33" i="11"/>
  <c r="Q33" i="11"/>
  <c r="O34" i="11"/>
  <c r="P34" i="11"/>
  <c r="Q34" i="11"/>
  <c r="O35" i="11"/>
  <c r="P35" i="11"/>
  <c r="Q35" i="11"/>
  <c r="F36" i="11"/>
  <c r="O36" i="11"/>
  <c r="P36" i="11"/>
  <c r="Q36" i="11"/>
  <c r="N37" i="11"/>
  <c r="O37" i="11"/>
  <c r="P37" i="11"/>
  <c r="Q37" i="11"/>
  <c r="O38" i="11"/>
  <c r="P38" i="11"/>
  <c r="Q38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O32" i="9"/>
  <c r="P32" i="9"/>
  <c r="Q32" i="9"/>
  <c r="E33" i="9"/>
  <c r="F33" i="9"/>
  <c r="G33" i="9"/>
  <c r="H33" i="9"/>
  <c r="I33" i="9"/>
  <c r="J33" i="9"/>
  <c r="K33" i="9"/>
  <c r="O33" i="9"/>
  <c r="P33" i="9"/>
  <c r="Q33" i="9"/>
  <c r="O34" i="9"/>
  <c r="P34" i="9"/>
  <c r="Q34" i="9"/>
  <c r="O35" i="9"/>
  <c r="P35" i="9"/>
  <c r="Q35" i="9"/>
  <c r="O36" i="9"/>
  <c r="P36" i="9"/>
  <c r="Q36" i="9"/>
  <c r="O37" i="9"/>
  <c r="P37" i="9"/>
  <c r="Q37" i="9"/>
  <c r="O38" i="9"/>
  <c r="P38" i="9"/>
  <c r="Q38" i="9"/>
  <c r="C39" i="9"/>
  <c r="O39" i="9"/>
  <c r="P39" i="9"/>
  <c r="Q39" i="9"/>
  <c r="C40" i="9"/>
  <c r="O40" i="9"/>
  <c r="P40" i="9"/>
  <c r="Q40" i="9"/>
  <c r="O41" i="9"/>
  <c r="P41" i="9"/>
  <c r="Q41" i="9"/>
  <c r="O42" i="9"/>
  <c r="P42" i="9"/>
  <c r="Q42" i="9"/>
  <c r="O43" i="9"/>
  <c r="P43" i="9"/>
  <c r="Q43" i="9"/>
  <c r="F44" i="9"/>
  <c r="O44" i="9"/>
  <c r="P44" i="9"/>
  <c r="Q44" i="9"/>
  <c r="O45" i="9"/>
  <c r="P45" i="9"/>
  <c r="Q45" i="9"/>
  <c r="F46" i="9"/>
  <c r="O46" i="9"/>
  <c r="P46" i="9"/>
  <c r="Q46" i="9"/>
  <c r="O47" i="9"/>
  <c r="P47" i="9"/>
  <c r="Q47" i="9"/>
  <c r="O48" i="9"/>
  <c r="P48" i="9"/>
  <c r="Q48" i="9"/>
  <c r="O50" i="9"/>
  <c r="P50" i="9"/>
  <c r="Q50" i="9"/>
  <c r="O51" i="9"/>
  <c r="P51" i="9"/>
  <c r="Q51" i="9"/>
  <c r="O52" i="9"/>
  <c r="P52" i="9"/>
  <c r="Q52" i="9"/>
  <c r="F53" i="9"/>
  <c r="O53" i="9"/>
  <c r="P53" i="9"/>
  <c r="Q53" i="9"/>
  <c r="O54" i="9"/>
  <c r="P54" i="9"/>
  <c r="Q54" i="9"/>
  <c r="O55" i="9"/>
  <c r="P55" i="9"/>
  <c r="Q55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O7" i="2"/>
  <c r="P7" i="2"/>
  <c r="Q7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F35" i="2"/>
  <c r="G35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O25" i="8"/>
  <c r="P25" i="8"/>
  <c r="Q25" i="8"/>
  <c r="O26" i="8"/>
  <c r="P26" i="8"/>
  <c r="Q26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6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O7" i="3"/>
  <c r="P7" i="3"/>
  <c r="Q7" i="3"/>
  <c r="C8" i="3"/>
  <c r="D8" i="3"/>
  <c r="E8" i="3"/>
  <c r="F8" i="3"/>
  <c r="O8" i="3"/>
  <c r="P8" i="3"/>
  <c r="Q8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O14" i="3"/>
  <c r="P14" i="3"/>
  <c r="Q14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O24" i="3"/>
  <c r="P24" i="3"/>
  <c r="Q24" i="3"/>
  <c r="O25" i="3"/>
  <c r="P25" i="3"/>
  <c r="Q25" i="3"/>
  <c r="C26" i="3"/>
  <c r="D26" i="3"/>
  <c r="E26" i="3"/>
  <c r="G26" i="3"/>
  <c r="H26" i="3"/>
  <c r="J26" i="3"/>
  <c r="K26" i="3"/>
  <c r="L26" i="3"/>
  <c r="M26" i="3"/>
  <c r="N26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O40" i="3"/>
  <c r="P40" i="3"/>
  <c r="Q40" i="3"/>
  <c r="O41" i="3"/>
  <c r="P41" i="3"/>
  <c r="Q41" i="3"/>
  <c r="O43" i="3"/>
  <c r="P43" i="3"/>
  <c r="Q43" i="3"/>
  <c r="C44" i="3"/>
  <c r="D44" i="3"/>
  <c r="E44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E49" i="3"/>
  <c r="F49" i="3"/>
  <c r="O49" i="3"/>
  <c r="P49" i="3"/>
  <c r="Q49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O61" i="3"/>
  <c r="O62" i="3"/>
  <c r="O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O69" i="3"/>
  <c r="O71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4" i="3"/>
  <c r="O75" i="3"/>
  <c r="O76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C86" i="3"/>
  <c r="D86" i="3"/>
  <c r="E86" i="3"/>
  <c r="F86" i="3"/>
  <c r="G86" i="3"/>
  <c r="H86" i="3"/>
  <c r="I86" i="3"/>
  <c r="J86" i="3"/>
  <c r="K86" i="3"/>
  <c r="L86" i="3"/>
  <c r="M86" i="3"/>
  <c r="N86" i="3"/>
  <c r="O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O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C93" i="3"/>
  <c r="D93" i="3"/>
  <c r="E93" i="3"/>
  <c r="F93" i="3"/>
  <c r="G93" i="3"/>
  <c r="H93" i="3"/>
  <c r="I93" i="3"/>
  <c r="J93" i="3"/>
  <c r="K93" i="3"/>
  <c r="L93" i="3"/>
  <c r="M93" i="3"/>
  <c r="N93" i="3"/>
  <c r="C96" i="3"/>
  <c r="D96" i="3"/>
  <c r="E96" i="3"/>
  <c r="F96" i="3"/>
  <c r="G96" i="3"/>
  <c r="H96" i="3"/>
  <c r="I96" i="3"/>
  <c r="J96" i="3"/>
  <c r="K96" i="3"/>
  <c r="L96" i="3"/>
  <c r="M96" i="3"/>
  <c r="N96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</calcChain>
</file>

<file path=xl/sharedStrings.xml><?xml version="1.0" encoding="utf-8"?>
<sst xmlns="http://schemas.openxmlformats.org/spreadsheetml/2006/main" count="2222" uniqueCount="1104">
  <si>
    <t xml:space="preserve">      Tracked SBA - Demand Revenue (Cash Input)</t>
  </si>
  <si>
    <t xml:space="preserve">         - Commodity Revenue (Cash Input)</t>
  </si>
  <si>
    <t xml:space="preserve">         - Demand Expense (Cash Input)</t>
  </si>
  <si>
    <t>TC&amp;S</t>
  </si>
  <si>
    <t xml:space="preserve">         - Tracker Adjustment (Calculation)</t>
  </si>
  <si>
    <t xml:space="preserve">      Net Tracked SBA Impact  (Input)</t>
  </si>
  <si>
    <t xml:space="preserve">      Total Non-Tracked SBA Commodity Exp. Impact  (Input)</t>
  </si>
  <si>
    <t xml:space="preserve">      Tracked Carlton - Demand Revenue (Cash Input)</t>
  </si>
  <si>
    <t xml:space="preserve">         - Carlton Refund Expense (Cash 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</si>
  <si>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</si>
  <si>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</si>
  <si>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</si>
  <si>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>Other Rev.</t>
  </si>
  <si>
    <t xml:space="preserve">         - Receipt Point Penalties  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</si>
  <si>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</si>
  <si>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</si>
  <si>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</si>
  <si>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</si>
  <si>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</si>
  <si>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Miscellaneous</t>
  </si>
  <si>
    <t xml:space="preserve">         - Misc. Item 3</t>
  </si>
  <si>
    <t xml:space="preserve">      Other Revenue (Non Cash) - Unidentified Products  </t>
  </si>
  <si>
    <t>FLASH</t>
  </si>
  <si>
    <t xml:space="preserve">         - Non-recurring Unidentified Products</t>
  </si>
  <si>
    <t xml:space="preserve">         - Reserve Activity (Misc. Item 1)</t>
  </si>
  <si>
    <t>Partnership Income</t>
  </si>
  <si>
    <t xml:space="preserve">      Other Income - Speculative Income / (Loss)</t>
  </si>
  <si>
    <t>Other Income</t>
  </si>
  <si>
    <t xml:space="preserve">         - Swap 2</t>
  </si>
  <si>
    <t xml:space="preserve">         - Misc. NNG Other Income Item 1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</si>
  <si>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</si>
  <si>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</si>
  <si>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</si>
  <si>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</si>
  <si>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</si>
  <si>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</si>
  <si>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</si>
  <si>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</si>
  <si>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</si>
  <si>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TC&amp;S Base Gas SBA - Sempra (Cash) </t>
  </si>
  <si>
    <t xml:space="preserve">         - TransCanada (Cash)</t>
  </si>
  <si>
    <t xml:space="preserve">      Other TC&amp;S - Misc. Item 1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</si>
  <si>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</si>
  <si>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</si>
  <si>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</si>
  <si>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</si>
  <si>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</si>
  <si>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</si>
  <si>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</si>
  <si>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</si>
  <si>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</si>
  <si>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</si>
  <si>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</si>
  <si>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</si>
  <si>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</si>
  <si>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</si>
  <si>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</si>
  <si>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</si>
  <si>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</si>
  <si>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</si>
  <si>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</si>
  <si>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</si>
  <si>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Misc. Item 5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</si>
  <si>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</si>
  <si>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</si>
  <si>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</si>
  <si>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</si>
  <si>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</si>
  <si>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</si>
  <si>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</si>
  <si>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</si>
  <si>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</si>
  <si>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</si>
  <si>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</si>
  <si>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</si>
  <si>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</si>
  <si>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</si>
  <si>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</si>
  <si>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</si>
  <si>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</si>
  <si>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</si>
  <si>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</si>
  <si>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</si>
  <si>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</si>
  <si>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   - Other Expenses - PCB and Enviromental</t>
  </si>
  <si>
    <t xml:space="preserve">      Reserve Activity - Misc. Item 1</t>
  </si>
  <si>
    <t>Net Contribution Operations</t>
  </si>
  <si>
    <t>Partnership Inc.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</si>
  <si>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</si>
  <si>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</si>
  <si>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</si>
  <si>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</si>
  <si>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</si>
  <si>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</si>
  <si>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NBP Direct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</si>
  <si>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</si>
  <si>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</si>
  <si>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</si>
  <si>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</si>
  <si>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</si>
  <si>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</si>
  <si>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</si>
  <si>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</si>
  <si>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   - Amortizations (Ramp up)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</si>
  <si>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</si>
  <si>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</si>
  <si>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</si>
  <si>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</si>
  <si>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</si>
  <si>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</si>
  <si>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</si>
  <si>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</si>
  <si>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</si>
  <si>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</si>
  <si>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Reserve Item - Other</t>
  </si>
  <si>
    <t xml:space="preserve">      Reserve Activity - Other</t>
  </si>
  <si>
    <t xml:space="preserve">         - Misc. Item 1 (TW)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</si>
  <si>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</si>
  <si>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</si>
  <si>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</si>
  <si>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</si>
  <si>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</si>
  <si>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</si>
  <si>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</si>
  <si>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</si>
  <si>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</si>
  <si>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</si>
  <si>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</si>
  <si>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South GA Credits Amortization (TW)</t>
  </si>
  <si>
    <t xml:space="preserve">      Contract Reformation Costs (TW - TCR II)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</si>
  <si>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</si>
  <si>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</si>
  <si>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</si>
  <si>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</si>
  <si>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</si>
  <si>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</si>
  <si>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</si>
  <si>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</si>
  <si>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</si>
  <si>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</si>
  <si>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</si>
  <si>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</si>
  <si>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</si>
  <si>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      - Hedge Transferred to Sales (Margin)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</si>
  <si>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</si>
  <si>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</si>
  <si>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</si>
  <si>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</si>
  <si>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              - Other 2</t>
  </si>
  <si>
    <t xml:space="preserve">         - AFUDC</t>
  </si>
  <si>
    <t xml:space="preserve">         - Accumulated Reserve Adjustment</t>
  </si>
  <si>
    <t xml:space="preserve">   Partnership Income 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</si>
  <si>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</si>
  <si>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</si>
  <si>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</si>
  <si>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</si>
  <si>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Other Amortization (Property Acct.)</t>
  </si>
  <si>
    <t xml:space="preserve">         - Misc. Amortization Item 3</t>
  </si>
  <si>
    <t xml:space="preserve">         - Gross Receipts (Navajo &amp; Laguna)</t>
  </si>
  <si>
    <t xml:space="preserve">         - Franchise / Other</t>
  </si>
  <si>
    <t xml:space="preserve">      Interest Income - Unknown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</si>
  <si>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</si>
  <si>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</si>
  <si>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</si>
  <si>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</si>
  <si>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   Partnership Income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</si>
  <si>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</si>
  <si>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</si>
  <si>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</si>
  <si>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</si>
  <si>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</si>
  <si>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</si>
  <si>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</si>
  <si>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</si>
  <si>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</si>
  <si>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</si>
  <si>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</si>
  <si>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</si>
  <si>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</si>
  <si>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</si>
  <si>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Deductions (Misc. Item 1)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</si>
  <si>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</si>
  <si>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</si>
  <si>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</si>
  <si>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</si>
  <si>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</si>
  <si>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</si>
  <si>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</si>
  <si>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</si>
  <si>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</si>
  <si>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</si>
  <si>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</si>
  <si>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</si>
  <si>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</si>
  <si>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</si>
  <si>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</si>
  <si>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</si>
  <si>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</si>
  <si>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</si>
  <si>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</si>
  <si>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</si>
  <si>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</si>
  <si>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</si>
  <si>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</si>
  <si>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</si>
  <si>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</si>
  <si>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</si>
  <si>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</si>
  <si>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</si>
  <si>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</si>
  <si>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</si>
  <si>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</si>
  <si>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</si>
  <si>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</si>
  <si>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</si>
  <si>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</si>
  <si>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</si>
  <si>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</si>
  <si>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</si>
  <si>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</si>
  <si>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</si>
  <si>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</si>
  <si>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</si>
  <si>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</si>
  <si>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Carrying Charges (Stranded 858)</t>
  </si>
  <si>
    <t xml:space="preserve">         - Carrying Charges (Rate Case)</t>
  </si>
  <si>
    <t xml:space="preserve">         - Carrying Charges (Carlton Tracked)</t>
  </si>
  <si>
    <t xml:space="preserve">         - Carrying Charges (Carlton Discount)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</si>
  <si>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</si>
  <si>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</si>
  <si>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</si>
  <si>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</si>
  <si>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</si>
  <si>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</si>
  <si>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</si>
  <si>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</si>
  <si>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</si>
  <si>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</si>
  <si>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</si>
  <si>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</si>
  <si>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</si>
  <si>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</si>
  <si>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Net Income (CHANGED CALC. FORMULA)</t>
  </si>
  <si>
    <t>Financing   (CAN BE REMOVED)</t>
  </si>
  <si>
    <t>Financing</t>
  </si>
  <si>
    <t>Net Income  (CAN BE REMOVED)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</si>
  <si>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</si>
  <si>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</si>
  <si>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</si>
  <si>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</si>
  <si>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</si>
  <si>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</si>
  <si>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</si>
  <si>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</si>
  <si>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</si>
  <si>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</si>
  <si>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Partnership Income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</si>
  <si>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</si>
  <si>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</si>
  <si>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</si>
  <si>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</si>
  <si>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</si>
  <si>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</si>
  <si>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</si>
  <si>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</si>
  <si>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</si>
  <si>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</si>
  <si>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</si>
  <si>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</si>
  <si>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</si>
  <si>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</si>
  <si>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</si>
  <si>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</si>
  <si>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</si>
  <si>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</si>
  <si>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</si>
  <si>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</si>
  <si>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</si>
  <si>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</si>
  <si>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</si>
  <si>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</si>
  <si>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</si>
  <si>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</si>
  <si>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</si>
  <si>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</si>
  <si>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</si>
  <si>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</si>
  <si>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</si>
  <si>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</si>
  <si>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</si>
  <si>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</si>
  <si>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</si>
  <si>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</si>
  <si>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</si>
  <si>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</si>
  <si>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</si>
  <si>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</si>
  <si>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</si>
  <si>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</si>
  <si>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</si>
  <si>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</si>
  <si>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</si>
  <si>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</si>
  <si>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</si>
  <si>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</si>
  <si>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</si>
  <si>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</si>
  <si>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</si>
  <si>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</si>
  <si>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</si>
  <si>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</si>
  <si>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</si>
  <si>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</si>
  <si>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</si>
  <si>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</si>
  <si>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</si>
  <si>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</si>
  <si>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</si>
  <si>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</si>
  <si>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</si>
  <si>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</si>
  <si>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</si>
  <si>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</si>
  <si>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</si>
  <si>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</si>
  <si>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</si>
  <si>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</si>
  <si>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</si>
  <si>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</si>
  <si>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</si>
  <si>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</si>
  <si>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</si>
  <si>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</si>
  <si>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</si>
  <si>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</si>
  <si>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</si>
  <si>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</si>
  <si>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</si>
  <si>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</si>
  <si>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</si>
  <si>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</si>
  <si>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</si>
  <si>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</si>
  <si>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</si>
  <si>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</si>
  <si>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</si>
  <si>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</si>
  <si>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</si>
  <si>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</si>
  <si>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</si>
  <si>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</si>
  <si>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</si>
  <si>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</si>
  <si>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</si>
  <si>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</si>
  <si>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</si>
  <si>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</si>
  <si>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</si>
  <si>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</si>
  <si>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</si>
  <si>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</si>
  <si>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</si>
  <si>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</si>
  <si>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</si>
  <si>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</si>
  <si>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</si>
  <si>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</si>
  <si>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</si>
  <si>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</si>
  <si>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</si>
  <si>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</si>
  <si>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</si>
  <si>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</si>
  <si>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</si>
  <si>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</si>
  <si>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</si>
  <si>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</si>
  <si>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</si>
  <si>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</si>
  <si>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</si>
  <si>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</si>
  <si>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</si>
  <si>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</si>
  <si>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</si>
  <si>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</si>
  <si>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</si>
  <si>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</si>
  <si>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</si>
  <si>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</si>
  <si>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</si>
  <si>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</si>
  <si>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</si>
  <si>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</si>
  <si>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</si>
  <si>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</si>
  <si>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</si>
  <si>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</si>
  <si>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</si>
  <si>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</si>
  <si>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</si>
  <si>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</si>
  <si>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</si>
  <si>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</si>
  <si>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</si>
  <si>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</si>
  <si>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</si>
  <si>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</si>
  <si>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</si>
  <si>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</si>
  <si>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</si>
  <si>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</si>
  <si>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</si>
  <si>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</si>
  <si>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</si>
  <si>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</si>
  <si>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</si>
  <si>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</si>
  <si>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</si>
  <si>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</si>
  <si>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</si>
  <si>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</si>
  <si>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</si>
  <si>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</si>
  <si>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</si>
  <si>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</si>
  <si>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</si>
  <si>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</si>
  <si>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</si>
  <si>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</si>
  <si>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</si>
  <si>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</si>
  <si>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</si>
  <si>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</si>
  <si>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</si>
  <si>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</si>
  <si>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</si>
  <si>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</si>
  <si>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</si>
  <si>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</si>
  <si>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</si>
  <si>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</si>
  <si>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</si>
  <si>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</si>
  <si>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</si>
  <si>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</si>
  <si>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</si>
  <si>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</si>
  <si>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</si>
  <si>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</si>
  <si>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</si>
  <si>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</si>
  <si>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</si>
  <si>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</si>
  <si>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</si>
  <si>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</si>
  <si>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</si>
  <si>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</si>
  <si>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</si>
  <si>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</si>
  <si>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</si>
  <si>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</si>
  <si>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</si>
  <si>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</si>
  <si>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</si>
  <si>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</si>
  <si>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</si>
  <si>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</si>
  <si>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</si>
  <si>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</si>
  <si>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</si>
  <si>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</si>
  <si>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</si>
  <si>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</si>
  <si>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</si>
  <si>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</si>
  <si>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</si>
  <si>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</si>
  <si>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</si>
  <si>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</si>
  <si>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</si>
  <si>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</si>
  <si>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</si>
  <si>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</si>
  <si>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</si>
  <si>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</si>
  <si>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</si>
  <si>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</si>
  <si>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 xml:space="preserve">      Environment Costs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</si>
  <si>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</si>
  <si>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</si>
  <si>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</si>
  <si>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</si>
  <si>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</si>
  <si>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</si>
  <si>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</si>
  <si>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</si>
  <si>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</si>
  <si>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</si>
  <si>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</si>
  <si>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</si>
  <si>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</si>
  <si>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</si>
  <si>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</si>
  <si>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</si>
  <si>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</si>
  <si>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</si>
  <si>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</si>
  <si>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</si>
  <si>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</si>
  <si>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</si>
  <si>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</si>
  <si>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</si>
  <si>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</si>
  <si>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</si>
  <si>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</si>
  <si>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</si>
  <si>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</si>
  <si>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</si>
  <si>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</si>
  <si>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</si>
  <si>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</si>
  <si>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</si>
  <si>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</si>
  <si>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</si>
  <si>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</si>
  <si>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</si>
  <si>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</si>
  <si>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</si>
  <si>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Fuji Lease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</si>
  <si>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</si>
  <si>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</si>
  <si>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</si>
  <si>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</si>
  <si>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COST OF SALES ($000's)</t>
  </si>
  <si>
    <t xml:space="preserve">      TOTAL COST OF SALES</t>
  </si>
  <si>
    <t xml:space="preserve">   Gas Purchases 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</si>
  <si>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</si>
  <si>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</si>
  <si>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</si>
  <si>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</si>
  <si>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</si>
  <si>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</si>
  <si>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</si>
  <si>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</si>
  <si>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</si>
  <si>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</si>
  <si>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</si>
  <si>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</si>
  <si>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</si>
  <si>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</si>
  <si>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</si>
  <si>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</si>
  <si>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</si>
  <si>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</si>
  <si>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</si>
  <si>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</si>
  <si>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</si>
  <si>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</si>
  <si>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</si>
  <si>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</si>
  <si>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</si>
  <si>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</si>
  <si>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</si>
  <si>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</si>
  <si>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</si>
  <si>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</si>
  <si>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</si>
  <si>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</si>
  <si>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</si>
  <si>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</si>
  <si>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</si>
  <si>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</si>
  <si>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</si>
  <si>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</si>
  <si>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</si>
  <si>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</si>
  <si>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</si>
  <si>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</si>
  <si>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</si>
  <si>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</si>
  <si>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</si>
  <si>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</si>
  <si>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</si>
  <si>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</si>
  <si>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</si>
  <si>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</si>
  <si>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</si>
  <si>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</si>
  <si>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</si>
  <si>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</si>
  <si>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</si>
  <si>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</si>
  <si>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</si>
  <si>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</si>
  <si>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</si>
  <si>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</si>
  <si>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</si>
  <si>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</si>
  <si>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</si>
  <si>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</si>
  <si>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</si>
  <si>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</si>
  <si>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</si>
  <si>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</si>
  <si>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</si>
  <si>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</si>
  <si>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</si>
  <si>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</si>
  <si>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</si>
  <si>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</si>
  <si>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</si>
  <si>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</si>
  <si>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</si>
  <si>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</si>
  <si>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</si>
  <si>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</si>
  <si>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</si>
  <si>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</si>
  <si>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</si>
  <si>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</si>
  <si>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</si>
  <si>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</si>
  <si>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</si>
  <si>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</si>
  <si>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</si>
  <si>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</si>
  <si>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</si>
  <si>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</si>
  <si>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</si>
  <si>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</si>
  <si>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</si>
  <si>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</si>
  <si>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</si>
  <si>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</si>
  <si>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</si>
  <si>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</si>
  <si>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</si>
  <si>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</si>
  <si>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</si>
  <si>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</si>
  <si>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</si>
  <si>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</si>
  <si>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</si>
  <si>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</si>
  <si>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</si>
  <si>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</si>
  <si>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</si>
  <si>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</si>
  <si>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</si>
  <si>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</si>
  <si>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</si>
  <si>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</si>
  <si>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</si>
  <si>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</si>
  <si>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PCB Amortization (SOCAL)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</si>
  <si>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</si>
  <si>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</si>
  <si>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</si>
  <si>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</si>
  <si>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</si>
  <si>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</si>
  <si>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</si>
  <si>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</si>
  <si>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</si>
  <si>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</si>
  <si>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</si>
  <si>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</si>
  <si>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</si>
  <si>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</si>
  <si>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</si>
  <si>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</si>
  <si>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</si>
  <si>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</si>
  <si>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</si>
  <si>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</si>
  <si>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</si>
  <si>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</si>
  <si>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</si>
  <si>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</si>
  <si>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</si>
  <si>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</si>
  <si>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</si>
  <si>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</si>
  <si>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</si>
  <si>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</si>
  <si>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</si>
  <si>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</si>
  <si>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</si>
  <si>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</si>
  <si>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</si>
  <si>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</si>
  <si>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</si>
  <si>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</si>
  <si>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</si>
  <si>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</si>
  <si>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</si>
  <si>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</si>
  <si>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</si>
  <si>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</si>
  <si>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</si>
  <si>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</si>
  <si>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</si>
  <si>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</si>
  <si>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</si>
  <si>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</si>
  <si>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</si>
  <si>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</si>
  <si>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</si>
  <si>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</si>
  <si>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</si>
  <si>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</si>
  <si>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</si>
  <si>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</si>
  <si>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</si>
  <si>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</si>
  <si>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</si>
  <si>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</si>
  <si>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</si>
  <si>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</si>
  <si>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</si>
  <si>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</si>
  <si>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</si>
  <si>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</si>
  <si>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</si>
  <si>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</si>
  <si>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</si>
  <si>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</si>
  <si>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</si>
  <si>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</si>
  <si>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</si>
  <si>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</si>
  <si>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</si>
  <si>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</si>
  <si>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</si>
  <si>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</si>
  <si>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</si>
  <si>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</si>
  <si>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</si>
  <si>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</si>
  <si>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</si>
  <si>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</si>
  <si>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</si>
  <si>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</si>
  <si>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</si>
  <si>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</si>
  <si>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</si>
  <si>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</si>
  <si>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</si>
  <si>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</si>
  <si>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</si>
  <si>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</si>
  <si>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</si>
  <si>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</si>
  <si>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</si>
  <si>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</si>
  <si>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</si>
  <si>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</si>
  <si>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</si>
  <si>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</si>
  <si>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</si>
  <si>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</si>
  <si>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</si>
  <si>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</si>
  <si>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</si>
  <si>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</si>
  <si>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</si>
  <si>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</si>
  <si>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</si>
  <si>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</si>
  <si>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</si>
  <si>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</si>
  <si>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</si>
  <si>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</si>
  <si>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</si>
  <si>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</si>
  <si>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</si>
  <si>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</si>
  <si>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</si>
  <si>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</si>
  <si>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</si>
  <si>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</si>
  <si>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</si>
  <si>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</si>
  <si>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</si>
  <si>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</si>
  <si>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</si>
  <si>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</si>
  <si>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</si>
  <si>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</si>
  <si>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</si>
  <si>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</si>
  <si>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</si>
  <si>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</si>
  <si>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</si>
  <si>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</si>
  <si>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</si>
  <si>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</si>
  <si>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</si>
  <si>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</si>
  <si>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</si>
  <si>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</si>
  <si>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</si>
  <si>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</si>
  <si>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</si>
  <si>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</si>
  <si>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</si>
  <si>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</si>
  <si>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</si>
  <si>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</si>
  <si>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</si>
  <si>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</si>
  <si>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</si>
  <si>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</si>
  <si>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</si>
  <si>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</si>
  <si>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</si>
  <si>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</si>
  <si>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</si>
  <si>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</si>
  <si>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</si>
  <si>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</si>
  <si>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</si>
  <si>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</si>
  <si>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</si>
  <si>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</si>
  <si>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</si>
  <si>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</si>
  <si>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</si>
  <si>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</si>
  <si>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</si>
  <si>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</si>
  <si>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</si>
  <si>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</si>
  <si>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</si>
  <si>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</si>
  <si>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</si>
  <si>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</si>
  <si>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</si>
  <si>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</si>
  <si>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</si>
  <si>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</si>
  <si>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</si>
  <si>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</si>
  <si>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</si>
  <si>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</si>
  <si>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</si>
  <si>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</si>
  <si>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</si>
  <si>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</si>
  <si>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</si>
  <si>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</si>
  <si>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</si>
  <si>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</si>
  <si>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</si>
  <si>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</si>
  <si>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</si>
  <si>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</si>
  <si>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</si>
  <si>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</si>
  <si>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OTC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</si>
  <si>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</si>
  <si>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</si>
  <si>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</si>
  <si>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Other 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</si>
  <si>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</si>
  <si>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</si>
  <si>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</si>
  <si>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Financing Costs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</si>
  <si>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</si>
  <si>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</si>
  <si>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</si>
  <si>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</si>
  <si>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</si>
  <si>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</si>
  <si>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</si>
  <si>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</si>
  <si>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</si>
  <si>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Other (Option Premium)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</si>
  <si>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</si>
  <si>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</si>
  <si>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</si>
  <si>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Reserve Issues - Other</t>
  </si>
  <si>
    <t xml:space="preserve">        - Misc. Reserve Building / Reversal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</si>
  <si>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</si>
  <si>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</si>
  <si>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</si>
  <si>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</si>
  <si>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</si>
  <si>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</si>
  <si>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</si>
  <si>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</si>
  <si>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</si>
  <si>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</si>
  <si>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</si>
  <si>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</si>
  <si>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</si>
  <si>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</si>
  <si>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</si>
  <si>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</si>
  <si>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</si>
  <si>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</si>
  <si>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</si>
  <si>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</si>
  <si>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</si>
  <si>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</si>
  <si>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</si>
  <si>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</si>
  <si>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Executive (Co. 366)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</si>
  <si>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</si>
  <si>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</si>
  <si>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</si>
  <si>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</si>
  <si>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</si>
  <si>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</si>
  <si>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</si>
  <si>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</si>
  <si>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</si>
  <si>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</si>
  <si>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</si>
  <si>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</si>
  <si>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</si>
  <si>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</si>
  <si>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</si>
  <si>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</si>
  <si>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</si>
  <si>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 xml:space="preserve">   Fuel / UAF Net Retained </t>
  </si>
  <si>
    <t xml:space="preserve">   UAF Used  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</si>
  <si>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</si>
  <si>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</si>
  <si>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</si>
  <si>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</si>
  <si>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</si>
  <si>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</si>
  <si>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</si>
  <si>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</si>
  <si>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</si>
  <si>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</si>
  <si>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</si>
  <si>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</si>
  <si>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</si>
  <si>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 xml:space="preserve">         - Other (AZ. Compressor Fuel Tax) </t>
  </si>
  <si>
    <t xml:space="preserve">         - Other (Tx. Franchise Accrual Adj.)</t>
  </si>
  <si>
    <t>TAXES OTHER THAN INCOME</t>
  </si>
  <si>
    <t>PARTNERSHIP INCOME</t>
  </si>
  <si>
    <t>INTEREST INCOME</t>
  </si>
  <si>
    <t>OTHER</t>
  </si>
  <si>
    <t xml:space="preserve">   Accounting / Regulatory "Stretch" </t>
  </si>
  <si>
    <t xml:space="preserve">      Pipe Recoating  (Reported in DD&amp;A)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</si>
  <si>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</si>
  <si>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</si>
  <si>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</si>
  <si>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</si>
  <si>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</si>
  <si>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</si>
  <si>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</si>
  <si>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</si>
  <si>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Settlement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</si>
  <si>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</si>
  <si>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</si>
  <si>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</si>
  <si>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</si>
  <si>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</si>
  <si>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</si>
  <si>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</si>
  <si>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</si>
  <si>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</si>
  <si>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</si>
  <si>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</si>
  <si>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</si>
  <si>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</si>
  <si>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</si>
  <si>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</si>
  <si>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</si>
  <si>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</si>
  <si>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</si>
  <si>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</si>
  <si>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</si>
  <si>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</si>
  <si>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</si>
  <si>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</si>
  <si>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</si>
  <si>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</si>
  <si>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</si>
  <si>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</si>
  <si>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</si>
  <si>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</si>
  <si>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>1st CE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</si>
  <si>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</si>
  <si>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</si>
  <si>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</si>
  <si>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</si>
  <si>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</si>
  <si>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</si>
  <si>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</si>
  <si>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</si>
  <si>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 xml:space="preserve">   Accumulated Reserve Adjust. (Reported in DD&amp;A)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</si>
  <si>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</si>
  <si>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</si>
  <si>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</si>
  <si>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</si>
  <si>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</si>
  <si>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             - Stranded 858     (Currently Not Used)</t>
  </si>
  <si>
    <t xml:space="preserve">                - GSR                 (Currently Not Used)</t>
  </si>
  <si>
    <t xml:space="preserve">                - GSR R.A.          (Currently Not Used)</t>
  </si>
  <si>
    <t xml:space="preserve">                - Excess Royalty (Currently Not Used) </t>
  </si>
  <si>
    <t xml:space="preserve">   Carrying Charges - Order 528 (Cur. Not Used)</t>
  </si>
  <si>
    <t xml:space="preserve">                - Stranded 858 R.A.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</si>
  <si>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</si>
  <si>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</si>
  <si>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</si>
  <si>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</si>
  <si>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</si>
  <si>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</si>
  <si>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</si>
  <si>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Other ("Stretch" Adjustment)</t>
  </si>
  <si>
    <t xml:space="preserve">   Miscellaneous General &amp; Administration</t>
  </si>
  <si>
    <t xml:space="preserve">      Item 2</t>
  </si>
  <si>
    <t xml:space="preserve">   Operations (Co. 1202)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</si>
  <si>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</si>
  <si>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</si>
  <si>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</si>
  <si>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</si>
  <si>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</si>
  <si>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 xml:space="preserve">   Speculative Income / (Loss)</t>
  </si>
  <si>
    <t>Speculative Income / (Loss)</t>
  </si>
  <si>
    <t xml:space="preserve">   Pipeline Capacity &amp; Annual Fee</t>
  </si>
  <si>
    <t xml:space="preserve">   Fix Assessments / Depreciation</t>
  </si>
  <si>
    <t xml:space="preserve">   Commercial (Formerly Mrkt., Bus.Srv., Reg.Affairs, Com.Group) </t>
  </si>
  <si>
    <t xml:space="preserve">   Other (100% Other)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</si>
  <si>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</si>
  <si>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</si>
  <si>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</si>
  <si>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</si>
  <si>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   Capitalization of EDS Tilt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</si>
  <si>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</si>
  <si>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</si>
  <si>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</si>
  <si>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</si>
  <si>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</si>
  <si>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</si>
  <si>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</si>
  <si>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</si>
  <si>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</si>
  <si>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</si>
  <si>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Pre Functional Payroll Taxes (From Plan)</t>
  </si>
  <si>
    <t xml:space="preserve">        - Negotiated Rates</t>
  </si>
  <si>
    <r>
      <t xml:space="preserve">      AMGAS Fees / </t>
    </r>
    <r>
      <rPr>
        <sz val="10"/>
        <color indexed="10"/>
        <rFont val="Arial"/>
        <family val="2"/>
      </rPr>
      <t>Overhaul Accrual &amp; Crawford (3/00)</t>
    </r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</si>
  <si>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</si>
  <si>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</si>
  <si>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</si>
  <si>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</si>
  <si>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   Imbalance Estimate Adjustment , Hedge,trf to sales</t>
  </si>
  <si>
    <t xml:space="preserve">   Other (Assumed Commercial Function)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</si>
  <si>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</si>
  <si>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</si>
  <si>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</si>
  <si>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</si>
  <si>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</si>
  <si>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</si>
  <si>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</si>
  <si>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</si>
  <si>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</si>
  <si>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</si>
  <si>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</si>
  <si>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>5/01</t>
  </si>
  <si>
    <t xml:space="preserve">   Net Income Adjustment (To Tie Annual Back to 1st CE)</t>
  </si>
  <si>
    <t>JUNE</t>
  </si>
  <si>
    <t>6/01</t>
  </si>
  <si>
    <t xml:space="preserve">   Physical Inventory Gain / (Loss)   "Operations Function)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</si>
  <si>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</si>
  <si>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</si>
  <si>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</si>
  <si>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</si>
  <si>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</si>
  <si>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</si>
  <si>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</si>
  <si>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</si>
  <si>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</si>
  <si>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 xml:space="preserve">      Gas / Liquids Sales  -  Item 1</t>
  </si>
  <si>
    <t>Sales</t>
  </si>
  <si>
    <t xml:space="preserve">              - Item 2</t>
  </si>
  <si>
    <t xml:space="preserve">      Cost of Sales - Item 1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</si>
  <si>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</si>
  <si>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</si>
  <si>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</si>
  <si>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</si>
  <si>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</si>
  <si>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</si>
  <si>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</si>
  <si>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</si>
  <si>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</si>
  <si>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</si>
  <si>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</si>
  <si>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</si>
  <si>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Storage (Cash) - Demand 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</si>
  <si>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</si>
  <si>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</si>
  <si>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</si>
  <si>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</si>
  <si>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 xml:space="preserve">      Billing Provision (Reserve) / Refund - SLA</t>
  </si>
  <si>
    <t xml:space="preserve">      Fuel / UAF - Fuel (Margin)</t>
  </si>
  <si>
    <t>Fuel</t>
  </si>
  <si>
    <t xml:space="preserve">         - Other Fuel (Margin) </t>
  </si>
  <si>
    <t xml:space="preserve">         - Other UAF (Margin)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</si>
</sst>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0"/>
      <color indexed="61"/>
      <name val="Arial"/>
      <family val="2"/>
    </font>
    <font>
      <u val="singleAccounting"/>
      <sz val="10"/>
      <name val="Arial"/>
      <family val="2"/>
    </font>
    <font>
      <u/>
      <sz val="10"/>
      <color indexed="17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7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4" fillId="0" borderId="0" xfId="10" applyNumberFormat="1" applyFont="1" applyFill="1" applyProtection="1">
      <protection locked="0"/>
    </xf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37" fontId="29" fillId="0" borderId="0" xfId="13" applyNumberFormat="1" applyFont="1" applyProtection="1"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29" fillId="0" borderId="0" xfId="8" applyNumberFormat="1" applyFont="1" applyProtection="1">
      <protection locked="0"/>
    </xf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5" fillId="0" borderId="0" xfId="14" applyNumberFormat="1" applyFont="1" applyBorder="1" applyProtection="1"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applyFont="1" applyAlignment="1" applyProtection="1">
      <alignment vertical="center"/>
      <protection locked="0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46" fillId="0" borderId="0" xfId="3" applyNumberFormat="1" applyFont="1" applyProtection="1"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47" fillId="0" borderId="0" xfId="6" applyNumberFormat="1" applyFont="1" applyAlignment="1" applyProtection="1">
      <alignment vertical="center"/>
      <protection locked="0"/>
    </xf>
    <xf numFmtId="37" fontId="33" fillId="0" borderId="0" xfId="6" quotePrefix="1" applyFont="1" applyAlignment="1" applyProtection="1">
      <alignment vertical="center"/>
      <protection locked="0"/>
    </xf>
    <xf numFmtId="0" fontId="24" fillId="0" borderId="0" xfId="0" quotePrefix="1" applyFont="1" applyAlignment="1">
      <alignment horizontal="left" vertical="center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33" fillId="0" borderId="0" xfId="10" applyNumberFormat="1" applyFont="1" applyProtection="1">
      <protection locked="0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37" fontId="48" fillId="0" borderId="0" xfId="0" applyNumberFormat="1" applyFont="1" applyAlignment="1">
      <alignment vertical="center"/>
    </xf>
    <xf numFmtId="180" fontId="48" fillId="0" borderId="0" xfId="0" applyNumberFormat="1" applyFont="1" applyAlignment="1">
      <alignment vertical="center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37" fontId="33" fillId="0" borderId="0" xfId="10" applyNumberFormat="1" applyFont="1" applyProtection="1"/>
    <xf numFmtId="37" fontId="49" fillId="0" borderId="0" xfId="0" applyNumberFormat="1" applyFont="1" applyAlignment="1">
      <alignment vertical="center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7" fillId="0" borderId="0" xfId="0" quotePrefix="1" applyNumberFormat="1" applyFont="1" applyAlignment="1">
      <alignment horizont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34" fillId="0" borderId="0" xfId="14" applyNumberFormat="1" applyFont="1" applyProtection="1"/>
    <xf numFmtId="37" fontId="50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51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0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4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52" fillId="5" borderId="0" xfId="0" applyNumberFormat="1" applyFont="1" applyFill="1" applyAlignment="1">
      <alignment vertical="center"/>
    </xf>
    <xf numFmtId="37" fontId="52" fillId="0" borderId="0" xfId="0" applyNumberFormat="1" applyFont="1" applyAlignment="1">
      <alignment vertical="center"/>
    </xf>
    <xf numFmtId="37" fontId="52" fillId="0" borderId="0" xfId="0" applyNumberFormat="1" applyFont="1" applyBorder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49" fontId="33" fillId="0" borderId="0" xfId="0" quotePrefix="1" applyNumberFormat="1" applyFont="1" applyAlignment="1">
      <alignment horizontal="left"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45" fillId="0" borderId="0" xfId="0" applyNumberFormat="1" applyFont="1" applyAlignment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1348740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556260</xdr:colOff>
          <xdr:row>2</xdr:row>
          <xdr:rowOff>99060</xdr:rowOff>
        </xdr:from>
        <xdr:to>
          <xdr:col>1</xdr:col>
          <xdr:colOff>1691640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FunctionalState"/>
      <sheetName val="Mymode"/>
      <sheetName val="Module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1"/>
  <sheetViews>
    <sheetView showGridLines="0" tabSelected="1" zoomScaleNormal="100" zoomScaleSheetLayoutView="100" workbookViewId="0"/>
  </sheetViews>
  <sheetFormatPr defaultColWidth="9.109375" defaultRowHeight="13.2" x14ac:dyDescent="0.25"/>
  <cols>
    <col min="1" max="1" width="45.6640625" style="892" customWidth="1"/>
    <col min="2" max="2" width="7.6640625" style="892" customWidth="1"/>
    <col min="3" max="14" width="8.6640625" style="892" customWidth="1"/>
    <col min="15" max="15" width="9.6640625" style="892" customWidth="1"/>
    <col min="16" max="17" width="2.6640625" style="892" customWidth="1"/>
    <col min="18" max="18" width="20.6640625" style="1015" customWidth="1"/>
    <col min="19" max="20" width="2.6640625" style="1015" customWidth="1"/>
    <col min="21" max="25" width="9.6640625" style="892" customWidth="1"/>
    <col min="26" max="26" width="15.6640625" style="892" customWidth="1"/>
    <col min="27" max="16384" width="9.109375" style="892"/>
  </cols>
  <sheetData>
    <row r="1" spans="1:25" x14ac:dyDescent="0.25">
      <c r="A1" s="550" t="str">
        <f ca="1">CELL("FILENAME")</f>
        <v>P:\Finance\2001CE\[EMTW01CE.XLS]DataBase</v>
      </c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4"/>
      <c r="R1" s="895"/>
      <c r="S1" s="894"/>
      <c r="T1" s="893"/>
    </row>
    <row r="2" spans="1:25" x14ac:dyDescent="0.25">
      <c r="A2" s="896" t="s">
        <v>1071</v>
      </c>
      <c r="B2" s="897">
        <f ca="1">NOW()</f>
        <v>37109.471773379628</v>
      </c>
      <c r="C2" s="898" t="str">
        <f>+IncomeState!C6</f>
        <v>ACT.</v>
      </c>
      <c r="D2" s="898" t="str">
        <f>+IncomeState!D6</f>
        <v>ACT.</v>
      </c>
      <c r="E2" s="898" t="str">
        <f>+IncomeState!E6</f>
        <v>ACT.</v>
      </c>
      <c r="F2" s="898" t="str">
        <f>+IncomeState!F6</f>
        <v>ACT.</v>
      </c>
      <c r="G2" s="898" t="str">
        <f>+IncomeState!G6</f>
        <v>ACT.</v>
      </c>
      <c r="H2" s="898" t="str">
        <f>+IncomeState!H6</f>
        <v>ACT.</v>
      </c>
      <c r="I2" s="898" t="str">
        <f>+IncomeState!I6</f>
        <v>FLASH</v>
      </c>
      <c r="J2" s="898">
        <f>+IncomeState!J6</f>
        <v>0</v>
      </c>
      <c r="K2" s="898">
        <f>+IncomeState!K6</f>
        <v>0</v>
      </c>
      <c r="L2" s="898">
        <f>+IncomeState!L6</f>
        <v>0</v>
      </c>
      <c r="M2" s="898">
        <f>+IncomeState!M6</f>
        <v>0</v>
      </c>
      <c r="N2" s="898">
        <f>+IncomeState!N6</f>
        <v>0</v>
      </c>
      <c r="O2" s="898" t="str">
        <f>+IncomeState!O6</f>
        <v>TOTAL</v>
      </c>
      <c r="P2" s="898"/>
      <c r="Q2" s="899"/>
      <c r="R2" s="900" t="s">
        <v>1072</v>
      </c>
      <c r="S2" s="899"/>
      <c r="T2" s="898"/>
      <c r="U2" s="901" t="s">
        <v>1073</v>
      </c>
      <c r="V2" s="901"/>
      <c r="W2" s="901"/>
      <c r="X2" s="901"/>
      <c r="Y2" s="893" t="s">
        <v>892</v>
      </c>
    </row>
    <row r="3" spans="1:25" x14ac:dyDescent="0.25">
      <c r="A3" s="1016" t="str">
        <f>+IncomeState!A3</f>
        <v>2001 CURRENT ESTIMATE</v>
      </c>
      <c r="B3" s="902">
        <f ca="1">NOW()</f>
        <v>37109.471773379628</v>
      </c>
      <c r="C3" s="300" t="s">
        <v>591</v>
      </c>
      <c r="D3" s="300" t="s">
        <v>592</v>
      </c>
      <c r="E3" s="300" t="s">
        <v>593</v>
      </c>
      <c r="F3" s="300" t="s">
        <v>594</v>
      </c>
      <c r="G3" s="300" t="s">
        <v>595</v>
      </c>
      <c r="H3" s="300" t="s">
        <v>596</v>
      </c>
      <c r="I3" s="300" t="s">
        <v>597</v>
      </c>
      <c r="J3" s="300" t="s">
        <v>598</v>
      </c>
      <c r="K3" s="300" t="s">
        <v>599</v>
      </c>
      <c r="L3" s="300" t="s">
        <v>600</v>
      </c>
      <c r="M3" s="300" t="s">
        <v>601</v>
      </c>
      <c r="N3" s="300" t="s">
        <v>602</v>
      </c>
      <c r="O3" s="903" t="s">
        <v>1074</v>
      </c>
      <c r="P3" s="903"/>
      <c r="Q3" s="899"/>
      <c r="R3" s="904" t="s">
        <v>1075</v>
      </c>
      <c r="S3" s="899"/>
      <c r="T3" s="903"/>
      <c r="U3" s="905" t="s">
        <v>894</v>
      </c>
      <c r="V3" s="905" t="s">
        <v>895</v>
      </c>
      <c r="W3" s="905" t="s">
        <v>896</v>
      </c>
      <c r="X3" s="905" t="s">
        <v>897</v>
      </c>
      <c r="Y3" s="903" t="s">
        <v>1074</v>
      </c>
    </row>
    <row r="4" spans="1:25" x14ac:dyDescent="0.25">
      <c r="A4" s="555"/>
      <c r="B4" s="902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906"/>
      <c r="P4" s="906"/>
      <c r="Q4" s="899"/>
      <c r="R4" s="904"/>
      <c r="S4" s="899"/>
      <c r="T4" s="906"/>
      <c r="U4" s="905"/>
      <c r="V4" s="905"/>
      <c r="W4" s="905"/>
      <c r="X4" s="905"/>
      <c r="Y4" s="903"/>
    </row>
    <row r="5" spans="1:25" x14ac:dyDescent="0.25">
      <c r="A5" s="907" t="s">
        <v>1076</v>
      </c>
      <c r="O5" s="908"/>
      <c r="P5" s="908"/>
      <c r="Q5" s="909"/>
      <c r="R5" s="892"/>
      <c r="S5" s="909"/>
      <c r="T5" s="908"/>
    </row>
    <row r="6" spans="1:25" x14ac:dyDescent="0.25">
      <c r="A6" s="910" t="s">
        <v>1077</v>
      </c>
      <c r="O6" s="908"/>
      <c r="P6" s="908"/>
      <c r="Q6" s="909"/>
      <c r="R6" s="892"/>
      <c r="S6" s="909"/>
      <c r="T6" s="908"/>
    </row>
    <row r="7" spans="1:25" x14ac:dyDescent="0.25">
      <c r="A7" s="911" t="s">
        <v>1078</v>
      </c>
      <c r="C7" s="536">
        <v>0</v>
      </c>
      <c r="D7" s="536">
        <v>0</v>
      </c>
      <c r="E7" s="536">
        <v>0</v>
      </c>
      <c r="F7" s="277">
        <v>-4127</v>
      </c>
      <c r="G7" s="277">
        <v>2258</v>
      </c>
      <c r="H7" s="277">
        <v>3206</v>
      </c>
      <c r="I7" s="536">
        <v>0</v>
      </c>
      <c r="J7" s="536">
        <v>0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9" si="0">SUM(C7:N7)</f>
        <v>1337</v>
      </c>
      <c r="P7" s="279"/>
      <c r="Q7" s="912"/>
      <c r="R7" s="913" t="s">
        <v>1079</v>
      </c>
      <c r="S7" s="912"/>
      <c r="T7" s="279"/>
      <c r="U7" s="914">
        <f t="shared" ref="U7:U36" si="1">C7+D7+E7</f>
        <v>0</v>
      </c>
      <c r="V7" s="914">
        <f t="shared" ref="V7:V36" si="2">F7+G7+H7</f>
        <v>1337</v>
      </c>
      <c r="W7" s="914">
        <f t="shared" ref="W7:W36" si="3">I7+J7+K7</f>
        <v>0</v>
      </c>
      <c r="X7" s="914">
        <f t="shared" ref="X7:X36" si="4">L7+M7+N7</f>
        <v>0</v>
      </c>
      <c r="Y7" s="915">
        <f t="shared" ref="Y7:Y36" si="5">SUM(U7:X7)</f>
        <v>1337</v>
      </c>
    </row>
    <row r="8" spans="1:25" x14ac:dyDescent="0.25">
      <c r="A8" s="916" t="s">
        <v>1080</v>
      </c>
      <c r="C8" s="536">
        <v>0</v>
      </c>
      <c r="D8" s="536">
        <v>0</v>
      </c>
      <c r="E8" s="536">
        <v>0</v>
      </c>
      <c r="F8" s="536">
        <v>0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0</v>
      </c>
      <c r="P8" s="279"/>
      <c r="Q8" s="912"/>
      <c r="R8" s="917" t="s">
        <v>1079</v>
      </c>
      <c r="S8" s="912"/>
      <c r="T8" s="279"/>
      <c r="U8" s="914">
        <f t="shared" si="1"/>
        <v>0</v>
      </c>
      <c r="V8" s="914">
        <f t="shared" si="2"/>
        <v>0</v>
      </c>
      <c r="W8" s="914">
        <f t="shared" si="3"/>
        <v>0</v>
      </c>
      <c r="X8" s="914">
        <f t="shared" si="4"/>
        <v>0</v>
      </c>
      <c r="Y8" s="915">
        <f t="shared" si="5"/>
        <v>0</v>
      </c>
    </row>
    <row r="9" spans="1:25" x14ac:dyDescent="0.25">
      <c r="A9" s="911" t="s">
        <v>1081</v>
      </c>
      <c r="C9" s="536">
        <v>0</v>
      </c>
      <c r="D9" s="536">
        <v>0</v>
      </c>
      <c r="E9" s="536">
        <v>0</v>
      </c>
      <c r="F9" s="889">
        <f>-2870+21741</f>
        <v>18871</v>
      </c>
      <c r="G9" s="889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912"/>
      <c r="R9" s="913" t="s">
        <v>1082</v>
      </c>
      <c r="S9" s="912"/>
      <c r="T9" s="53"/>
      <c r="U9" s="914">
        <f t="shared" si="1"/>
        <v>0</v>
      </c>
      <c r="V9" s="914">
        <f t="shared" si="2"/>
        <v>18871</v>
      </c>
      <c r="W9" s="914">
        <f t="shared" si="3"/>
        <v>0</v>
      </c>
      <c r="X9" s="914">
        <f t="shared" si="4"/>
        <v>0</v>
      </c>
      <c r="Y9" s="915">
        <f t="shared" si="5"/>
        <v>18871</v>
      </c>
    </row>
    <row r="10" spans="1:25" x14ac:dyDescent="0.25">
      <c r="A10" s="916" t="s">
        <v>1080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912"/>
      <c r="R10" s="917" t="s">
        <v>1082</v>
      </c>
      <c r="S10" s="912"/>
      <c r="T10" s="279"/>
      <c r="U10" s="914">
        <f t="shared" si="1"/>
        <v>0</v>
      </c>
      <c r="V10" s="914">
        <f t="shared" si="2"/>
        <v>0</v>
      </c>
      <c r="W10" s="914">
        <f t="shared" si="3"/>
        <v>0</v>
      </c>
      <c r="X10" s="914">
        <f t="shared" si="4"/>
        <v>0</v>
      </c>
      <c r="Y10" s="915">
        <f t="shared" si="5"/>
        <v>0</v>
      </c>
    </row>
    <row r="11" spans="1:25" x14ac:dyDescent="0.25">
      <c r="A11" s="911" t="s">
        <v>1083</v>
      </c>
      <c r="C11" s="536">
        <v>12612</v>
      </c>
      <c r="D11" s="536">
        <v>17085</v>
      </c>
      <c r="E11" s="536">
        <v>16820</v>
      </c>
      <c r="F11" s="536">
        <v>12196</v>
      </c>
      <c r="G11" s="536">
        <v>12651</v>
      </c>
      <c r="H11" s="536">
        <v>12455</v>
      </c>
      <c r="I11" s="536">
        <v>12549</v>
      </c>
      <c r="J11" s="536">
        <v>12392</v>
      </c>
      <c r="K11" s="536">
        <v>11782</v>
      </c>
      <c r="L11" s="536">
        <v>12202</v>
      </c>
      <c r="M11" s="536">
        <v>11722</v>
      </c>
      <c r="N11" s="536">
        <v>12387</v>
      </c>
      <c r="O11" s="914">
        <f t="shared" si="0"/>
        <v>156853</v>
      </c>
      <c r="P11" s="914"/>
      <c r="Q11" s="912"/>
      <c r="R11" s="918" t="s">
        <v>1084</v>
      </c>
      <c r="S11" s="912"/>
      <c r="T11" s="914"/>
      <c r="U11" s="914">
        <f t="shared" si="1"/>
        <v>46517</v>
      </c>
      <c r="V11" s="914">
        <f t="shared" si="2"/>
        <v>37302</v>
      </c>
      <c r="W11" s="914">
        <f t="shared" si="3"/>
        <v>36723</v>
      </c>
      <c r="X11" s="914">
        <f t="shared" si="4"/>
        <v>36311</v>
      </c>
      <c r="Y11" s="915">
        <f t="shared" si="5"/>
        <v>156853</v>
      </c>
    </row>
    <row r="12" spans="1:25" x14ac:dyDescent="0.25">
      <c r="A12" s="911" t="s">
        <v>1085</v>
      </c>
      <c r="C12" s="536">
        <v>0</v>
      </c>
      <c r="D12" s="536">
        <v>0</v>
      </c>
      <c r="E12" s="536">
        <v>0</v>
      </c>
      <c r="F12" s="536">
        <v>0</v>
      </c>
      <c r="G12" s="536">
        <v>0</v>
      </c>
      <c r="H12" s="536">
        <v>0</v>
      </c>
      <c r="I12" s="536">
        <v>0</v>
      </c>
      <c r="J12" s="536">
        <v>0</v>
      </c>
      <c r="K12" s="536">
        <v>0</v>
      </c>
      <c r="L12" s="536">
        <v>0</v>
      </c>
      <c r="M12" s="536">
        <v>0</v>
      </c>
      <c r="N12" s="536">
        <v>0</v>
      </c>
      <c r="O12" s="914">
        <f t="shared" si="0"/>
        <v>0</v>
      </c>
      <c r="P12" s="914"/>
      <c r="Q12" s="912"/>
      <c r="R12" s="919" t="s">
        <v>1084</v>
      </c>
      <c r="S12" s="912"/>
      <c r="T12" s="914"/>
      <c r="U12" s="914">
        <f t="shared" si="1"/>
        <v>0</v>
      </c>
      <c r="V12" s="914">
        <f t="shared" si="2"/>
        <v>0</v>
      </c>
      <c r="W12" s="914">
        <f t="shared" si="3"/>
        <v>0</v>
      </c>
      <c r="X12" s="914">
        <f t="shared" si="4"/>
        <v>0</v>
      </c>
      <c r="Y12" s="915">
        <f t="shared" si="5"/>
        <v>0</v>
      </c>
    </row>
    <row r="13" spans="1:25" x14ac:dyDescent="0.25">
      <c r="A13" s="303" t="s">
        <v>1086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14">
        <f t="shared" si="0"/>
        <v>0</v>
      </c>
      <c r="P13" s="914"/>
      <c r="Q13" s="912"/>
      <c r="R13" s="919" t="s">
        <v>1084</v>
      </c>
      <c r="S13" s="912"/>
      <c r="T13" s="914"/>
      <c r="U13" s="914">
        <f t="shared" si="1"/>
        <v>0</v>
      </c>
      <c r="V13" s="914">
        <f t="shared" si="2"/>
        <v>0</v>
      </c>
      <c r="W13" s="914">
        <f t="shared" si="3"/>
        <v>0</v>
      </c>
      <c r="X13" s="914">
        <f t="shared" si="4"/>
        <v>0</v>
      </c>
      <c r="Y13" s="915">
        <f t="shared" si="5"/>
        <v>0</v>
      </c>
    </row>
    <row r="14" spans="1:25" x14ac:dyDescent="0.25">
      <c r="A14" s="911" t="s">
        <v>1087</v>
      </c>
      <c r="C14" s="536">
        <v>1303</v>
      </c>
      <c r="D14" s="536">
        <v>1259</v>
      </c>
      <c r="E14" s="536">
        <v>1286</v>
      </c>
      <c r="F14" s="536">
        <v>2727</v>
      </c>
      <c r="G14" s="536">
        <v>3689</v>
      </c>
      <c r="H14" s="536">
        <v>2163</v>
      </c>
      <c r="I14" s="536">
        <v>1124</v>
      </c>
      <c r="J14" s="536">
        <v>1063</v>
      </c>
      <c r="K14" s="536">
        <v>1026</v>
      </c>
      <c r="L14" s="536">
        <v>1084</v>
      </c>
      <c r="M14" s="536">
        <v>1061</v>
      </c>
      <c r="N14" s="536">
        <v>1108</v>
      </c>
      <c r="O14" s="914">
        <f t="shared" si="0"/>
        <v>18893</v>
      </c>
      <c r="P14" s="914"/>
      <c r="Q14" s="912"/>
      <c r="R14" s="918" t="s">
        <v>1084</v>
      </c>
      <c r="S14" s="912"/>
      <c r="T14" s="914"/>
      <c r="U14" s="914">
        <f t="shared" si="1"/>
        <v>3848</v>
      </c>
      <c r="V14" s="914">
        <f t="shared" si="2"/>
        <v>8579</v>
      </c>
      <c r="W14" s="914">
        <f t="shared" si="3"/>
        <v>3213</v>
      </c>
      <c r="X14" s="914">
        <f t="shared" si="4"/>
        <v>3253</v>
      </c>
      <c r="Y14" s="915">
        <f t="shared" si="5"/>
        <v>18893</v>
      </c>
    </row>
    <row r="15" spans="1:25" x14ac:dyDescent="0.25">
      <c r="A15" s="911" t="s">
        <v>1085</v>
      </c>
      <c r="C15" s="536">
        <v>0</v>
      </c>
      <c r="D15" s="536">
        <v>0</v>
      </c>
      <c r="E15" s="536">
        <v>0</v>
      </c>
      <c r="F15" s="536">
        <v>0</v>
      </c>
      <c r="G15" s="536">
        <v>0</v>
      </c>
      <c r="H15" s="536">
        <v>0</v>
      </c>
      <c r="I15" s="536">
        <v>0</v>
      </c>
      <c r="J15" s="536">
        <v>0</v>
      </c>
      <c r="K15" s="536">
        <v>0</v>
      </c>
      <c r="L15" s="536">
        <v>0</v>
      </c>
      <c r="M15" s="536">
        <v>0</v>
      </c>
      <c r="N15" s="536">
        <v>0</v>
      </c>
      <c r="O15" s="914">
        <f t="shared" si="0"/>
        <v>0</v>
      </c>
      <c r="P15" s="914"/>
      <c r="Q15" s="912"/>
      <c r="R15" s="919" t="s">
        <v>1084</v>
      </c>
      <c r="S15" s="912"/>
      <c r="T15" s="914"/>
      <c r="U15" s="914">
        <f t="shared" si="1"/>
        <v>0</v>
      </c>
      <c r="V15" s="914">
        <f t="shared" si="2"/>
        <v>0</v>
      </c>
      <c r="W15" s="914">
        <f t="shared" si="3"/>
        <v>0</v>
      </c>
      <c r="X15" s="914">
        <f t="shared" si="4"/>
        <v>0</v>
      </c>
      <c r="Y15" s="915">
        <f t="shared" si="5"/>
        <v>0</v>
      </c>
    </row>
    <row r="16" spans="1:25" x14ac:dyDescent="0.25">
      <c r="A16" s="303" t="s">
        <v>1086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14">
        <f t="shared" si="0"/>
        <v>0</v>
      </c>
      <c r="P16" s="914"/>
      <c r="Q16" s="912"/>
      <c r="R16" s="919" t="s">
        <v>1084</v>
      </c>
      <c r="S16" s="912"/>
      <c r="T16" s="914"/>
      <c r="U16" s="914">
        <f t="shared" si="1"/>
        <v>0</v>
      </c>
      <c r="V16" s="914">
        <f t="shared" si="2"/>
        <v>0</v>
      </c>
      <c r="W16" s="914">
        <f t="shared" si="3"/>
        <v>0</v>
      </c>
      <c r="X16" s="914">
        <f t="shared" si="4"/>
        <v>0</v>
      </c>
      <c r="Y16" s="915">
        <f t="shared" si="5"/>
        <v>0</v>
      </c>
    </row>
    <row r="17" spans="1:25" x14ac:dyDescent="0.25">
      <c r="A17" s="911" t="s">
        <v>115</v>
      </c>
      <c r="C17" s="293">
        <v>0</v>
      </c>
      <c r="D17" s="293">
        <v>0</v>
      </c>
      <c r="E17" s="293">
        <v>0</v>
      </c>
      <c r="F17" s="293">
        <v>0</v>
      </c>
      <c r="G17" s="293">
        <v>0</v>
      </c>
      <c r="H17" s="293">
        <v>0</v>
      </c>
      <c r="I17" s="293">
        <v>0</v>
      </c>
      <c r="J17" s="293">
        <v>0</v>
      </c>
      <c r="K17" s="293">
        <v>0</v>
      </c>
      <c r="L17" s="293">
        <v>0</v>
      </c>
      <c r="M17" s="293">
        <v>0</v>
      </c>
      <c r="N17" s="293">
        <v>0</v>
      </c>
      <c r="O17" s="292">
        <f t="shared" si="0"/>
        <v>0</v>
      </c>
      <c r="P17" s="292"/>
      <c r="Q17" s="912"/>
      <c r="R17" s="918" t="s">
        <v>1084</v>
      </c>
      <c r="S17" s="912"/>
      <c r="T17" s="292"/>
      <c r="U17" s="914">
        <f t="shared" si="1"/>
        <v>0</v>
      </c>
      <c r="V17" s="914">
        <f t="shared" si="2"/>
        <v>0</v>
      </c>
      <c r="W17" s="914">
        <f t="shared" si="3"/>
        <v>0</v>
      </c>
      <c r="X17" s="914">
        <f t="shared" si="4"/>
        <v>0</v>
      </c>
      <c r="Y17" s="915">
        <f t="shared" si="5"/>
        <v>0</v>
      </c>
    </row>
    <row r="18" spans="1:25" x14ac:dyDescent="0.25">
      <c r="A18" s="911" t="s">
        <v>117</v>
      </c>
      <c r="C18" s="293">
        <v>0</v>
      </c>
      <c r="D18" s="293">
        <v>0</v>
      </c>
      <c r="E18" s="293">
        <v>-9342</v>
      </c>
      <c r="F18" s="293">
        <v>-367</v>
      </c>
      <c r="G18" s="293">
        <v>0</v>
      </c>
      <c r="H18" s="293">
        <v>-325</v>
      </c>
      <c r="I18" s="293">
        <v>0</v>
      </c>
      <c r="J18" s="293">
        <v>0</v>
      </c>
      <c r="K18" s="293">
        <v>10034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912"/>
      <c r="R18" s="919" t="s">
        <v>1084</v>
      </c>
      <c r="S18" s="912"/>
      <c r="T18" s="292"/>
      <c r="U18" s="914">
        <f t="shared" si="1"/>
        <v>-9342</v>
      </c>
      <c r="V18" s="914">
        <f t="shared" si="2"/>
        <v>-692</v>
      </c>
      <c r="W18" s="914">
        <f t="shared" si="3"/>
        <v>10034</v>
      </c>
      <c r="X18" s="914">
        <f t="shared" si="4"/>
        <v>0</v>
      </c>
      <c r="Y18" s="915">
        <f t="shared" si="5"/>
        <v>0</v>
      </c>
    </row>
    <row r="19" spans="1:25" x14ac:dyDescent="0.25">
      <c r="A19" s="911" t="s">
        <v>118</v>
      </c>
      <c r="C19" s="293">
        <v>0</v>
      </c>
      <c r="D19" s="293">
        <v>0</v>
      </c>
      <c r="E19" s="293">
        <v>-2198</v>
      </c>
      <c r="F19" s="293">
        <v>-48</v>
      </c>
      <c r="G19" s="293">
        <v>0</v>
      </c>
      <c r="H19" s="293">
        <v>0</v>
      </c>
      <c r="I19" s="293">
        <v>0</v>
      </c>
      <c r="J19" s="293">
        <v>0</v>
      </c>
      <c r="K19" s="293">
        <v>2246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912"/>
      <c r="R19" s="919" t="s">
        <v>1084</v>
      </c>
      <c r="S19" s="912"/>
      <c r="T19" s="292"/>
      <c r="U19" s="914">
        <f t="shared" si="1"/>
        <v>-2198</v>
      </c>
      <c r="V19" s="914">
        <f t="shared" si="2"/>
        <v>-48</v>
      </c>
      <c r="W19" s="914">
        <f t="shared" si="3"/>
        <v>2246</v>
      </c>
      <c r="X19" s="914">
        <f t="shared" si="4"/>
        <v>0</v>
      </c>
      <c r="Y19" s="915">
        <f t="shared" si="5"/>
        <v>0</v>
      </c>
    </row>
    <row r="20" spans="1:25" x14ac:dyDescent="0.25">
      <c r="A20" s="911" t="s">
        <v>116</v>
      </c>
      <c r="C20" s="915"/>
      <c r="D20" s="915"/>
      <c r="E20" s="915"/>
      <c r="F20" s="915"/>
      <c r="G20" s="915"/>
      <c r="H20" s="915"/>
      <c r="I20" s="915"/>
      <c r="J20" s="915"/>
      <c r="K20" s="915"/>
      <c r="L20" s="915"/>
      <c r="M20" s="915"/>
      <c r="N20" s="915"/>
      <c r="O20" s="292">
        <f t="shared" si="0"/>
        <v>0</v>
      </c>
      <c r="P20" s="292"/>
      <c r="Q20" s="912"/>
      <c r="R20" s="919" t="s">
        <v>1084</v>
      </c>
      <c r="S20" s="912"/>
      <c r="T20" s="292"/>
      <c r="U20" s="914">
        <f t="shared" si="1"/>
        <v>0</v>
      </c>
      <c r="V20" s="914">
        <f t="shared" si="2"/>
        <v>0</v>
      </c>
      <c r="W20" s="914">
        <f t="shared" si="3"/>
        <v>0</v>
      </c>
      <c r="X20" s="914">
        <f t="shared" si="4"/>
        <v>0</v>
      </c>
      <c r="Y20" s="915">
        <f t="shared" si="5"/>
        <v>0</v>
      </c>
    </row>
    <row r="21" spans="1:25" x14ac:dyDescent="0.25">
      <c r="A21" s="911" t="s">
        <v>1088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912"/>
      <c r="R21" s="919" t="s">
        <v>1084</v>
      </c>
      <c r="S21" s="912"/>
      <c r="T21" s="541"/>
      <c r="U21" s="914">
        <f t="shared" si="1"/>
        <v>0</v>
      </c>
      <c r="V21" s="914">
        <f t="shared" si="2"/>
        <v>0</v>
      </c>
      <c r="W21" s="914">
        <f t="shared" si="3"/>
        <v>0</v>
      </c>
      <c r="X21" s="914">
        <f t="shared" si="4"/>
        <v>0</v>
      </c>
      <c r="Y21" s="915">
        <f t="shared" si="5"/>
        <v>0</v>
      </c>
    </row>
    <row r="22" spans="1:25" x14ac:dyDescent="0.25">
      <c r="A22" s="911" t="s">
        <v>1089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912"/>
      <c r="R22" s="919" t="s">
        <v>1084</v>
      </c>
      <c r="S22" s="912"/>
      <c r="T22" s="541"/>
      <c r="U22" s="914">
        <f t="shared" si="1"/>
        <v>0</v>
      </c>
      <c r="V22" s="914">
        <f t="shared" si="2"/>
        <v>0</v>
      </c>
      <c r="W22" s="914">
        <f t="shared" si="3"/>
        <v>0</v>
      </c>
      <c r="X22" s="914">
        <f t="shared" si="4"/>
        <v>0</v>
      </c>
      <c r="Y22" s="915">
        <f t="shared" si="5"/>
        <v>0</v>
      </c>
    </row>
    <row r="23" spans="1:25" x14ac:dyDescent="0.25">
      <c r="A23" s="911" t="s">
        <v>1090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912"/>
      <c r="R23" s="919" t="s">
        <v>1084</v>
      </c>
      <c r="S23" s="912"/>
      <c r="T23" s="541"/>
      <c r="U23" s="914">
        <f t="shared" si="1"/>
        <v>0</v>
      </c>
      <c r="V23" s="914">
        <f t="shared" si="2"/>
        <v>0</v>
      </c>
      <c r="W23" s="914">
        <f t="shared" si="3"/>
        <v>0</v>
      </c>
      <c r="X23" s="914">
        <f t="shared" si="4"/>
        <v>0</v>
      </c>
      <c r="Y23" s="915">
        <f t="shared" si="5"/>
        <v>0</v>
      </c>
    </row>
    <row r="24" spans="1:25" x14ac:dyDescent="0.25">
      <c r="A24" s="911" t="s">
        <v>119</v>
      </c>
      <c r="C24" s="693">
        <v>-12</v>
      </c>
      <c r="D24" s="693">
        <v>-13</v>
      </c>
      <c r="E24" s="693">
        <v>-12</v>
      </c>
      <c r="F24" s="693">
        <v>-13</v>
      </c>
      <c r="G24" s="693">
        <v>-12</v>
      </c>
      <c r="H24" s="693">
        <v>-13</v>
      </c>
      <c r="I24" s="693">
        <v>-13</v>
      </c>
      <c r="J24" s="693">
        <v>-12</v>
      </c>
      <c r="K24" s="693">
        <v>-13</v>
      </c>
      <c r="L24" s="693">
        <v>-12</v>
      </c>
      <c r="M24" s="693">
        <v>-13</v>
      </c>
      <c r="N24" s="693">
        <v>-12</v>
      </c>
      <c r="O24" s="292">
        <f t="shared" si="0"/>
        <v>-150</v>
      </c>
      <c r="P24" s="292"/>
      <c r="Q24" s="912"/>
      <c r="R24" s="918" t="s">
        <v>1084</v>
      </c>
      <c r="S24" s="912"/>
      <c r="T24" s="292"/>
      <c r="U24" s="914">
        <f t="shared" si="1"/>
        <v>-37</v>
      </c>
      <c r="V24" s="914">
        <f t="shared" si="2"/>
        <v>-38</v>
      </c>
      <c r="W24" s="914">
        <f t="shared" si="3"/>
        <v>-38</v>
      </c>
      <c r="X24" s="914">
        <f t="shared" si="4"/>
        <v>-37</v>
      </c>
      <c r="Y24" s="915">
        <f t="shared" si="5"/>
        <v>-150</v>
      </c>
    </row>
    <row r="25" spans="1:25" x14ac:dyDescent="0.25">
      <c r="A25" s="911" t="s">
        <v>120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912"/>
      <c r="R25" s="919" t="s">
        <v>1084</v>
      </c>
      <c r="S25" s="912"/>
      <c r="T25" s="541"/>
      <c r="U25" s="914">
        <f t="shared" si="1"/>
        <v>-50</v>
      </c>
      <c r="V25" s="914">
        <f t="shared" si="2"/>
        <v>-45</v>
      </c>
      <c r="W25" s="914">
        <f t="shared" si="3"/>
        <v>-45</v>
      </c>
      <c r="X25" s="914">
        <f t="shared" si="4"/>
        <v>-45</v>
      </c>
      <c r="Y25" s="915">
        <f t="shared" si="5"/>
        <v>-185</v>
      </c>
    </row>
    <row r="26" spans="1:25" x14ac:dyDescent="0.25">
      <c r="A26" s="911" t="s">
        <v>1091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0</f>
        <v>0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0</v>
      </c>
      <c r="P26" s="292"/>
      <c r="Q26" s="912"/>
      <c r="R26" s="919" t="s">
        <v>1084</v>
      </c>
      <c r="S26" s="912"/>
      <c r="T26" s="292"/>
      <c r="U26" s="914">
        <f t="shared" si="1"/>
        <v>0</v>
      </c>
      <c r="V26" s="914">
        <f t="shared" si="2"/>
        <v>0</v>
      </c>
      <c r="W26" s="914">
        <f t="shared" si="3"/>
        <v>0</v>
      </c>
      <c r="X26" s="914">
        <f t="shared" si="4"/>
        <v>0</v>
      </c>
      <c r="Y26" s="915">
        <f t="shared" si="5"/>
        <v>0</v>
      </c>
    </row>
    <row r="27" spans="1:25" x14ac:dyDescent="0.25">
      <c r="A27" s="911" t="s">
        <v>122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0</v>
      </c>
      <c r="K27" s="293">
        <v>-2246</v>
      </c>
      <c r="L27" s="293">
        <v>0</v>
      </c>
      <c r="M27" s="293">
        <v>0</v>
      </c>
      <c r="N27" s="293">
        <v>0</v>
      </c>
      <c r="O27" s="541">
        <f t="shared" si="0"/>
        <v>0</v>
      </c>
      <c r="P27" s="541"/>
      <c r="Q27" s="912"/>
      <c r="R27" s="919" t="s">
        <v>1084</v>
      </c>
      <c r="S27" s="912"/>
      <c r="T27" s="541"/>
      <c r="U27" s="914">
        <f t="shared" si="1"/>
        <v>2198</v>
      </c>
      <c r="V27" s="914">
        <f t="shared" si="2"/>
        <v>48</v>
      </c>
      <c r="W27" s="914">
        <f t="shared" si="3"/>
        <v>-2246</v>
      </c>
      <c r="X27" s="914">
        <f t="shared" si="4"/>
        <v>0</v>
      </c>
      <c r="Y27" s="915">
        <f t="shared" si="5"/>
        <v>0</v>
      </c>
    </row>
    <row r="28" spans="1:25" x14ac:dyDescent="0.25">
      <c r="A28" s="911" t="s">
        <v>1092</v>
      </c>
      <c r="C28" s="915"/>
      <c r="D28" s="915"/>
      <c r="E28" s="915"/>
      <c r="F28" s="915"/>
      <c r="G28" s="915"/>
      <c r="H28" s="915"/>
      <c r="I28" s="915"/>
      <c r="J28" s="915"/>
      <c r="K28" s="915"/>
      <c r="L28" s="915"/>
      <c r="M28" s="915"/>
      <c r="N28" s="915"/>
      <c r="O28" s="541">
        <f t="shared" si="0"/>
        <v>0</v>
      </c>
      <c r="P28" s="541"/>
      <c r="Q28" s="912"/>
      <c r="R28" s="919" t="s">
        <v>1084</v>
      </c>
      <c r="S28" s="912"/>
      <c r="T28" s="541"/>
      <c r="U28" s="914">
        <f t="shared" si="1"/>
        <v>0</v>
      </c>
      <c r="V28" s="914">
        <f t="shared" si="2"/>
        <v>0</v>
      </c>
      <c r="W28" s="914">
        <f t="shared" si="3"/>
        <v>0</v>
      </c>
      <c r="X28" s="914">
        <f t="shared" si="4"/>
        <v>0</v>
      </c>
      <c r="Y28" s="915">
        <f t="shared" si="5"/>
        <v>0</v>
      </c>
    </row>
    <row r="29" spans="1:25" x14ac:dyDescent="0.25">
      <c r="A29" s="911" t="s">
        <v>1094</v>
      </c>
      <c r="C29" s="293">
        <v>0</v>
      </c>
      <c r="D29" s="293">
        <v>0</v>
      </c>
      <c r="E29" s="293">
        <v>0</v>
      </c>
      <c r="F29" s="293">
        <v>0</v>
      </c>
      <c r="G29" s="293">
        <v>0</v>
      </c>
      <c r="H29" s="293">
        <v>0</v>
      </c>
      <c r="I29" s="293">
        <v>0</v>
      </c>
      <c r="J29" s="293">
        <v>0</v>
      </c>
      <c r="K29" s="293">
        <v>0</v>
      </c>
      <c r="L29" s="293">
        <v>0</v>
      </c>
      <c r="M29" s="293">
        <v>0</v>
      </c>
      <c r="N29" s="293">
        <v>0</v>
      </c>
      <c r="O29" s="614">
        <f t="shared" si="0"/>
        <v>0</v>
      </c>
      <c r="P29" s="614"/>
      <c r="Q29" s="912"/>
      <c r="R29" s="918" t="s">
        <v>1084</v>
      </c>
      <c r="S29" s="912"/>
      <c r="T29" s="614"/>
      <c r="U29" s="914">
        <f t="shared" si="1"/>
        <v>0</v>
      </c>
      <c r="V29" s="914">
        <f t="shared" si="2"/>
        <v>0</v>
      </c>
      <c r="W29" s="914">
        <f t="shared" si="3"/>
        <v>0</v>
      </c>
      <c r="X29" s="914">
        <f t="shared" si="4"/>
        <v>0</v>
      </c>
      <c r="Y29" s="915">
        <f t="shared" si="5"/>
        <v>0</v>
      </c>
    </row>
    <row r="30" spans="1:25" x14ac:dyDescent="0.25">
      <c r="A30" s="911" t="s">
        <v>1095</v>
      </c>
      <c r="C30" s="293">
        <v>0</v>
      </c>
      <c r="D30" s="293">
        <v>0</v>
      </c>
      <c r="E30" s="293">
        <v>0</v>
      </c>
      <c r="F30" s="293">
        <v>0</v>
      </c>
      <c r="G30" s="293">
        <v>0</v>
      </c>
      <c r="H30" s="293">
        <v>0</v>
      </c>
      <c r="I30" s="293">
        <v>0</v>
      </c>
      <c r="J30" s="293">
        <v>0</v>
      </c>
      <c r="K30" s="293">
        <v>0</v>
      </c>
      <c r="L30" s="293">
        <v>0</v>
      </c>
      <c r="M30" s="293">
        <v>0</v>
      </c>
      <c r="N30" s="293">
        <v>0</v>
      </c>
      <c r="O30" s="614">
        <f t="shared" si="0"/>
        <v>0</v>
      </c>
      <c r="P30" s="614"/>
      <c r="Q30" s="912"/>
      <c r="R30" s="919" t="s">
        <v>1084</v>
      </c>
      <c r="S30" s="912"/>
      <c r="T30" s="614"/>
      <c r="U30" s="914">
        <f t="shared" si="1"/>
        <v>0</v>
      </c>
      <c r="V30" s="914">
        <f t="shared" si="2"/>
        <v>0</v>
      </c>
      <c r="W30" s="914">
        <f t="shared" si="3"/>
        <v>0</v>
      </c>
      <c r="X30" s="914">
        <f t="shared" si="4"/>
        <v>0</v>
      </c>
      <c r="Y30" s="915">
        <f t="shared" si="5"/>
        <v>0</v>
      </c>
    </row>
    <row r="31" spans="1:25" x14ac:dyDescent="0.25">
      <c r="A31" s="911" t="s">
        <v>1096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614">
        <f t="shared" si="0"/>
        <v>0</v>
      </c>
      <c r="P31" s="614"/>
      <c r="Q31" s="912"/>
      <c r="R31" s="919" t="s">
        <v>1084</v>
      </c>
      <c r="S31" s="912"/>
      <c r="T31" s="614"/>
      <c r="U31" s="914">
        <f t="shared" si="1"/>
        <v>0</v>
      </c>
      <c r="V31" s="914">
        <f t="shared" si="2"/>
        <v>0</v>
      </c>
      <c r="W31" s="914">
        <f t="shared" si="3"/>
        <v>0</v>
      </c>
      <c r="X31" s="914">
        <f t="shared" si="4"/>
        <v>0</v>
      </c>
      <c r="Y31" s="915">
        <f t="shared" si="5"/>
        <v>0</v>
      </c>
    </row>
    <row r="32" spans="1:25" x14ac:dyDescent="0.25">
      <c r="A32" s="911" t="s">
        <v>1097</v>
      </c>
      <c r="C32" s="293">
        <v>0</v>
      </c>
      <c r="D32" s="293">
        <v>0</v>
      </c>
      <c r="E32" s="293">
        <v>0</v>
      </c>
      <c r="F32" s="293">
        <v>0</v>
      </c>
      <c r="G32" s="293">
        <v>0</v>
      </c>
      <c r="H32" s="293">
        <v>0</v>
      </c>
      <c r="I32" s="293">
        <v>0</v>
      </c>
      <c r="J32" s="293">
        <v>0</v>
      </c>
      <c r="K32" s="293">
        <v>0</v>
      </c>
      <c r="L32" s="293">
        <v>0</v>
      </c>
      <c r="M32" s="293">
        <v>0</v>
      </c>
      <c r="N32" s="293">
        <v>0</v>
      </c>
      <c r="O32" s="614">
        <f t="shared" si="0"/>
        <v>0</v>
      </c>
      <c r="P32" s="614"/>
      <c r="Q32" s="912"/>
      <c r="R32" s="919" t="s">
        <v>1084</v>
      </c>
      <c r="S32" s="912"/>
      <c r="T32" s="614"/>
      <c r="U32" s="914">
        <f t="shared" si="1"/>
        <v>0</v>
      </c>
      <c r="V32" s="914">
        <f t="shared" si="2"/>
        <v>0</v>
      </c>
      <c r="W32" s="914">
        <f t="shared" si="3"/>
        <v>0</v>
      </c>
      <c r="X32" s="914">
        <f t="shared" si="4"/>
        <v>0</v>
      </c>
      <c r="Y32" s="915">
        <f t="shared" si="5"/>
        <v>0</v>
      </c>
    </row>
    <row r="33" spans="1:25" x14ac:dyDescent="0.25">
      <c r="A33" s="911" t="s">
        <v>1098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614">
        <f t="shared" si="0"/>
        <v>0</v>
      </c>
      <c r="P33" s="614"/>
      <c r="Q33" s="912"/>
      <c r="R33" s="919" t="s">
        <v>1084</v>
      </c>
      <c r="S33" s="912"/>
      <c r="T33" s="614"/>
      <c r="U33" s="914">
        <f t="shared" si="1"/>
        <v>0</v>
      </c>
      <c r="V33" s="914">
        <f t="shared" si="2"/>
        <v>0</v>
      </c>
      <c r="W33" s="914">
        <f t="shared" si="3"/>
        <v>0</v>
      </c>
      <c r="X33" s="914">
        <f t="shared" si="4"/>
        <v>0</v>
      </c>
      <c r="Y33" s="915">
        <f t="shared" si="5"/>
        <v>0</v>
      </c>
    </row>
    <row r="34" spans="1:25" x14ac:dyDescent="0.25">
      <c r="A34" s="911" t="s">
        <v>1099</v>
      </c>
      <c r="C34" s="293">
        <v>0</v>
      </c>
      <c r="D34" s="293">
        <v>0</v>
      </c>
      <c r="E34" s="293">
        <v>0</v>
      </c>
      <c r="F34" s="293">
        <v>0</v>
      </c>
      <c r="G34" s="293">
        <v>0</v>
      </c>
      <c r="H34" s="293">
        <v>0</v>
      </c>
      <c r="I34" s="293">
        <v>0</v>
      </c>
      <c r="J34" s="293">
        <v>0</v>
      </c>
      <c r="K34" s="293">
        <v>0</v>
      </c>
      <c r="L34" s="293">
        <v>0</v>
      </c>
      <c r="M34" s="293">
        <v>0</v>
      </c>
      <c r="N34" s="293">
        <v>0</v>
      </c>
      <c r="O34" s="292">
        <f t="shared" si="0"/>
        <v>0</v>
      </c>
      <c r="P34" s="292"/>
      <c r="Q34" s="912"/>
      <c r="R34" s="918" t="s">
        <v>1084</v>
      </c>
      <c r="S34" s="912"/>
      <c r="T34" s="292"/>
      <c r="U34" s="914">
        <f t="shared" si="1"/>
        <v>0</v>
      </c>
      <c r="V34" s="914">
        <f t="shared" si="2"/>
        <v>0</v>
      </c>
      <c r="W34" s="914">
        <f t="shared" si="3"/>
        <v>0</v>
      </c>
      <c r="X34" s="914">
        <f t="shared" si="4"/>
        <v>0</v>
      </c>
      <c r="Y34" s="915">
        <f t="shared" si="5"/>
        <v>0</v>
      </c>
    </row>
    <row r="35" spans="1:25" x14ac:dyDescent="0.25">
      <c r="A35" s="911" t="s">
        <v>1092</v>
      </c>
      <c r="C35" s="915"/>
      <c r="D35" s="915"/>
      <c r="E35" s="915"/>
      <c r="F35" s="915"/>
      <c r="G35" s="915"/>
      <c r="H35" s="915"/>
      <c r="I35" s="915"/>
      <c r="J35" s="915"/>
      <c r="K35" s="915"/>
      <c r="L35" s="915"/>
      <c r="M35" s="915"/>
      <c r="N35" s="915"/>
      <c r="O35" s="292">
        <f t="shared" si="0"/>
        <v>0</v>
      </c>
      <c r="P35" s="292"/>
      <c r="Q35" s="912"/>
      <c r="R35" s="919" t="s">
        <v>1084</v>
      </c>
      <c r="S35" s="912"/>
      <c r="T35" s="292"/>
      <c r="U35" s="914">
        <f t="shared" si="1"/>
        <v>0</v>
      </c>
      <c r="V35" s="914">
        <f t="shared" si="2"/>
        <v>0</v>
      </c>
      <c r="W35" s="914">
        <f t="shared" si="3"/>
        <v>0</v>
      </c>
      <c r="X35" s="914">
        <f t="shared" si="4"/>
        <v>0</v>
      </c>
      <c r="Y35" s="915">
        <f t="shared" si="5"/>
        <v>0</v>
      </c>
    </row>
    <row r="36" spans="1:25" x14ac:dyDescent="0.25">
      <c r="A36" s="911" t="s">
        <v>1100</v>
      </c>
      <c r="C36" s="128">
        <v>4940</v>
      </c>
      <c r="D36" s="868">
        <f>3633+1</f>
        <v>3634</v>
      </c>
      <c r="E36" s="128">
        <v>3808</v>
      </c>
      <c r="F36" s="868">
        <f>3274-21741</f>
        <v>-18467</v>
      </c>
      <c r="G36" s="868">
        <f>408-21742+21741</f>
        <v>407</v>
      </c>
      <c r="H36" s="128">
        <v>-379</v>
      </c>
      <c r="I36" s="128">
        <v>3454</v>
      </c>
      <c r="J36" s="128">
        <v>2828</v>
      </c>
      <c r="K36" s="128">
        <v>2903</v>
      </c>
      <c r="L36" s="128">
        <v>3318</v>
      </c>
      <c r="M36" s="128">
        <v>3193</v>
      </c>
      <c r="N36" s="128">
        <v>2891</v>
      </c>
      <c r="O36" s="129">
        <f t="shared" si="0"/>
        <v>12530</v>
      </c>
      <c r="P36" s="129"/>
      <c r="Q36" s="912"/>
      <c r="R36" s="913" t="s">
        <v>1101</v>
      </c>
      <c r="S36" s="912"/>
      <c r="T36" s="129"/>
      <c r="U36" s="914">
        <f t="shared" si="1"/>
        <v>12382</v>
      </c>
      <c r="V36" s="914">
        <f t="shared" si="2"/>
        <v>-18439</v>
      </c>
      <c r="W36" s="914">
        <f t="shared" si="3"/>
        <v>9185</v>
      </c>
      <c r="X36" s="914">
        <f t="shared" si="4"/>
        <v>9402</v>
      </c>
      <c r="Y36" s="915">
        <f t="shared" si="5"/>
        <v>12530</v>
      </c>
    </row>
    <row r="37" spans="1:25" x14ac:dyDescent="0.25">
      <c r="A37" s="911" t="s">
        <v>1102</v>
      </c>
      <c r="C37" s="926"/>
      <c r="D37" s="926"/>
      <c r="E37" s="926"/>
      <c r="F37" s="926"/>
      <c r="G37" s="926"/>
      <c r="H37" s="926"/>
      <c r="I37" s="926"/>
      <c r="J37" s="926"/>
      <c r="K37" s="926"/>
      <c r="L37" s="926"/>
      <c r="M37" s="926"/>
      <c r="N37" s="926"/>
      <c r="O37" s="129">
        <f t="shared" si="0"/>
        <v>0</v>
      </c>
      <c r="P37" s="129"/>
      <c r="Q37" s="912"/>
      <c r="R37" s="917" t="s">
        <v>1101</v>
      </c>
      <c r="S37" s="912"/>
      <c r="T37" s="129"/>
      <c r="U37" s="914">
        <f>C37+D37+E37</f>
        <v>0</v>
      </c>
      <c r="V37" s="914">
        <f>F37+G37+H37</f>
        <v>0</v>
      </c>
      <c r="W37" s="914">
        <f>I37+J37+K37</f>
        <v>0</v>
      </c>
      <c r="X37" s="914">
        <f>L37+M37+N37</f>
        <v>0</v>
      </c>
      <c r="Y37" s="915">
        <f>SUM(U37:X37)</f>
        <v>0</v>
      </c>
    </row>
    <row r="38" spans="1:25" x14ac:dyDescent="0.25">
      <c r="A38" s="911" t="s">
        <v>143</v>
      </c>
      <c r="C38" s="926"/>
      <c r="D38" s="926"/>
      <c r="E38" s="926"/>
      <c r="F38" s="926">
        <v>7815</v>
      </c>
      <c r="G38" s="926"/>
      <c r="H38" s="926"/>
      <c r="I38" s="926"/>
      <c r="J38" s="926"/>
      <c r="K38" s="926"/>
      <c r="L38" s="926"/>
      <c r="M38" s="926"/>
      <c r="N38" s="926"/>
      <c r="O38" s="129">
        <f t="shared" si="0"/>
        <v>7815</v>
      </c>
      <c r="P38" s="129"/>
      <c r="Q38" s="912"/>
      <c r="R38" s="917" t="s">
        <v>1101</v>
      </c>
      <c r="S38" s="912"/>
      <c r="T38" s="129"/>
      <c r="U38" s="914">
        <f>C38+D38+E38</f>
        <v>0</v>
      </c>
      <c r="V38" s="914">
        <f>F38+G38+H38</f>
        <v>7815</v>
      </c>
      <c r="W38" s="914">
        <f>I38+J38+K38</f>
        <v>0</v>
      </c>
      <c r="X38" s="914">
        <f>L38+M38+N38</f>
        <v>0</v>
      </c>
      <c r="Y38" s="915">
        <f>SUM(U38:X38)</f>
        <v>7815</v>
      </c>
    </row>
    <row r="39" spans="1:25" x14ac:dyDescent="0.25">
      <c r="A39" s="911" t="s">
        <v>1103</v>
      </c>
      <c r="C39" s="926"/>
      <c r="D39" s="926"/>
      <c r="E39" s="926"/>
      <c r="F39" s="926"/>
      <c r="G39" s="926"/>
      <c r="H39" s="926"/>
      <c r="I39" s="926"/>
      <c r="J39" s="926"/>
      <c r="K39" s="926"/>
      <c r="L39" s="926"/>
      <c r="M39" s="926"/>
      <c r="N39" s="926"/>
      <c r="O39" s="129">
        <f t="shared" si="0"/>
        <v>0</v>
      </c>
      <c r="P39" s="129"/>
      <c r="Q39" s="912"/>
      <c r="R39" s="917" t="s">
        <v>1101</v>
      </c>
      <c r="S39" s="912"/>
      <c r="T39" s="129"/>
      <c r="U39" s="914">
        <f>C39+D39+E39</f>
        <v>0</v>
      </c>
      <c r="V39" s="914">
        <f>F39+G39+H39</f>
        <v>0</v>
      </c>
      <c r="W39" s="914">
        <f>I39+J39+K39</f>
        <v>0</v>
      </c>
      <c r="X39" s="914">
        <f>L39+M39+N39</f>
        <v>0</v>
      </c>
      <c r="Y39" s="915">
        <f>SUM(U39:X39)</f>
        <v>0</v>
      </c>
    </row>
    <row r="40" spans="1:25" ht="6" customHeight="1" x14ac:dyDescent="0.25">
      <c r="A40" s="911"/>
      <c r="C40" s="915"/>
      <c r="D40" s="915"/>
      <c r="E40" s="915"/>
      <c r="F40" s="915"/>
      <c r="G40" s="915"/>
      <c r="H40" s="915"/>
      <c r="I40" s="915"/>
      <c r="J40" s="915"/>
      <c r="K40" s="915"/>
      <c r="L40" s="915"/>
      <c r="M40" s="915"/>
      <c r="N40" s="915"/>
      <c r="O40" s="914"/>
      <c r="P40" s="914"/>
      <c r="Q40" s="912"/>
      <c r="R40" s="917"/>
      <c r="S40" s="912"/>
      <c r="T40" s="914"/>
      <c r="U40" s="914"/>
      <c r="V40" s="914"/>
      <c r="W40" s="914"/>
      <c r="X40" s="914"/>
      <c r="Y40" s="915"/>
    </row>
    <row r="41" spans="1:25" ht="12.75" customHeight="1" x14ac:dyDescent="0.25">
      <c r="A41" s="911" t="s">
        <v>0</v>
      </c>
      <c r="C41" s="293">
        <v>0</v>
      </c>
      <c r="D41" s="293">
        <v>0</v>
      </c>
      <c r="E41" s="293">
        <v>0</v>
      </c>
      <c r="F41" s="293">
        <v>0</v>
      </c>
      <c r="G41" s="293">
        <v>0</v>
      </c>
      <c r="H41" s="293">
        <v>0</v>
      </c>
      <c r="I41" s="293">
        <v>0</v>
      </c>
      <c r="J41" s="293">
        <v>0</v>
      </c>
      <c r="K41" s="293">
        <v>0</v>
      </c>
      <c r="L41" s="293">
        <v>0</v>
      </c>
      <c r="M41" s="293">
        <v>0</v>
      </c>
      <c r="N41" s="293">
        <v>0</v>
      </c>
      <c r="O41" s="914">
        <f>C41+D41+E41+F41+G41+H41+I41+J41+K41+L41+M41+N41</f>
        <v>0</v>
      </c>
      <c r="P41" s="914"/>
      <c r="Q41" s="912"/>
      <c r="R41" s="919" t="s">
        <v>1084</v>
      </c>
      <c r="S41" s="912"/>
      <c r="T41" s="914"/>
      <c r="U41" s="914">
        <f t="shared" ref="U41:U46" si="6">C41+D41+E41</f>
        <v>0</v>
      </c>
      <c r="V41" s="914">
        <f t="shared" ref="V41:V46" si="7">F41+G41+H41</f>
        <v>0</v>
      </c>
      <c r="W41" s="914">
        <f t="shared" ref="W41:W46" si="8">I41+J41+K41</f>
        <v>0</v>
      </c>
      <c r="X41" s="914">
        <f t="shared" ref="X41:X46" si="9">L41+M41+N41</f>
        <v>0</v>
      </c>
      <c r="Y41" s="915">
        <f t="shared" ref="Y41:Y46" si="10">SUM(U41:X41)</f>
        <v>0</v>
      </c>
    </row>
    <row r="42" spans="1:25" ht="12.75" customHeight="1" x14ac:dyDescent="0.25">
      <c r="A42" s="911" t="s">
        <v>1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292">
        <f>SUM(C42:N42)</f>
        <v>0</v>
      </c>
      <c r="P42" s="292"/>
      <c r="Q42" s="912"/>
      <c r="R42" s="919" t="s">
        <v>1084</v>
      </c>
      <c r="S42" s="912"/>
      <c r="T42" s="292"/>
      <c r="U42" s="914">
        <f t="shared" si="6"/>
        <v>0</v>
      </c>
      <c r="V42" s="914">
        <f t="shared" si="7"/>
        <v>0</v>
      </c>
      <c r="W42" s="914">
        <f t="shared" si="8"/>
        <v>0</v>
      </c>
      <c r="X42" s="914">
        <f t="shared" si="9"/>
        <v>0</v>
      </c>
      <c r="Y42" s="915">
        <f t="shared" si="10"/>
        <v>0</v>
      </c>
    </row>
    <row r="43" spans="1:25" ht="12.75" customHeight="1" x14ac:dyDescent="0.25">
      <c r="A43" s="911" t="s">
        <v>2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4">
        <f>SUM(C43:N43)</f>
        <v>0</v>
      </c>
      <c r="P43" s="614"/>
      <c r="Q43" s="912"/>
      <c r="R43" s="919" t="s">
        <v>3</v>
      </c>
      <c r="S43" s="912"/>
      <c r="T43" s="614"/>
      <c r="U43" s="914">
        <f t="shared" si="6"/>
        <v>0</v>
      </c>
      <c r="V43" s="914">
        <f t="shared" si="7"/>
        <v>0</v>
      </c>
      <c r="W43" s="914">
        <f t="shared" si="8"/>
        <v>0</v>
      </c>
      <c r="X43" s="914">
        <f t="shared" si="9"/>
        <v>0</v>
      </c>
      <c r="Y43" s="915">
        <f t="shared" si="10"/>
        <v>0</v>
      </c>
    </row>
    <row r="44" spans="1:25" ht="12.75" customHeight="1" x14ac:dyDescent="0.25">
      <c r="A44" s="911" t="s">
        <v>4</v>
      </c>
      <c r="C44" s="920">
        <f t="shared" ref="C44:N44" si="11">+C45-SUM(C41:C43)</f>
        <v>0</v>
      </c>
      <c r="D44" s="920">
        <f t="shared" si="11"/>
        <v>0</v>
      </c>
      <c r="E44" s="920">
        <f t="shared" si="11"/>
        <v>0</v>
      </c>
      <c r="F44" s="920">
        <f t="shared" si="11"/>
        <v>0</v>
      </c>
      <c r="G44" s="920">
        <f t="shared" si="11"/>
        <v>0</v>
      </c>
      <c r="H44" s="920">
        <f t="shared" si="11"/>
        <v>0</v>
      </c>
      <c r="I44" s="920">
        <f t="shared" si="11"/>
        <v>0</v>
      </c>
      <c r="J44" s="920">
        <f t="shared" si="11"/>
        <v>0</v>
      </c>
      <c r="K44" s="920">
        <f t="shared" si="11"/>
        <v>0</v>
      </c>
      <c r="L44" s="920">
        <f t="shared" si="11"/>
        <v>0</v>
      </c>
      <c r="M44" s="920">
        <f t="shared" si="11"/>
        <v>0</v>
      </c>
      <c r="N44" s="920">
        <f t="shared" si="11"/>
        <v>0</v>
      </c>
      <c r="O44" s="294">
        <f>SUM(C44:N44)</f>
        <v>0</v>
      </c>
      <c r="P44" s="294"/>
      <c r="Q44" s="921"/>
      <c r="R44" s="922" t="s">
        <v>3</v>
      </c>
      <c r="S44" s="921"/>
      <c r="T44" s="294"/>
      <c r="U44" s="923">
        <f t="shared" si="6"/>
        <v>0</v>
      </c>
      <c r="V44" s="923">
        <f t="shared" si="7"/>
        <v>0</v>
      </c>
      <c r="W44" s="923">
        <f t="shared" si="8"/>
        <v>0</v>
      </c>
      <c r="X44" s="923">
        <f t="shared" si="9"/>
        <v>0</v>
      </c>
      <c r="Y44" s="924">
        <f t="shared" si="10"/>
        <v>0</v>
      </c>
    </row>
    <row r="45" spans="1:25" ht="12.75" customHeight="1" x14ac:dyDescent="0.25">
      <c r="A45" s="925" t="s">
        <v>5</v>
      </c>
      <c r="C45" s="926">
        <v>0</v>
      </c>
      <c r="D45" s="926">
        <v>0</v>
      </c>
      <c r="E45" s="926">
        <v>0</v>
      </c>
      <c r="F45" s="926">
        <v>0</v>
      </c>
      <c r="G45" s="926">
        <v>0</v>
      </c>
      <c r="H45" s="926">
        <v>0</v>
      </c>
      <c r="I45" s="926">
        <v>0</v>
      </c>
      <c r="J45" s="926">
        <v>0</v>
      </c>
      <c r="K45" s="926">
        <v>0</v>
      </c>
      <c r="L45" s="926">
        <v>0</v>
      </c>
      <c r="M45" s="926">
        <v>0</v>
      </c>
      <c r="N45" s="926">
        <v>0</v>
      </c>
      <c r="O45" s="292">
        <f>SUM(C45:N45)</f>
        <v>0</v>
      </c>
      <c r="P45" s="292"/>
      <c r="Q45" s="912"/>
      <c r="R45" s="917"/>
      <c r="S45" s="912"/>
      <c r="T45" s="292"/>
      <c r="U45" s="914">
        <f t="shared" si="6"/>
        <v>0</v>
      </c>
      <c r="V45" s="914">
        <f t="shared" si="7"/>
        <v>0</v>
      </c>
      <c r="W45" s="914">
        <f t="shared" si="8"/>
        <v>0</v>
      </c>
      <c r="X45" s="914">
        <f t="shared" si="9"/>
        <v>0</v>
      </c>
      <c r="Y45" s="915">
        <f t="shared" si="10"/>
        <v>0</v>
      </c>
    </row>
    <row r="46" spans="1:25" x14ac:dyDescent="0.25">
      <c r="A46" s="925" t="s">
        <v>6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359">
        <f>SUM(C46:N46)</f>
        <v>0</v>
      </c>
      <c r="P46" s="359"/>
      <c r="Q46" s="912"/>
      <c r="R46" s="919" t="s">
        <v>3</v>
      </c>
      <c r="S46" s="912"/>
      <c r="T46" s="359"/>
      <c r="U46" s="914">
        <f t="shared" si="6"/>
        <v>0</v>
      </c>
      <c r="V46" s="914">
        <f t="shared" si="7"/>
        <v>0</v>
      </c>
      <c r="W46" s="914">
        <f t="shared" si="8"/>
        <v>0</v>
      </c>
      <c r="X46" s="914">
        <f t="shared" si="9"/>
        <v>0</v>
      </c>
      <c r="Y46" s="915">
        <f t="shared" si="10"/>
        <v>0</v>
      </c>
    </row>
    <row r="47" spans="1:25" ht="6" customHeight="1" x14ac:dyDescent="0.25">
      <c r="A47" s="911"/>
      <c r="C47" s="915"/>
      <c r="D47" s="915"/>
      <c r="E47" s="915"/>
      <c r="F47" s="915"/>
      <c r="G47" s="915"/>
      <c r="H47" s="915"/>
      <c r="I47" s="915"/>
      <c r="J47" s="915"/>
      <c r="K47" s="915"/>
      <c r="L47" s="915"/>
      <c r="M47" s="915"/>
      <c r="N47" s="915"/>
      <c r="O47" s="914"/>
      <c r="P47" s="914"/>
      <c r="Q47" s="912"/>
      <c r="R47" s="917"/>
      <c r="S47" s="912"/>
      <c r="T47" s="914"/>
      <c r="U47" s="914"/>
      <c r="V47" s="914"/>
      <c r="W47" s="914"/>
      <c r="X47" s="914"/>
      <c r="Y47" s="915"/>
    </row>
    <row r="48" spans="1:25" ht="12.75" customHeight="1" x14ac:dyDescent="0.25">
      <c r="A48" s="911" t="s">
        <v>7</v>
      </c>
      <c r="C48" s="293">
        <v>0</v>
      </c>
      <c r="D48" s="293">
        <v>0</v>
      </c>
      <c r="E48" s="293">
        <v>0</v>
      </c>
      <c r="F48" s="293">
        <v>0</v>
      </c>
      <c r="G48" s="293">
        <v>0</v>
      </c>
      <c r="H48" s="293">
        <v>0</v>
      </c>
      <c r="I48" s="293">
        <v>0</v>
      </c>
      <c r="J48" s="293">
        <v>0</v>
      </c>
      <c r="K48" s="293">
        <v>0</v>
      </c>
      <c r="L48" s="293">
        <v>0</v>
      </c>
      <c r="M48" s="293">
        <v>0</v>
      </c>
      <c r="N48" s="293">
        <v>0</v>
      </c>
      <c r="O48" s="914">
        <f>C48+D48+E48+F48+G48+H48+I48+J48+K48+L48+M48+N48</f>
        <v>0</v>
      </c>
      <c r="P48" s="914"/>
      <c r="Q48" s="912"/>
      <c r="R48" s="919" t="s">
        <v>1084</v>
      </c>
      <c r="S48" s="912"/>
      <c r="T48" s="914"/>
      <c r="U48" s="914">
        <f t="shared" ref="U48:U53" si="12">C48+D48+E48</f>
        <v>0</v>
      </c>
      <c r="V48" s="914">
        <f t="shared" ref="V48:V53" si="13">F48+G48+H48</f>
        <v>0</v>
      </c>
      <c r="W48" s="914">
        <f t="shared" ref="W48:W53" si="14">I48+J48+K48</f>
        <v>0</v>
      </c>
      <c r="X48" s="914">
        <f t="shared" ref="X48:X53" si="15">L48+M48+N48</f>
        <v>0</v>
      </c>
      <c r="Y48" s="915">
        <f t="shared" ref="Y48:Y53" si="16">SUM(U48:X48)</f>
        <v>0</v>
      </c>
    </row>
    <row r="49" spans="1:25" ht="12.75" customHeight="1" x14ac:dyDescent="0.25">
      <c r="A49" s="911" t="s">
        <v>1</v>
      </c>
      <c r="C49" s="293">
        <v>0</v>
      </c>
      <c r="D49" s="293">
        <v>0</v>
      </c>
      <c r="E49" s="293">
        <v>0</v>
      </c>
      <c r="F49" s="293">
        <v>0</v>
      </c>
      <c r="G49" s="293">
        <v>0</v>
      </c>
      <c r="H49" s="293">
        <v>0</v>
      </c>
      <c r="I49" s="293">
        <v>0</v>
      </c>
      <c r="J49" s="293">
        <v>0</v>
      </c>
      <c r="K49" s="293">
        <v>0</v>
      </c>
      <c r="L49" s="293">
        <v>0</v>
      </c>
      <c r="M49" s="293">
        <v>0</v>
      </c>
      <c r="N49" s="293">
        <v>0</v>
      </c>
      <c r="O49" s="927">
        <f>SUM(C49:N49)</f>
        <v>0</v>
      </c>
      <c r="P49" s="927"/>
      <c r="Q49" s="912"/>
      <c r="R49" s="919" t="s">
        <v>1084</v>
      </c>
      <c r="S49" s="912"/>
      <c r="T49" s="927"/>
      <c r="U49" s="914">
        <f t="shared" si="12"/>
        <v>0</v>
      </c>
      <c r="V49" s="914">
        <f t="shared" si="13"/>
        <v>0</v>
      </c>
      <c r="W49" s="914">
        <f t="shared" si="14"/>
        <v>0</v>
      </c>
      <c r="X49" s="914">
        <f t="shared" si="15"/>
        <v>0</v>
      </c>
      <c r="Y49" s="915">
        <f t="shared" si="16"/>
        <v>0</v>
      </c>
    </row>
    <row r="50" spans="1:25" ht="12.75" customHeight="1" x14ac:dyDescent="0.25">
      <c r="A50" s="911" t="s">
        <v>8</v>
      </c>
      <c r="C50" s="293">
        <v>0</v>
      </c>
      <c r="D50" s="293">
        <v>0</v>
      </c>
      <c r="E50" s="293">
        <v>0</v>
      </c>
      <c r="F50" s="293">
        <v>0</v>
      </c>
      <c r="G50" s="293">
        <v>0</v>
      </c>
      <c r="H50" s="293">
        <v>0</v>
      </c>
      <c r="I50" s="293">
        <v>0</v>
      </c>
      <c r="J50" s="293">
        <v>0</v>
      </c>
      <c r="K50" s="293">
        <v>0</v>
      </c>
      <c r="L50" s="293">
        <v>0</v>
      </c>
      <c r="M50" s="293">
        <v>0</v>
      </c>
      <c r="N50" s="293">
        <v>0</v>
      </c>
      <c r="O50" s="70">
        <f>SUM(C50:N50)</f>
        <v>0</v>
      </c>
      <c r="P50" s="70"/>
      <c r="Q50" s="912"/>
      <c r="R50" s="919" t="s">
        <v>3</v>
      </c>
      <c r="S50" s="912"/>
      <c r="T50" s="70"/>
      <c r="U50" s="914">
        <f t="shared" si="12"/>
        <v>0</v>
      </c>
      <c r="V50" s="914">
        <f t="shared" si="13"/>
        <v>0</v>
      </c>
      <c r="W50" s="914">
        <f t="shared" si="14"/>
        <v>0</v>
      </c>
      <c r="X50" s="914">
        <f t="shared" si="15"/>
        <v>0</v>
      </c>
      <c r="Y50" s="915">
        <f t="shared" si="16"/>
        <v>0</v>
      </c>
    </row>
    <row r="51" spans="1:25" ht="12.75" customHeight="1" x14ac:dyDescent="0.25">
      <c r="A51" s="911" t="s">
        <v>4</v>
      </c>
      <c r="C51" s="920">
        <f t="shared" ref="C51:N51" si="17">+C52-SUM(C48:C50)</f>
        <v>0</v>
      </c>
      <c r="D51" s="920">
        <f t="shared" si="17"/>
        <v>0</v>
      </c>
      <c r="E51" s="920">
        <f t="shared" si="17"/>
        <v>0</v>
      </c>
      <c r="F51" s="920">
        <f t="shared" si="17"/>
        <v>0</v>
      </c>
      <c r="G51" s="920">
        <f t="shared" si="17"/>
        <v>0</v>
      </c>
      <c r="H51" s="920">
        <f t="shared" si="17"/>
        <v>0</v>
      </c>
      <c r="I51" s="920">
        <f t="shared" si="17"/>
        <v>0</v>
      </c>
      <c r="J51" s="920">
        <f t="shared" si="17"/>
        <v>0</v>
      </c>
      <c r="K51" s="920">
        <f t="shared" si="17"/>
        <v>0</v>
      </c>
      <c r="L51" s="920">
        <f t="shared" si="17"/>
        <v>0</v>
      </c>
      <c r="M51" s="920">
        <f t="shared" si="17"/>
        <v>0</v>
      </c>
      <c r="N51" s="928">
        <f t="shared" si="17"/>
        <v>0</v>
      </c>
      <c r="O51" s="929">
        <f>SUM(C51:N51)</f>
        <v>0</v>
      </c>
      <c r="P51" s="929"/>
      <c r="Q51" s="912"/>
      <c r="R51" s="919" t="s">
        <v>3</v>
      </c>
      <c r="S51" s="912"/>
      <c r="T51" s="929"/>
      <c r="U51" s="923">
        <f t="shared" si="12"/>
        <v>0</v>
      </c>
      <c r="V51" s="923">
        <f t="shared" si="13"/>
        <v>0</v>
      </c>
      <c r="W51" s="923">
        <f t="shared" si="14"/>
        <v>0</v>
      </c>
      <c r="X51" s="923">
        <f t="shared" si="15"/>
        <v>0</v>
      </c>
      <c r="Y51" s="924">
        <f t="shared" si="16"/>
        <v>0</v>
      </c>
    </row>
    <row r="52" spans="1:25" ht="12.75" customHeight="1" x14ac:dyDescent="0.25">
      <c r="A52" s="925" t="s">
        <v>9</v>
      </c>
      <c r="C52" s="926">
        <v>0</v>
      </c>
      <c r="D52" s="926">
        <v>0</v>
      </c>
      <c r="E52" s="926">
        <v>0</v>
      </c>
      <c r="F52" s="926">
        <v>0</v>
      </c>
      <c r="G52" s="926">
        <v>0</v>
      </c>
      <c r="H52" s="926">
        <v>0</v>
      </c>
      <c r="I52" s="926">
        <v>0</v>
      </c>
      <c r="J52" s="926">
        <v>0</v>
      </c>
      <c r="K52" s="926">
        <v>0</v>
      </c>
      <c r="L52" s="926">
        <v>0</v>
      </c>
      <c r="M52" s="926">
        <v>0</v>
      </c>
      <c r="N52" s="926">
        <v>0</v>
      </c>
      <c r="O52" s="927">
        <f>SUM(C52:N52)</f>
        <v>0</v>
      </c>
      <c r="P52" s="927"/>
      <c r="Q52" s="912"/>
      <c r="R52" s="917"/>
      <c r="S52" s="912"/>
      <c r="T52" s="927"/>
      <c r="U52" s="914">
        <f t="shared" si="12"/>
        <v>0</v>
      </c>
      <c r="V52" s="914">
        <f t="shared" si="13"/>
        <v>0</v>
      </c>
      <c r="W52" s="914">
        <f t="shared" si="14"/>
        <v>0</v>
      </c>
      <c r="X52" s="914">
        <f t="shared" si="15"/>
        <v>0</v>
      </c>
      <c r="Y52" s="915">
        <f t="shared" si="16"/>
        <v>0</v>
      </c>
    </row>
    <row r="53" spans="1:25" x14ac:dyDescent="0.25">
      <c r="A53" s="925" t="s">
        <v>10</v>
      </c>
      <c r="C53" s="293">
        <v>0</v>
      </c>
      <c r="D53" s="293">
        <v>0</v>
      </c>
      <c r="E53" s="293">
        <v>0</v>
      </c>
      <c r="F53" s="293">
        <v>0</v>
      </c>
      <c r="G53" s="293">
        <v>0</v>
      </c>
      <c r="H53" s="293">
        <v>0</v>
      </c>
      <c r="I53" s="293">
        <v>0</v>
      </c>
      <c r="J53" s="293">
        <v>0</v>
      </c>
      <c r="K53" s="293">
        <v>0</v>
      </c>
      <c r="L53" s="293">
        <v>0</v>
      </c>
      <c r="M53" s="293">
        <v>0</v>
      </c>
      <c r="N53" s="293">
        <v>0</v>
      </c>
      <c r="O53" s="359">
        <f>SUM(C53:N53)</f>
        <v>0</v>
      </c>
      <c r="P53" s="359"/>
      <c r="Q53" s="912"/>
      <c r="R53" s="919" t="s">
        <v>3</v>
      </c>
      <c r="S53" s="912"/>
      <c r="T53" s="359"/>
      <c r="U53" s="914">
        <f t="shared" si="12"/>
        <v>0</v>
      </c>
      <c r="V53" s="914">
        <f t="shared" si="13"/>
        <v>0</v>
      </c>
      <c r="W53" s="914">
        <f t="shared" si="14"/>
        <v>0</v>
      </c>
      <c r="X53" s="914">
        <f t="shared" si="15"/>
        <v>0</v>
      </c>
      <c r="Y53" s="915">
        <f t="shared" si="16"/>
        <v>0</v>
      </c>
    </row>
    <row r="54" spans="1:25" ht="6" customHeight="1" x14ac:dyDescent="0.25">
      <c r="A54" s="911"/>
      <c r="C54" s="915"/>
      <c r="D54" s="915"/>
      <c r="E54" s="915"/>
      <c r="F54" s="915"/>
      <c r="G54" s="915"/>
      <c r="H54" s="915"/>
      <c r="I54" s="915"/>
      <c r="J54" s="915"/>
      <c r="K54" s="915"/>
      <c r="L54" s="915"/>
      <c r="M54" s="915"/>
      <c r="N54" s="915"/>
      <c r="O54" s="914"/>
      <c r="P54" s="914"/>
      <c r="Q54" s="912"/>
      <c r="R54" s="917"/>
      <c r="S54" s="912"/>
      <c r="T54" s="914"/>
      <c r="U54" s="914"/>
      <c r="V54" s="914"/>
      <c r="W54" s="914"/>
      <c r="X54" s="914"/>
      <c r="Y54" s="915"/>
    </row>
    <row r="55" spans="1:25" x14ac:dyDescent="0.25">
      <c r="A55" s="911" t="s">
        <v>11</v>
      </c>
      <c r="C55" s="293">
        <v>0</v>
      </c>
      <c r="D55" s="293">
        <v>0</v>
      </c>
      <c r="E55" s="293">
        <v>0</v>
      </c>
      <c r="F55" s="293">
        <v>0</v>
      </c>
      <c r="G55" s="293">
        <v>0</v>
      </c>
      <c r="H55" s="293">
        <v>0</v>
      </c>
      <c r="I55" s="293">
        <v>0</v>
      </c>
      <c r="J55" s="293">
        <v>0</v>
      </c>
      <c r="K55" s="293">
        <v>0</v>
      </c>
      <c r="L55" s="293">
        <v>0</v>
      </c>
      <c r="M55" s="293">
        <v>0</v>
      </c>
      <c r="N55" s="293">
        <v>0</v>
      </c>
      <c r="O55" s="622">
        <f t="shared" ref="O55:O64" si="18">SUM(C55:N55)</f>
        <v>0</v>
      </c>
      <c r="P55" s="622"/>
      <c r="Q55" s="912"/>
      <c r="R55" s="918" t="s">
        <v>12</v>
      </c>
      <c r="S55" s="912"/>
      <c r="T55" s="622"/>
      <c r="U55" s="914">
        <f t="shared" ref="U55:U64" si="19">C55+D55+E55</f>
        <v>0</v>
      </c>
      <c r="V55" s="914">
        <f t="shared" ref="V55:V64" si="20">F55+G55+H55</f>
        <v>0</v>
      </c>
      <c r="W55" s="914">
        <f t="shared" ref="W55:W64" si="21">I55+J55+K55</f>
        <v>0</v>
      </c>
      <c r="X55" s="914">
        <f t="shared" ref="X55:X64" si="22">L55+M55+N55</f>
        <v>0</v>
      </c>
      <c r="Y55" s="915">
        <f t="shared" ref="Y55:Y64" si="23">SUM(U55:X55)</f>
        <v>0</v>
      </c>
    </row>
    <row r="56" spans="1:25" x14ac:dyDescent="0.25">
      <c r="A56" s="911" t="s">
        <v>13</v>
      </c>
      <c r="C56" s="293">
        <v>0</v>
      </c>
      <c r="D56" s="293">
        <v>0</v>
      </c>
      <c r="E56" s="293">
        <v>0</v>
      </c>
      <c r="F56" s="293">
        <v>0</v>
      </c>
      <c r="G56" s="293">
        <v>0</v>
      </c>
      <c r="H56" s="293">
        <v>0</v>
      </c>
      <c r="I56" s="293">
        <v>0</v>
      </c>
      <c r="J56" s="293">
        <v>0</v>
      </c>
      <c r="K56" s="293">
        <v>0</v>
      </c>
      <c r="L56" s="293">
        <v>0</v>
      </c>
      <c r="M56" s="293">
        <v>0</v>
      </c>
      <c r="N56" s="293">
        <v>0</v>
      </c>
      <c r="O56" s="622">
        <f t="shared" si="18"/>
        <v>0</v>
      </c>
      <c r="P56" s="622"/>
      <c r="Q56" s="912"/>
      <c r="R56" s="918" t="s">
        <v>12</v>
      </c>
      <c r="S56" s="912"/>
      <c r="T56" s="622"/>
      <c r="U56" s="914">
        <f t="shared" si="19"/>
        <v>0</v>
      </c>
      <c r="V56" s="914">
        <f t="shared" si="20"/>
        <v>0</v>
      </c>
      <c r="W56" s="914">
        <f t="shared" si="21"/>
        <v>0</v>
      </c>
      <c r="X56" s="914">
        <f t="shared" si="22"/>
        <v>0</v>
      </c>
      <c r="Y56" s="915">
        <f t="shared" si="23"/>
        <v>0</v>
      </c>
    </row>
    <row r="57" spans="1:25" x14ac:dyDescent="0.25">
      <c r="A57" s="911" t="s">
        <v>14</v>
      </c>
      <c r="C57" s="293">
        <v>0</v>
      </c>
      <c r="D57" s="293">
        <v>0</v>
      </c>
      <c r="E57" s="293">
        <v>0</v>
      </c>
      <c r="F57" s="293">
        <v>0</v>
      </c>
      <c r="G57" s="293">
        <v>0</v>
      </c>
      <c r="H57" s="293">
        <v>0</v>
      </c>
      <c r="I57" s="293">
        <v>0</v>
      </c>
      <c r="J57" s="293">
        <v>0</v>
      </c>
      <c r="K57" s="293">
        <v>0</v>
      </c>
      <c r="L57" s="293">
        <v>0</v>
      </c>
      <c r="M57" s="293">
        <v>0</v>
      </c>
      <c r="N57" s="293">
        <v>0</v>
      </c>
      <c r="O57" s="614">
        <f t="shared" si="18"/>
        <v>0</v>
      </c>
      <c r="P57" s="614"/>
      <c r="Q57" s="912"/>
      <c r="R57" s="918" t="s">
        <v>12</v>
      </c>
      <c r="S57" s="912"/>
      <c r="T57" s="614"/>
      <c r="U57" s="914">
        <f t="shared" si="19"/>
        <v>0</v>
      </c>
      <c r="V57" s="914">
        <f t="shared" si="20"/>
        <v>0</v>
      </c>
      <c r="W57" s="914">
        <f t="shared" si="21"/>
        <v>0</v>
      </c>
      <c r="X57" s="914">
        <f t="shared" si="22"/>
        <v>0</v>
      </c>
      <c r="Y57" s="915">
        <f t="shared" si="23"/>
        <v>0</v>
      </c>
    </row>
    <row r="58" spans="1:25" x14ac:dyDescent="0.25">
      <c r="A58" s="911" t="s">
        <v>15</v>
      </c>
      <c r="C58" s="293">
        <v>0</v>
      </c>
      <c r="D58" s="293">
        <v>0</v>
      </c>
      <c r="E58" s="293">
        <v>0</v>
      </c>
      <c r="F58" s="293">
        <v>0</v>
      </c>
      <c r="G58" s="293">
        <v>0</v>
      </c>
      <c r="H58" s="293">
        <v>0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293">
        <v>0</v>
      </c>
      <c r="O58" s="622">
        <f t="shared" si="18"/>
        <v>0</v>
      </c>
      <c r="P58" s="622"/>
      <c r="Q58" s="912"/>
      <c r="R58" s="919" t="s">
        <v>12</v>
      </c>
      <c r="S58" s="912"/>
      <c r="T58" s="622"/>
      <c r="U58" s="914">
        <f t="shared" si="19"/>
        <v>0</v>
      </c>
      <c r="V58" s="914">
        <f t="shared" si="20"/>
        <v>0</v>
      </c>
      <c r="W58" s="914">
        <f t="shared" si="21"/>
        <v>0</v>
      </c>
      <c r="X58" s="914">
        <f t="shared" si="22"/>
        <v>0</v>
      </c>
      <c r="Y58" s="915">
        <f t="shared" si="23"/>
        <v>0</v>
      </c>
    </row>
    <row r="59" spans="1:25" x14ac:dyDescent="0.25">
      <c r="A59" s="911" t="s">
        <v>16</v>
      </c>
      <c r="C59" s="293">
        <v>0</v>
      </c>
      <c r="D59" s="293">
        <v>0</v>
      </c>
      <c r="E59" s="293">
        <v>0</v>
      </c>
      <c r="F59" s="293">
        <v>0</v>
      </c>
      <c r="G59" s="293">
        <v>0</v>
      </c>
      <c r="H59" s="293">
        <v>0</v>
      </c>
      <c r="I59" s="293">
        <v>0</v>
      </c>
      <c r="J59" s="293">
        <v>0</v>
      </c>
      <c r="K59" s="293">
        <v>0</v>
      </c>
      <c r="L59" s="293">
        <v>0</v>
      </c>
      <c r="M59" s="293">
        <v>0</v>
      </c>
      <c r="N59" s="293">
        <v>0</v>
      </c>
      <c r="O59" s="622">
        <f t="shared" si="18"/>
        <v>0</v>
      </c>
      <c r="P59" s="622"/>
      <c r="Q59" s="912"/>
      <c r="R59" s="919" t="s">
        <v>12</v>
      </c>
      <c r="S59" s="912"/>
      <c r="T59" s="622"/>
      <c r="U59" s="914">
        <f t="shared" si="19"/>
        <v>0</v>
      </c>
      <c r="V59" s="914">
        <f t="shared" si="20"/>
        <v>0</v>
      </c>
      <c r="W59" s="914">
        <f t="shared" si="21"/>
        <v>0</v>
      </c>
      <c r="X59" s="914">
        <f t="shared" si="22"/>
        <v>0</v>
      </c>
      <c r="Y59" s="915">
        <f t="shared" si="23"/>
        <v>0</v>
      </c>
    </row>
    <row r="60" spans="1:25" x14ac:dyDescent="0.25">
      <c r="A60" s="911" t="s">
        <v>17</v>
      </c>
      <c r="C60" s="293">
        <v>0</v>
      </c>
      <c r="D60" s="293">
        <v>0</v>
      </c>
      <c r="E60" s="293">
        <v>0</v>
      </c>
      <c r="F60" s="293">
        <v>0</v>
      </c>
      <c r="G60" s="293">
        <v>0</v>
      </c>
      <c r="H60" s="293">
        <v>0</v>
      </c>
      <c r="I60" s="293">
        <v>0</v>
      </c>
      <c r="J60" s="293">
        <v>0</v>
      </c>
      <c r="K60" s="293">
        <v>0</v>
      </c>
      <c r="L60" s="293">
        <v>0</v>
      </c>
      <c r="M60" s="293">
        <v>0</v>
      </c>
      <c r="N60" s="293">
        <v>0</v>
      </c>
      <c r="O60" s="622">
        <f t="shared" si="18"/>
        <v>0</v>
      </c>
      <c r="P60" s="622"/>
      <c r="Q60" s="912"/>
      <c r="R60" s="919" t="s">
        <v>12</v>
      </c>
      <c r="S60" s="912"/>
      <c r="T60" s="622"/>
      <c r="U60" s="914">
        <f t="shared" si="19"/>
        <v>0</v>
      </c>
      <c r="V60" s="914">
        <f t="shared" si="20"/>
        <v>0</v>
      </c>
      <c r="W60" s="914">
        <f t="shared" si="21"/>
        <v>0</v>
      </c>
      <c r="X60" s="914">
        <f t="shared" si="22"/>
        <v>0</v>
      </c>
      <c r="Y60" s="915">
        <f t="shared" si="23"/>
        <v>0</v>
      </c>
    </row>
    <row r="61" spans="1:25" x14ac:dyDescent="0.25">
      <c r="A61" s="911" t="s">
        <v>18</v>
      </c>
      <c r="C61" s="293">
        <v>0</v>
      </c>
      <c r="D61" s="293">
        <v>0</v>
      </c>
      <c r="E61" s="293">
        <v>0</v>
      </c>
      <c r="F61" s="293">
        <v>0</v>
      </c>
      <c r="G61" s="293">
        <v>0</v>
      </c>
      <c r="H61" s="293">
        <v>0</v>
      </c>
      <c r="I61" s="293">
        <v>0</v>
      </c>
      <c r="J61" s="293">
        <v>0</v>
      </c>
      <c r="K61" s="293">
        <v>0</v>
      </c>
      <c r="L61" s="293">
        <v>0</v>
      </c>
      <c r="M61" s="293">
        <v>0</v>
      </c>
      <c r="N61" s="293">
        <v>0</v>
      </c>
      <c r="O61" s="142">
        <f t="shared" si="18"/>
        <v>0</v>
      </c>
      <c r="P61" s="142"/>
      <c r="Q61" s="912"/>
      <c r="R61" s="919" t="s">
        <v>12</v>
      </c>
      <c r="S61" s="912"/>
      <c r="T61" s="142"/>
      <c r="U61" s="914">
        <f t="shared" si="19"/>
        <v>0</v>
      </c>
      <c r="V61" s="914">
        <f t="shared" si="20"/>
        <v>0</v>
      </c>
      <c r="W61" s="914">
        <f t="shared" si="21"/>
        <v>0</v>
      </c>
      <c r="X61" s="914">
        <f t="shared" si="22"/>
        <v>0</v>
      </c>
      <c r="Y61" s="915">
        <f t="shared" si="23"/>
        <v>0</v>
      </c>
    </row>
    <row r="62" spans="1:25" x14ac:dyDescent="0.25">
      <c r="A62" s="911" t="s">
        <v>19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614">
        <f t="shared" si="18"/>
        <v>0</v>
      </c>
      <c r="P62" s="614"/>
      <c r="Q62" s="912"/>
      <c r="R62" s="919" t="s">
        <v>12</v>
      </c>
      <c r="S62" s="912"/>
      <c r="T62" s="614"/>
      <c r="U62" s="914">
        <f t="shared" si="19"/>
        <v>0</v>
      </c>
      <c r="V62" s="914">
        <f t="shared" si="20"/>
        <v>0</v>
      </c>
      <c r="W62" s="914">
        <f t="shared" si="21"/>
        <v>0</v>
      </c>
      <c r="X62" s="914">
        <f t="shared" si="22"/>
        <v>0</v>
      </c>
      <c r="Y62" s="915">
        <f t="shared" si="23"/>
        <v>0</v>
      </c>
    </row>
    <row r="63" spans="1:25" x14ac:dyDescent="0.25">
      <c r="A63" s="911" t="s">
        <v>1093</v>
      </c>
      <c r="C63" s="915"/>
      <c r="D63" s="915"/>
      <c r="E63" s="915"/>
      <c r="F63" s="915"/>
      <c r="G63" s="915"/>
      <c r="H63" s="915"/>
      <c r="I63" s="915"/>
      <c r="J63" s="915"/>
      <c r="K63" s="915"/>
      <c r="L63" s="915"/>
      <c r="M63" s="915"/>
      <c r="N63" s="915"/>
      <c r="O63" s="614">
        <f t="shared" si="18"/>
        <v>0</v>
      </c>
      <c r="P63" s="614"/>
      <c r="Q63" s="912"/>
      <c r="R63" s="919" t="s">
        <v>12</v>
      </c>
      <c r="S63" s="912"/>
      <c r="T63" s="614"/>
      <c r="U63" s="914">
        <f t="shared" si="19"/>
        <v>0</v>
      </c>
      <c r="V63" s="914">
        <f t="shared" si="20"/>
        <v>0</v>
      </c>
      <c r="W63" s="914">
        <f t="shared" si="21"/>
        <v>0</v>
      </c>
      <c r="X63" s="914">
        <f t="shared" si="22"/>
        <v>0</v>
      </c>
      <c r="Y63" s="915">
        <f t="shared" si="23"/>
        <v>0</v>
      </c>
    </row>
    <row r="64" spans="1:25" x14ac:dyDescent="0.25">
      <c r="A64" s="911" t="s">
        <v>20</v>
      </c>
      <c r="C64" s="915"/>
      <c r="D64" s="915"/>
      <c r="E64" s="915"/>
      <c r="F64" s="915"/>
      <c r="G64" s="915"/>
      <c r="H64" s="915"/>
      <c r="I64" s="915"/>
      <c r="J64" s="915"/>
      <c r="K64" s="915"/>
      <c r="L64" s="915"/>
      <c r="M64" s="915"/>
      <c r="N64" s="915"/>
      <c r="O64" s="614">
        <f t="shared" si="18"/>
        <v>0</v>
      </c>
      <c r="P64" s="614"/>
      <c r="Q64" s="912"/>
      <c r="R64" s="919" t="s">
        <v>12</v>
      </c>
      <c r="S64" s="912"/>
      <c r="T64" s="614"/>
      <c r="U64" s="914">
        <f t="shared" si="19"/>
        <v>0</v>
      </c>
      <c r="V64" s="914">
        <f t="shared" si="20"/>
        <v>0</v>
      </c>
      <c r="W64" s="914">
        <f t="shared" si="21"/>
        <v>0</v>
      </c>
      <c r="X64" s="914">
        <f t="shared" si="22"/>
        <v>0</v>
      </c>
      <c r="Y64" s="915">
        <f t="shared" si="23"/>
        <v>0</v>
      </c>
    </row>
    <row r="65" spans="1:25" ht="6" customHeight="1" x14ac:dyDescent="0.25">
      <c r="A65" s="911"/>
      <c r="C65" s="915"/>
      <c r="D65" s="915"/>
      <c r="E65" s="915"/>
      <c r="F65" s="915"/>
      <c r="G65" s="915"/>
      <c r="H65" s="915"/>
      <c r="I65" s="915"/>
      <c r="J65" s="915"/>
      <c r="K65" s="915"/>
      <c r="L65" s="915"/>
      <c r="M65" s="915"/>
      <c r="N65" s="915"/>
      <c r="O65" s="914"/>
      <c r="P65" s="914"/>
      <c r="Q65" s="912"/>
      <c r="R65" s="918"/>
      <c r="S65" s="912"/>
      <c r="T65" s="914"/>
      <c r="U65" s="914"/>
      <c r="V65" s="914"/>
      <c r="W65" s="914"/>
      <c r="X65" s="914"/>
      <c r="Y65" s="915"/>
    </row>
    <row r="66" spans="1:25" x14ac:dyDescent="0.25">
      <c r="A66" s="911" t="s">
        <v>21</v>
      </c>
      <c r="C66" s="293">
        <v>0</v>
      </c>
      <c r="D66" s="293">
        <v>0</v>
      </c>
      <c r="E66" s="293">
        <v>0</v>
      </c>
      <c r="F66" s="293">
        <v>0</v>
      </c>
      <c r="G66" s="293">
        <v>0</v>
      </c>
      <c r="H66" s="293">
        <v>0</v>
      </c>
      <c r="I66" s="293">
        <v>0</v>
      </c>
      <c r="J66" s="293">
        <v>0</v>
      </c>
      <c r="K66" s="293">
        <v>0</v>
      </c>
      <c r="L66" s="293">
        <v>0</v>
      </c>
      <c r="M66" s="293">
        <v>0</v>
      </c>
      <c r="N66" s="293">
        <v>0</v>
      </c>
      <c r="O66" s="622">
        <f t="shared" ref="O66:O72" si="24">SUM(C66:N66)</f>
        <v>0</v>
      </c>
      <c r="P66" s="622"/>
      <c r="Q66" s="912"/>
      <c r="R66" s="919" t="s">
        <v>12</v>
      </c>
      <c r="S66" s="912"/>
      <c r="T66" s="622"/>
      <c r="U66" s="914">
        <f t="shared" ref="U66:U72" si="25">C66+D66+E66</f>
        <v>0</v>
      </c>
      <c r="V66" s="914">
        <f t="shared" ref="V66:V72" si="26">F66+G66+H66</f>
        <v>0</v>
      </c>
      <c r="W66" s="914">
        <f t="shared" ref="W66:W72" si="27">I66+J66+K66</f>
        <v>0</v>
      </c>
      <c r="X66" s="914">
        <f t="shared" ref="X66:X72" si="28">L66+M66+N66</f>
        <v>0</v>
      </c>
      <c r="Y66" s="915">
        <f t="shared" ref="Y66:Y72" si="29">SUM(U66:X66)</f>
        <v>0</v>
      </c>
    </row>
    <row r="67" spans="1:25" x14ac:dyDescent="0.25">
      <c r="A67" s="911" t="s">
        <v>23</v>
      </c>
      <c r="C67" s="293">
        <v>0</v>
      </c>
      <c r="D67" s="293">
        <v>0</v>
      </c>
      <c r="E67" s="293">
        <v>0</v>
      </c>
      <c r="F67" s="293">
        <v>0</v>
      </c>
      <c r="G67" s="293">
        <v>0</v>
      </c>
      <c r="H67" s="293">
        <v>0</v>
      </c>
      <c r="I67" s="293">
        <v>0</v>
      </c>
      <c r="J67" s="293">
        <v>0</v>
      </c>
      <c r="K67" s="293">
        <v>0</v>
      </c>
      <c r="L67" s="293">
        <v>0</v>
      </c>
      <c r="M67" s="293">
        <v>0</v>
      </c>
      <c r="N67" s="293">
        <v>0</v>
      </c>
      <c r="O67" s="622">
        <f t="shared" si="24"/>
        <v>0</v>
      </c>
      <c r="P67" s="622"/>
      <c r="Q67" s="912"/>
      <c r="R67" s="919" t="s">
        <v>12</v>
      </c>
      <c r="S67" s="912"/>
      <c r="T67" s="622"/>
      <c r="U67" s="914">
        <f t="shared" si="25"/>
        <v>0</v>
      </c>
      <c r="V67" s="914">
        <f t="shared" si="26"/>
        <v>0</v>
      </c>
      <c r="W67" s="914">
        <f t="shared" si="27"/>
        <v>0</v>
      </c>
      <c r="X67" s="914">
        <f t="shared" si="28"/>
        <v>0</v>
      </c>
      <c r="Y67" s="915">
        <f t="shared" si="29"/>
        <v>0</v>
      </c>
    </row>
    <row r="68" spans="1:25" ht="12.75" customHeight="1" x14ac:dyDescent="0.25">
      <c r="A68" s="911" t="s">
        <v>124</v>
      </c>
      <c r="C68" s="615">
        <v>23</v>
      </c>
      <c r="D68" s="615">
        <v>24</v>
      </c>
      <c r="E68" s="615">
        <v>25</v>
      </c>
      <c r="F68" s="615">
        <v>23</v>
      </c>
      <c r="G68" s="615">
        <v>24</v>
      </c>
      <c r="H68" s="615">
        <v>24</v>
      </c>
      <c r="I68" s="615">
        <v>23</v>
      </c>
      <c r="J68" s="615">
        <v>23</v>
      </c>
      <c r="K68" s="615">
        <v>23</v>
      </c>
      <c r="L68" s="615">
        <v>23</v>
      </c>
      <c r="M68" s="615">
        <v>22</v>
      </c>
      <c r="N68" s="615">
        <v>22</v>
      </c>
      <c r="O68" s="622">
        <f t="shared" si="24"/>
        <v>279</v>
      </c>
      <c r="P68" s="622"/>
      <c r="Q68" s="912"/>
      <c r="R68" s="919" t="s">
        <v>12</v>
      </c>
      <c r="S68" s="912"/>
      <c r="T68" s="622"/>
      <c r="U68" s="914">
        <f t="shared" si="25"/>
        <v>72</v>
      </c>
      <c r="V68" s="914">
        <f t="shared" si="26"/>
        <v>71</v>
      </c>
      <c r="W68" s="914">
        <f t="shared" si="27"/>
        <v>69</v>
      </c>
      <c r="X68" s="914">
        <f t="shared" si="28"/>
        <v>67</v>
      </c>
      <c r="Y68" s="915">
        <f t="shared" si="29"/>
        <v>279</v>
      </c>
    </row>
    <row r="69" spans="1:25" x14ac:dyDescent="0.25">
      <c r="A69" s="911" t="s">
        <v>125</v>
      </c>
      <c r="C69" s="615">
        <v>0</v>
      </c>
      <c r="D69" s="615">
        <v>0</v>
      </c>
      <c r="E69" s="615">
        <v>0</v>
      </c>
      <c r="F69" s="615">
        <v>0</v>
      </c>
      <c r="G69" s="615">
        <v>54</v>
      </c>
      <c r="H69" s="615">
        <v>0</v>
      </c>
      <c r="I69" s="615">
        <v>0</v>
      </c>
      <c r="J69" s="615">
        <v>0</v>
      </c>
      <c r="K69" s="615">
        <v>0</v>
      </c>
      <c r="L69" s="615">
        <v>0</v>
      </c>
      <c r="M69" s="615">
        <v>0</v>
      </c>
      <c r="N69" s="615">
        <v>0</v>
      </c>
      <c r="O69" s="622">
        <f t="shared" si="24"/>
        <v>54</v>
      </c>
      <c r="P69" s="622"/>
      <c r="Q69" s="912"/>
      <c r="R69" s="919" t="s">
        <v>12</v>
      </c>
      <c r="S69" s="912"/>
      <c r="T69" s="622"/>
      <c r="U69" s="914">
        <f t="shared" si="25"/>
        <v>0</v>
      </c>
      <c r="V69" s="914">
        <f t="shared" si="26"/>
        <v>54</v>
      </c>
      <c r="W69" s="914">
        <f t="shared" si="27"/>
        <v>0</v>
      </c>
      <c r="X69" s="914">
        <f t="shared" si="28"/>
        <v>0</v>
      </c>
      <c r="Y69" s="915">
        <f t="shared" si="29"/>
        <v>54</v>
      </c>
    </row>
    <row r="70" spans="1:25" x14ac:dyDescent="0.25">
      <c r="A70" s="911" t="s">
        <v>603</v>
      </c>
      <c r="C70" s="293">
        <v>0</v>
      </c>
      <c r="D70" s="293">
        <v>0</v>
      </c>
      <c r="E70" s="293">
        <v>0</v>
      </c>
      <c r="F70" s="293">
        <v>0</v>
      </c>
      <c r="G70" s="293">
        <v>0</v>
      </c>
      <c r="H70" s="293">
        <v>0</v>
      </c>
      <c r="I70" s="293">
        <v>0</v>
      </c>
      <c r="J70" s="293">
        <v>0</v>
      </c>
      <c r="K70" s="293">
        <v>0</v>
      </c>
      <c r="L70" s="293">
        <v>0</v>
      </c>
      <c r="M70" s="293">
        <v>0</v>
      </c>
      <c r="N70" s="293">
        <v>0</v>
      </c>
      <c r="O70" s="622">
        <f t="shared" si="24"/>
        <v>0</v>
      </c>
      <c r="P70" s="622"/>
      <c r="Q70" s="912"/>
      <c r="R70" s="919" t="s">
        <v>12</v>
      </c>
      <c r="S70" s="912"/>
      <c r="T70" s="622"/>
      <c r="U70" s="914">
        <f t="shared" si="25"/>
        <v>0</v>
      </c>
      <c r="V70" s="914">
        <f t="shared" si="26"/>
        <v>0</v>
      </c>
      <c r="W70" s="914">
        <f t="shared" si="27"/>
        <v>0</v>
      </c>
      <c r="X70" s="914">
        <f t="shared" si="28"/>
        <v>0</v>
      </c>
      <c r="Y70" s="915">
        <f t="shared" si="29"/>
        <v>0</v>
      </c>
    </row>
    <row r="71" spans="1:25" x14ac:dyDescent="0.25">
      <c r="A71" s="911" t="s">
        <v>24</v>
      </c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614">
        <f t="shared" si="24"/>
        <v>0</v>
      </c>
      <c r="P71" s="614"/>
      <c r="Q71" s="912"/>
      <c r="R71" s="919" t="s">
        <v>12</v>
      </c>
      <c r="S71" s="912"/>
      <c r="T71" s="614"/>
      <c r="U71" s="914">
        <f t="shared" si="25"/>
        <v>0</v>
      </c>
      <c r="V71" s="914">
        <f t="shared" si="26"/>
        <v>0</v>
      </c>
      <c r="W71" s="914">
        <f t="shared" si="27"/>
        <v>0</v>
      </c>
      <c r="X71" s="914">
        <f t="shared" si="28"/>
        <v>0</v>
      </c>
      <c r="Y71" s="915">
        <f t="shared" si="29"/>
        <v>0</v>
      </c>
    </row>
    <row r="72" spans="1:25" x14ac:dyDescent="0.25">
      <c r="A72" s="911" t="s">
        <v>123</v>
      </c>
      <c r="C72" s="915"/>
      <c r="D72" s="915"/>
      <c r="E72" s="915"/>
      <c r="F72" s="915"/>
      <c r="G72" s="915"/>
      <c r="H72" s="915"/>
      <c r="I72" s="915"/>
      <c r="J72" s="915"/>
      <c r="K72" s="915"/>
      <c r="L72" s="915"/>
      <c r="M72" s="915"/>
      <c r="N72" s="915"/>
      <c r="O72" s="614">
        <f t="shared" si="24"/>
        <v>0</v>
      </c>
      <c r="P72" s="614"/>
      <c r="Q72" s="912"/>
      <c r="R72" s="919" t="s">
        <v>12</v>
      </c>
      <c r="S72" s="912"/>
      <c r="T72" s="614"/>
      <c r="U72" s="914">
        <f t="shared" si="25"/>
        <v>0</v>
      </c>
      <c r="V72" s="914">
        <f t="shared" si="26"/>
        <v>0</v>
      </c>
      <c r="W72" s="914">
        <f t="shared" si="27"/>
        <v>0</v>
      </c>
      <c r="X72" s="914">
        <f t="shared" si="28"/>
        <v>0</v>
      </c>
      <c r="Y72" s="915">
        <f t="shared" si="29"/>
        <v>0</v>
      </c>
    </row>
    <row r="73" spans="1:25" ht="6" customHeight="1" x14ac:dyDescent="0.25">
      <c r="A73" s="911"/>
      <c r="C73" s="915"/>
      <c r="D73" s="915"/>
      <c r="E73" s="915"/>
      <c r="F73" s="915"/>
      <c r="G73" s="915"/>
      <c r="H73" s="915"/>
      <c r="I73" s="915"/>
      <c r="J73" s="915"/>
      <c r="K73" s="915"/>
      <c r="L73" s="915"/>
      <c r="M73" s="915"/>
      <c r="N73" s="915"/>
      <c r="O73" s="614"/>
      <c r="P73" s="614"/>
      <c r="Q73" s="912"/>
      <c r="R73" s="919"/>
      <c r="S73" s="912"/>
      <c r="T73" s="614"/>
      <c r="U73" s="914"/>
      <c r="V73" s="914"/>
      <c r="W73" s="914"/>
      <c r="X73" s="914"/>
      <c r="Y73" s="915"/>
    </row>
    <row r="74" spans="1:25" x14ac:dyDescent="0.25">
      <c r="A74" s="911" t="s">
        <v>165</v>
      </c>
      <c r="C74" s="293">
        <v>0</v>
      </c>
      <c r="D74" s="293">
        <v>0</v>
      </c>
      <c r="E74" s="293">
        <v>0</v>
      </c>
      <c r="F74" s="293">
        <v>0</v>
      </c>
      <c r="G74" s="293">
        <v>0</v>
      </c>
      <c r="H74" s="293">
        <v>0</v>
      </c>
      <c r="I74" s="293">
        <v>0</v>
      </c>
      <c r="J74" s="293">
        <v>0</v>
      </c>
      <c r="K74" s="293">
        <v>0</v>
      </c>
      <c r="L74" s="293">
        <v>0</v>
      </c>
      <c r="M74" s="293">
        <v>0</v>
      </c>
      <c r="N74" s="293">
        <v>0</v>
      </c>
      <c r="O74" s="614">
        <f>SUM(C74:N74)</f>
        <v>0</v>
      </c>
      <c r="P74" s="614"/>
      <c r="Q74" s="912"/>
      <c r="R74" s="917" t="s">
        <v>25</v>
      </c>
      <c r="S74" s="912"/>
      <c r="T74" s="614"/>
      <c r="U74" s="914">
        <f>C74+D74+E74</f>
        <v>0</v>
      </c>
      <c r="V74" s="914">
        <f>F74+G74+H74</f>
        <v>0</v>
      </c>
      <c r="W74" s="914">
        <f>I74+J74+K74</f>
        <v>0</v>
      </c>
      <c r="X74" s="914">
        <f>L74+M74+N74</f>
        <v>0</v>
      </c>
      <c r="Y74" s="915">
        <f>SUM(U74:X74)</f>
        <v>0</v>
      </c>
    </row>
    <row r="75" spans="1:25" ht="6" customHeight="1" x14ac:dyDescent="0.25">
      <c r="A75" s="911"/>
      <c r="C75" s="915"/>
      <c r="D75" s="915"/>
      <c r="E75" s="915"/>
      <c r="F75" s="915"/>
      <c r="G75" s="915"/>
      <c r="H75" s="915"/>
      <c r="I75" s="915"/>
      <c r="J75" s="915"/>
      <c r="K75" s="915"/>
      <c r="L75" s="915"/>
      <c r="M75" s="915"/>
      <c r="N75" s="915"/>
      <c r="O75" s="614"/>
      <c r="P75" s="614"/>
      <c r="Q75" s="912"/>
      <c r="R75" s="919"/>
      <c r="S75" s="912"/>
      <c r="T75" s="614"/>
      <c r="U75" s="914"/>
      <c r="V75" s="914"/>
      <c r="W75" s="914"/>
      <c r="X75" s="914"/>
      <c r="Y75" s="915"/>
    </row>
    <row r="76" spans="1:25" x14ac:dyDescent="0.25">
      <c r="A76" s="911" t="s">
        <v>26</v>
      </c>
      <c r="C76" s="141">
        <v>128</v>
      </c>
      <c r="D76" s="141">
        <v>0</v>
      </c>
      <c r="E76" s="141">
        <v>0</v>
      </c>
      <c r="F76" s="141">
        <v>0</v>
      </c>
      <c r="G76" s="141">
        <v>0</v>
      </c>
      <c r="H76" s="141">
        <v>0</v>
      </c>
      <c r="I76" s="141">
        <v>0</v>
      </c>
      <c r="J76" s="141">
        <v>0</v>
      </c>
      <c r="K76" s="141">
        <v>0</v>
      </c>
      <c r="L76" s="141">
        <v>0</v>
      </c>
      <c r="M76" s="141">
        <v>0</v>
      </c>
      <c r="N76" s="141">
        <v>0</v>
      </c>
      <c r="O76" s="142">
        <f>SUM(C76:N76)</f>
        <v>128</v>
      </c>
      <c r="P76" s="142"/>
      <c r="Q76" s="912"/>
      <c r="R76" s="918" t="s">
        <v>27</v>
      </c>
      <c r="S76" s="912"/>
      <c r="T76" s="142"/>
      <c r="U76" s="914">
        <f>C76+D76+E76</f>
        <v>128</v>
      </c>
      <c r="V76" s="914">
        <f>F76+G76+H76</f>
        <v>0</v>
      </c>
      <c r="W76" s="914">
        <f>I76+J76+K76</f>
        <v>0</v>
      </c>
      <c r="X76" s="914">
        <f>L76+M76+N76</f>
        <v>0</v>
      </c>
      <c r="Y76" s="915">
        <f>SUM(U76:X76)</f>
        <v>128</v>
      </c>
    </row>
    <row r="77" spans="1:25" x14ac:dyDescent="0.25">
      <c r="A77" s="911" t="s">
        <v>28</v>
      </c>
      <c r="C77" s="926"/>
      <c r="D77" s="926"/>
      <c r="E77" s="926"/>
      <c r="F77" s="926"/>
      <c r="G77" s="926"/>
      <c r="H77" s="926"/>
      <c r="I77" s="926"/>
      <c r="J77" s="926"/>
      <c r="K77" s="926"/>
      <c r="L77" s="926"/>
      <c r="M77" s="926"/>
      <c r="N77" s="926"/>
      <c r="O77" s="914">
        <f>C77+D77+E77+F77+G77+H77+I77+J77+K77+L77+M77+N77</f>
        <v>0</v>
      </c>
      <c r="P77" s="914"/>
      <c r="Q77" s="912"/>
      <c r="R77" s="918" t="s">
        <v>27</v>
      </c>
      <c r="S77" s="912"/>
      <c r="T77" s="914"/>
      <c r="U77" s="914">
        <f>C77+D77+E77</f>
        <v>0</v>
      </c>
      <c r="V77" s="914">
        <f>F77+G77+H77</f>
        <v>0</v>
      </c>
      <c r="W77" s="914">
        <f>I77+J77+K77</f>
        <v>0</v>
      </c>
      <c r="X77" s="914">
        <f>L77+M77+N77</f>
        <v>0</v>
      </c>
      <c r="Y77" s="915">
        <f>SUM(F77:W77)</f>
        <v>0</v>
      </c>
    </row>
    <row r="78" spans="1:25" x14ac:dyDescent="0.25">
      <c r="A78" s="911" t="s">
        <v>29</v>
      </c>
      <c r="C78" s="879"/>
      <c r="D78" s="879"/>
      <c r="E78" s="879"/>
      <c r="F78" s="879"/>
      <c r="G78" s="879"/>
      <c r="H78" s="879"/>
      <c r="I78" s="879"/>
      <c r="J78" s="879"/>
      <c r="K78" s="879"/>
      <c r="L78" s="879"/>
      <c r="M78" s="879"/>
      <c r="N78" s="879"/>
      <c r="O78" s="914"/>
      <c r="P78" s="914"/>
      <c r="Q78" s="912"/>
      <c r="R78" s="919" t="s">
        <v>27</v>
      </c>
      <c r="S78" s="912"/>
      <c r="T78" s="914"/>
      <c r="U78" s="914"/>
      <c r="V78" s="914"/>
      <c r="W78" s="914"/>
      <c r="X78" s="914"/>
      <c r="Y78" s="915"/>
    </row>
    <row r="79" spans="1:25" s="931" customFormat="1" ht="12.75" customHeight="1" x14ac:dyDescent="0.25">
      <c r="A79" s="930" t="s">
        <v>30</v>
      </c>
      <c r="C79" s="932">
        <f t="shared" ref="C79:O79" si="30">SUM(C7:C78)</f>
        <v>18977</v>
      </c>
      <c r="D79" s="933">
        <f t="shared" si="30"/>
        <v>21972</v>
      </c>
      <c r="E79" s="933">
        <f t="shared" si="30"/>
        <v>12569</v>
      </c>
      <c r="F79" s="933">
        <f t="shared" si="30"/>
        <v>18642</v>
      </c>
      <c r="G79" s="933">
        <f t="shared" si="30"/>
        <v>19056</v>
      </c>
      <c r="H79" s="933">
        <f t="shared" si="30"/>
        <v>17117</v>
      </c>
      <c r="I79" s="933">
        <f t="shared" si="30"/>
        <v>17122</v>
      </c>
      <c r="J79" s="933">
        <f t="shared" si="30"/>
        <v>16279</v>
      </c>
      <c r="K79" s="933">
        <f t="shared" si="30"/>
        <v>25740</v>
      </c>
      <c r="L79" s="933">
        <f t="shared" si="30"/>
        <v>16600</v>
      </c>
      <c r="M79" s="933">
        <f t="shared" si="30"/>
        <v>15970</v>
      </c>
      <c r="N79" s="933">
        <f t="shared" si="30"/>
        <v>16381</v>
      </c>
      <c r="O79" s="934">
        <f t="shared" si="30"/>
        <v>216425</v>
      </c>
      <c r="P79" s="935"/>
      <c r="Q79" s="936"/>
      <c r="R79" s="937"/>
      <c r="S79" s="936"/>
      <c r="T79" s="935"/>
      <c r="U79" s="932">
        <f>SUM(U7:U78)</f>
        <v>53518</v>
      </c>
      <c r="V79" s="933">
        <f>SUM(V7:V78)</f>
        <v>54815</v>
      </c>
      <c r="W79" s="933">
        <f>SUM(W7:W78)</f>
        <v>59141</v>
      </c>
      <c r="X79" s="933">
        <f>SUM(X7:X78)</f>
        <v>48951</v>
      </c>
      <c r="Y79" s="934">
        <f>SUM(Y7:Y78)</f>
        <v>216425</v>
      </c>
    </row>
    <row r="80" spans="1:25" s="931" customFormat="1" ht="12.75" customHeight="1" x14ac:dyDescent="0.25">
      <c r="A80" s="930"/>
      <c r="C80" s="935"/>
      <c r="D80" s="935"/>
      <c r="E80" s="935"/>
      <c r="F80" s="935"/>
      <c r="G80" s="935"/>
      <c r="H80" s="935"/>
      <c r="I80" s="935"/>
      <c r="J80" s="935"/>
      <c r="K80" s="935"/>
      <c r="L80" s="935"/>
      <c r="M80" s="935"/>
      <c r="N80" s="935"/>
      <c r="O80" s="935"/>
      <c r="P80" s="935"/>
      <c r="Q80" s="936"/>
      <c r="R80" s="937"/>
      <c r="S80" s="936"/>
      <c r="T80" s="935"/>
      <c r="U80" s="935"/>
      <c r="V80" s="935"/>
      <c r="W80" s="935"/>
      <c r="X80" s="935"/>
      <c r="Y80" s="935"/>
    </row>
    <row r="81" spans="1:25" s="931" customFormat="1" ht="12.75" customHeight="1" x14ac:dyDescent="0.25">
      <c r="A81" s="930"/>
      <c r="C81" s="935"/>
      <c r="D81" s="935"/>
      <c r="E81" s="935"/>
      <c r="F81" s="935"/>
      <c r="G81" s="935"/>
      <c r="H81" s="935"/>
      <c r="I81" s="935"/>
      <c r="J81" s="935"/>
      <c r="K81" s="935"/>
      <c r="L81" s="935"/>
      <c r="M81" s="935"/>
      <c r="N81" s="935"/>
      <c r="O81" s="935"/>
      <c r="P81" s="935"/>
      <c r="Q81" s="936"/>
      <c r="R81" s="937"/>
      <c r="S81" s="936"/>
      <c r="T81" s="935"/>
      <c r="U81" s="935"/>
      <c r="V81" s="935"/>
      <c r="W81" s="935"/>
      <c r="X81" s="935"/>
      <c r="Y81" s="935"/>
    </row>
    <row r="82" spans="1:25" x14ac:dyDescent="0.25">
      <c r="A82" s="910" t="s">
        <v>31</v>
      </c>
      <c r="C82" s="915"/>
      <c r="D82" s="915"/>
      <c r="E82" s="915"/>
      <c r="F82" s="915"/>
      <c r="G82" s="915"/>
      <c r="H82" s="915"/>
      <c r="I82" s="915"/>
      <c r="J82" s="915"/>
      <c r="K82" s="915"/>
      <c r="L82" s="915"/>
      <c r="M82" s="915"/>
      <c r="N82" s="915"/>
      <c r="O82" s="914"/>
      <c r="P82" s="914"/>
      <c r="Q82" s="912"/>
      <c r="R82" s="915"/>
      <c r="S82" s="912"/>
      <c r="T82" s="914"/>
      <c r="U82" s="914"/>
      <c r="V82" s="914"/>
      <c r="W82" s="914"/>
      <c r="X82" s="914"/>
      <c r="Y82" s="915"/>
    </row>
    <row r="83" spans="1:25" x14ac:dyDescent="0.25">
      <c r="A83" s="911" t="s">
        <v>32</v>
      </c>
      <c r="C83" s="533">
        <v>-238</v>
      </c>
      <c r="D83" s="533">
        <v>-175</v>
      </c>
      <c r="E83" s="533">
        <v>-195</v>
      </c>
      <c r="F83" s="533">
        <v>-176</v>
      </c>
      <c r="G83" s="533">
        <v>-169</v>
      </c>
      <c r="H83" s="533">
        <v>-150</v>
      </c>
      <c r="I83" s="533">
        <v>-196</v>
      </c>
      <c r="J83" s="533">
        <v>-210</v>
      </c>
      <c r="K83" s="533">
        <v>-189</v>
      </c>
      <c r="L83" s="533">
        <v>-210</v>
      </c>
      <c r="M83" s="533">
        <v>-209</v>
      </c>
      <c r="N83" s="533">
        <v>-235</v>
      </c>
      <c r="O83" s="118">
        <f t="shared" ref="O83:O101" si="31">SUM(C83:N83)</f>
        <v>-2352</v>
      </c>
      <c r="P83" s="118"/>
      <c r="Q83" s="912"/>
      <c r="R83" s="913" t="s">
        <v>33</v>
      </c>
      <c r="S83" s="912"/>
      <c r="T83" s="118"/>
      <c r="U83" s="914">
        <f t="shared" ref="U83:U101" si="32">C83+D83+E83</f>
        <v>-608</v>
      </c>
      <c r="V83" s="914">
        <f t="shared" ref="V83:V101" si="33">F83+G83+H83</f>
        <v>-495</v>
      </c>
      <c r="W83" s="914">
        <f t="shared" ref="W83:W101" si="34">I83+J83+K83</f>
        <v>-595</v>
      </c>
      <c r="X83" s="914">
        <f t="shared" ref="X83:X101" si="35">L83+M83+N83</f>
        <v>-654</v>
      </c>
      <c r="Y83" s="915">
        <f t="shared" ref="Y83:Y101" si="36">SUM(U83:X83)</f>
        <v>-2352</v>
      </c>
    </row>
    <row r="84" spans="1:25" x14ac:dyDescent="0.25">
      <c r="A84" s="911" t="s">
        <v>34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118">
        <f t="shared" si="31"/>
        <v>0</v>
      </c>
      <c r="P84" s="118"/>
      <c r="Q84" s="912"/>
      <c r="R84" s="917" t="s">
        <v>33</v>
      </c>
      <c r="S84" s="912"/>
      <c r="T84" s="118"/>
      <c r="U84" s="914">
        <f t="shared" si="32"/>
        <v>0</v>
      </c>
      <c r="V84" s="914">
        <f t="shared" si="33"/>
        <v>0</v>
      </c>
      <c r="W84" s="914">
        <f t="shared" si="34"/>
        <v>0</v>
      </c>
      <c r="X84" s="914">
        <f t="shared" si="35"/>
        <v>0</v>
      </c>
      <c r="Y84" s="915">
        <f t="shared" si="36"/>
        <v>0</v>
      </c>
    </row>
    <row r="85" spans="1:25" x14ac:dyDescent="0.25">
      <c r="A85" s="911" t="s">
        <v>35</v>
      </c>
      <c r="C85" s="293">
        <v>-97</v>
      </c>
      <c r="D85" s="293">
        <v>-97</v>
      </c>
      <c r="E85" s="293">
        <v>-678</v>
      </c>
      <c r="F85" s="293">
        <v>0</v>
      </c>
      <c r="G85" s="293">
        <v>0</v>
      </c>
      <c r="H85" s="293">
        <v>0</v>
      </c>
      <c r="I85" s="293">
        <v>0</v>
      </c>
      <c r="J85" s="293">
        <v>0</v>
      </c>
      <c r="K85" s="293">
        <v>0</v>
      </c>
      <c r="L85" s="293">
        <v>-100</v>
      </c>
      <c r="M85" s="293">
        <v>-100</v>
      </c>
      <c r="N85" s="293">
        <v>-100</v>
      </c>
      <c r="O85" s="118">
        <f t="shared" si="31"/>
        <v>-1172</v>
      </c>
      <c r="P85" s="118"/>
      <c r="Q85" s="912"/>
      <c r="R85" s="917" t="s">
        <v>33</v>
      </c>
      <c r="S85" s="912"/>
      <c r="T85" s="118"/>
      <c r="U85" s="914">
        <f t="shared" si="32"/>
        <v>-872</v>
      </c>
      <c r="V85" s="914">
        <f t="shared" si="33"/>
        <v>0</v>
      </c>
      <c r="W85" s="914">
        <f t="shared" si="34"/>
        <v>0</v>
      </c>
      <c r="X85" s="914">
        <f t="shared" si="35"/>
        <v>-300</v>
      </c>
      <c r="Y85" s="915">
        <f t="shared" si="36"/>
        <v>-1172</v>
      </c>
    </row>
    <row r="86" spans="1:25" x14ac:dyDescent="0.25">
      <c r="A86" s="911" t="s">
        <v>36</v>
      </c>
      <c r="C86" s="293">
        <v>-10</v>
      </c>
      <c r="D86" s="293">
        <v>-10</v>
      </c>
      <c r="E86" s="293">
        <v>-10</v>
      </c>
      <c r="F86" s="293">
        <v>-10</v>
      </c>
      <c r="G86" s="293">
        <v>-10</v>
      </c>
      <c r="H86" s="293">
        <v>-10</v>
      </c>
      <c r="I86" s="293">
        <v>-10</v>
      </c>
      <c r="J86" s="293">
        <v>-10</v>
      </c>
      <c r="K86" s="293">
        <v>-10</v>
      </c>
      <c r="L86" s="293">
        <v>-10</v>
      </c>
      <c r="M86" s="293">
        <v>-10</v>
      </c>
      <c r="N86" s="293">
        <v>-10</v>
      </c>
      <c r="O86" s="118">
        <f t="shared" si="31"/>
        <v>-120</v>
      </c>
      <c r="P86" s="118"/>
      <c r="Q86" s="912"/>
      <c r="R86" s="913" t="s">
        <v>33</v>
      </c>
      <c r="S86" s="912"/>
      <c r="T86" s="118"/>
      <c r="U86" s="914">
        <f t="shared" si="32"/>
        <v>-30</v>
      </c>
      <c r="V86" s="914">
        <f t="shared" si="33"/>
        <v>-30</v>
      </c>
      <c r="W86" s="914">
        <f t="shared" si="34"/>
        <v>-30</v>
      </c>
      <c r="X86" s="914">
        <f t="shared" si="35"/>
        <v>-30</v>
      </c>
      <c r="Y86" s="915">
        <f t="shared" si="36"/>
        <v>-120</v>
      </c>
    </row>
    <row r="87" spans="1:25" x14ac:dyDescent="0.25">
      <c r="A87" s="911" t="s">
        <v>130</v>
      </c>
      <c r="C87" s="293">
        <v>-30</v>
      </c>
      <c r="D87" s="293">
        <v>-30</v>
      </c>
      <c r="E87" s="293">
        <v>-31</v>
      </c>
      <c r="F87" s="293">
        <v>-30</v>
      </c>
      <c r="G87" s="293">
        <v>-30</v>
      </c>
      <c r="H87" s="293">
        <v>-30</v>
      </c>
      <c r="I87" s="293">
        <v>-30</v>
      </c>
      <c r="J87" s="293">
        <v>-30</v>
      </c>
      <c r="K87" s="293">
        <v>-30</v>
      </c>
      <c r="L87" s="293">
        <v>-30</v>
      </c>
      <c r="M87" s="293">
        <v>-30</v>
      </c>
      <c r="N87" s="293">
        <v>-30</v>
      </c>
      <c r="O87" s="118">
        <f t="shared" si="31"/>
        <v>-361</v>
      </c>
      <c r="P87" s="118"/>
      <c r="Q87" s="912"/>
      <c r="R87" s="913" t="s">
        <v>33</v>
      </c>
      <c r="S87" s="912"/>
      <c r="T87" s="118"/>
      <c r="U87" s="914">
        <f t="shared" si="32"/>
        <v>-91</v>
      </c>
      <c r="V87" s="914">
        <f t="shared" si="33"/>
        <v>-90</v>
      </c>
      <c r="W87" s="914">
        <f t="shared" si="34"/>
        <v>-90</v>
      </c>
      <c r="X87" s="914">
        <f t="shared" si="35"/>
        <v>-90</v>
      </c>
      <c r="Y87" s="915">
        <f t="shared" si="36"/>
        <v>-361</v>
      </c>
    </row>
    <row r="88" spans="1:25" x14ac:dyDescent="0.25">
      <c r="A88" s="911" t="s">
        <v>131</v>
      </c>
      <c r="C88" s="293">
        <v>-42</v>
      </c>
      <c r="D88" s="293">
        <v>-42</v>
      </c>
      <c r="E88" s="293">
        <v>-42</v>
      </c>
      <c r="F88" s="293">
        <v>-42</v>
      </c>
      <c r="G88" s="293">
        <v>-42</v>
      </c>
      <c r="H88" s="293">
        <v>-42</v>
      </c>
      <c r="I88" s="293">
        <v>-42</v>
      </c>
      <c r="J88" s="293">
        <v>-43</v>
      </c>
      <c r="K88" s="293">
        <v>-42</v>
      </c>
      <c r="L88" s="293">
        <v>-43</v>
      </c>
      <c r="M88" s="293">
        <v>-43</v>
      </c>
      <c r="N88" s="293">
        <v>-43</v>
      </c>
      <c r="O88" s="118">
        <f t="shared" si="31"/>
        <v>-508</v>
      </c>
      <c r="P88" s="118"/>
      <c r="Q88" s="912"/>
      <c r="R88" s="917" t="s">
        <v>33</v>
      </c>
      <c r="S88" s="912"/>
      <c r="T88" s="118"/>
      <c r="U88" s="914">
        <f t="shared" si="32"/>
        <v>-126</v>
      </c>
      <c r="V88" s="914">
        <f t="shared" si="33"/>
        <v>-126</v>
      </c>
      <c r="W88" s="914">
        <f t="shared" si="34"/>
        <v>-127</v>
      </c>
      <c r="X88" s="914">
        <f t="shared" si="35"/>
        <v>-129</v>
      </c>
      <c r="Y88" s="915">
        <f t="shared" si="36"/>
        <v>-508</v>
      </c>
    </row>
    <row r="89" spans="1:25" x14ac:dyDescent="0.25">
      <c r="A89" s="911" t="s">
        <v>132</v>
      </c>
      <c r="C89" s="293">
        <v>-10</v>
      </c>
      <c r="D89" s="293">
        <v>-10</v>
      </c>
      <c r="E89" s="293">
        <v>-10</v>
      </c>
      <c r="F89" s="293">
        <v>-10</v>
      </c>
      <c r="G89" s="293">
        <v>-10</v>
      </c>
      <c r="H89" s="293">
        <v>-10</v>
      </c>
      <c r="I89" s="293">
        <v>-10</v>
      </c>
      <c r="J89" s="293">
        <v>-10</v>
      </c>
      <c r="K89" s="293">
        <v>-11</v>
      </c>
      <c r="L89" s="293">
        <v>-10</v>
      </c>
      <c r="M89" s="293">
        <v>-11</v>
      </c>
      <c r="N89" s="293">
        <v>-10</v>
      </c>
      <c r="O89" s="118">
        <f t="shared" si="31"/>
        <v>-122</v>
      </c>
      <c r="P89" s="118"/>
      <c r="Q89" s="912"/>
      <c r="R89" s="917" t="s">
        <v>33</v>
      </c>
      <c r="S89" s="912"/>
      <c r="T89" s="118"/>
      <c r="U89" s="914">
        <f t="shared" si="32"/>
        <v>-30</v>
      </c>
      <c r="V89" s="914">
        <f t="shared" si="33"/>
        <v>-30</v>
      </c>
      <c r="W89" s="914">
        <f t="shared" si="34"/>
        <v>-31</v>
      </c>
      <c r="X89" s="914">
        <f t="shared" si="35"/>
        <v>-31</v>
      </c>
      <c r="Y89" s="915">
        <f t="shared" si="36"/>
        <v>-122</v>
      </c>
    </row>
    <row r="90" spans="1:25" x14ac:dyDescent="0.25">
      <c r="A90" s="911" t="s">
        <v>133</v>
      </c>
      <c r="C90" s="293">
        <v>-31</v>
      </c>
      <c r="D90" s="293">
        <v>-31</v>
      </c>
      <c r="E90" s="293">
        <v>-31</v>
      </c>
      <c r="F90" s="293">
        <v>-31</v>
      </c>
      <c r="G90" s="293">
        <v>-31</v>
      </c>
      <c r="H90" s="293">
        <v>-31</v>
      </c>
      <c r="I90" s="293">
        <v>-31</v>
      </c>
      <c r="J90" s="293">
        <v>-32</v>
      </c>
      <c r="K90" s="293">
        <v>-31</v>
      </c>
      <c r="L90" s="293">
        <v>-32</v>
      </c>
      <c r="M90" s="293">
        <v>-31</v>
      </c>
      <c r="N90" s="293">
        <v>-32</v>
      </c>
      <c r="O90" s="118">
        <f t="shared" si="31"/>
        <v>-375</v>
      </c>
      <c r="P90" s="118"/>
      <c r="Q90" s="912"/>
      <c r="R90" s="917" t="s">
        <v>33</v>
      </c>
      <c r="S90" s="912"/>
      <c r="T90" s="118"/>
      <c r="U90" s="914">
        <f t="shared" si="32"/>
        <v>-93</v>
      </c>
      <c r="V90" s="914">
        <f t="shared" si="33"/>
        <v>-93</v>
      </c>
      <c r="W90" s="914">
        <f t="shared" si="34"/>
        <v>-94</v>
      </c>
      <c r="X90" s="914">
        <f t="shared" si="35"/>
        <v>-95</v>
      </c>
      <c r="Y90" s="915">
        <f t="shared" si="36"/>
        <v>-375</v>
      </c>
    </row>
    <row r="91" spans="1:25" x14ac:dyDescent="0.25">
      <c r="A91" s="911" t="s">
        <v>134</v>
      </c>
      <c r="C91" s="293">
        <v>-45</v>
      </c>
      <c r="D91" s="293">
        <v>-45</v>
      </c>
      <c r="E91" s="293">
        <v>-45</v>
      </c>
      <c r="F91" s="293">
        <v>-45</v>
      </c>
      <c r="G91" s="293">
        <v>-45</v>
      </c>
      <c r="H91" s="293">
        <v>-45</v>
      </c>
      <c r="I91" s="293">
        <v>-45</v>
      </c>
      <c r="J91" s="293">
        <v>-45</v>
      </c>
      <c r="K91" s="293">
        <v>-45</v>
      </c>
      <c r="L91" s="293">
        <v>-45</v>
      </c>
      <c r="M91" s="293">
        <v>-44</v>
      </c>
      <c r="N91" s="293">
        <v>-45</v>
      </c>
      <c r="O91" s="118">
        <f t="shared" si="31"/>
        <v>-539</v>
      </c>
      <c r="P91" s="118"/>
      <c r="Q91" s="912"/>
      <c r="R91" s="917" t="s">
        <v>33</v>
      </c>
      <c r="S91" s="912"/>
      <c r="T91" s="118"/>
      <c r="U91" s="914">
        <f t="shared" si="32"/>
        <v>-135</v>
      </c>
      <c r="V91" s="914">
        <f t="shared" si="33"/>
        <v>-135</v>
      </c>
      <c r="W91" s="914">
        <f t="shared" si="34"/>
        <v>-135</v>
      </c>
      <c r="X91" s="914">
        <f t="shared" si="35"/>
        <v>-134</v>
      </c>
      <c r="Y91" s="915">
        <f t="shared" si="36"/>
        <v>-539</v>
      </c>
    </row>
    <row r="92" spans="1:25" x14ac:dyDescent="0.25">
      <c r="A92" s="911" t="s">
        <v>135</v>
      </c>
      <c r="C92" s="293">
        <v>-53</v>
      </c>
      <c r="D92" s="293">
        <v>-53</v>
      </c>
      <c r="E92" s="293">
        <v>-53</v>
      </c>
      <c r="F92" s="293">
        <v>-53</v>
      </c>
      <c r="G92" s="293">
        <v>-53</v>
      </c>
      <c r="H92" s="293">
        <v>-53</v>
      </c>
      <c r="I92" s="293">
        <v>-53</v>
      </c>
      <c r="J92" s="293">
        <v>-52</v>
      </c>
      <c r="K92" s="293">
        <v>-53</v>
      </c>
      <c r="L92" s="293">
        <v>-53</v>
      </c>
      <c r="M92" s="293">
        <v>-52</v>
      </c>
      <c r="N92" s="293">
        <v>-53</v>
      </c>
      <c r="O92" s="118">
        <f t="shared" si="31"/>
        <v>-634</v>
      </c>
      <c r="P92" s="118"/>
      <c r="Q92" s="912"/>
      <c r="R92" s="917" t="s">
        <v>33</v>
      </c>
      <c r="S92" s="912"/>
      <c r="T92" s="118"/>
      <c r="U92" s="914">
        <f t="shared" si="32"/>
        <v>-159</v>
      </c>
      <c r="V92" s="914">
        <f t="shared" si="33"/>
        <v>-159</v>
      </c>
      <c r="W92" s="914">
        <f t="shared" si="34"/>
        <v>-158</v>
      </c>
      <c r="X92" s="914">
        <f t="shared" si="35"/>
        <v>-158</v>
      </c>
      <c r="Y92" s="915">
        <f t="shared" si="36"/>
        <v>-634</v>
      </c>
    </row>
    <row r="93" spans="1:25" x14ac:dyDescent="0.25">
      <c r="A93" s="911" t="s">
        <v>136</v>
      </c>
      <c r="C93" s="293">
        <v>-11</v>
      </c>
      <c r="D93" s="293">
        <v>-11</v>
      </c>
      <c r="E93" s="293">
        <v>-11</v>
      </c>
      <c r="F93" s="293">
        <v>-11</v>
      </c>
      <c r="G93" s="293">
        <v>-11</v>
      </c>
      <c r="H93" s="293">
        <v>-11</v>
      </c>
      <c r="I93" s="293">
        <v>-11</v>
      </c>
      <c r="J93" s="293">
        <v>-11</v>
      </c>
      <c r="K93" s="293">
        <v>-10</v>
      </c>
      <c r="L93" s="293">
        <v>-11</v>
      </c>
      <c r="M93" s="293">
        <v>-11</v>
      </c>
      <c r="N93" s="293">
        <v>-10</v>
      </c>
      <c r="O93" s="118">
        <f t="shared" si="31"/>
        <v>-130</v>
      </c>
      <c r="P93" s="118"/>
      <c r="Q93" s="912"/>
      <c r="R93" s="917" t="s">
        <v>33</v>
      </c>
      <c r="S93" s="912"/>
      <c r="T93" s="118"/>
      <c r="U93" s="914">
        <f t="shared" si="32"/>
        <v>-33</v>
      </c>
      <c r="V93" s="914">
        <f t="shared" si="33"/>
        <v>-33</v>
      </c>
      <c r="W93" s="914">
        <f t="shared" si="34"/>
        <v>-32</v>
      </c>
      <c r="X93" s="914">
        <f t="shared" si="35"/>
        <v>-32</v>
      </c>
      <c r="Y93" s="915">
        <f t="shared" si="36"/>
        <v>-130</v>
      </c>
    </row>
    <row r="94" spans="1:25" x14ac:dyDescent="0.25">
      <c r="A94" s="911" t="s">
        <v>137</v>
      </c>
      <c r="C94" s="293">
        <v>-7</v>
      </c>
      <c r="D94" s="293">
        <v>-7</v>
      </c>
      <c r="E94" s="293">
        <v>-7</v>
      </c>
      <c r="F94" s="293">
        <v>-7</v>
      </c>
      <c r="G94" s="293">
        <v>-7</v>
      </c>
      <c r="H94" s="293">
        <v>-7</v>
      </c>
      <c r="I94" s="293">
        <v>-7</v>
      </c>
      <c r="J94" s="293">
        <v>-7</v>
      </c>
      <c r="K94" s="293">
        <v>-7</v>
      </c>
      <c r="L94" s="293">
        <v>-7</v>
      </c>
      <c r="M94" s="293">
        <v>-7</v>
      </c>
      <c r="N94" s="293">
        <v>-7</v>
      </c>
      <c r="O94" s="118">
        <f t="shared" si="31"/>
        <v>-84</v>
      </c>
      <c r="P94" s="118"/>
      <c r="Q94" s="912"/>
      <c r="R94" s="917" t="s">
        <v>33</v>
      </c>
      <c r="S94" s="912"/>
      <c r="T94" s="118"/>
      <c r="U94" s="914">
        <f t="shared" si="32"/>
        <v>-21</v>
      </c>
      <c r="V94" s="914">
        <f t="shared" si="33"/>
        <v>-21</v>
      </c>
      <c r="W94" s="914">
        <f t="shared" si="34"/>
        <v>-21</v>
      </c>
      <c r="X94" s="914">
        <f t="shared" si="35"/>
        <v>-21</v>
      </c>
      <c r="Y94" s="915">
        <f t="shared" si="36"/>
        <v>-84</v>
      </c>
    </row>
    <row r="95" spans="1:25" x14ac:dyDescent="0.25">
      <c r="A95" s="911" t="s">
        <v>138</v>
      </c>
      <c r="C95" s="293">
        <v>-7</v>
      </c>
      <c r="D95" s="293">
        <v>-7</v>
      </c>
      <c r="E95" s="293">
        <v>-7</v>
      </c>
      <c r="F95" s="293">
        <v>-7</v>
      </c>
      <c r="G95" s="293">
        <v>-7</v>
      </c>
      <c r="H95" s="293">
        <v>-7</v>
      </c>
      <c r="I95" s="293">
        <v>-7</v>
      </c>
      <c r="J95" s="293">
        <v>-8</v>
      </c>
      <c r="K95" s="293">
        <v>-7</v>
      </c>
      <c r="L95" s="293">
        <v>-8</v>
      </c>
      <c r="M95" s="293">
        <v>-7</v>
      </c>
      <c r="N95" s="293">
        <v>-8</v>
      </c>
      <c r="O95" s="118">
        <f>SUM(C95:N95)</f>
        <v>-87</v>
      </c>
      <c r="P95" s="118"/>
      <c r="Q95" s="912"/>
      <c r="R95" s="917" t="s">
        <v>33</v>
      </c>
      <c r="S95" s="912"/>
      <c r="T95" s="118"/>
      <c r="U95" s="914">
        <f>C95+D95+E95</f>
        <v>-21</v>
      </c>
      <c r="V95" s="914">
        <f>F95+G95+H95</f>
        <v>-21</v>
      </c>
      <c r="W95" s="914">
        <f>I95+J95+K95</f>
        <v>-22</v>
      </c>
      <c r="X95" s="914">
        <f>L95+M95+N95</f>
        <v>-23</v>
      </c>
      <c r="Y95" s="915">
        <f>SUM(U95:X95)</f>
        <v>-87</v>
      </c>
    </row>
    <row r="96" spans="1:25" x14ac:dyDescent="0.25">
      <c r="A96" s="911" t="s">
        <v>139</v>
      </c>
      <c r="C96" s="293">
        <v>-38</v>
      </c>
      <c r="D96" s="293">
        <v>-38</v>
      </c>
      <c r="E96" s="293">
        <v>-38</v>
      </c>
      <c r="F96" s="293">
        <v>-38</v>
      </c>
      <c r="G96" s="293">
        <v>-38</v>
      </c>
      <c r="H96" s="293">
        <v>-38</v>
      </c>
      <c r="I96" s="293">
        <v>-38</v>
      </c>
      <c r="J96" s="293">
        <v>-38</v>
      </c>
      <c r="K96" s="293">
        <v>-38</v>
      </c>
      <c r="L96" s="293">
        <v>-38</v>
      </c>
      <c r="M96" s="293">
        <v>-38</v>
      </c>
      <c r="N96" s="293">
        <v>-37</v>
      </c>
      <c r="O96" s="118">
        <f>SUM(C96:N96)</f>
        <v>-455</v>
      </c>
      <c r="P96" s="118"/>
      <c r="Q96" s="912"/>
      <c r="R96" s="917" t="s">
        <v>33</v>
      </c>
      <c r="S96" s="912"/>
      <c r="T96" s="118"/>
      <c r="U96" s="914">
        <f>C96+D96+E96</f>
        <v>-114</v>
      </c>
      <c r="V96" s="914">
        <f>F96+G96+H96</f>
        <v>-114</v>
      </c>
      <c r="W96" s="914">
        <f>I96+J96+K96</f>
        <v>-114</v>
      </c>
      <c r="X96" s="914">
        <f>L96+M96+N96</f>
        <v>-113</v>
      </c>
      <c r="Y96" s="915">
        <f>SUM(U96:X96)</f>
        <v>-455</v>
      </c>
    </row>
    <row r="97" spans="1:25" x14ac:dyDescent="0.25">
      <c r="A97" s="911" t="s">
        <v>37</v>
      </c>
      <c r="C97" s="293">
        <v>0</v>
      </c>
      <c r="D97" s="293">
        <v>0</v>
      </c>
      <c r="E97" s="293">
        <v>0</v>
      </c>
      <c r="F97" s="293">
        <v>0</v>
      </c>
      <c r="G97" s="293">
        <v>0</v>
      </c>
      <c r="H97" s="293">
        <v>0</v>
      </c>
      <c r="I97" s="293">
        <v>0</v>
      </c>
      <c r="J97" s="293">
        <v>0</v>
      </c>
      <c r="K97" s="293">
        <v>0</v>
      </c>
      <c r="L97" s="293">
        <v>0</v>
      </c>
      <c r="M97" s="293">
        <v>0</v>
      </c>
      <c r="N97" s="293">
        <v>0</v>
      </c>
      <c r="O97" s="118">
        <f t="shared" si="31"/>
        <v>0</v>
      </c>
      <c r="P97" s="118"/>
      <c r="Q97" s="912"/>
      <c r="R97" s="913" t="s">
        <v>33</v>
      </c>
      <c r="S97" s="912"/>
      <c r="T97" s="118"/>
      <c r="U97" s="914">
        <f t="shared" si="32"/>
        <v>0</v>
      </c>
      <c r="V97" s="914">
        <f t="shared" si="33"/>
        <v>0</v>
      </c>
      <c r="W97" s="914">
        <f t="shared" si="34"/>
        <v>0</v>
      </c>
      <c r="X97" s="914">
        <f t="shared" si="35"/>
        <v>0</v>
      </c>
      <c r="Y97" s="915">
        <f t="shared" si="36"/>
        <v>0</v>
      </c>
    </row>
    <row r="98" spans="1:25" x14ac:dyDescent="0.25">
      <c r="A98" s="911" t="s">
        <v>1092</v>
      </c>
      <c r="C98" s="926"/>
      <c r="D98" s="926"/>
      <c r="E98" s="926"/>
      <c r="F98" s="926"/>
      <c r="G98" s="926"/>
      <c r="H98" s="926"/>
      <c r="I98" s="926"/>
      <c r="J98" s="926"/>
      <c r="K98" s="926"/>
      <c r="L98" s="926"/>
      <c r="M98" s="926"/>
      <c r="N98" s="926"/>
      <c r="O98" s="118">
        <f t="shared" si="31"/>
        <v>0</v>
      </c>
      <c r="P98" s="118"/>
      <c r="Q98" s="912"/>
      <c r="R98" s="917" t="s">
        <v>33</v>
      </c>
      <c r="S98" s="912"/>
      <c r="T98" s="118"/>
      <c r="U98" s="914">
        <f t="shared" si="32"/>
        <v>0</v>
      </c>
      <c r="V98" s="914">
        <f t="shared" si="33"/>
        <v>0</v>
      </c>
      <c r="W98" s="914">
        <f t="shared" si="34"/>
        <v>0</v>
      </c>
      <c r="X98" s="914">
        <f t="shared" si="35"/>
        <v>0</v>
      </c>
      <c r="Y98" s="915">
        <f t="shared" si="36"/>
        <v>0</v>
      </c>
    </row>
    <row r="99" spans="1:25" x14ac:dyDescent="0.25">
      <c r="A99" s="911" t="s">
        <v>1093</v>
      </c>
      <c r="C99" s="926"/>
      <c r="D99" s="926"/>
      <c r="E99" s="926"/>
      <c r="F99" s="926"/>
      <c r="G99" s="926"/>
      <c r="H99" s="926"/>
      <c r="I99" s="926"/>
      <c r="J99" s="926"/>
      <c r="K99" s="926"/>
      <c r="L99" s="926"/>
      <c r="M99" s="926"/>
      <c r="N99" s="926"/>
      <c r="O99" s="118">
        <f t="shared" si="31"/>
        <v>0</v>
      </c>
      <c r="P99" s="118"/>
      <c r="Q99" s="912"/>
      <c r="R99" s="917" t="s">
        <v>33</v>
      </c>
      <c r="S99" s="912"/>
      <c r="T99" s="118"/>
      <c r="U99" s="914">
        <f t="shared" si="32"/>
        <v>0</v>
      </c>
      <c r="V99" s="914">
        <f t="shared" si="33"/>
        <v>0</v>
      </c>
      <c r="W99" s="914">
        <f t="shared" si="34"/>
        <v>0</v>
      </c>
      <c r="X99" s="914">
        <f t="shared" si="35"/>
        <v>0</v>
      </c>
      <c r="Y99" s="915">
        <f t="shared" si="36"/>
        <v>0</v>
      </c>
    </row>
    <row r="100" spans="1:25" x14ac:dyDescent="0.25">
      <c r="A100" s="911" t="s">
        <v>129</v>
      </c>
      <c r="C100" s="293">
        <v>-107</v>
      </c>
      <c r="D100" s="293">
        <v>-108</v>
      </c>
      <c r="E100" s="293">
        <v>-107</v>
      </c>
      <c r="F100" s="293">
        <v>-107</v>
      </c>
      <c r="G100" s="293">
        <v>-107</v>
      </c>
      <c r="H100" s="293">
        <v>-107</v>
      </c>
      <c r="I100" s="293">
        <v>-107</v>
      </c>
      <c r="J100" s="293">
        <v>-107</v>
      </c>
      <c r="K100" s="293">
        <v>-107</v>
      </c>
      <c r="L100" s="293">
        <v>-107</v>
      </c>
      <c r="M100" s="293">
        <v>-107</v>
      </c>
      <c r="N100" s="293">
        <v>-107</v>
      </c>
      <c r="O100" s="118">
        <f t="shared" si="31"/>
        <v>-1285</v>
      </c>
      <c r="P100" s="118"/>
      <c r="Q100" s="912"/>
      <c r="R100" s="913" t="s">
        <v>33</v>
      </c>
      <c r="S100" s="912"/>
      <c r="T100" s="118"/>
      <c r="U100" s="914">
        <f t="shared" si="32"/>
        <v>-322</v>
      </c>
      <c r="V100" s="914">
        <f t="shared" si="33"/>
        <v>-321</v>
      </c>
      <c r="W100" s="914">
        <f t="shared" si="34"/>
        <v>-321</v>
      </c>
      <c r="X100" s="914">
        <f t="shared" si="35"/>
        <v>-321</v>
      </c>
      <c r="Y100" s="915">
        <f t="shared" si="36"/>
        <v>-1285</v>
      </c>
    </row>
    <row r="101" spans="1:25" x14ac:dyDescent="0.25">
      <c r="A101" s="911" t="s">
        <v>128</v>
      </c>
      <c r="C101" s="259">
        <v>-4</v>
      </c>
      <c r="D101" s="259">
        <v>-4</v>
      </c>
      <c r="E101" s="259">
        <v>-4</v>
      </c>
      <c r="F101" s="259">
        <v>-4</v>
      </c>
      <c r="G101" s="259">
        <v>-4</v>
      </c>
      <c r="H101" s="259">
        <v>-4</v>
      </c>
      <c r="I101" s="259">
        <v>-4</v>
      </c>
      <c r="J101" s="259">
        <v>-4</v>
      </c>
      <c r="K101" s="259">
        <v>-4</v>
      </c>
      <c r="L101" s="259">
        <v>-4</v>
      </c>
      <c r="M101" s="259">
        <v>-4</v>
      </c>
      <c r="N101" s="259">
        <v>-4</v>
      </c>
      <c r="O101" s="120">
        <f t="shared" si="31"/>
        <v>-48</v>
      </c>
      <c r="P101" s="118"/>
      <c r="Q101" s="912"/>
      <c r="R101" s="917" t="s">
        <v>33</v>
      </c>
      <c r="S101" s="912"/>
      <c r="T101" s="118"/>
      <c r="U101" s="923">
        <f t="shared" si="32"/>
        <v>-12</v>
      </c>
      <c r="V101" s="923">
        <f t="shared" si="33"/>
        <v>-12</v>
      </c>
      <c r="W101" s="923">
        <f t="shared" si="34"/>
        <v>-12</v>
      </c>
      <c r="X101" s="923">
        <f t="shared" si="35"/>
        <v>-12</v>
      </c>
      <c r="Y101" s="924">
        <f t="shared" si="36"/>
        <v>-48</v>
      </c>
    </row>
    <row r="102" spans="1:25" x14ac:dyDescent="0.25">
      <c r="A102" s="911" t="s">
        <v>38</v>
      </c>
      <c r="C102" s="938">
        <f t="shared" ref="C102:O102" si="37">SUM(C83:C101)</f>
        <v>-730</v>
      </c>
      <c r="D102" s="938">
        <f t="shared" si="37"/>
        <v>-668</v>
      </c>
      <c r="E102" s="938">
        <f t="shared" si="37"/>
        <v>-1269</v>
      </c>
      <c r="F102" s="938">
        <f t="shared" si="37"/>
        <v>-571</v>
      </c>
      <c r="G102" s="938">
        <f t="shared" si="37"/>
        <v>-564</v>
      </c>
      <c r="H102" s="938">
        <f t="shared" si="37"/>
        <v>-545</v>
      </c>
      <c r="I102" s="938">
        <f t="shared" si="37"/>
        <v>-591</v>
      </c>
      <c r="J102" s="938">
        <f t="shared" si="37"/>
        <v>-607</v>
      </c>
      <c r="K102" s="938">
        <f t="shared" si="37"/>
        <v>-584</v>
      </c>
      <c r="L102" s="938">
        <f t="shared" si="37"/>
        <v>-708</v>
      </c>
      <c r="M102" s="938">
        <f t="shared" si="37"/>
        <v>-704</v>
      </c>
      <c r="N102" s="938">
        <f t="shared" si="37"/>
        <v>-731</v>
      </c>
      <c r="O102" s="938">
        <f t="shared" si="37"/>
        <v>-8272</v>
      </c>
      <c r="P102" s="118"/>
      <c r="Q102" s="912"/>
      <c r="R102" s="917"/>
      <c r="S102" s="912"/>
      <c r="T102" s="118"/>
      <c r="U102" s="938">
        <f>SUM(U83:U101)</f>
        <v>-2667</v>
      </c>
      <c r="V102" s="938">
        <f>SUM(V83:V101)</f>
        <v>-1680</v>
      </c>
      <c r="W102" s="938">
        <f>SUM(W83:W101)</f>
        <v>-1782</v>
      </c>
      <c r="X102" s="938">
        <f>SUM(X83:X101)</f>
        <v>-2143</v>
      </c>
      <c r="Y102" s="938">
        <f>SUM(Y83:Y101)</f>
        <v>-8272</v>
      </c>
    </row>
    <row r="103" spans="1:25" ht="3.9" customHeight="1" x14ac:dyDescent="0.25">
      <c r="A103" s="911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8"/>
      <c r="P103" s="118"/>
      <c r="Q103" s="912"/>
      <c r="R103" s="917"/>
      <c r="S103" s="912"/>
      <c r="T103" s="118"/>
      <c r="U103" s="914"/>
      <c r="V103" s="914"/>
      <c r="W103" s="914"/>
      <c r="X103" s="914"/>
      <c r="Y103" s="915"/>
    </row>
    <row r="104" spans="1:25" x14ac:dyDescent="0.25">
      <c r="A104" s="911" t="s">
        <v>39</v>
      </c>
      <c r="C104" s="293">
        <v>0</v>
      </c>
      <c r="D104" s="293">
        <v>0</v>
      </c>
      <c r="E104" s="293">
        <v>0</v>
      </c>
      <c r="F104" s="293">
        <v>0</v>
      </c>
      <c r="G104" s="293">
        <v>0</v>
      </c>
      <c r="H104" s="293">
        <v>0</v>
      </c>
      <c r="I104" s="293">
        <v>0</v>
      </c>
      <c r="J104" s="293">
        <v>0</v>
      </c>
      <c r="K104" s="293">
        <v>0</v>
      </c>
      <c r="L104" s="293">
        <v>0</v>
      </c>
      <c r="M104" s="293">
        <v>0</v>
      </c>
      <c r="N104" s="293">
        <v>0</v>
      </c>
      <c r="O104" s="359">
        <f t="shared" ref="O104:O115" si="38">SUM(C104:N104)</f>
        <v>0</v>
      </c>
      <c r="P104" s="359"/>
      <c r="Q104" s="912"/>
      <c r="R104" s="918" t="s">
        <v>3</v>
      </c>
      <c r="S104" s="912"/>
      <c r="T104" s="359"/>
      <c r="U104" s="914">
        <f t="shared" ref="U104:U115" si="39">C104+D104+E104</f>
        <v>0</v>
      </c>
      <c r="V104" s="914">
        <f t="shared" ref="V104:V115" si="40">F104+G104+H104</f>
        <v>0</v>
      </c>
      <c r="W104" s="914">
        <f t="shared" ref="W104:W115" si="41">I104+J104+K104</f>
        <v>0</v>
      </c>
      <c r="X104" s="914">
        <f t="shared" ref="X104:X115" si="42">L104+M104+N104</f>
        <v>0</v>
      </c>
      <c r="Y104" s="915">
        <f t="shared" ref="Y104:Y115" si="43">SUM(U104:X104)</f>
        <v>0</v>
      </c>
    </row>
    <row r="105" spans="1:25" x14ac:dyDescent="0.25">
      <c r="A105" s="911" t="s">
        <v>40</v>
      </c>
      <c r="C105" s="293">
        <v>0</v>
      </c>
      <c r="D105" s="293">
        <v>0</v>
      </c>
      <c r="E105" s="293">
        <v>0</v>
      </c>
      <c r="F105" s="293">
        <v>0</v>
      </c>
      <c r="G105" s="293">
        <v>0</v>
      </c>
      <c r="H105" s="293">
        <v>0</v>
      </c>
      <c r="I105" s="293">
        <v>0</v>
      </c>
      <c r="J105" s="293">
        <v>0</v>
      </c>
      <c r="K105" s="293">
        <v>0</v>
      </c>
      <c r="L105" s="293">
        <v>0</v>
      </c>
      <c r="M105" s="293">
        <v>0</v>
      </c>
      <c r="N105" s="293">
        <v>0</v>
      </c>
      <c r="O105" s="359">
        <f t="shared" si="38"/>
        <v>0</v>
      </c>
      <c r="P105" s="359"/>
      <c r="Q105" s="912"/>
      <c r="R105" s="918" t="s">
        <v>3</v>
      </c>
      <c r="S105" s="912"/>
      <c r="T105" s="359"/>
      <c r="U105" s="914">
        <f t="shared" si="39"/>
        <v>0</v>
      </c>
      <c r="V105" s="914">
        <f t="shared" si="40"/>
        <v>0</v>
      </c>
      <c r="W105" s="914">
        <f t="shared" si="41"/>
        <v>0</v>
      </c>
      <c r="X105" s="914">
        <f t="shared" si="42"/>
        <v>0</v>
      </c>
      <c r="Y105" s="915">
        <f t="shared" si="43"/>
        <v>0</v>
      </c>
    </row>
    <row r="106" spans="1:25" x14ac:dyDescent="0.25">
      <c r="A106" s="911" t="s">
        <v>41</v>
      </c>
      <c r="C106" s="293">
        <v>0</v>
      </c>
      <c r="D106" s="293">
        <v>0</v>
      </c>
      <c r="E106" s="293">
        <v>0</v>
      </c>
      <c r="F106" s="293">
        <v>0</v>
      </c>
      <c r="G106" s="293">
        <v>0</v>
      </c>
      <c r="H106" s="293">
        <v>0</v>
      </c>
      <c r="I106" s="293">
        <v>0</v>
      </c>
      <c r="J106" s="293">
        <v>0</v>
      </c>
      <c r="K106" s="293">
        <v>0</v>
      </c>
      <c r="L106" s="293">
        <v>0</v>
      </c>
      <c r="M106" s="293">
        <v>0</v>
      </c>
      <c r="N106" s="293">
        <v>0</v>
      </c>
      <c r="O106" s="359">
        <f t="shared" si="38"/>
        <v>0</v>
      </c>
      <c r="P106" s="359"/>
      <c r="Q106" s="912"/>
      <c r="R106" s="919" t="s">
        <v>3</v>
      </c>
      <c r="S106" s="912"/>
      <c r="T106" s="359"/>
      <c r="U106" s="914">
        <f t="shared" si="39"/>
        <v>0</v>
      </c>
      <c r="V106" s="914">
        <f t="shared" si="40"/>
        <v>0</v>
      </c>
      <c r="W106" s="914">
        <f t="shared" si="41"/>
        <v>0</v>
      </c>
      <c r="X106" s="914">
        <f t="shared" si="42"/>
        <v>0</v>
      </c>
      <c r="Y106" s="915">
        <f t="shared" si="43"/>
        <v>0</v>
      </c>
    </row>
    <row r="107" spans="1:25" x14ac:dyDescent="0.25">
      <c r="A107" s="911" t="s">
        <v>1093</v>
      </c>
      <c r="C107" s="915"/>
      <c r="D107" s="915"/>
      <c r="E107" s="915"/>
      <c r="F107" s="915"/>
      <c r="G107" s="915"/>
      <c r="H107" s="915"/>
      <c r="I107" s="915"/>
      <c r="J107" s="915"/>
      <c r="K107" s="915"/>
      <c r="L107" s="915"/>
      <c r="M107" s="915"/>
      <c r="N107" s="915"/>
      <c r="O107" s="359">
        <f t="shared" si="38"/>
        <v>0</v>
      </c>
      <c r="P107" s="359"/>
      <c r="Q107" s="912"/>
      <c r="R107" s="919" t="s">
        <v>3</v>
      </c>
      <c r="S107" s="912"/>
      <c r="T107" s="359"/>
      <c r="U107" s="914">
        <f t="shared" si="39"/>
        <v>0</v>
      </c>
      <c r="V107" s="914">
        <f t="shared" si="40"/>
        <v>0</v>
      </c>
      <c r="W107" s="914">
        <f t="shared" si="41"/>
        <v>0</v>
      </c>
      <c r="X107" s="914">
        <f t="shared" si="42"/>
        <v>0</v>
      </c>
      <c r="Y107" s="915">
        <f t="shared" si="43"/>
        <v>0</v>
      </c>
    </row>
    <row r="108" spans="1:25" x14ac:dyDescent="0.25">
      <c r="A108" s="911" t="s">
        <v>20</v>
      </c>
      <c r="C108" s="915"/>
      <c r="D108" s="915"/>
      <c r="E108" s="915"/>
      <c r="F108" s="915"/>
      <c r="G108" s="915"/>
      <c r="H108" s="915"/>
      <c r="I108" s="915"/>
      <c r="J108" s="915"/>
      <c r="K108" s="915"/>
      <c r="L108" s="915"/>
      <c r="M108" s="915"/>
      <c r="N108" s="915"/>
      <c r="O108" s="359">
        <f t="shared" si="38"/>
        <v>0</v>
      </c>
      <c r="P108" s="359"/>
      <c r="Q108" s="912"/>
      <c r="R108" s="919" t="s">
        <v>3</v>
      </c>
      <c r="S108" s="912"/>
      <c r="T108" s="359"/>
      <c r="U108" s="914">
        <f t="shared" si="39"/>
        <v>0</v>
      </c>
      <c r="V108" s="914">
        <f t="shared" si="40"/>
        <v>0</v>
      </c>
      <c r="W108" s="914">
        <f t="shared" si="41"/>
        <v>0</v>
      </c>
      <c r="X108" s="914">
        <f t="shared" si="42"/>
        <v>0</v>
      </c>
      <c r="Y108" s="915">
        <f t="shared" si="43"/>
        <v>0</v>
      </c>
    </row>
    <row r="109" spans="1:25" ht="12.75" customHeight="1" x14ac:dyDescent="0.25">
      <c r="A109" s="911" t="s">
        <v>42</v>
      </c>
      <c r="C109" s="706">
        <v>-157</v>
      </c>
      <c r="D109" s="706">
        <v>-168</v>
      </c>
      <c r="E109" s="706">
        <f>-326</f>
        <v>-326</v>
      </c>
      <c r="F109" s="873">
        <f>-312+100</f>
        <v>-212</v>
      </c>
      <c r="G109" s="706">
        <v>-157</v>
      </c>
      <c r="H109" s="706">
        <v>-228</v>
      </c>
      <c r="I109" s="861">
        <v>-200</v>
      </c>
      <c r="J109" s="861">
        <v>-200</v>
      </c>
      <c r="K109" s="861">
        <v>-100</v>
      </c>
      <c r="L109" s="861">
        <v>-200</v>
      </c>
      <c r="M109" s="861">
        <v>-200</v>
      </c>
      <c r="N109" s="873">
        <f>-500+200</f>
        <v>-300</v>
      </c>
      <c r="O109" s="697">
        <f t="shared" si="38"/>
        <v>-2448</v>
      </c>
      <c r="P109" s="697"/>
      <c r="Q109" s="912"/>
      <c r="R109" s="918" t="s">
        <v>43</v>
      </c>
      <c r="S109" s="912"/>
      <c r="T109" s="697"/>
      <c r="U109" s="914">
        <f t="shared" si="39"/>
        <v>-651</v>
      </c>
      <c r="V109" s="914">
        <f t="shared" si="40"/>
        <v>-597</v>
      </c>
      <c r="W109" s="914">
        <f t="shared" si="41"/>
        <v>-500</v>
      </c>
      <c r="X109" s="914">
        <f t="shared" si="42"/>
        <v>-700</v>
      </c>
      <c r="Y109" s="915">
        <f t="shared" si="43"/>
        <v>-2448</v>
      </c>
    </row>
    <row r="110" spans="1:25" x14ac:dyDescent="0.25">
      <c r="A110" s="911" t="s">
        <v>44</v>
      </c>
      <c r="C110" s="926">
        <v>0</v>
      </c>
      <c r="D110" s="926">
        <v>0</v>
      </c>
      <c r="E110" s="926">
        <v>0</v>
      </c>
      <c r="F110" s="926">
        <v>0</v>
      </c>
      <c r="G110" s="926">
        <v>0</v>
      </c>
      <c r="H110" s="926">
        <v>0</v>
      </c>
      <c r="I110" s="926">
        <v>0</v>
      </c>
      <c r="J110" s="926">
        <v>0</v>
      </c>
      <c r="K110" s="926">
        <v>0</v>
      </c>
      <c r="L110" s="926">
        <v>0</v>
      </c>
      <c r="M110" s="926">
        <v>0</v>
      </c>
      <c r="N110" s="926">
        <v>0</v>
      </c>
      <c r="O110" s="697">
        <f t="shared" si="38"/>
        <v>0</v>
      </c>
      <c r="P110" s="697"/>
      <c r="Q110" s="912"/>
      <c r="R110" s="918" t="s">
        <v>43</v>
      </c>
      <c r="S110" s="912"/>
      <c r="T110" s="697"/>
      <c r="U110" s="914">
        <f t="shared" si="39"/>
        <v>0</v>
      </c>
      <c r="V110" s="914">
        <f t="shared" si="40"/>
        <v>0</v>
      </c>
      <c r="W110" s="914">
        <f t="shared" si="41"/>
        <v>0</v>
      </c>
      <c r="X110" s="914">
        <f t="shared" si="42"/>
        <v>0</v>
      </c>
      <c r="Y110" s="915">
        <f t="shared" si="43"/>
        <v>0</v>
      </c>
    </row>
    <row r="111" spans="1:25" x14ac:dyDescent="0.25">
      <c r="A111" s="911" t="s">
        <v>45</v>
      </c>
      <c r="C111" s="926">
        <v>0</v>
      </c>
      <c r="D111" s="926">
        <v>0</v>
      </c>
      <c r="E111" s="926">
        <v>0</v>
      </c>
      <c r="F111" s="926">
        <v>0</v>
      </c>
      <c r="G111" s="926">
        <v>0</v>
      </c>
      <c r="H111" s="926">
        <v>0</v>
      </c>
      <c r="I111" s="926">
        <v>0</v>
      </c>
      <c r="J111" s="926">
        <v>0</v>
      </c>
      <c r="K111" s="926">
        <v>0</v>
      </c>
      <c r="L111" s="926">
        <v>0</v>
      </c>
      <c r="M111" s="926">
        <v>0</v>
      </c>
      <c r="N111" s="926">
        <v>0</v>
      </c>
      <c r="O111" s="697">
        <f t="shared" si="38"/>
        <v>0</v>
      </c>
      <c r="P111" s="697"/>
      <c r="Q111" s="912"/>
      <c r="R111" s="918" t="s">
        <v>43</v>
      </c>
      <c r="S111" s="912"/>
      <c r="T111" s="697"/>
      <c r="U111" s="914">
        <f t="shared" si="39"/>
        <v>0</v>
      </c>
      <c r="V111" s="914">
        <f t="shared" si="40"/>
        <v>0</v>
      </c>
      <c r="W111" s="914">
        <f t="shared" si="41"/>
        <v>0</v>
      </c>
      <c r="X111" s="914">
        <f t="shared" si="42"/>
        <v>0</v>
      </c>
      <c r="Y111" s="915">
        <f t="shared" si="43"/>
        <v>0</v>
      </c>
    </row>
    <row r="112" spans="1:25" x14ac:dyDescent="0.25">
      <c r="A112" s="911" t="s">
        <v>46</v>
      </c>
      <c r="C112" s="926">
        <v>0</v>
      </c>
      <c r="D112" s="926">
        <v>0</v>
      </c>
      <c r="E112" s="926">
        <v>0</v>
      </c>
      <c r="F112" s="939">
        <v>-100</v>
      </c>
      <c r="G112" s="926">
        <v>0</v>
      </c>
      <c r="H112" s="926">
        <v>0</v>
      </c>
      <c r="I112" s="926">
        <v>0</v>
      </c>
      <c r="J112" s="926">
        <v>0</v>
      </c>
      <c r="K112" s="926">
        <v>0</v>
      </c>
      <c r="L112" s="926">
        <v>0</v>
      </c>
      <c r="M112" s="926">
        <v>0</v>
      </c>
      <c r="N112" s="926">
        <v>0</v>
      </c>
      <c r="O112" s="697">
        <f t="shared" si="38"/>
        <v>-100</v>
      </c>
      <c r="P112" s="697"/>
      <c r="Q112" s="912"/>
      <c r="R112" s="918" t="s">
        <v>43</v>
      </c>
      <c r="S112" s="912"/>
      <c r="T112" s="697"/>
      <c r="U112" s="914">
        <f t="shared" si="39"/>
        <v>0</v>
      </c>
      <c r="V112" s="914">
        <f t="shared" si="40"/>
        <v>-100</v>
      </c>
      <c r="W112" s="914">
        <f t="shared" si="41"/>
        <v>0</v>
      </c>
      <c r="X112" s="914">
        <f t="shared" si="42"/>
        <v>0</v>
      </c>
      <c r="Y112" s="915">
        <f t="shared" si="43"/>
        <v>-100</v>
      </c>
    </row>
    <row r="113" spans="1:25" x14ac:dyDescent="0.25">
      <c r="A113" s="911" t="s">
        <v>47</v>
      </c>
      <c r="C113" s="926">
        <v>0</v>
      </c>
      <c r="D113" s="926">
        <v>0</v>
      </c>
      <c r="E113" s="926">
        <v>0</v>
      </c>
      <c r="F113" s="926">
        <v>0</v>
      </c>
      <c r="G113" s="926">
        <v>0</v>
      </c>
      <c r="H113" s="926">
        <v>0</v>
      </c>
      <c r="I113" s="926">
        <v>0</v>
      </c>
      <c r="J113" s="926">
        <v>0</v>
      </c>
      <c r="K113" s="926">
        <v>0</v>
      </c>
      <c r="L113" s="926">
        <v>0</v>
      </c>
      <c r="M113" s="926">
        <v>0</v>
      </c>
      <c r="N113" s="926">
        <v>0</v>
      </c>
      <c r="O113" s="697">
        <f t="shared" si="38"/>
        <v>0</v>
      </c>
      <c r="P113" s="697"/>
      <c r="Q113" s="912"/>
      <c r="R113" s="918" t="s">
        <v>43</v>
      </c>
      <c r="S113" s="912"/>
      <c r="T113" s="697"/>
      <c r="U113" s="914">
        <f t="shared" si="39"/>
        <v>0</v>
      </c>
      <c r="V113" s="914">
        <f t="shared" si="40"/>
        <v>0</v>
      </c>
      <c r="W113" s="914">
        <f t="shared" si="41"/>
        <v>0</v>
      </c>
      <c r="X113" s="914">
        <f t="shared" si="42"/>
        <v>0</v>
      </c>
      <c r="Y113" s="915">
        <f t="shared" si="43"/>
        <v>0</v>
      </c>
    </row>
    <row r="114" spans="1:25" x14ac:dyDescent="0.25">
      <c r="A114" s="911" t="s">
        <v>48</v>
      </c>
      <c r="C114" s="926">
        <v>0</v>
      </c>
      <c r="D114" s="926">
        <v>0</v>
      </c>
      <c r="E114" s="926">
        <v>0</v>
      </c>
      <c r="F114" s="926">
        <v>0</v>
      </c>
      <c r="G114" s="926">
        <v>0</v>
      </c>
      <c r="H114" s="926">
        <v>0</v>
      </c>
      <c r="I114" s="926">
        <v>0</v>
      </c>
      <c r="J114" s="926">
        <v>0</v>
      </c>
      <c r="K114" s="926">
        <v>0</v>
      </c>
      <c r="L114" s="926">
        <v>0</v>
      </c>
      <c r="M114" s="926">
        <v>0</v>
      </c>
      <c r="N114" s="926">
        <v>0</v>
      </c>
      <c r="O114" s="697">
        <f t="shared" si="38"/>
        <v>0</v>
      </c>
      <c r="P114" s="697"/>
      <c r="Q114" s="912"/>
      <c r="R114" s="918" t="s">
        <v>43</v>
      </c>
      <c r="S114" s="912"/>
      <c r="T114" s="697"/>
      <c r="U114" s="914">
        <f t="shared" si="39"/>
        <v>0</v>
      </c>
      <c r="V114" s="914">
        <f t="shared" si="40"/>
        <v>0</v>
      </c>
      <c r="W114" s="914">
        <f t="shared" si="41"/>
        <v>0</v>
      </c>
      <c r="X114" s="914">
        <f t="shared" si="42"/>
        <v>0</v>
      </c>
      <c r="Y114" s="915">
        <f t="shared" si="43"/>
        <v>0</v>
      </c>
    </row>
    <row r="115" spans="1:25" x14ac:dyDescent="0.25">
      <c r="A115" s="911" t="s">
        <v>49</v>
      </c>
      <c r="C115" s="940">
        <v>0</v>
      </c>
      <c r="D115" s="940">
        <v>0</v>
      </c>
      <c r="E115" s="940">
        <v>0</v>
      </c>
      <c r="F115" s="940">
        <v>0</v>
      </c>
      <c r="G115" s="940">
        <v>0</v>
      </c>
      <c r="H115" s="940">
        <v>0</v>
      </c>
      <c r="I115" s="941">
        <v>0</v>
      </c>
      <c r="J115" s="941">
        <v>0</v>
      </c>
      <c r="K115" s="941">
        <v>0</v>
      </c>
      <c r="L115" s="941">
        <v>0</v>
      </c>
      <c r="M115" s="941">
        <v>0</v>
      </c>
      <c r="N115" s="941">
        <v>-200</v>
      </c>
      <c r="O115" s="699">
        <f t="shared" si="38"/>
        <v>-200</v>
      </c>
      <c r="P115" s="697"/>
      <c r="Q115" s="912"/>
      <c r="R115" s="918" t="s">
        <v>43</v>
      </c>
      <c r="S115" s="912"/>
      <c r="T115" s="697"/>
      <c r="U115" s="923">
        <f t="shared" si="39"/>
        <v>0</v>
      </c>
      <c r="V115" s="923">
        <f t="shared" si="40"/>
        <v>0</v>
      </c>
      <c r="W115" s="923">
        <f t="shared" si="41"/>
        <v>0</v>
      </c>
      <c r="X115" s="923">
        <f t="shared" si="42"/>
        <v>-200</v>
      </c>
      <c r="Y115" s="924">
        <f t="shared" si="43"/>
        <v>-200</v>
      </c>
    </row>
    <row r="116" spans="1:25" x14ac:dyDescent="0.25">
      <c r="A116" s="911" t="s">
        <v>50</v>
      </c>
      <c r="C116" s="924">
        <f t="shared" ref="C116:O116" si="44">SUM(C109:C115)</f>
        <v>-157</v>
      </c>
      <c r="D116" s="924">
        <f t="shared" si="44"/>
        <v>-168</v>
      </c>
      <c r="E116" s="924">
        <f t="shared" si="44"/>
        <v>-326</v>
      </c>
      <c r="F116" s="924">
        <f t="shared" si="44"/>
        <v>-312</v>
      </c>
      <c r="G116" s="924">
        <f t="shared" si="44"/>
        <v>-157</v>
      </c>
      <c r="H116" s="924">
        <f t="shared" si="44"/>
        <v>-228</v>
      </c>
      <c r="I116" s="924">
        <f t="shared" si="44"/>
        <v>-200</v>
      </c>
      <c r="J116" s="924">
        <f t="shared" si="44"/>
        <v>-200</v>
      </c>
      <c r="K116" s="924">
        <f t="shared" si="44"/>
        <v>-100</v>
      </c>
      <c r="L116" s="924">
        <f t="shared" si="44"/>
        <v>-200</v>
      </c>
      <c r="M116" s="924">
        <f t="shared" si="44"/>
        <v>-200</v>
      </c>
      <c r="N116" s="924">
        <f t="shared" si="44"/>
        <v>-500</v>
      </c>
      <c r="O116" s="924">
        <f t="shared" si="44"/>
        <v>-2748</v>
      </c>
      <c r="P116" s="697"/>
      <c r="Q116" s="912"/>
      <c r="R116" s="918"/>
      <c r="S116" s="912"/>
      <c r="T116" s="697"/>
      <c r="U116" s="924">
        <f>SUM(U109:U115)</f>
        <v>-651</v>
      </c>
      <c r="V116" s="924">
        <f>SUM(V109:V115)</f>
        <v>-697</v>
      </c>
      <c r="W116" s="924">
        <f>SUM(W109:W115)</f>
        <v>-500</v>
      </c>
      <c r="X116" s="924">
        <f>SUM(X109:X115)</f>
        <v>-900</v>
      </c>
      <c r="Y116" s="924">
        <f>SUM(Y109:Y115)</f>
        <v>-2748</v>
      </c>
    </row>
    <row r="117" spans="1:25" ht="3.9" customHeight="1" x14ac:dyDescent="0.25">
      <c r="A117" s="911"/>
      <c r="C117" s="926"/>
      <c r="D117" s="926"/>
      <c r="E117" s="926"/>
      <c r="F117" s="926"/>
      <c r="G117" s="926"/>
      <c r="H117" s="926"/>
      <c r="I117" s="939"/>
      <c r="J117" s="939"/>
      <c r="K117" s="939"/>
      <c r="L117" s="939"/>
      <c r="M117" s="939"/>
      <c r="N117" s="939"/>
      <c r="O117" s="697"/>
      <c r="P117" s="697"/>
      <c r="Q117" s="912"/>
      <c r="R117" s="918"/>
      <c r="S117" s="912"/>
      <c r="T117" s="697"/>
      <c r="U117" s="914"/>
      <c r="V117" s="914"/>
      <c r="W117" s="914"/>
      <c r="X117" s="914"/>
      <c r="Y117" s="915"/>
    </row>
    <row r="118" spans="1:25" x14ac:dyDescent="0.25">
      <c r="A118" s="911" t="s">
        <v>254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9">
        <f t="shared" ref="O118:O123" si="45">SUM(C118:N118)</f>
        <v>0</v>
      </c>
      <c r="P118" s="129"/>
      <c r="Q118" s="912"/>
      <c r="R118" s="917" t="s">
        <v>51</v>
      </c>
      <c r="S118" s="912"/>
      <c r="T118" s="129"/>
      <c r="U118" s="914">
        <f t="shared" ref="U118:U123" si="46">C118+D118+E118</f>
        <v>0</v>
      </c>
      <c r="V118" s="914">
        <f t="shared" ref="V118:V123" si="47">F118+G118+H118</f>
        <v>0</v>
      </c>
      <c r="W118" s="914">
        <f t="shared" ref="W118:W123" si="48">I118+J118+K118</f>
        <v>0</v>
      </c>
      <c r="X118" s="914">
        <f t="shared" ref="X118:X123" si="49">L118+M118+N118</f>
        <v>0</v>
      </c>
      <c r="Y118" s="915">
        <f t="shared" ref="Y118:Y123" si="50">SUM(U118:X118)</f>
        <v>0</v>
      </c>
    </row>
    <row r="119" spans="1:25" s="931" customFormat="1" ht="12.75" customHeight="1" x14ac:dyDescent="0.25">
      <c r="A119" s="911" t="s">
        <v>140</v>
      </c>
      <c r="C119" s="128">
        <v>-52</v>
      </c>
      <c r="D119" s="128">
        <v>1032</v>
      </c>
      <c r="E119" s="128">
        <v>138</v>
      </c>
      <c r="F119" s="128">
        <v>-413</v>
      </c>
      <c r="G119" s="128">
        <v>-80</v>
      </c>
      <c r="H119" s="128">
        <v>760</v>
      </c>
      <c r="I119" s="128">
        <v>-168</v>
      </c>
      <c r="J119" s="128">
        <v>-113</v>
      </c>
      <c r="K119" s="128">
        <v>-103</v>
      </c>
      <c r="L119" s="128">
        <v>-110</v>
      </c>
      <c r="M119" s="128">
        <v>-119</v>
      </c>
      <c r="N119" s="128">
        <v>-142</v>
      </c>
      <c r="O119" s="129">
        <f t="shared" si="45"/>
        <v>630</v>
      </c>
      <c r="P119" s="129"/>
      <c r="Q119" s="942"/>
      <c r="R119" s="943" t="s">
        <v>1101</v>
      </c>
      <c r="S119" s="942"/>
      <c r="T119" s="129"/>
      <c r="U119" s="914">
        <f t="shared" si="46"/>
        <v>1118</v>
      </c>
      <c r="V119" s="914">
        <f t="shared" si="47"/>
        <v>267</v>
      </c>
      <c r="W119" s="914">
        <f t="shared" si="48"/>
        <v>-384</v>
      </c>
      <c r="X119" s="914">
        <f t="shared" si="49"/>
        <v>-371</v>
      </c>
      <c r="Y119" s="915">
        <f t="shared" si="50"/>
        <v>630</v>
      </c>
    </row>
    <row r="120" spans="1:25" s="931" customFormat="1" ht="12.75" customHeight="1" x14ac:dyDescent="0.25">
      <c r="A120" s="911" t="s">
        <v>141</v>
      </c>
      <c r="C120" s="128">
        <v>0</v>
      </c>
      <c r="D120" s="128">
        <f>0</f>
        <v>0</v>
      </c>
      <c r="E120" s="128">
        <v>-1100</v>
      </c>
      <c r="F120" s="128">
        <v>402</v>
      </c>
      <c r="G120" s="128">
        <f>0</f>
        <v>0</v>
      </c>
      <c r="H120" s="868">
        <f>-763+10</f>
        <v>-753</v>
      </c>
      <c r="I120" s="128">
        <f>0</f>
        <v>0</v>
      </c>
      <c r="J120" s="128">
        <f>0</f>
        <v>0</v>
      </c>
      <c r="K120" s="128">
        <f>0</f>
        <v>0</v>
      </c>
      <c r="L120" s="128">
        <f>0</f>
        <v>0</v>
      </c>
      <c r="M120" s="128">
        <f>0</f>
        <v>0</v>
      </c>
      <c r="N120" s="128">
        <f>0</f>
        <v>0</v>
      </c>
      <c r="O120" s="129">
        <f t="shared" si="45"/>
        <v>-1451</v>
      </c>
      <c r="P120" s="129"/>
      <c r="Q120" s="942"/>
      <c r="R120" s="943" t="s">
        <v>1101</v>
      </c>
      <c r="S120" s="942"/>
      <c r="T120" s="129"/>
      <c r="U120" s="914">
        <f t="shared" si="46"/>
        <v>-1100</v>
      </c>
      <c r="V120" s="914">
        <f t="shared" si="47"/>
        <v>-351</v>
      </c>
      <c r="W120" s="914">
        <f t="shared" si="48"/>
        <v>0</v>
      </c>
      <c r="X120" s="914">
        <f t="shared" si="49"/>
        <v>0</v>
      </c>
      <c r="Y120" s="915">
        <f t="shared" si="50"/>
        <v>-1451</v>
      </c>
    </row>
    <row r="121" spans="1:25" s="931" customFormat="1" ht="12.75" customHeight="1" x14ac:dyDescent="0.25">
      <c r="A121" s="911" t="s">
        <v>142</v>
      </c>
      <c r="C121" s="879">
        <v>0</v>
      </c>
      <c r="D121" s="879">
        <v>0</v>
      </c>
      <c r="E121" s="879">
        <v>-950</v>
      </c>
      <c r="F121" s="879"/>
      <c r="G121" s="879"/>
      <c r="H121" s="879"/>
      <c r="I121" s="879"/>
      <c r="J121" s="879"/>
      <c r="K121" s="879"/>
      <c r="L121" s="879"/>
      <c r="M121" s="879"/>
      <c r="N121" s="879"/>
      <c r="O121" s="129">
        <f t="shared" si="45"/>
        <v>-950</v>
      </c>
      <c r="P121" s="129"/>
      <c r="Q121" s="942"/>
      <c r="R121" s="943" t="s">
        <v>1101</v>
      </c>
      <c r="S121" s="942"/>
      <c r="T121" s="129"/>
      <c r="U121" s="914">
        <f t="shared" si="46"/>
        <v>-950</v>
      </c>
      <c r="V121" s="914">
        <f t="shared" si="47"/>
        <v>0</v>
      </c>
      <c r="W121" s="914">
        <f t="shared" si="48"/>
        <v>0</v>
      </c>
      <c r="X121" s="914">
        <f t="shared" si="49"/>
        <v>0</v>
      </c>
      <c r="Y121" s="915">
        <f t="shared" si="50"/>
        <v>-950</v>
      </c>
    </row>
    <row r="122" spans="1:25" s="931" customFormat="1" ht="12.75" customHeight="1" x14ac:dyDescent="0.25">
      <c r="A122" s="911" t="s">
        <v>52</v>
      </c>
      <c r="C122" s="879"/>
      <c r="D122" s="879"/>
      <c r="E122" s="879"/>
      <c r="F122" s="879"/>
      <c r="G122" s="879"/>
      <c r="H122" s="879"/>
      <c r="I122" s="879"/>
      <c r="J122" s="879"/>
      <c r="K122" s="879"/>
      <c r="L122" s="879"/>
      <c r="M122" s="879"/>
      <c r="N122" s="879"/>
      <c r="O122" s="129">
        <f t="shared" si="45"/>
        <v>0</v>
      </c>
      <c r="P122" s="129"/>
      <c r="Q122" s="942"/>
      <c r="R122" s="943" t="s">
        <v>1101</v>
      </c>
      <c r="S122" s="942"/>
      <c r="T122" s="129"/>
      <c r="U122" s="914">
        <f t="shared" si="46"/>
        <v>0</v>
      </c>
      <c r="V122" s="914">
        <f t="shared" si="47"/>
        <v>0</v>
      </c>
      <c r="W122" s="914">
        <f t="shared" si="48"/>
        <v>0</v>
      </c>
      <c r="X122" s="914">
        <f t="shared" si="49"/>
        <v>0</v>
      </c>
      <c r="Y122" s="915">
        <f t="shared" si="50"/>
        <v>0</v>
      </c>
    </row>
    <row r="123" spans="1:25" s="931" customFormat="1" ht="12.75" customHeight="1" x14ac:dyDescent="0.25">
      <c r="A123" s="911" t="s">
        <v>53</v>
      </c>
      <c r="B123" s="892"/>
      <c r="C123" s="128">
        <v>-14</v>
      </c>
      <c r="D123" s="128">
        <v>-28</v>
      </c>
      <c r="E123" s="128">
        <v>-6</v>
      </c>
      <c r="F123" s="128">
        <v>-6</v>
      </c>
      <c r="G123" s="128">
        <v>-6</v>
      </c>
      <c r="H123" s="128">
        <v>-6</v>
      </c>
      <c r="I123" s="128">
        <v>-6</v>
      </c>
      <c r="J123" s="128">
        <v>-6</v>
      </c>
      <c r="K123" s="128">
        <v>-6</v>
      </c>
      <c r="L123" s="128">
        <v>-5</v>
      </c>
      <c r="M123" s="128">
        <v>-5</v>
      </c>
      <c r="N123" s="128">
        <v>-5</v>
      </c>
      <c r="O123" s="129">
        <f t="shared" si="45"/>
        <v>-99</v>
      </c>
      <c r="P123" s="129"/>
      <c r="Q123" s="912"/>
      <c r="R123" s="913" t="s">
        <v>54</v>
      </c>
      <c r="S123" s="912"/>
      <c r="T123" s="129"/>
      <c r="U123" s="914">
        <f t="shared" si="46"/>
        <v>-48</v>
      </c>
      <c r="V123" s="914">
        <f t="shared" si="47"/>
        <v>-18</v>
      </c>
      <c r="W123" s="914">
        <f t="shared" si="48"/>
        <v>-18</v>
      </c>
      <c r="X123" s="914">
        <f t="shared" si="49"/>
        <v>-15</v>
      </c>
      <c r="Y123" s="915">
        <f t="shared" si="50"/>
        <v>-99</v>
      </c>
    </row>
    <row r="124" spans="1:25" s="931" customFormat="1" ht="12.75" customHeight="1" x14ac:dyDescent="0.25">
      <c r="A124" s="910" t="s">
        <v>55</v>
      </c>
      <c r="C124" s="932">
        <f t="shared" ref="C124:O124" si="51">+C102+SUM(C104:C108)+C116+SUM(C118:C123)</f>
        <v>-953</v>
      </c>
      <c r="D124" s="933">
        <f t="shared" si="51"/>
        <v>168</v>
      </c>
      <c r="E124" s="933">
        <f t="shared" si="51"/>
        <v>-3513</v>
      </c>
      <c r="F124" s="933">
        <f t="shared" si="51"/>
        <v>-900</v>
      </c>
      <c r="G124" s="933">
        <f t="shared" si="51"/>
        <v>-807</v>
      </c>
      <c r="H124" s="933">
        <f t="shared" si="51"/>
        <v>-772</v>
      </c>
      <c r="I124" s="933">
        <f t="shared" si="51"/>
        <v>-965</v>
      </c>
      <c r="J124" s="933">
        <f t="shared" si="51"/>
        <v>-926</v>
      </c>
      <c r="K124" s="933">
        <f t="shared" si="51"/>
        <v>-793</v>
      </c>
      <c r="L124" s="933">
        <f t="shared" si="51"/>
        <v>-1023</v>
      </c>
      <c r="M124" s="933">
        <f t="shared" si="51"/>
        <v>-1028</v>
      </c>
      <c r="N124" s="933">
        <f t="shared" si="51"/>
        <v>-1378</v>
      </c>
      <c r="O124" s="934">
        <f t="shared" si="51"/>
        <v>-12890</v>
      </c>
      <c r="P124" s="935"/>
      <c r="Q124" s="936"/>
      <c r="R124" s="928"/>
      <c r="S124" s="936"/>
      <c r="T124" s="935"/>
      <c r="U124" s="932">
        <f>+U102+SUM(U104:U108)+U116+SUM(U118:U123)</f>
        <v>-4298</v>
      </c>
      <c r="V124" s="933">
        <f>+V102+SUM(V104:V108)+V116+SUM(V118:V123)</f>
        <v>-2479</v>
      </c>
      <c r="W124" s="933">
        <f>+W102+SUM(W104:W108)+W116+SUM(W118:W123)</f>
        <v>-2684</v>
      </c>
      <c r="X124" s="933">
        <f>+X102+SUM(X104:X108)+X116+SUM(X118:X123)</f>
        <v>-3429</v>
      </c>
      <c r="Y124" s="934">
        <f>+Y102+SUM(Y104:Y108)+Y116+SUM(Y118:Y123)</f>
        <v>-12890</v>
      </c>
    </row>
    <row r="125" spans="1:25" s="931" customFormat="1" ht="6" customHeight="1" x14ac:dyDescent="0.25">
      <c r="A125" s="930"/>
      <c r="C125" s="935"/>
      <c r="D125" s="935"/>
      <c r="E125" s="935"/>
      <c r="F125" s="935"/>
      <c r="G125" s="935"/>
      <c r="H125" s="935"/>
      <c r="I125" s="935"/>
      <c r="J125" s="935"/>
      <c r="K125" s="935"/>
      <c r="L125" s="935"/>
      <c r="M125" s="935"/>
      <c r="N125" s="935"/>
      <c r="O125" s="935"/>
      <c r="P125" s="935"/>
      <c r="Q125" s="936"/>
      <c r="R125" s="928"/>
      <c r="S125" s="936"/>
      <c r="T125" s="935"/>
      <c r="U125" s="944"/>
      <c r="V125" s="944"/>
      <c r="W125" s="944"/>
      <c r="X125" s="944"/>
      <c r="Y125" s="928"/>
    </row>
    <row r="126" spans="1:25" ht="12.75" customHeight="1" x14ac:dyDescent="0.25">
      <c r="A126" s="910" t="s">
        <v>56</v>
      </c>
      <c r="C126" s="915"/>
      <c r="D126" s="915"/>
      <c r="E126" s="915"/>
      <c r="F126" s="915"/>
      <c r="G126" s="915"/>
      <c r="H126" s="915"/>
      <c r="I126" s="915"/>
      <c r="J126" s="915"/>
      <c r="K126" s="915"/>
      <c r="L126" s="915"/>
      <c r="M126" s="915"/>
      <c r="N126" s="915"/>
      <c r="O126" s="914"/>
      <c r="P126" s="914"/>
      <c r="Q126" s="912"/>
      <c r="R126" s="915"/>
      <c r="S126" s="912"/>
      <c r="T126" s="914"/>
      <c r="U126" s="914"/>
      <c r="V126" s="914"/>
      <c r="W126" s="914"/>
      <c r="X126" s="914"/>
      <c r="Y126" s="915"/>
    </row>
    <row r="127" spans="1:25" x14ac:dyDescent="0.25">
      <c r="A127" s="911" t="s">
        <v>1078</v>
      </c>
      <c r="C127" s="277">
        <v>7173</v>
      </c>
      <c r="D127" s="277">
        <v>5582</v>
      </c>
      <c r="E127" s="277">
        <v>4818</v>
      </c>
      <c r="F127" s="926">
        <v>0</v>
      </c>
      <c r="G127" s="926">
        <v>0</v>
      </c>
      <c r="H127" s="926">
        <v>0</v>
      </c>
      <c r="I127" s="926">
        <v>0</v>
      </c>
      <c r="J127" s="926">
        <v>0</v>
      </c>
      <c r="K127" s="926">
        <v>0</v>
      </c>
      <c r="L127" s="926">
        <v>0</v>
      </c>
      <c r="M127" s="926">
        <v>0</v>
      </c>
      <c r="N127" s="926">
        <v>0</v>
      </c>
      <c r="O127" s="279">
        <f t="shared" ref="O127:O140" si="52">SUM(C127:N127)</f>
        <v>17573</v>
      </c>
      <c r="P127" s="279"/>
      <c r="Q127" s="912"/>
      <c r="R127" s="913" t="s">
        <v>1079</v>
      </c>
      <c r="S127" s="912"/>
      <c r="T127" s="279"/>
      <c r="U127" s="914">
        <f t="shared" ref="U127:U140" si="53">C127+D127+E127</f>
        <v>17573</v>
      </c>
      <c r="V127" s="914">
        <f t="shared" ref="V127:V140" si="54">F127+G127+H127</f>
        <v>0</v>
      </c>
      <c r="W127" s="914">
        <f t="shared" ref="W127:W140" si="55">I127+J127+K127</f>
        <v>0</v>
      </c>
      <c r="X127" s="914">
        <f t="shared" ref="X127:X140" si="56">L127+M127+N127</f>
        <v>0</v>
      </c>
      <c r="Y127" s="915">
        <f t="shared" ref="Y127:Y140" si="57">SUM(U127:X127)</f>
        <v>17573</v>
      </c>
    </row>
    <row r="128" spans="1:25" x14ac:dyDescent="0.25">
      <c r="A128" s="916" t="s">
        <v>1080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279">
        <f t="shared" si="52"/>
        <v>0</v>
      </c>
      <c r="P128" s="279"/>
      <c r="Q128" s="912"/>
      <c r="R128" s="917" t="s">
        <v>1079</v>
      </c>
      <c r="S128" s="912"/>
      <c r="T128" s="279"/>
      <c r="U128" s="914">
        <f t="shared" si="53"/>
        <v>0</v>
      </c>
      <c r="V128" s="914">
        <f t="shared" si="54"/>
        <v>0</v>
      </c>
      <c r="W128" s="914">
        <f t="shared" si="55"/>
        <v>0</v>
      </c>
      <c r="X128" s="914">
        <f t="shared" si="56"/>
        <v>0</v>
      </c>
      <c r="Y128" s="915">
        <f t="shared" si="57"/>
        <v>0</v>
      </c>
    </row>
    <row r="129" spans="1:25" x14ac:dyDescent="0.25">
      <c r="A129" s="911" t="s">
        <v>1081</v>
      </c>
      <c r="C129" s="52">
        <v>-7411</v>
      </c>
      <c r="D129" s="52">
        <v>-6470</v>
      </c>
      <c r="E129" s="52">
        <v>-4990</v>
      </c>
      <c r="F129" s="926">
        <v>0</v>
      </c>
      <c r="G129" s="926">
        <v>0</v>
      </c>
      <c r="H129" s="926">
        <v>0</v>
      </c>
      <c r="I129" s="926">
        <v>0</v>
      </c>
      <c r="J129" s="926">
        <v>0</v>
      </c>
      <c r="K129" s="926">
        <v>0</v>
      </c>
      <c r="L129" s="926">
        <v>0</v>
      </c>
      <c r="M129" s="926">
        <v>0</v>
      </c>
      <c r="N129" s="926">
        <v>0</v>
      </c>
      <c r="O129" s="53">
        <f t="shared" si="52"/>
        <v>-18871</v>
      </c>
      <c r="P129" s="53"/>
      <c r="Q129" s="912"/>
      <c r="R129" s="913" t="s">
        <v>1082</v>
      </c>
      <c r="S129" s="912"/>
      <c r="T129" s="53"/>
      <c r="U129" s="914">
        <f t="shared" si="53"/>
        <v>-18871</v>
      </c>
      <c r="V129" s="914">
        <f t="shared" si="54"/>
        <v>0</v>
      </c>
      <c r="W129" s="914">
        <f t="shared" si="55"/>
        <v>0</v>
      </c>
      <c r="X129" s="914">
        <f t="shared" si="56"/>
        <v>0</v>
      </c>
      <c r="Y129" s="915">
        <f t="shared" si="57"/>
        <v>-18871</v>
      </c>
    </row>
    <row r="130" spans="1:25" x14ac:dyDescent="0.25">
      <c r="A130" s="916" t="s">
        <v>1080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279">
        <f t="shared" si="52"/>
        <v>0</v>
      </c>
      <c r="P130" s="279"/>
      <c r="Q130" s="912"/>
      <c r="R130" s="917" t="s">
        <v>1082</v>
      </c>
      <c r="S130" s="912"/>
      <c r="T130" s="279"/>
      <c r="U130" s="914">
        <f t="shared" si="53"/>
        <v>0</v>
      </c>
      <c r="V130" s="914">
        <f t="shared" si="54"/>
        <v>0</v>
      </c>
      <c r="W130" s="914">
        <f t="shared" si="55"/>
        <v>0</v>
      </c>
      <c r="X130" s="914">
        <f t="shared" si="56"/>
        <v>0</v>
      </c>
      <c r="Y130" s="915">
        <f t="shared" si="57"/>
        <v>0</v>
      </c>
    </row>
    <row r="131" spans="1:25" x14ac:dyDescent="0.25">
      <c r="A131" s="911" t="s">
        <v>146</v>
      </c>
      <c r="C131" s="158">
        <v>0</v>
      </c>
      <c r="D131" s="158">
        <v>0</v>
      </c>
      <c r="E131" s="158">
        <v>-106</v>
      </c>
      <c r="F131" s="158">
        <v>0</v>
      </c>
      <c r="G131" s="158">
        <v>0</v>
      </c>
      <c r="H131" s="158">
        <f>1796-1796</f>
        <v>0</v>
      </c>
      <c r="I131" s="158">
        <f>1441+255-1696</f>
        <v>0</v>
      </c>
      <c r="J131" s="158">
        <f>1441+255-1696</f>
        <v>0</v>
      </c>
      <c r="K131" s="158">
        <f>1441+255-1696</f>
        <v>0</v>
      </c>
      <c r="L131" s="158">
        <v>0</v>
      </c>
      <c r="M131" s="545">
        <f>2000-2000</f>
        <v>0</v>
      </c>
      <c r="N131" s="545">
        <f>2000-2000</f>
        <v>0</v>
      </c>
      <c r="O131" s="142">
        <f t="shared" si="52"/>
        <v>-106</v>
      </c>
      <c r="P131" s="142"/>
      <c r="Q131" s="912"/>
      <c r="R131" s="918" t="s">
        <v>27</v>
      </c>
      <c r="S131" s="912"/>
      <c r="T131" s="142"/>
      <c r="U131" s="914">
        <f t="shared" si="53"/>
        <v>-106</v>
      </c>
      <c r="V131" s="914">
        <f t="shared" si="54"/>
        <v>0</v>
      </c>
      <c r="W131" s="914">
        <f t="shared" si="55"/>
        <v>0</v>
      </c>
      <c r="X131" s="914">
        <f t="shared" si="56"/>
        <v>0</v>
      </c>
      <c r="Y131" s="915">
        <f t="shared" si="57"/>
        <v>-106</v>
      </c>
    </row>
    <row r="132" spans="1:25" x14ac:dyDescent="0.25">
      <c r="A132" s="911" t="s">
        <v>147</v>
      </c>
      <c r="C132" s="926">
        <v>0</v>
      </c>
      <c r="D132" s="926">
        <v>0</v>
      </c>
      <c r="E132" s="926">
        <v>0</v>
      </c>
      <c r="F132" s="926">
        <v>0</v>
      </c>
      <c r="G132" s="926">
        <v>0</v>
      </c>
      <c r="H132" s="926">
        <v>0</v>
      </c>
      <c r="I132" s="926">
        <v>0</v>
      </c>
      <c r="J132" s="926">
        <v>0</v>
      </c>
      <c r="K132" s="926">
        <v>0</v>
      </c>
      <c r="L132" s="926">
        <v>0</v>
      </c>
      <c r="M132" s="926">
        <v>0</v>
      </c>
      <c r="N132" s="926">
        <v>0</v>
      </c>
      <c r="O132" s="142">
        <f t="shared" si="52"/>
        <v>0</v>
      </c>
      <c r="P132" s="142"/>
      <c r="Q132" s="912"/>
      <c r="R132" s="919" t="s">
        <v>27</v>
      </c>
      <c r="S132" s="912"/>
      <c r="T132" s="142"/>
      <c r="U132" s="914">
        <f t="shared" si="53"/>
        <v>0</v>
      </c>
      <c r="V132" s="914">
        <f t="shared" si="54"/>
        <v>0</v>
      </c>
      <c r="W132" s="914">
        <f t="shared" si="55"/>
        <v>0</v>
      </c>
      <c r="X132" s="914">
        <f t="shared" si="56"/>
        <v>0</v>
      </c>
      <c r="Y132" s="915">
        <f t="shared" si="57"/>
        <v>0</v>
      </c>
    </row>
    <row r="133" spans="1:25" x14ac:dyDescent="0.25">
      <c r="A133" s="911" t="s">
        <v>148</v>
      </c>
      <c r="C133" s="926">
        <v>0</v>
      </c>
      <c r="D133" s="926">
        <v>0</v>
      </c>
      <c r="E133" s="926">
        <v>0</v>
      </c>
      <c r="F133" s="926">
        <v>0</v>
      </c>
      <c r="G133" s="926">
        <v>0</v>
      </c>
      <c r="H133" s="926">
        <v>0</v>
      </c>
      <c r="I133" s="926">
        <v>0</v>
      </c>
      <c r="J133" s="926">
        <v>0</v>
      </c>
      <c r="K133" s="926">
        <v>0</v>
      </c>
      <c r="L133" s="926">
        <v>0</v>
      </c>
      <c r="M133" s="926">
        <v>0</v>
      </c>
      <c r="N133" s="926">
        <v>0</v>
      </c>
      <c r="O133" s="142">
        <f t="shared" si="52"/>
        <v>0</v>
      </c>
      <c r="P133" s="142"/>
      <c r="Q133" s="912"/>
      <c r="R133" s="919" t="s">
        <v>27</v>
      </c>
      <c r="S133" s="912"/>
      <c r="T133" s="142"/>
      <c r="U133" s="914">
        <f t="shared" si="53"/>
        <v>0</v>
      </c>
      <c r="V133" s="914">
        <f t="shared" si="54"/>
        <v>0</v>
      </c>
      <c r="W133" s="914">
        <f t="shared" si="55"/>
        <v>0</v>
      </c>
      <c r="X133" s="914">
        <f t="shared" si="56"/>
        <v>0</v>
      </c>
      <c r="Y133" s="915">
        <f t="shared" si="57"/>
        <v>0</v>
      </c>
    </row>
    <row r="134" spans="1:25" x14ac:dyDescent="0.25">
      <c r="A134" s="911" t="s">
        <v>57</v>
      </c>
      <c r="C134" s="141">
        <v>0</v>
      </c>
      <c r="D134" s="141">
        <v>-85</v>
      </c>
      <c r="E134" s="141">
        <v>85</v>
      </c>
      <c r="F134" s="141">
        <v>0</v>
      </c>
      <c r="G134" s="141">
        <v>0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2">
        <f t="shared" si="52"/>
        <v>0</v>
      </c>
      <c r="P134" s="142"/>
      <c r="Q134" s="912"/>
      <c r="R134" s="918" t="s">
        <v>27</v>
      </c>
      <c r="S134" s="912"/>
      <c r="T134" s="142"/>
      <c r="U134" s="914">
        <f t="shared" si="53"/>
        <v>0</v>
      </c>
      <c r="V134" s="914">
        <f t="shared" si="54"/>
        <v>0</v>
      </c>
      <c r="W134" s="914">
        <f t="shared" si="55"/>
        <v>0</v>
      </c>
      <c r="X134" s="914">
        <f t="shared" si="56"/>
        <v>0</v>
      </c>
      <c r="Y134" s="915">
        <f t="shared" si="57"/>
        <v>0</v>
      </c>
    </row>
    <row r="135" spans="1:25" x14ac:dyDescent="0.25">
      <c r="A135" s="911" t="s">
        <v>58</v>
      </c>
      <c r="C135" s="926">
        <v>0</v>
      </c>
      <c r="D135" s="926">
        <v>0</v>
      </c>
      <c r="E135" s="926">
        <v>0</v>
      </c>
      <c r="F135" s="926">
        <v>0</v>
      </c>
      <c r="G135" s="926">
        <v>0</v>
      </c>
      <c r="H135" s="926">
        <v>0</v>
      </c>
      <c r="I135" s="926">
        <v>0</v>
      </c>
      <c r="J135" s="926">
        <v>0</v>
      </c>
      <c r="K135" s="926">
        <v>0</v>
      </c>
      <c r="L135" s="926">
        <v>0</v>
      </c>
      <c r="M135" s="926">
        <v>0</v>
      </c>
      <c r="N135" s="926">
        <v>0</v>
      </c>
      <c r="O135" s="142">
        <f t="shared" si="52"/>
        <v>0</v>
      </c>
      <c r="P135" s="142"/>
      <c r="Q135" s="912"/>
      <c r="R135" s="918" t="s">
        <v>27</v>
      </c>
      <c r="S135" s="912"/>
      <c r="T135" s="142"/>
      <c r="U135" s="914">
        <f t="shared" si="53"/>
        <v>0</v>
      </c>
      <c r="V135" s="914">
        <f t="shared" si="54"/>
        <v>0</v>
      </c>
      <c r="W135" s="914">
        <f t="shared" si="55"/>
        <v>0</v>
      </c>
      <c r="X135" s="914">
        <f t="shared" si="56"/>
        <v>0</v>
      </c>
      <c r="Y135" s="915">
        <f t="shared" si="57"/>
        <v>0</v>
      </c>
    </row>
    <row r="136" spans="1:25" x14ac:dyDescent="0.25">
      <c r="A136" s="911" t="s">
        <v>827</v>
      </c>
      <c r="C136" s="141">
        <v>7</v>
      </c>
      <c r="D136" s="141">
        <v>-3</v>
      </c>
      <c r="E136" s="141">
        <v>1</v>
      </c>
      <c r="F136" s="141">
        <v>10</v>
      </c>
      <c r="G136" s="141">
        <v>2</v>
      </c>
      <c r="H136" s="141">
        <v>-1</v>
      </c>
      <c r="I136" s="141">
        <v>0</v>
      </c>
      <c r="J136" s="141">
        <v>0</v>
      </c>
      <c r="K136" s="141">
        <v>0</v>
      </c>
      <c r="L136" s="141">
        <v>0</v>
      </c>
      <c r="M136" s="141">
        <v>0</v>
      </c>
      <c r="N136" s="141">
        <v>0</v>
      </c>
      <c r="O136" s="142">
        <f t="shared" si="52"/>
        <v>16</v>
      </c>
      <c r="P136" s="142"/>
      <c r="Q136" s="912"/>
      <c r="R136" s="918" t="s">
        <v>27</v>
      </c>
      <c r="S136" s="912"/>
      <c r="T136" s="142"/>
      <c r="U136" s="914">
        <f t="shared" si="53"/>
        <v>5</v>
      </c>
      <c r="V136" s="914">
        <f t="shared" si="54"/>
        <v>11</v>
      </c>
      <c r="W136" s="914">
        <f t="shared" si="55"/>
        <v>0</v>
      </c>
      <c r="X136" s="914">
        <f t="shared" si="56"/>
        <v>0</v>
      </c>
      <c r="Y136" s="915">
        <f t="shared" si="57"/>
        <v>16</v>
      </c>
    </row>
    <row r="137" spans="1:25" x14ac:dyDescent="0.25">
      <c r="A137" s="911" t="s">
        <v>59</v>
      </c>
      <c r="C137" s="945"/>
      <c r="D137" s="945"/>
      <c r="E137" s="945"/>
      <c r="F137" s="945"/>
      <c r="G137" s="945"/>
      <c r="H137" s="945"/>
      <c r="I137" s="945"/>
      <c r="J137" s="945"/>
      <c r="K137" s="945"/>
      <c r="L137" s="945"/>
      <c r="M137" s="945"/>
      <c r="N137" s="945"/>
      <c r="O137" s="142">
        <f t="shared" si="52"/>
        <v>0</v>
      </c>
      <c r="P137" s="142"/>
      <c r="Q137" s="946"/>
      <c r="R137" s="918" t="s">
        <v>27</v>
      </c>
      <c r="S137" s="946"/>
      <c r="T137" s="142"/>
      <c r="U137" s="914">
        <f t="shared" si="53"/>
        <v>0</v>
      </c>
      <c r="V137" s="914">
        <f t="shared" si="54"/>
        <v>0</v>
      </c>
      <c r="W137" s="914">
        <f t="shared" si="55"/>
        <v>0</v>
      </c>
      <c r="X137" s="914">
        <f t="shared" si="56"/>
        <v>0</v>
      </c>
      <c r="Y137" s="915">
        <f t="shared" si="57"/>
        <v>0</v>
      </c>
    </row>
    <row r="138" spans="1:25" x14ac:dyDescent="0.25">
      <c r="A138" s="911" t="s">
        <v>60</v>
      </c>
      <c r="C138" s="945"/>
      <c r="D138" s="945"/>
      <c r="E138" s="945"/>
      <c r="F138" s="945"/>
      <c r="G138" s="945"/>
      <c r="H138" s="945"/>
      <c r="I138" s="945"/>
      <c r="J138" s="945"/>
      <c r="K138" s="945"/>
      <c r="L138" s="945"/>
      <c r="M138" s="945"/>
      <c r="N138" s="945"/>
      <c r="O138" s="142">
        <f t="shared" si="52"/>
        <v>0</v>
      </c>
      <c r="P138" s="142"/>
      <c r="Q138" s="946"/>
      <c r="R138" s="919" t="s">
        <v>27</v>
      </c>
      <c r="S138" s="946"/>
      <c r="T138" s="142"/>
      <c r="U138" s="914">
        <f t="shared" si="53"/>
        <v>0</v>
      </c>
      <c r="V138" s="914">
        <f t="shared" si="54"/>
        <v>0</v>
      </c>
      <c r="W138" s="914">
        <f t="shared" si="55"/>
        <v>0</v>
      </c>
      <c r="X138" s="914">
        <f t="shared" si="56"/>
        <v>0</v>
      </c>
      <c r="Y138" s="915">
        <f t="shared" si="57"/>
        <v>0</v>
      </c>
    </row>
    <row r="139" spans="1:25" x14ac:dyDescent="0.25">
      <c r="A139" s="911" t="s">
        <v>61</v>
      </c>
      <c r="C139" s="945"/>
      <c r="D139" s="945"/>
      <c r="E139" s="945"/>
      <c r="F139" s="945"/>
      <c r="G139" s="945"/>
      <c r="H139" s="945"/>
      <c r="I139" s="945"/>
      <c r="J139" s="945"/>
      <c r="K139" s="945"/>
      <c r="L139" s="945"/>
      <c r="M139" s="945"/>
      <c r="N139" s="945"/>
      <c r="O139" s="142">
        <f t="shared" si="52"/>
        <v>0</v>
      </c>
      <c r="P139" s="142"/>
      <c r="Q139" s="946"/>
      <c r="R139" s="919" t="s">
        <v>27</v>
      </c>
      <c r="S139" s="946"/>
      <c r="T139" s="142"/>
      <c r="U139" s="914">
        <f t="shared" si="53"/>
        <v>0</v>
      </c>
      <c r="V139" s="914">
        <f t="shared" si="54"/>
        <v>0</v>
      </c>
      <c r="W139" s="914">
        <f t="shared" si="55"/>
        <v>0</v>
      </c>
      <c r="X139" s="914">
        <f t="shared" si="56"/>
        <v>0</v>
      </c>
      <c r="Y139" s="915">
        <f t="shared" si="57"/>
        <v>0</v>
      </c>
    </row>
    <row r="140" spans="1:25" s="931" customFormat="1" ht="12.75" customHeight="1" x14ac:dyDescent="0.25">
      <c r="A140" s="911" t="s">
        <v>62</v>
      </c>
      <c r="C140" s="879"/>
      <c r="D140" s="879"/>
      <c r="E140" s="879"/>
      <c r="F140" s="879"/>
      <c r="G140" s="879"/>
      <c r="H140" s="879"/>
      <c r="I140" s="879"/>
      <c r="J140" s="879"/>
      <c r="K140" s="879"/>
      <c r="L140" s="879"/>
      <c r="M140" s="879"/>
      <c r="N140" s="879"/>
      <c r="O140" s="142">
        <f t="shared" si="52"/>
        <v>0</v>
      </c>
      <c r="P140" s="142"/>
      <c r="Q140" s="936"/>
      <c r="R140" s="918" t="s">
        <v>27</v>
      </c>
      <c r="S140" s="936"/>
      <c r="T140" s="142"/>
      <c r="U140" s="914">
        <f t="shared" si="53"/>
        <v>0</v>
      </c>
      <c r="V140" s="914">
        <f t="shared" si="54"/>
        <v>0</v>
      </c>
      <c r="W140" s="914">
        <f t="shared" si="55"/>
        <v>0</v>
      </c>
      <c r="X140" s="914">
        <f t="shared" si="56"/>
        <v>0</v>
      </c>
      <c r="Y140" s="915">
        <f t="shared" si="57"/>
        <v>0</v>
      </c>
    </row>
    <row r="141" spans="1:25" s="931" customFormat="1" ht="6" customHeight="1" x14ac:dyDescent="0.25">
      <c r="A141" s="947"/>
      <c r="C141" s="879"/>
      <c r="D141" s="879"/>
      <c r="E141" s="879"/>
      <c r="F141" s="879"/>
      <c r="G141" s="879"/>
      <c r="H141" s="879"/>
      <c r="I141" s="879"/>
      <c r="J141" s="879"/>
      <c r="K141" s="879"/>
      <c r="L141" s="879"/>
      <c r="M141" s="879"/>
      <c r="N141" s="879"/>
      <c r="O141" s="935"/>
      <c r="P141" s="935"/>
      <c r="Q141" s="936"/>
      <c r="R141" s="948"/>
      <c r="S141" s="936"/>
      <c r="T141" s="935"/>
      <c r="U141" s="935"/>
      <c r="V141" s="935"/>
      <c r="W141" s="935"/>
      <c r="X141" s="935"/>
      <c r="Y141" s="937"/>
    </row>
    <row r="142" spans="1:25" s="931" customFormat="1" ht="12.75" customHeight="1" x14ac:dyDescent="0.25">
      <c r="A142" s="911" t="s">
        <v>63</v>
      </c>
      <c r="B142" s="892"/>
      <c r="C142" s="926"/>
      <c r="D142" s="926"/>
      <c r="E142" s="926"/>
      <c r="F142" s="926"/>
      <c r="G142" s="926"/>
      <c r="H142" s="926"/>
      <c r="I142" s="926"/>
      <c r="J142" s="926"/>
      <c r="K142" s="926"/>
      <c r="L142" s="926"/>
      <c r="M142" s="926"/>
      <c r="N142" s="926"/>
      <c r="O142" s="142">
        <f>SUM(C142:N142)</f>
        <v>0</v>
      </c>
      <c r="P142" s="142"/>
      <c r="Q142" s="912"/>
      <c r="R142" s="917" t="s">
        <v>64</v>
      </c>
      <c r="S142" s="912"/>
      <c r="T142" s="142"/>
      <c r="U142" s="914">
        <f>C142+D142+E142</f>
        <v>0</v>
      </c>
      <c r="V142" s="914">
        <f>F142+G142+H142</f>
        <v>0</v>
      </c>
      <c r="W142" s="914">
        <f>I142+J142+K142</f>
        <v>0</v>
      </c>
      <c r="X142" s="914">
        <f>L142+M142+N142</f>
        <v>0</v>
      </c>
      <c r="Y142" s="915">
        <f>SUM(U142:X142)</f>
        <v>0</v>
      </c>
    </row>
    <row r="143" spans="1:25" s="931" customFormat="1" ht="12.75" customHeight="1" x14ac:dyDescent="0.25">
      <c r="A143" s="916" t="s">
        <v>1080</v>
      </c>
      <c r="B143" s="892"/>
      <c r="C143" s="926"/>
      <c r="D143" s="926"/>
      <c r="E143" s="926"/>
      <c r="F143" s="926"/>
      <c r="G143" s="926"/>
      <c r="H143" s="926"/>
      <c r="I143" s="926"/>
      <c r="J143" s="926"/>
      <c r="K143" s="926"/>
      <c r="L143" s="926"/>
      <c r="M143" s="926"/>
      <c r="N143" s="926"/>
      <c r="O143" s="142">
        <f>SUM(C143:N143)</f>
        <v>0</v>
      </c>
      <c r="P143" s="142"/>
      <c r="Q143" s="912"/>
      <c r="R143" s="917" t="s">
        <v>64</v>
      </c>
      <c r="S143" s="912"/>
      <c r="T143" s="142"/>
      <c r="U143" s="914">
        <f>C143+D143+E143</f>
        <v>0</v>
      </c>
      <c r="V143" s="914">
        <f>F143+G143+H143</f>
        <v>0</v>
      </c>
      <c r="W143" s="914">
        <f>I143+J143+K143</f>
        <v>0</v>
      </c>
      <c r="X143" s="914">
        <f>L143+M143+N143</f>
        <v>0</v>
      </c>
      <c r="Y143" s="915">
        <f>SUM(U143:X143)</f>
        <v>0</v>
      </c>
    </row>
    <row r="144" spans="1:25" s="931" customFormat="1" ht="12.75" customHeight="1" x14ac:dyDescent="0.25">
      <c r="A144" s="911" t="s">
        <v>65</v>
      </c>
      <c r="B144" s="892"/>
      <c r="C144" s="926"/>
      <c r="D144" s="926"/>
      <c r="E144" s="926"/>
      <c r="F144" s="926"/>
      <c r="G144" s="926"/>
      <c r="H144" s="926"/>
      <c r="I144" s="926"/>
      <c r="J144" s="926"/>
      <c r="K144" s="926"/>
      <c r="L144" s="926"/>
      <c r="M144" s="926"/>
      <c r="N144" s="926"/>
      <c r="O144" s="142">
        <f>SUM(C144:N144)</f>
        <v>0</v>
      </c>
      <c r="P144" s="142"/>
      <c r="Q144" s="912"/>
      <c r="R144" s="917" t="s">
        <v>64</v>
      </c>
      <c r="S144" s="912"/>
      <c r="T144" s="142"/>
      <c r="U144" s="914">
        <f>C144+D144+E144</f>
        <v>0</v>
      </c>
      <c r="V144" s="914">
        <f>F144+G144+H144</f>
        <v>0</v>
      </c>
      <c r="W144" s="914">
        <f>I144+J144+K144</f>
        <v>0</v>
      </c>
      <c r="X144" s="914">
        <f>L144+M144+N144</f>
        <v>0</v>
      </c>
      <c r="Y144" s="915">
        <f>SUM(U144:X144)</f>
        <v>0</v>
      </c>
    </row>
    <row r="145" spans="1:25" s="931" customFormat="1" ht="12.75" customHeight="1" x14ac:dyDescent="0.25">
      <c r="A145" s="949" t="s">
        <v>66</v>
      </c>
      <c r="C145" s="932">
        <f t="shared" ref="C145:O145" si="58">SUM(C127:C144)</f>
        <v>-231</v>
      </c>
      <c r="D145" s="933">
        <f t="shared" si="58"/>
        <v>-976</v>
      </c>
      <c r="E145" s="933">
        <f t="shared" si="58"/>
        <v>-192</v>
      </c>
      <c r="F145" s="933">
        <f t="shared" si="58"/>
        <v>10</v>
      </c>
      <c r="G145" s="933">
        <f t="shared" si="58"/>
        <v>2</v>
      </c>
      <c r="H145" s="933">
        <f t="shared" si="58"/>
        <v>-1</v>
      </c>
      <c r="I145" s="933">
        <f t="shared" si="58"/>
        <v>0</v>
      </c>
      <c r="J145" s="933">
        <f t="shared" si="58"/>
        <v>0</v>
      </c>
      <c r="K145" s="933">
        <f t="shared" si="58"/>
        <v>0</v>
      </c>
      <c r="L145" s="933">
        <f t="shared" si="58"/>
        <v>0</v>
      </c>
      <c r="M145" s="933">
        <f t="shared" si="58"/>
        <v>0</v>
      </c>
      <c r="N145" s="933">
        <f t="shared" si="58"/>
        <v>0</v>
      </c>
      <c r="O145" s="934">
        <f t="shared" si="58"/>
        <v>-1388</v>
      </c>
      <c r="P145" s="935"/>
      <c r="Q145" s="936"/>
      <c r="R145" s="928"/>
      <c r="S145" s="936"/>
      <c r="T145" s="935"/>
      <c r="U145" s="932">
        <f>SUM(U127:U144)</f>
        <v>-1399</v>
      </c>
      <c r="V145" s="933">
        <f>SUM(V127:V144)</f>
        <v>11</v>
      </c>
      <c r="W145" s="933">
        <f>SUM(W127:W144)</f>
        <v>0</v>
      </c>
      <c r="X145" s="933">
        <f>SUM(X127:X144)</f>
        <v>0</v>
      </c>
      <c r="Y145" s="934">
        <f>SUM(Y127:Y144)</f>
        <v>-1388</v>
      </c>
    </row>
    <row r="146" spans="1:25" s="931" customFormat="1" ht="12.75" customHeight="1" x14ac:dyDescent="0.25">
      <c r="A146" s="949"/>
      <c r="C146" s="928"/>
      <c r="D146" s="928"/>
      <c r="E146" s="928"/>
      <c r="F146" s="928"/>
      <c r="G146" s="928"/>
      <c r="H146" s="928"/>
      <c r="I146" s="928"/>
      <c r="J146" s="928"/>
      <c r="K146" s="928"/>
      <c r="L146" s="928"/>
      <c r="M146" s="928"/>
      <c r="N146" s="928"/>
      <c r="O146" s="944"/>
      <c r="P146" s="944"/>
      <c r="Q146" s="936"/>
      <c r="R146" s="928"/>
      <c r="S146" s="936"/>
      <c r="T146" s="944"/>
      <c r="U146" s="944"/>
      <c r="V146" s="944"/>
      <c r="W146" s="944"/>
      <c r="X146" s="944"/>
      <c r="Y146" s="928"/>
    </row>
    <row r="147" spans="1:25" s="931" customFormat="1" ht="12.75" customHeight="1" x14ac:dyDescent="0.25">
      <c r="A147" s="930" t="s">
        <v>152</v>
      </c>
      <c r="B147" s="950"/>
      <c r="C147" s="951">
        <f t="shared" ref="C147:O147" si="59">C79+C124+C145</f>
        <v>17793</v>
      </c>
      <c r="D147" s="952">
        <f t="shared" si="59"/>
        <v>21164</v>
      </c>
      <c r="E147" s="952">
        <f t="shared" si="59"/>
        <v>8864</v>
      </c>
      <c r="F147" s="952">
        <f t="shared" si="59"/>
        <v>17752</v>
      </c>
      <c r="G147" s="952">
        <f t="shared" si="59"/>
        <v>18251</v>
      </c>
      <c r="H147" s="952">
        <f t="shared" si="59"/>
        <v>16344</v>
      </c>
      <c r="I147" s="952">
        <f t="shared" si="59"/>
        <v>16157</v>
      </c>
      <c r="J147" s="952">
        <f t="shared" si="59"/>
        <v>15353</v>
      </c>
      <c r="K147" s="952">
        <f t="shared" si="59"/>
        <v>24947</v>
      </c>
      <c r="L147" s="952">
        <f t="shared" si="59"/>
        <v>15577</v>
      </c>
      <c r="M147" s="952">
        <f t="shared" si="59"/>
        <v>14942</v>
      </c>
      <c r="N147" s="952">
        <f t="shared" si="59"/>
        <v>15003</v>
      </c>
      <c r="O147" s="953">
        <f t="shared" si="59"/>
        <v>202147</v>
      </c>
      <c r="P147" s="954"/>
      <c r="Q147" s="955"/>
      <c r="R147" s="956"/>
      <c r="S147" s="955"/>
      <c r="T147" s="954"/>
      <c r="U147" s="951">
        <f>U79+U124+U145</f>
        <v>47821</v>
      </c>
      <c r="V147" s="952">
        <f>V79+V124+V145</f>
        <v>52347</v>
      </c>
      <c r="W147" s="952">
        <f>W79+W124+W145</f>
        <v>56457</v>
      </c>
      <c r="X147" s="952">
        <f>X79+X124+X145</f>
        <v>45522</v>
      </c>
      <c r="Y147" s="953">
        <f>Y79+Y124+Y145</f>
        <v>202147</v>
      </c>
    </row>
    <row r="148" spans="1:25" s="931" customFormat="1" ht="12.75" customHeight="1" x14ac:dyDescent="0.25">
      <c r="A148" s="911"/>
      <c r="B148" s="950"/>
      <c r="C148" s="937"/>
      <c r="D148" s="937"/>
      <c r="E148" s="937"/>
      <c r="F148" s="937"/>
      <c r="G148" s="937"/>
      <c r="H148" s="937"/>
      <c r="I148" s="937"/>
      <c r="J148" s="937"/>
      <c r="K148" s="937"/>
      <c r="L148" s="937"/>
      <c r="M148" s="937"/>
      <c r="N148" s="937"/>
      <c r="O148" s="142"/>
      <c r="P148" s="954"/>
      <c r="Q148" s="955"/>
      <c r="R148" s="956"/>
      <c r="S148" s="955"/>
      <c r="T148" s="954"/>
      <c r="U148" s="914"/>
      <c r="V148" s="914"/>
      <c r="W148" s="914"/>
      <c r="X148" s="914"/>
      <c r="Y148" s="915"/>
    </row>
    <row r="149" spans="1:25" s="931" customFormat="1" ht="12.75" customHeight="1" x14ac:dyDescent="0.25">
      <c r="A149" s="911"/>
      <c r="B149" s="950"/>
      <c r="C149" s="937"/>
      <c r="D149" s="937"/>
      <c r="E149" s="937"/>
      <c r="F149" s="937"/>
      <c r="G149" s="937"/>
      <c r="H149" s="937"/>
      <c r="I149" s="937"/>
      <c r="J149" s="937"/>
      <c r="K149" s="937"/>
      <c r="L149" s="937"/>
      <c r="M149" s="937"/>
      <c r="N149" s="937"/>
      <c r="O149" s="142"/>
      <c r="P149" s="954"/>
      <c r="Q149" s="955"/>
      <c r="R149" s="956"/>
      <c r="S149" s="955"/>
      <c r="T149" s="954"/>
      <c r="U149" s="914"/>
      <c r="V149" s="914"/>
      <c r="W149" s="914"/>
      <c r="X149" s="914"/>
      <c r="Y149" s="915"/>
    </row>
    <row r="150" spans="1:25" x14ac:dyDescent="0.25">
      <c r="A150" s="957"/>
      <c r="C150" s="915"/>
      <c r="D150" s="915"/>
      <c r="E150" s="915"/>
      <c r="F150" s="915"/>
      <c r="G150" s="915"/>
      <c r="H150" s="915"/>
      <c r="I150" s="915"/>
      <c r="J150" s="915"/>
      <c r="K150" s="915"/>
      <c r="L150" s="915"/>
      <c r="M150" s="915"/>
      <c r="N150" s="915"/>
      <c r="O150" s="914"/>
      <c r="P150" s="914"/>
      <c r="Q150" s="912"/>
      <c r="R150" s="915"/>
      <c r="S150" s="912"/>
      <c r="T150" s="914"/>
      <c r="U150" s="914"/>
      <c r="V150" s="914"/>
      <c r="W150" s="914"/>
      <c r="X150" s="914"/>
      <c r="Y150" s="915"/>
    </row>
    <row r="151" spans="1:25" x14ac:dyDescent="0.25">
      <c r="C151" s="915"/>
      <c r="D151" s="915"/>
      <c r="E151" s="915"/>
      <c r="F151" s="915"/>
      <c r="G151" s="915"/>
      <c r="H151" s="915"/>
      <c r="I151" s="915"/>
      <c r="J151" s="915"/>
      <c r="K151" s="915"/>
      <c r="L151" s="915"/>
      <c r="M151" s="915"/>
      <c r="N151" s="915"/>
      <c r="O151" s="914"/>
      <c r="P151" s="914"/>
      <c r="Q151" s="912"/>
      <c r="R151" s="915"/>
      <c r="S151" s="912"/>
      <c r="T151" s="914"/>
      <c r="U151" s="914"/>
      <c r="V151" s="914"/>
      <c r="W151" s="914"/>
      <c r="X151" s="914"/>
      <c r="Y151" s="915"/>
    </row>
    <row r="152" spans="1:25" x14ac:dyDescent="0.25">
      <c r="A152" s="907" t="s">
        <v>67</v>
      </c>
      <c r="C152" s="915"/>
      <c r="D152" s="915"/>
      <c r="E152" s="915"/>
      <c r="F152" s="915"/>
      <c r="G152" s="915"/>
      <c r="H152" s="915"/>
      <c r="I152" s="915"/>
      <c r="J152" s="915"/>
      <c r="K152" s="915"/>
      <c r="L152" s="915"/>
      <c r="M152" s="915"/>
      <c r="N152" s="915"/>
      <c r="O152" s="914"/>
      <c r="P152" s="914"/>
      <c r="Q152" s="912"/>
      <c r="R152" s="915"/>
      <c r="S152" s="912"/>
      <c r="T152" s="914"/>
      <c r="U152" s="914"/>
      <c r="V152" s="914"/>
      <c r="W152" s="914"/>
      <c r="X152" s="914"/>
      <c r="Y152" s="915"/>
    </row>
    <row r="153" spans="1:25" x14ac:dyDescent="0.25">
      <c r="A153" s="910" t="s">
        <v>68</v>
      </c>
      <c r="C153" s="958"/>
      <c r="D153" s="959"/>
      <c r="E153" s="959"/>
      <c r="F153" s="959"/>
      <c r="G153" s="959"/>
      <c r="H153" s="959"/>
      <c r="I153" s="959"/>
      <c r="J153" s="959"/>
      <c r="K153" s="959"/>
      <c r="L153" s="959"/>
      <c r="M153" s="959"/>
      <c r="N153" s="959"/>
      <c r="O153" s="960">
        <f>C153+D153+E153+F153+G153+H153+I153+J153+K153+L153+M153+N153</f>
        <v>0</v>
      </c>
      <c r="P153" s="914"/>
      <c r="Q153" s="912"/>
      <c r="R153" s="943" t="s">
        <v>27</v>
      </c>
      <c r="S153" s="912"/>
      <c r="T153" s="914"/>
      <c r="U153" s="958">
        <f>C153+D153+E153</f>
        <v>0</v>
      </c>
      <c r="V153" s="959">
        <f>F153+G153+H153</f>
        <v>0</v>
      </c>
      <c r="W153" s="959">
        <f>I153+J153+K153</f>
        <v>0</v>
      </c>
      <c r="X153" s="959">
        <f>L153+M153+N153</f>
        <v>0</v>
      </c>
      <c r="Y153" s="960">
        <f>SUM(U153:X153)</f>
        <v>0</v>
      </c>
    </row>
    <row r="154" spans="1:25" ht="6" customHeight="1" x14ac:dyDescent="0.25">
      <c r="A154" s="910"/>
      <c r="C154" s="915"/>
      <c r="D154" s="915"/>
      <c r="E154" s="915"/>
      <c r="F154" s="915"/>
      <c r="G154" s="915"/>
      <c r="H154" s="915"/>
      <c r="I154" s="915"/>
      <c r="J154" s="915"/>
      <c r="K154" s="915"/>
      <c r="L154" s="915"/>
      <c r="M154" s="915"/>
      <c r="N154" s="915"/>
      <c r="O154" s="914"/>
      <c r="P154" s="914"/>
      <c r="Q154" s="912"/>
      <c r="R154" s="961"/>
      <c r="S154" s="912"/>
      <c r="T154" s="914"/>
      <c r="U154" s="914"/>
      <c r="V154" s="914"/>
      <c r="W154" s="914"/>
      <c r="X154" s="914"/>
      <c r="Y154" s="915"/>
    </row>
    <row r="155" spans="1:25" x14ac:dyDescent="0.25">
      <c r="A155" s="910" t="s">
        <v>31</v>
      </c>
      <c r="C155" s="915"/>
      <c r="D155" s="915"/>
      <c r="E155" s="915"/>
      <c r="F155" s="915"/>
      <c r="G155" s="915"/>
      <c r="H155" s="915"/>
      <c r="I155" s="915"/>
      <c r="J155" s="915"/>
      <c r="K155" s="915"/>
      <c r="L155" s="915"/>
      <c r="M155" s="915"/>
      <c r="N155" s="915"/>
      <c r="O155" s="914"/>
      <c r="P155" s="914"/>
      <c r="Q155" s="912"/>
      <c r="R155" s="915"/>
      <c r="S155" s="912"/>
      <c r="T155" s="914"/>
      <c r="U155" s="914"/>
      <c r="V155" s="914"/>
      <c r="W155" s="914"/>
      <c r="X155" s="914"/>
      <c r="Y155" s="915"/>
    </row>
    <row r="156" spans="1:25" x14ac:dyDescent="0.25">
      <c r="A156" s="911" t="s">
        <v>42</v>
      </c>
      <c r="C156" s="926">
        <v>0</v>
      </c>
      <c r="D156" s="926">
        <v>0</v>
      </c>
      <c r="E156" s="926">
        <v>0</v>
      </c>
      <c r="F156" s="926">
        <v>0</v>
      </c>
      <c r="G156" s="926">
        <v>0</v>
      </c>
      <c r="H156" s="926">
        <v>0</v>
      </c>
      <c r="I156" s="926">
        <v>0</v>
      </c>
      <c r="J156" s="926">
        <v>0</v>
      </c>
      <c r="K156" s="926">
        <v>0</v>
      </c>
      <c r="L156" s="926">
        <v>0</v>
      </c>
      <c r="M156" s="926">
        <v>0</v>
      </c>
      <c r="N156" s="926">
        <v>0</v>
      </c>
      <c r="O156" s="697">
        <f>SUM(C156:N156)</f>
        <v>0</v>
      </c>
      <c r="P156" s="697"/>
      <c r="Q156" s="912"/>
      <c r="R156" s="918" t="s">
        <v>43</v>
      </c>
      <c r="S156" s="912"/>
      <c r="T156" s="697"/>
      <c r="U156" s="914">
        <f>C156+D156+E156</f>
        <v>0</v>
      </c>
      <c r="V156" s="914">
        <f>F156+G156+H156</f>
        <v>0</v>
      </c>
      <c r="W156" s="914">
        <f>I156+J156+K156</f>
        <v>0</v>
      </c>
      <c r="X156" s="914">
        <f>L156+M156+N156</f>
        <v>0</v>
      </c>
      <c r="Y156" s="915">
        <f>SUM(U156:X156)</f>
        <v>0</v>
      </c>
    </row>
    <row r="157" spans="1:25" x14ac:dyDescent="0.25">
      <c r="A157" s="911" t="s">
        <v>44</v>
      </c>
      <c r="C157" s="926">
        <v>0</v>
      </c>
      <c r="D157" s="926">
        <v>0</v>
      </c>
      <c r="E157" s="926">
        <v>0</v>
      </c>
      <c r="F157" s="926">
        <v>0</v>
      </c>
      <c r="G157" s="926">
        <v>0</v>
      </c>
      <c r="H157" s="926">
        <v>0</v>
      </c>
      <c r="I157" s="926">
        <v>0</v>
      </c>
      <c r="J157" s="926">
        <v>0</v>
      </c>
      <c r="K157" s="926">
        <v>0</v>
      </c>
      <c r="L157" s="926">
        <v>0</v>
      </c>
      <c r="M157" s="926">
        <v>0</v>
      </c>
      <c r="N157" s="926">
        <v>0</v>
      </c>
      <c r="O157" s="697">
        <f>SUM(C157:N157)</f>
        <v>0</v>
      </c>
      <c r="P157" s="697"/>
      <c r="Q157" s="912"/>
      <c r="R157" s="918" t="s">
        <v>43</v>
      </c>
      <c r="S157" s="912"/>
      <c r="T157" s="697"/>
      <c r="U157" s="914">
        <f>C157+D157+E157</f>
        <v>0</v>
      </c>
      <c r="V157" s="914">
        <f>F157+G157+H157</f>
        <v>0</v>
      </c>
      <c r="W157" s="914">
        <f>I157+J157+K157</f>
        <v>0</v>
      </c>
      <c r="X157" s="914">
        <f>L157+M157+N157</f>
        <v>0</v>
      </c>
      <c r="Y157" s="915">
        <f>SUM(U157:X157)</f>
        <v>0</v>
      </c>
    </row>
    <row r="158" spans="1:25" x14ac:dyDescent="0.25">
      <c r="A158" s="911" t="s">
        <v>69</v>
      </c>
      <c r="C158" s="706">
        <v>-119</v>
      </c>
      <c r="D158" s="706">
        <v>-131</v>
      </c>
      <c r="E158" s="706">
        <v>-141</v>
      </c>
      <c r="F158" s="706">
        <v>-132</v>
      </c>
      <c r="G158" s="706">
        <v>-130</v>
      </c>
      <c r="H158" s="706">
        <v>-125</v>
      </c>
      <c r="I158" s="706">
        <v>-200</v>
      </c>
      <c r="J158" s="706">
        <v>-100</v>
      </c>
      <c r="K158" s="706">
        <v>-100</v>
      </c>
      <c r="L158" s="706">
        <v>-100</v>
      </c>
      <c r="M158" s="706">
        <v>-200</v>
      </c>
      <c r="N158" s="706">
        <v>-200</v>
      </c>
      <c r="O158" s="697">
        <f>SUM(C158:N158)</f>
        <v>-1678</v>
      </c>
      <c r="P158" s="697"/>
      <c r="Q158" s="912"/>
      <c r="R158" s="918" t="s">
        <v>43</v>
      </c>
      <c r="S158" s="912"/>
      <c r="T158" s="697"/>
      <c r="U158" s="914">
        <f>C158+D158+E158</f>
        <v>-391</v>
      </c>
      <c r="V158" s="914">
        <f>F158+G158+H158</f>
        <v>-387</v>
      </c>
      <c r="W158" s="914">
        <f>I158+J158+K158</f>
        <v>-400</v>
      </c>
      <c r="X158" s="914">
        <f>L158+M158+N158</f>
        <v>-500</v>
      </c>
      <c r="Y158" s="915">
        <f>SUM(U158:X158)</f>
        <v>-1678</v>
      </c>
    </row>
    <row r="159" spans="1:25" x14ac:dyDescent="0.25">
      <c r="A159" s="911" t="s">
        <v>70</v>
      </c>
      <c r="C159" s="915"/>
      <c r="D159" s="915"/>
      <c r="E159" s="915"/>
      <c r="F159" s="915"/>
      <c r="G159" s="915"/>
      <c r="H159" s="915"/>
      <c r="I159" s="915"/>
      <c r="J159" s="915"/>
      <c r="K159" s="915"/>
      <c r="L159" s="915"/>
      <c r="M159" s="915"/>
      <c r="N159" s="915"/>
      <c r="O159" s="697">
        <f>SUM(C159:N159)</f>
        <v>0</v>
      </c>
      <c r="P159" s="697"/>
      <c r="Q159" s="912"/>
      <c r="R159" s="918" t="s">
        <v>43</v>
      </c>
      <c r="S159" s="912"/>
      <c r="T159" s="697"/>
      <c r="U159" s="914">
        <f>C159+D159+E159</f>
        <v>0</v>
      </c>
      <c r="V159" s="914">
        <f>F159+G159+H159</f>
        <v>0</v>
      </c>
      <c r="W159" s="914">
        <f>I159+J159+K159</f>
        <v>0</v>
      </c>
      <c r="X159" s="914">
        <f>L159+M159+N159</f>
        <v>0</v>
      </c>
      <c r="Y159" s="915">
        <f>SUM(U159:X159)</f>
        <v>0</v>
      </c>
    </row>
    <row r="160" spans="1:25" x14ac:dyDescent="0.25">
      <c r="A160" s="911" t="s">
        <v>71</v>
      </c>
      <c r="C160" s="962">
        <v>0</v>
      </c>
      <c r="D160" s="962">
        <v>0</v>
      </c>
      <c r="E160" s="962">
        <v>0</v>
      </c>
      <c r="F160" s="962">
        <v>0</v>
      </c>
      <c r="G160" s="962">
        <v>0</v>
      </c>
      <c r="H160" s="962">
        <v>0</v>
      </c>
      <c r="I160" s="962">
        <v>0</v>
      </c>
      <c r="J160" s="962">
        <v>0</v>
      </c>
      <c r="K160" s="962">
        <v>0</v>
      </c>
      <c r="L160" s="962">
        <v>0</v>
      </c>
      <c r="M160" s="962">
        <v>0</v>
      </c>
      <c r="N160" s="962">
        <v>-100</v>
      </c>
      <c r="O160" s="699">
        <f>SUM(C160:N160)</f>
        <v>-100</v>
      </c>
      <c r="P160" s="697"/>
      <c r="Q160" s="912"/>
      <c r="R160" s="918" t="s">
        <v>43</v>
      </c>
      <c r="S160" s="912"/>
      <c r="T160" s="697"/>
      <c r="U160" s="923">
        <f>C160+D160+E160</f>
        <v>0</v>
      </c>
      <c r="V160" s="923">
        <f>F160+G160+H160</f>
        <v>0</v>
      </c>
      <c r="W160" s="923">
        <f>I160+J160+K160</f>
        <v>0</v>
      </c>
      <c r="X160" s="923">
        <f>L160+M160+N160</f>
        <v>-100</v>
      </c>
      <c r="Y160" s="924">
        <f>SUM(U160:X160)</f>
        <v>-100</v>
      </c>
    </row>
    <row r="161" spans="1:25" x14ac:dyDescent="0.25">
      <c r="A161" s="911" t="s">
        <v>50</v>
      </c>
      <c r="C161" s="963">
        <f t="shared" ref="C161:O161" si="60">SUM(C156:C160)</f>
        <v>-119</v>
      </c>
      <c r="D161" s="963">
        <f t="shared" si="60"/>
        <v>-131</v>
      </c>
      <c r="E161" s="963">
        <f t="shared" si="60"/>
        <v>-141</v>
      </c>
      <c r="F161" s="963">
        <f t="shared" si="60"/>
        <v>-132</v>
      </c>
      <c r="G161" s="963">
        <f t="shared" si="60"/>
        <v>-130</v>
      </c>
      <c r="H161" s="963">
        <f t="shared" si="60"/>
        <v>-125</v>
      </c>
      <c r="I161" s="963">
        <f t="shared" si="60"/>
        <v>-200</v>
      </c>
      <c r="J161" s="963">
        <f t="shared" si="60"/>
        <v>-100</v>
      </c>
      <c r="K161" s="963">
        <f t="shared" si="60"/>
        <v>-100</v>
      </c>
      <c r="L161" s="963">
        <f t="shared" si="60"/>
        <v>-100</v>
      </c>
      <c r="M161" s="963">
        <f t="shared" si="60"/>
        <v>-200</v>
      </c>
      <c r="N161" s="963">
        <f t="shared" si="60"/>
        <v>-300</v>
      </c>
      <c r="O161" s="963">
        <f t="shared" si="60"/>
        <v>-1778</v>
      </c>
      <c r="P161" s="697"/>
      <c r="Q161" s="912"/>
      <c r="R161" s="918"/>
      <c r="S161" s="912"/>
      <c r="T161" s="697"/>
      <c r="U161" s="963">
        <f>SUM(U156:U160)</f>
        <v>-391</v>
      </c>
      <c r="V161" s="963">
        <f>SUM(V156:V160)</f>
        <v>-387</v>
      </c>
      <c r="W161" s="963">
        <f>SUM(W156:W160)</f>
        <v>-400</v>
      </c>
      <c r="X161" s="963">
        <f>SUM(X156:X160)</f>
        <v>-600</v>
      </c>
      <c r="Y161" s="963">
        <f>SUM(Y156:Y160)</f>
        <v>-1778</v>
      </c>
    </row>
    <row r="162" spans="1:25" ht="3.9" customHeight="1" x14ac:dyDescent="0.25">
      <c r="A162" s="911"/>
      <c r="C162" s="706"/>
      <c r="D162" s="706"/>
      <c r="E162" s="706"/>
      <c r="F162" s="706"/>
      <c r="G162" s="706"/>
      <c r="H162" s="706"/>
      <c r="I162" s="706"/>
      <c r="J162" s="706"/>
      <c r="K162" s="706"/>
      <c r="L162" s="706"/>
      <c r="M162" s="706"/>
      <c r="N162" s="706"/>
      <c r="O162" s="697"/>
      <c r="P162" s="697"/>
      <c r="Q162" s="912"/>
      <c r="R162" s="918"/>
      <c r="S162" s="912"/>
      <c r="T162" s="697"/>
      <c r="U162" s="914"/>
      <c r="V162" s="914"/>
      <c r="W162" s="914"/>
      <c r="X162" s="914"/>
      <c r="Y162" s="915"/>
    </row>
    <row r="163" spans="1:25" s="931" customFormat="1" ht="12.75" customHeight="1" x14ac:dyDescent="0.25">
      <c r="A163" s="964" t="s">
        <v>53</v>
      </c>
      <c r="C163" s="128">
        <v>-17</v>
      </c>
      <c r="D163" s="128">
        <v>-17</v>
      </c>
      <c r="E163" s="128">
        <v>-9</v>
      </c>
      <c r="F163" s="128">
        <v>-9</v>
      </c>
      <c r="G163" s="128">
        <v>-9</v>
      </c>
      <c r="H163" s="128">
        <v>-9</v>
      </c>
      <c r="I163" s="128">
        <v>-9</v>
      </c>
      <c r="J163" s="128">
        <v>-9</v>
      </c>
      <c r="K163" s="128">
        <v>-9</v>
      </c>
      <c r="L163" s="128">
        <v>-8</v>
      </c>
      <c r="M163" s="128">
        <v>-8</v>
      </c>
      <c r="N163" s="128">
        <v>-8</v>
      </c>
      <c r="O163" s="697">
        <f>SUM(C163:N163)</f>
        <v>-121</v>
      </c>
      <c r="P163" s="697"/>
      <c r="Q163" s="942"/>
      <c r="R163" s="913" t="s">
        <v>54</v>
      </c>
      <c r="S163" s="942"/>
      <c r="T163" s="697"/>
      <c r="U163" s="935">
        <f>C163+D163+E163</f>
        <v>-43</v>
      </c>
      <c r="V163" s="935">
        <f>F163+G163+H163</f>
        <v>-27</v>
      </c>
      <c r="W163" s="935">
        <f>I163+J163+K163</f>
        <v>-27</v>
      </c>
      <c r="X163" s="935">
        <f>L163+M163+N163</f>
        <v>-24</v>
      </c>
      <c r="Y163" s="937">
        <f>SUM(U163:X163)</f>
        <v>-121</v>
      </c>
    </row>
    <row r="164" spans="1:25" s="931" customFormat="1" ht="12.75" customHeight="1" x14ac:dyDescent="0.25">
      <c r="A164" s="949" t="s">
        <v>55</v>
      </c>
      <c r="C164" s="932">
        <f t="shared" ref="C164:O164" si="61">+C161+C163</f>
        <v>-136</v>
      </c>
      <c r="D164" s="933">
        <f t="shared" si="61"/>
        <v>-148</v>
      </c>
      <c r="E164" s="933">
        <f t="shared" si="61"/>
        <v>-150</v>
      </c>
      <c r="F164" s="933">
        <f t="shared" si="61"/>
        <v>-141</v>
      </c>
      <c r="G164" s="933">
        <f t="shared" si="61"/>
        <v>-139</v>
      </c>
      <c r="H164" s="933">
        <f t="shared" si="61"/>
        <v>-134</v>
      </c>
      <c r="I164" s="933">
        <f t="shared" si="61"/>
        <v>-209</v>
      </c>
      <c r="J164" s="933">
        <f t="shared" si="61"/>
        <v>-109</v>
      </c>
      <c r="K164" s="933">
        <f t="shared" si="61"/>
        <v>-109</v>
      </c>
      <c r="L164" s="933">
        <f t="shared" si="61"/>
        <v>-108</v>
      </c>
      <c r="M164" s="933">
        <f t="shared" si="61"/>
        <v>-208</v>
      </c>
      <c r="N164" s="933">
        <f t="shared" si="61"/>
        <v>-308</v>
      </c>
      <c r="O164" s="934">
        <f t="shared" si="61"/>
        <v>-1899</v>
      </c>
      <c r="P164" s="935"/>
      <c r="Q164" s="942"/>
      <c r="R164" s="937"/>
      <c r="S164" s="942"/>
      <c r="T164" s="935"/>
      <c r="U164" s="932">
        <f>+U161+U163</f>
        <v>-434</v>
      </c>
      <c r="V164" s="933">
        <f>+V161+V163</f>
        <v>-414</v>
      </c>
      <c r="W164" s="933">
        <f>+W161+W163</f>
        <v>-427</v>
      </c>
      <c r="X164" s="933">
        <f>+X161+X163</f>
        <v>-624</v>
      </c>
      <c r="Y164" s="934">
        <f>+Y161+Y163</f>
        <v>-1899</v>
      </c>
    </row>
    <row r="165" spans="1:25" s="931" customFormat="1" ht="12.75" customHeight="1" x14ac:dyDescent="0.25">
      <c r="A165" s="949"/>
      <c r="C165" s="937"/>
      <c r="D165" s="937"/>
      <c r="E165" s="937"/>
      <c r="F165" s="937"/>
      <c r="G165" s="937"/>
      <c r="H165" s="937"/>
      <c r="I165" s="937"/>
      <c r="J165" s="937"/>
      <c r="K165" s="937"/>
      <c r="L165" s="937"/>
      <c r="M165" s="937"/>
      <c r="N165" s="937"/>
      <c r="O165" s="935"/>
      <c r="P165" s="935"/>
      <c r="Q165" s="942"/>
      <c r="R165" s="937"/>
      <c r="S165" s="942"/>
      <c r="T165" s="935"/>
      <c r="U165" s="935"/>
      <c r="V165" s="935"/>
      <c r="W165" s="935"/>
      <c r="X165" s="935"/>
      <c r="Y165" s="937"/>
    </row>
    <row r="166" spans="1:25" s="931" customFormat="1" ht="12.75" customHeight="1" x14ac:dyDescent="0.25">
      <c r="A166" s="965" t="s">
        <v>72</v>
      </c>
      <c r="C166" s="951">
        <f t="shared" ref="C166:O166" si="62">+C153+C164</f>
        <v>-136</v>
      </c>
      <c r="D166" s="952">
        <f t="shared" si="62"/>
        <v>-148</v>
      </c>
      <c r="E166" s="952">
        <f t="shared" si="62"/>
        <v>-150</v>
      </c>
      <c r="F166" s="952">
        <f t="shared" si="62"/>
        <v>-141</v>
      </c>
      <c r="G166" s="952">
        <f t="shared" si="62"/>
        <v>-139</v>
      </c>
      <c r="H166" s="952">
        <f t="shared" si="62"/>
        <v>-134</v>
      </c>
      <c r="I166" s="952">
        <f t="shared" si="62"/>
        <v>-209</v>
      </c>
      <c r="J166" s="952">
        <f t="shared" si="62"/>
        <v>-109</v>
      </c>
      <c r="K166" s="952">
        <f t="shared" si="62"/>
        <v>-109</v>
      </c>
      <c r="L166" s="952">
        <f t="shared" si="62"/>
        <v>-108</v>
      </c>
      <c r="M166" s="952">
        <f t="shared" si="62"/>
        <v>-208</v>
      </c>
      <c r="N166" s="952">
        <f t="shared" si="62"/>
        <v>-308</v>
      </c>
      <c r="O166" s="953">
        <f t="shared" si="62"/>
        <v>-1899</v>
      </c>
      <c r="P166" s="954"/>
      <c r="Q166" s="955"/>
      <c r="R166" s="956"/>
      <c r="S166" s="955"/>
      <c r="T166" s="954"/>
      <c r="U166" s="951">
        <f>+U153+U164</f>
        <v>-434</v>
      </c>
      <c r="V166" s="952">
        <f>+V153+V164</f>
        <v>-414</v>
      </c>
      <c r="W166" s="952">
        <f>+W153+W164</f>
        <v>-427</v>
      </c>
      <c r="X166" s="952">
        <f>+X153+X164</f>
        <v>-624</v>
      </c>
      <c r="Y166" s="953">
        <f>+Y153+Y164</f>
        <v>-1899</v>
      </c>
    </row>
    <row r="167" spans="1:25" s="931" customFormat="1" ht="12.75" customHeight="1" x14ac:dyDescent="0.25">
      <c r="A167" s="965"/>
      <c r="C167" s="928"/>
      <c r="D167" s="928"/>
      <c r="E167" s="928"/>
      <c r="F167" s="928"/>
      <c r="G167" s="928"/>
      <c r="H167" s="928"/>
      <c r="I167" s="928"/>
      <c r="J167" s="928"/>
      <c r="K167" s="928"/>
      <c r="L167" s="928"/>
      <c r="M167" s="928"/>
      <c r="N167" s="928"/>
      <c r="O167" s="944"/>
      <c r="P167" s="944"/>
      <c r="Q167" s="936"/>
      <c r="R167" s="928"/>
      <c r="S167" s="936"/>
      <c r="T167" s="944"/>
      <c r="U167" s="944"/>
      <c r="V167" s="944"/>
      <c r="W167" s="944"/>
      <c r="X167" s="944"/>
      <c r="Y167" s="928"/>
    </row>
    <row r="168" spans="1:25" x14ac:dyDescent="0.25">
      <c r="A168" s="907" t="s">
        <v>73</v>
      </c>
      <c r="C168" s="915"/>
      <c r="D168" s="915"/>
      <c r="E168" s="915"/>
      <c r="F168" s="915"/>
      <c r="G168" s="915"/>
      <c r="H168" s="915"/>
      <c r="I168" s="915"/>
      <c r="J168" s="915"/>
      <c r="K168" s="915"/>
      <c r="L168" s="915"/>
      <c r="M168" s="915"/>
      <c r="N168" s="915"/>
      <c r="O168" s="914"/>
      <c r="P168" s="914"/>
      <c r="Q168" s="912"/>
      <c r="R168" s="915"/>
      <c r="S168" s="912"/>
      <c r="T168" s="914"/>
      <c r="U168" s="914"/>
      <c r="V168" s="914"/>
      <c r="W168" s="914"/>
      <c r="X168" s="914"/>
      <c r="Y168" s="915"/>
    </row>
    <row r="169" spans="1:25" x14ac:dyDescent="0.25">
      <c r="A169" s="910" t="s">
        <v>74</v>
      </c>
      <c r="C169" s="966">
        <v>0</v>
      </c>
      <c r="D169" s="967">
        <v>0</v>
      </c>
      <c r="E169" s="967">
        <v>0</v>
      </c>
      <c r="F169" s="967">
        <v>0</v>
      </c>
      <c r="G169" s="967">
        <v>-21</v>
      </c>
      <c r="H169" s="967">
        <v>0</v>
      </c>
      <c r="I169" s="967">
        <v>0</v>
      </c>
      <c r="J169" s="967">
        <v>0</v>
      </c>
      <c r="K169" s="967">
        <v>0</v>
      </c>
      <c r="L169" s="967">
        <v>0</v>
      </c>
      <c r="M169" s="967">
        <v>0</v>
      </c>
      <c r="N169" s="967">
        <v>0</v>
      </c>
      <c r="O169" s="968">
        <f>SUM(C169:N169)</f>
        <v>-21</v>
      </c>
      <c r="P169" s="969"/>
      <c r="Q169" s="912"/>
      <c r="R169" s="943" t="s">
        <v>27</v>
      </c>
      <c r="S169" s="912"/>
      <c r="T169" s="969"/>
      <c r="U169" s="958">
        <f>C169+D169+E169</f>
        <v>0</v>
      </c>
      <c r="V169" s="959">
        <f>F169+G169+H169</f>
        <v>-21</v>
      </c>
      <c r="W169" s="959">
        <f>I169+J169+K169</f>
        <v>0</v>
      </c>
      <c r="X169" s="959">
        <f>L169+M169+N169</f>
        <v>0</v>
      </c>
      <c r="Y169" s="960">
        <f>SUM(U169:X169)</f>
        <v>-21</v>
      </c>
    </row>
    <row r="170" spans="1:25" ht="6" customHeight="1" x14ac:dyDescent="0.25">
      <c r="A170" s="970"/>
      <c r="C170" s="915"/>
      <c r="D170" s="915"/>
      <c r="E170" s="915"/>
      <c r="F170" s="915"/>
      <c r="G170" s="915"/>
      <c r="H170" s="915"/>
      <c r="I170" s="915"/>
      <c r="J170" s="915"/>
      <c r="K170" s="915"/>
      <c r="L170" s="915"/>
      <c r="M170" s="915"/>
      <c r="N170" s="915"/>
      <c r="O170" s="914"/>
      <c r="P170" s="914"/>
      <c r="Q170" s="912"/>
      <c r="R170" s="915"/>
      <c r="S170" s="912"/>
      <c r="T170" s="914"/>
      <c r="U170" s="914"/>
      <c r="V170" s="914"/>
      <c r="W170" s="914"/>
      <c r="X170" s="914"/>
      <c r="Y170" s="915"/>
    </row>
    <row r="171" spans="1:25" x14ac:dyDescent="0.25">
      <c r="A171" s="910" t="s">
        <v>31</v>
      </c>
      <c r="C171" s="915"/>
      <c r="D171" s="915"/>
      <c r="E171" s="915"/>
      <c r="F171" s="915"/>
      <c r="G171" s="915"/>
      <c r="H171" s="915"/>
      <c r="I171" s="915"/>
      <c r="J171" s="915"/>
      <c r="K171" s="915"/>
      <c r="L171" s="915"/>
      <c r="M171" s="915"/>
      <c r="N171" s="915"/>
      <c r="O171" s="914"/>
      <c r="P171" s="914"/>
      <c r="Q171" s="912"/>
      <c r="R171" s="915"/>
      <c r="S171" s="912"/>
      <c r="T171" s="914"/>
      <c r="U171" s="914"/>
      <c r="V171" s="914"/>
      <c r="W171" s="914"/>
      <c r="X171" s="914"/>
      <c r="Y171" s="915"/>
    </row>
    <row r="172" spans="1:25" x14ac:dyDescent="0.25">
      <c r="A172" s="911" t="s">
        <v>75</v>
      </c>
      <c r="C172" s="861">
        <f>-1870-SUM(C173:C183)</f>
        <v>-1870</v>
      </c>
      <c r="D172" s="861">
        <f>-2099-SUM(D173:D183)</f>
        <v>-1899</v>
      </c>
      <c r="E172" s="861">
        <f>-2611-SUM(E173:E183)</f>
        <v>-2311</v>
      </c>
      <c r="F172" s="861">
        <f>-1806-SUM(F173:F183)</f>
        <v>-1606</v>
      </c>
      <c r="G172" s="861">
        <f>-2795-SUM(G173:G183)</f>
        <v>-2695</v>
      </c>
      <c r="H172" s="861">
        <f>-2490-SUM(H173:H183)</f>
        <v>-2390</v>
      </c>
      <c r="I172" s="706">
        <v>-2200</v>
      </c>
      <c r="J172" s="706">
        <v>-2200</v>
      </c>
      <c r="K172" s="706">
        <v>-2200</v>
      </c>
      <c r="L172" s="706">
        <v>-2000</v>
      </c>
      <c r="M172" s="706">
        <v>-1900</v>
      </c>
      <c r="N172" s="706">
        <v>-1100</v>
      </c>
      <c r="O172" s="697">
        <f t="shared" ref="O172:O185" si="63">SUM(C172:N172)</f>
        <v>-24371</v>
      </c>
      <c r="P172" s="697"/>
      <c r="Q172" s="912"/>
      <c r="R172" s="918" t="s">
        <v>43</v>
      </c>
      <c r="S172" s="912"/>
      <c r="T172" s="697"/>
      <c r="U172" s="914">
        <f t="shared" ref="U172:U185" si="64">C172+D172+E172</f>
        <v>-6080</v>
      </c>
      <c r="V172" s="914">
        <f t="shared" ref="V172:V185" si="65">F172+G172+H172</f>
        <v>-6691</v>
      </c>
      <c r="W172" s="914">
        <f t="shared" ref="W172:W185" si="66">I172+J172+K172</f>
        <v>-6600</v>
      </c>
      <c r="X172" s="914">
        <f t="shared" ref="X172:X185" si="67">L172+M172+N172</f>
        <v>-5000</v>
      </c>
      <c r="Y172" s="915">
        <f t="shared" ref="Y172:Y185" si="68">SUM(U172:X172)</f>
        <v>-24371</v>
      </c>
    </row>
    <row r="173" spans="1:25" x14ac:dyDescent="0.25">
      <c r="A173" s="911" t="s">
        <v>76</v>
      </c>
      <c r="C173" s="926"/>
      <c r="D173" s="926"/>
      <c r="E173" s="926"/>
      <c r="F173" s="926"/>
      <c r="G173" s="926"/>
      <c r="H173" s="926"/>
      <c r="I173" s="915"/>
      <c r="J173" s="915"/>
      <c r="K173" s="915"/>
      <c r="L173" s="915"/>
      <c r="M173" s="915"/>
      <c r="N173" s="915"/>
      <c r="O173" s="697">
        <f t="shared" si="63"/>
        <v>0</v>
      </c>
      <c r="P173" s="697"/>
      <c r="Q173" s="912"/>
      <c r="R173" s="918" t="s">
        <v>43</v>
      </c>
      <c r="S173" s="912"/>
      <c r="T173" s="697"/>
      <c r="U173" s="914">
        <f t="shared" si="64"/>
        <v>0</v>
      </c>
      <c r="V173" s="914">
        <f t="shared" si="65"/>
        <v>0</v>
      </c>
      <c r="W173" s="914">
        <f t="shared" si="66"/>
        <v>0</v>
      </c>
      <c r="X173" s="914">
        <f t="shared" si="67"/>
        <v>0</v>
      </c>
      <c r="Y173" s="915">
        <f t="shared" si="68"/>
        <v>0</v>
      </c>
    </row>
    <row r="174" spans="1:25" x14ac:dyDescent="0.25">
      <c r="A174" s="911" t="s">
        <v>44</v>
      </c>
      <c r="C174" s="926">
        <v>0</v>
      </c>
      <c r="D174" s="926">
        <v>0</v>
      </c>
      <c r="E174" s="926">
        <v>0</v>
      </c>
      <c r="F174" s="926">
        <v>0</v>
      </c>
      <c r="G174" s="926">
        <v>100</v>
      </c>
      <c r="H174" s="926">
        <v>200</v>
      </c>
      <c r="I174" s="926">
        <v>200</v>
      </c>
      <c r="J174" s="926">
        <v>200</v>
      </c>
      <c r="K174" s="926">
        <v>200</v>
      </c>
      <c r="L174" s="926">
        <v>200</v>
      </c>
      <c r="M174" s="926">
        <v>200</v>
      </c>
      <c r="N174" s="926">
        <v>300</v>
      </c>
      <c r="O174" s="697">
        <f t="shared" si="63"/>
        <v>1600</v>
      </c>
      <c r="P174" s="697"/>
      <c r="Q174" s="912"/>
      <c r="R174" s="918" t="s">
        <v>43</v>
      </c>
      <c r="S174" s="912"/>
      <c r="T174" s="697"/>
      <c r="U174" s="914">
        <f t="shared" si="64"/>
        <v>0</v>
      </c>
      <c r="V174" s="914">
        <f t="shared" si="65"/>
        <v>300</v>
      </c>
      <c r="W174" s="914">
        <f t="shared" si="66"/>
        <v>600</v>
      </c>
      <c r="X174" s="914">
        <f t="shared" si="67"/>
        <v>700</v>
      </c>
      <c r="Y174" s="915">
        <f t="shared" si="68"/>
        <v>1600</v>
      </c>
    </row>
    <row r="175" spans="1:25" x14ac:dyDescent="0.25">
      <c r="A175" s="911" t="s">
        <v>77</v>
      </c>
      <c r="C175" s="926">
        <v>-100</v>
      </c>
      <c r="D175" s="926">
        <v>-100</v>
      </c>
      <c r="E175" s="926">
        <v>-100</v>
      </c>
      <c r="F175" s="926">
        <v>-100</v>
      </c>
      <c r="G175" s="926">
        <v>-100</v>
      </c>
      <c r="H175" s="926">
        <v>-200</v>
      </c>
      <c r="I175" s="926">
        <v>-100</v>
      </c>
      <c r="J175" s="926">
        <v>-100</v>
      </c>
      <c r="K175" s="926">
        <v>-100</v>
      </c>
      <c r="L175" s="926">
        <v>-100</v>
      </c>
      <c r="M175" s="926">
        <v>-100</v>
      </c>
      <c r="N175" s="926">
        <v>-200</v>
      </c>
      <c r="O175" s="697">
        <f t="shared" si="63"/>
        <v>-1400</v>
      </c>
      <c r="P175" s="697"/>
      <c r="Q175" s="912"/>
      <c r="R175" s="918" t="s">
        <v>43</v>
      </c>
      <c r="S175" s="912"/>
      <c r="T175" s="697"/>
      <c r="U175" s="914">
        <f t="shared" si="64"/>
        <v>-300</v>
      </c>
      <c r="V175" s="914">
        <f t="shared" si="65"/>
        <v>-400</v>
      </c>
      <c r="W175" s="914">
        <f t="shared" si="66"/>
        <v>-300</v>
      </c>
      <c r="X175" s="914">
        <f t="shared" si="67"/>
        <v>-400</v>
      </c>
      <c r="Y175" s="915">
        <f t="shared" si="68"/>
        <v>-1400</v>
      </c>
    </row>
    <row r="176" spans="1:25" x14ac:dyDescent="0.25">
      <c r="A176" s="911" t="s">
        <v>78</v>
      </c>
      <c r="C176" s="926"/>
      <c r="D176" s="926"/>
      <c r="E176" s="926"/>
      <c r="F176" s="926"/>
      <c r="G176" s="926"/>
      <c r="H176" s="926"/>
      <c r="I176" s="915"/>
      <c r="J176" s="915"/>
      <c r="K176" s="915"/>
      <c r="L176" s="915"/>
      <c r="M176" s="915"/>
      <c r="N176" s="915"/>
      <c r="O176" s="697">
        <f t="shared" si="63"/>
        <v>0</v>
      </c>
      <c r="P176" s="697"/>
      <c r="Q176" s="912"/>
      <c r="R176" s="918" t="s">
        <v>43</v>
      </c>
      <c r="S176" s="912"/>
      <c r="T176" s="697"/>
      <c r="U176" s="914">
        <f t="shared" si="64"/>
        <v>0</v>
      </c>
      <c r="V176" s="914">
        <f t="shared" si="65"/>
        <v>0</v>
      </c>
      <c r="W176" s="914">
        <f t="shared" si="66"/>
        <v>0</v>
      </c>
      <c r="X176" s="914">
        <f t="shared" si="67"/>
        <v>0</v>
      </c>
      <c r="Y176" s="915">
        <f t="shared" si="68"/>
        <v>0</v>
      </c>
    </row>
    <row r="177" spans="1:25" x14ac:dyDescent="0.25">
      <c r="A177" s="911" t="s">
        <v>79</v>
      </c>
      <c r="C177" s="926"/>
      <c r="D177" s="926"/>
      <c r="E177" s="926"/>
      <c r="F177" s="926"/>
      <c r="G177" s="926"/>
      <c r="H177" s="926"/>
      <c r="I177" s="915"/>
      <c r="J177" s="915"/>
      <c r="K177" s="915"/>
      <c r="L177" s="915"/>
      <c r="M177" s="915"/>
      <c r="N177" s="915"/>
      <c r="O177" s="697">
        <f t="shared" si="63"/>
        <v>0</v>
      </c>
      <c r="P177" s="697"/>
      <c r="Q177" s="912"/>
      <c r="R177" s="918" t="s">
        <v>43</v>
      </c>
      <c r="S177" s="912"/>
      <c r="T177" s="697"/>
      <c r="U177" s="914">
        <f t="shared" si="64"/>
        <v>0</v>
      </c>
      <c r="V177" s="914">
        <f t="shared" si="65"/>
        <v>0</v>
      </c>
      <c r="W177" s="914">
        <f t="shared" si="66"/>
        <v>0</v>
      </c>
      <c r="X177" s="914">
        <f t="shared" si="67"/>
        <v>0</v>
      </c>
      <c r="Y177" s="915">
        <f t="shared" si="68"/>
        <v>0</v>
      </c>
    </row>
    <row r="178" spans="1:25" x14ac:dyDescent="0.25">
      <c r="A178" s="911" t="s">
        <v>80</v>
      </c>
      <c r="C178" s="926"/>
      <c r="D178" s="926"/>
      <c r="E178" s="926"/>
      <c r="F178" s="926"/>
      <c r="G178" s="926"/>
      <c r="H178" s="926"/>
      <c r="I178" s="915"/>
      <c r="J178" s="915"/>
      <c r="K178" s="915"/>
      <c r="L178" s="915"/>
      <c r="M178" s="915"/>
      <c r="N178" s="915"/>
      <c r="O178" s="697">
        <f t="shared" si="63"/>
        <v>0</v>
      </c>
      <c r="P178" s="697"/>
      <c r="Q178" s="912"/>
      <c r="R178" s="918" t="s">
        <v>43</v>
      </c>
      <c r="S178" s="912"/>
      <c r="T178" s="697"/>
      <c r="U178" s="914">
        <f t="shared" si="64"/>
        <v>0</v>
      </c>
      <c r="V178" s="914">
        <f t="shared" si="65"/>
        <v>0</v>
      </c>
      <c r="W178" s="914">
        <f t="shared" si="66"/>
        <v>0</v>
      </c>
      <c r="X178" s="914">
        <f t="shared" si="67"/>
        <v>0</v>
      </c>
      <c r="Y178" s="915">
        <f t="shared" si="68"/>
        <v>0</v>
      </c>
    </row>
    <row r="179" spans="1:25" x14ac:dyDescent="0.25">
      <c r="A179" s="911" t="s">
        <v>81</v>
      </c>
      <c r="C179" s="926"/>
      <c r="D179" s="926"/>
      <c r="E179" s="926"/>
      <c r="F179" s="926"/>
      <c r="G179" s="926"/>
      <c r="H179" s="926"/>
      <c r="I179" s="915"/>
      <c r="J179" s="915"/>
      <c r="K179" s="915"/>
      <c r="L179" s="915"/>
      <c r="M179" s="915"/>
      <c r="N179" s="915"/>
      <c r="O179" s="697">
        <f t="shared" si="63"/>
        <v>0</v>
      </c>
      <c r="P179" s="697"/>
      <c r="Q179" s="912"/>
      <c r="R179" s="918" t="s">
        <v>43</v>
      </c>
      <c r="S179" s="912"/>
      <c r="T179" s="697"/>
      <c r="U179" s="914">
        <f t="shared" si="64"/>
        <v>0</v>
      </c>
      <c r="V179" s="914">
        <f t="shared" si="65"/>
        <v>0</v>
      </c>
      <c r="W179" s="914">
        <f t="shared" si="66"/>
        <v>0</v>
      </c>
      <c r="X179" s="914">
        <f t="shared" si="67"/>
        <v>0</v>
      </c>
      <c r="Y179" s="915">
        <f t="shared" si="68"/>
        <v>0</v>
      </c>
    </row>
    <row r="180" spans="1:25" x14ac:dyDescent="0.25">
      <c r="A180" s="911" t="s">
        <v>82</v>
      </c>
      <c r="C180" s="926"/>
      <c r="D180" s="926"/>
      <c r="E180" s="926"/>
      <c r="F180" s="926"/>
      <c r="G180" s="926"/>
      <c r="H180" s="926"/>
      <c r="I180" s="915"/>
      <c r="J180" s="915"/>
      <c r="K180" s="915"/>
      <c r="L180" s="915"/>
      <c r="M180" s="915"/>
      <c r="N180" s="915"/>
      <c r="O180" s="697">
        <f t="shared" si="63"/>
        <v>0</v>
      </c>
      <c r="P180" s="697"/>
      <c r="Q180" s="912"/>
      <c r="R180" s="918" t="s">
        <v>43</v>
      </c>
      <c r="S180" s="912"/>
      <c r="T180" s="697"/>
      <c r="U180" s="914">
        <f t="shared" si="64"/>
        <v>0</v>
      </c>
      <c r="V180" s="914">
        <f t="shared" si="65"/>
        <v>0</v>
      </c>
      <c r="W180" s="914">
        <f t="shared" si="66"/>
        <v>0</v>
      </c>
      <c r="X180" s="914">
        <f t="shared" si="67"/>
        <v>0</v>
      </c>
      <c r="Y180" s="915">
        <f t="shared" si="68"/>
        <v>0</v>
      </c>
    </row>
    <row r="181" spans="1:25" x14ac:dyDescent="0.25">
      <c r="A181" s="911" t="s">
        <v>83</v>
      </c>
      <c r="C181" s="926"/>
      <c r="D181" s="926"/>
      <c r="E181" s="926"/>
      <c r="F181" s="926"/>
      <c r="G181" s="926"/>
      <c r="H181" s="926"/>
      <c r="I181" s="915"/>
      <c r="J181" s="915"/>
      <c r="K181" s="915"/>
      <c r="L181" s="915"/>
      <c r="M181" s="915"/>
      <c r="N181" s="915"/>
      <c r="O181" s="697">
        <f t="shared" si="63"/>
        <v>0</v>
      </c>
      <c r="P181" s="697"/>
      <c r="Q181" s="912"/>
      <c r="R181" s="918" t="s">
        <v>43</v>
      </c>
      <c r="S181" s="912"/>
      <c r="T181" s="697"/>
      <c r="U181" s="914">
        <f t="shared" si="64"/>
        <v>0</v>
      </c>
      <c r="V181" s="914">
        <f t="shared" si="65"/>
        <v>0</v>
      </c>
      <c r="W181" s="914">
        <f t="shared" si="66"/>
        <v>0</v>
      </c>
      <c r="X181" s="914">
        <f t="shared" si="67"/>
        <v>0</v>
      </c>
      <c r="Y181" s="915">
        <f t="shared" si="68"/>
        <v>0</v>
      </c>
    </row>
    <row r="182" spans="1:25" x14ac:dyDescent="0.25">
      <c r="A182" s="911" t="s">
        <v>84</v>
      </c>
      <c r="C182" s="926">
        <v>100</v>
      </c>
      <c r="D182" s="926">
        <v>-100</v>
      </c>
      <c r="E182" s="926">
        <v>-200</v>
      </c>
      <c r="F182" s="926">
        <v>-100</v>
      </c>
      <c r="G182" s="926">
        <v>-100</v>
      </c>
      <c r="H182" s="926">
        <v>-100</v>
      </c>
      <c r="I182" s="926">
        <v>500</v>
      </c>
      <c r="J182" s="926">
        <v>0</v>
      </c>
      <c r="K182" s="926">
        <v>0</v>
      </c>
      <c r="L182" s="926">
        <v>0</v>
      </c>
      <c r="M182" s="926">
        <v>0</v>
      </c>
      <c r="N182" s="926">
        <v>0</v>
      </c>
      <c r="O182" s="697">
        <f t="shared" si="63"/>
        <v>0</v>
      </c>
      <c r="P182" s="697"/>
      <c r="Q182" s="912"/>
      <c r="R182" s="918" t="s">
        <v>43</v>
      </c>
      <c r="S182" s="912"/>
      <c r="T182" s="697"/>
      <c r="U182" s="914">
        <f t="shared" si="64"/>
        <v>-200</v>
      </c>
      <c r="V182" s="914">
        <f t="shared" si="65"/>
        <v>-300</v>
      </c>
      <c r="W182" s="914">
        <f t="shared" si="66"/>
        <v>500</v>
      </c>
      <c r="X182" s="914">
        <f t="shared" si="67"/>
        <v>0</v>
      </c>
      <c r="Y182" s="915">
        <f t="shared" si="68"/>
        <v>0</v>
      </c>
    </row>
    <row r="183" spans="1:25" x14ac:dyDescent="0.25">
      <c r="A183" s="911" t="s">
        <v>85</v>
      </c>
      <c r="C183" s="915"/>
      <c r="D183" s="915"/>
      <c r="E183" s="915"/>
      <c r="F183" s="915"/>
      <c r="G183" s="915"/>
      <c r="H183" s="915"/>
      <c r="I183" s="915"/>
      <c r="J183" s="915"/>
      <c r="K183" s="915"/>
      <c r="L183" s="915"/>
      <c r="M183" s="915"/>
      <c r="N183" s="915"/>
      <c r="O183" s="697">
        <f t="shared" si="63"/>
        <v>0</v>
      </c>
      <c r="P183" s="697"/>
      <c r="Q183" s="912"/>
      <c r="R183" s="918" t="s">
        <v>43</v>
      </c>
      <c r="S183" s="912"/>
      <c r="T183" s="697"/>
      <c r="U183" s="914">
        <f t="shared" si="64"/>
        <v>0</v>
      </c>
      <c r="V183" s="914">
        <f t="shared" si="65"/>
        <v>0</v>
      </c>
      <c r="W183" s="914">
        <f t="shared" si="66"/>
        <v>0</v>
      </c>
      <c r="X183" s="914">
        <f t="shared" si="67"/>
        <v>0</v>
      </c>
      <c r="Y183" s="915">
        <f t="shared" si="68"/>
        <v>0</v>
      </c>
    </row>
    <row r="184" spans="1:25" x14ac:dyDescent="0.25">
      <c r="A184" s="911" t="s">
        <v>1093</v>
      </c>
      <c r="C184" s="915"/>
      <c r="D184" s="915"/>
      <c r="E184" s="915"/>
      <c r="F184" s="915"/>
      <c r="G184" s="915"/>
      <c r="H184" s="915"/>
      <c r="I184" s="915"/>
      <c r="J184" s="915"/>
      <c r="K184" s="915"/>
      <c r="L184" s="915"/>
      <c r="M184" s="915"/>
      <c r="N184" s="915"/>
      <c r="O184" s="697">
        <f t="shared" si="63"/>
        <v>0</v>
      </c>
      <c r="P184" s="697"/>
      <c r="Q184" s="912"/>
      <c r="R184" s="918" t="s">
        <v>43</v>
      </c>
      <c r="S184" s="912"/>
      <c r="T184" s="697"/>
      <c r="U184" s="914">
        <f t="shared" si="64"/>
        <v>0</v>
      </c>
      <c r="V184" s="914">
        <f t="shared" si="65"/>
        <v>0</v>
      </c>
      <c r="W184" s="914">
        <f t="shared" si="66"/>
        <v>0</v>
      </c>
      <c r="X184" s="914">
        <f t="shared" si="67"/>
        <v>0</v>
      </c>
      <c r="Y184" s="915">
        <f t="shared" si="68"/>
        <v>0</v>
      </c>
    </row>
    <row r="185" spans="1:25" x14ac:dyDescent="0.25">
      <c r="A185" s="911" t="s">
        <v>20</v>
      </c>
      <c r="C185" s="940">
        <v>0</v>
      </c>
      <c r="D185" s="940">
        <v>0</v>
      </c>
      <c r="E185" s="940">
        <v>0</v>
      </c>
      <c r="F185" s="940">
        <v>0</v>
      </c>
      <c r="G185" s="940">
        <v>0</v>
      </c>
      <c r="H185" s="940">
        <v>0</v>
      </c>
      <c r="I185" s="940">
        <v>0</v>
      </c>
      <c r="J185" s="940">
        <v>0</v>
      </c>
      <c r="K185" s="940">
        <v>0</v>
      </c>
      <c r="L185" s="940">
        <v>0</v>
      </c>
      <c r="M185" s="940">
        <v>0</v>
      </c>
      <c r="N185" s="940">
        <v>0</v>
      </c>
      <c r="O185" s="699">
        <f t="shared" si="63"/>
        <v>0</v>
      </c>
      <c r="P185" s="697"/>
      <c r="Q185" s="912"/>
      <c r="R185" s="918" t="s">
        <v>43</v>
      </c>
      <c r="S185" s="912"/>
      <c r="T185" s="697"/>
      <c r="U185" s="923">
        <f t="shared" si="64"/>
        <v>0</v>
      </c>
      <c r="V185" s="923">
        <f t="shared" si="65"/>
        <v>0</v>
      </c>
      <c r="W185" s="923">
        <f t="shared" si="66"/>
        <v>0</v>
      </c>
      <c r="X185" s="923">
        <f t="shared" si="67"/>
        <v>0</v>
      </c>
      <c r="Y185" s="924">
        <f t="shared" si="68"/>
        <v>0</v>
      </c>
    </row>
    <row r="186" spans="1:25" x14ac:dyDescent="0.25">
      <c r="A186" s="911" t="s">
        <v>50</v>
      </c>
      <c r="C186" s="915">
        <f t="shared" ref="C186:O186" si="69">SUM(C172:C185)</f>
        <v>-1870</v>
      </c>
      <c r="D186" s="915">
        <f t="shared" si="69"/>
        <v>-2099</v>
      </c>
      <c r="E186" s="915">
        <f t="shared" si="69"/>
        <v>-2611</v>
      </c>
      <c r="F186" s="915">
        <f t="shared" si="69"/>
        <v>-1806</v>
      </c>
      <c r="G186" s="915">
        <f t="shared" si="69"/>
        <v>-2795</v>
      </c>
      <c r="H186" s="915">
        <f t="shared" si="69"/>
        <v>-2490</v>
      </c>
      <c r="I186" s="915">
        <f t="shared" si="69"/>
        <v>-1600</v>
      </c>
      <c r="J186" s="915">
        <f t="shared" si="69"/>
        <v>-2100</v>
      </c>
      <c r="K186" s="915">
        <f t="shared" si="69"/>
        <v>-2100</v>
      </c>
      <c r="L186" s="915">
        <f t="shared" si="69"/>
        <v>-1900</v>
      </c>
      <c r="M186" s="915">
        <f t="shared" si="69"/>
        <v>-1800</v>
      </c>
      <c r="N186" s="915">
        <f t="shared" si="69"/>
        <v>-1000</v>
      </c>
      <c r="O186" s="915">
        <f t="shared" si="69"/>
        <v>-24171</v>
      </c>
      <c r="P186" s="697"/>
      <c r="Q186" s="912"/>
      <c r="R186" s="918"/>
      <c r="S186" s="912"/>
      <c r="T186" s="697"/>
      <c r="U186" s="915">
        <f>SUM(U172:U185)</f>
        <v>-6580</v>
      </c>
      <c r="V186" s="915">
        <f>SUM(V172:V185)</f>
        <v>-7091</v>
      </c>
      <c r="W186" s="915">
        <f>SUM(W172:W185)</f>
        <v>-5800</v>
      </c>
      <c r="X186" s="915">
        <f>SUM(X172:X185)</f>
        <v>-4700</v>
      </c>
      <c r="Y186" s="915">
        <f>SUM(Y172:Y185)</f>
        <v>-24171</v>
      </c>
    </row>
    <row r="187" spans="1:25" ht="3.9" customHeight="1" x14ac:dyDescent="0.25">
      <c r="A187" s="911"/>
      <c r="C187" s="915"/>
      <c r="D187" s="915"/>
      <c r="E187" s="915"/>
      <c r="F187" s="915"/>
      <c r="G187" s="915"/>
      <c r="H187" s="915"/>
      <c r="I187" s="915"/>
      <c r="J187" s="915"/>
      <c r="K187" s="915"/>
      <c r="L187" s="915"/>
      <c r="M187" s="915"/>
      <c r="N187" s="915"/>
      <c r="O187" s="697"/>
      <c r="P187" s="697"/>
      <c r="Q187" s="912"/>
      <c r="R187" s="918"/>
      <c r="S187" s="912"/>
      <c r="T187" s="697"/>
      <c r="U187" s="914"/>
      <c r="V187" s="914"/>
      <c r="W187" s="914"/>
      <c r="X187" s="914"/>
      <c r="Y187" s="915"/>
    </row>
    <row r="188" spans="1:25" s="931" customFormat="1" ht="12.75" customHeight="1" x14ac:dyDescent="0.25">
      <c r="A188" s="964" t="s">
        <v>53</v>
      </c>
      <c r="C188" s="128">
        <v>-77</v>
      </c>
      <c r="D188" s="128">
        <v>-109</v>
      </c>
      <c r="E188" s="128">
        <v>-61</v>
      </c>
      <c r="F188" s="128">
        <v>-60</v>
      </c>
      <c r="G188" s="128">
        <v>-64</v>
      </c>
      <c r="H188" s="128">
        <v>-65</v>
      </c>
      <c r="I188" s="128">
        <v>-65</v>
      </c>
      <c r="J188" s="128">
        <v>-65</v>
      </c>
      <c r="K188" s="128">
        <v>-65</v>
      </c>
      <c r="L188" s="128">
        <v>-65</v>
      </c>
      <c r="M188" s="128">
        <v>-65</v>
      </c>
      <c r="N188" s="128">
        <v>-65</v>
      </c>
      <c r="O188" s="129">
        <f>SUM(C188:N188)</f>
        <v>-826</v>
      </c>
      <c r="P188" s="129"/>
      <c r="Q188" s="942"/>
      <c r="R188" s="943" t="s">
        <v>54</v>
      </c>
      <c r="S188" s="942"/>
      <c r="T188" s="129"/>
      <c r="U188" s="935">
        <f>C188+D188+E188</f>
        <v>-247</v>
      </c>
      <c r="V188" s="935">
        <f>F188+G188+H188</f>
        <v>-189</v>
      </c>
      <c r="W188" s="935">
        <f>I188+J188+K188</f>
        <v>-195</v>
      </c>
      <c r="X188" s="935">
        <f>L188+M188+N188</f>
        <v>-195</v>
      </c>
      <c r="Y188" s="915">
        <f>SUM(U188:X188)</f>
        <v>-826</v>
      </c>
    </row>
    <row r="189" spans="1:25" s="931" customFormat="1" ht="12.75" customHeight="1" x14ac:dyDescent="0.25">
      <c r="A189" s="930" t="s">
        <v>55</v>
      </c>
      <c r="C189" s="932">
        <f t="shared" ref="C189:O189" si="70">+C186+C188</f>
        <v>-1947</v>
      </c>
      <c r="D189" s="933">
        <f t="shared" si="70"/>
        <v>-2208</v>
      </c>
      <c r="E189" s="933">
        <f t="shared" si="70"/>
        <v>-2672</v>
      </c>
      <c r="F189" s="933">
        <f t="shared" si="70"/>
        <v>-1866</v>
      </c>
      <c r="G189" s="933">
        <f t="shared" si="70"/>
        <v>-2859</v>
      </c>
      <c r="H189" s="933">
        <f t="shared" si="70"/>
        <v>-2555</v>
      </c>
      <c r="I189" s="933">
        <f t="shared" si="70"/>
        <v>-1665</v>
      </c>
      <c r="J189" s="933">
        <f t="shared" si="70"/>
        <v>-2165</v>
      </c>
      <c r="K189" s="933">
        <f t="shared" si="70"/>
        <v>-2165</v>
      </c>
      <c r="L189" s="933">
        <f t="shared" si="70"/>
        <v>-1965</v>
      </c>
      <c r="M189" s="933">
        <f t="shared" si="70"/>
        <v>-1865</v>
      </c>
      <c r="N189" s="933">
        <f t="shared" si="70"/>
        <v>-1065</v>
      </c>
      <c r="O189" s="934">
        <f t="shared" si="70"/>
        <v>-24997</v>
      </c>
      <c r="P189" s="935"/>
      <c r="Q189" s="942"/>
      <c r="R189" s="937"/>
      <c r="S189" s="942"/>
      <c r="T189" s="935"/>
      <c r="U189" s="932">
        <f>+U186+U188</f>
        <v>-6827</v>
      </c>
      <c r="V189" s="933">
        <f>+V186+V188</f>
        <v>-7280</v>
      </c>
      <c r="W189" s="933">
        <f>+W186+W188</f>
        <v>-5995</v>
      </c>
      <c r="X189" s="933">
        <f>+X186+X188</f>
        <v>-4895</v>
      </c>
      <c r="Y189" s="934">
        <f>+Y186+Y188</f>
        <v>-24997</v>
      </c>
    </row>
    <row r="190" spans="1:25" s="931" customFormat="1" ht="12.75" customHeight="1" x14ac:dyDescent="0.25">
      <c r="A190" s="930"/>
      <c r="C190" s="937"/>
      <c r="D190" s="937"/>
      <c r="E190" s="937"/>
      <c r="F190" s="937"/>
      <c r="G190" s="937"/>
      <c r="H190" s="937"/>
      <c r="I190" s="937"/>
      <c r="J190" s="937"/>
      <c r="K190" s="937"/>
      <c r="L190" s="937"/>
      <c r="M190" s="937"/>
      <c r="N190" s="937"/>
      <c r="O190" s="935"/>
      <c r="P190" s="935"/>
      <c r="Q190" s="942"/>
      <c r="R190" s="937"/>
      <c r="S190" s="942"/>
      <c r="T190" s="935"/>
      <c r="U190" s="935"/>
      <c r="V190" s="935"/>
      <c r="W190" s="935"/>
      <c r="X190" s="935"/>
      <c r="Y190" s="937"/>
    </row>
    <row r="191" spans="1:25" s="931" customFormat="1" ht="12.75" customHeight="1" x14ac:dyDescent="0.25">
      <c r="A191" s="965" t="s">
        <v>86</v>
      </c>
      <c r="B191" s="950"/>
      <c r="C191" s="951">
        <f t="shared" ref="C191:O191" si="71">+C169+C189</f>
        <v>-1947</v>
      </c>
      <c r="D191" s="952">
        <f t="shared" si="71"/>
        <v>-2208</v>
      </c>
      <c r="E191" s="952">
        <f t="shared" si="71"/>
        <v>-2672</v>
      </c>
      <c r="F191" s="952">
        <f t="shared" si="71"/>
        <v>-1866</v>
      </c>
      <c r="G191" s="952">
        <f t="shared" si="71"/>
        <v>-2880</v>
      </c>
      <c r="H191" s="952">
        <f t="shared" si="71"/>
        <v>-2555</v>
      </c>
      <c r="I191" s="952">
        <f t="shared" si="71"/>
        <v>-1665</v>
      </c>
      <c r="J191" s="952">
        <f t="shared" si="71"/>
        <v>-2165</v>
      </c>
      <c r="K191" s="952">
        <f t="shared" si="71"/>
        <v>-2165</v>
      </c>
      <c r="L191" s="952">
        <f t="shared" si="71"/>
        <v>-1965</v>
      </c>
      <c r="M191" s="952">
        <f t="shared" si="71"/>
        <v>-1865</v>
      </c>
      <c r="N191" s="952">
        <f t="shared" si="71"/>
        <v>-1065</v>
      </c>
      <c r="O191" s="953">
        <f t="shared" si="71"/>
        <v>-25018</v>
      </c>
      <c r="P191" s="954"/>
      <c r="Q191" s="955"/>
      <c r="R191" s="956"/>
      <c r="S191" s="955"/>
      <c r="T191" s="954"/>
      <c r="U191" s="951">
        <f>+U169+U189</f>
        <v>-6827</v>
      </c>
      <c r="V191" s="952">
        <f>+V169+V189</f>
        <v>-7301</v>
      </c>
      <c r="W191" s="952">
        <f>+W169+W189</f>
        <v>-5995</v>
      </c>
      <c r="X191" s="952">
        <f>+X169+X189</f>
        <v>-4895</v>
      </c>
      <c r="Y191" s="953">
        <f>+Y169+Y189</f>
        <v>-25018</v>
      </c>
    </row>
    <row r="192" spans="1:25" s="931" customFormat="1" ht="12.75" customHeight="1" x14ac:dyDescent="0.25">
      <c r="A192" s="947"/>
      <c r="C192" s="937"/>
      <c r="D192" s="937"/>
      <c r="E192" s="937"/>
      <c r="F192" s="937"/>
      <c r="G192" s="937"/>
      <c r="H192" s="937"/>
      <c r="I192" s="937"/>
      <c r="J192" s="937"/>
      <c r="K192" s="937"/>
      <c r="L192" s="937"/>
      <c r="M192" s="937"/>
      <c r="N192" s="937"/>
      <c r="O192" s="935"/>
      <c r="P192" s="935"/>
      <c r="Q192" s="942"/>
      <c r="R192" s="937"/>
      <c r="S192" s="942"/>
      <c r="T192" s="935"/>
      <c r="U192" s="935"/>
      <c r="V192" s="935"/>
      <c r="W192" s="935"/>
      <c r="X192" s="935"/>
      <c r="Y192" s="937"/>
    </row>
    <row r="193" spans="1:25" x14ac:dyDescent="0.25">
      <c r="C193" s="915"/>
      <c r="D193" s="915"/>
      <c r="E193" s="915"/>
      <c r="F193" s="915"/>
      <c r="G193" s="915"/>
      <c r="H193" s="915"/>
      <c r="I193" s="915"/>
      <c r="J193" s="915"/>
      <c r="K193" s="915"/>
      <c r="L193" s="915"/>
      <c r="M193" s="915"/>
      <c r="N193" s="915"/>
      <c r="O193" s="914"/>
      <c r="P193" s="914"/>
      <c r="Q193" s="912"/>
      <c r="R193" s="915"/>
      <c r="S193" s="912"/>
      <c r="T193" s="914"/>
      <c r="U193" s="914"/>
      <c r="V193" s="914"/>
      <c r="W193" s="914"/>
      <c r="X193" s="914"/>
      <c r="Y193" s="915"/>
    </row>
    <row r="194" spans="1:25" x14ac:dyDescent="0.25">
      <c r="A194" s="971" t="s">
        <v>153</v>
      </c>
      <c r="C194" s="915"/>
      <c r="D194" s="915"/>
      <c r="E194" s="915"/>
      <c r="F194" s="915"/>
      <c r="G194" s="915"/>
      <c r="H194" s="915"/>
      <c r="I194" s="915"/>
      <c r="J194" s="915"/>
      <c r="K194" s="915"/>
      <c r="L194" s="915"/>
      <c r="M194" s="915"/>
      <c r="N194" s="915"/>
      <c r="O194" s="914"/>
      <c r="P194" s="914"/>
      <c r="Q194" s="912"/>
      <c r="R194" s="915"/>
      <c r="S194" s="912"/>
      <c r="T194" s="914"/>
      <c r="U194" s="914"/>
      <c r="V194" s="914"/>
      <c r="W194" s="914"/>
      <c r="X194" s="914"/>
      <c r="Y194" s="915"/>
    </row>
    <row r="195" spans="1:25" x14ac:dyDescent="0.25">
      <c r="A195" s="911" t="s">
        <v>151</v>
      </c>
      <c r="C195" s="966">
        <v>0</v>
      </c>
      <c r="D195" s="967">
        <v>0</v>
      </c>
      <c r="E195" s="967">
        <v>0</v>
      </c>
      <c r="F195" s="967">
        <v>0</v>
      </c>
      <c r="G195" s="967">
        <v>0</v>
      </c>
      <c r="H195" s="967">
        <v>0</v>
      </c>
      <c r="I195" s="967">
        <v>0</v>
      </c>
      <c r="J195" s="967">
        <v>0</v>
      </c>
      <c r="K195" s="967">
        <v>0</v>
      </c>
      <c r="L195" s="967">
        <v>0</v>
      </c>
      <c r="M195" s="967">
        <v>0</v>
      </c>
      <c r="N195" s="967">
        <v>0</v>
      </c>
      <c r="O195" s="968">
        <f>SUM(C195:N195)</f>
        <v>0</v>
      </c>
      <c r="P195" s="969"/>
      <c r="Q195" s="912"/>
      <c r="R195" s="918" t="s">
        <v>87</v>
      </c>
      <c r="S195" s="912"/>
      <c r="T195" s="969"/>
      <c r="U195" s="958">
        <f>C195+D195+E195</f>
        <v>0</v>
      </c>
      <c r="V195" s="959">
        <f>F195+G195+H195</f>
        <v>0</v>
      </c>
      <c r="W195" s="959">
        <f>I195+J195+K195</f>
        <v>0</v>
      </c>
      <c r="X195" s="959">
        <f>L195+M195+N195</f>
        <v>0</v>
      </c>
      <c r="Y195" s="960">
        <f>SUM(U195:X195)</f>
        <v>0</v>
      </c>
    </row>
    <row r="196" spans="1:25" ht="6" customHeight="1" x14ac:dyDescent="0.25">
      <c r="A196" s="911"/>
      <c r="C196" s="915"/>
      <c r="D196" s="915"/>
      <c r="E196" s="915"/>
      <c r="F196" s="915"/>
      <c r="G196" s="915"/>
      <c r="H196" s="915"/>
      <c r="I196" s="915"/>
      <c r="J196" s="915"/>
      <c r="K196" s="915"/>
      <c r="L196" s="915"/>
      <c r="M196" s="915"/>
      <c r="N196" s="915"/>
      <c r="O196" s="914"/>
      <c r="P196" s="914"/>
      <c r="Q196" s="912"/>
      <c r="R196" s="915"/>
      <c r="S196" s="912"/>
      <c r="T196" s="914"/>
      <c r="U196" s="914"/>
      <c r="V196" s="914"/>
      <c r="W196" s="914"/>
      <c r="X196" s="914"/>
      <c r="Y196" s="915"/>
    </row>
    <row r="197" spans="1:25" x14ac:dyDescent="0.25">
      <c r="A197" s="911" t="s">
        <v>154</v>
      </c>
      <c r="C197" s="972">
        <v>0</v>
      </c>
      <c r="D197" s="973">
        <v>0</v>
      </c>
      <c r="E197" s="973">
        <v>0</v>
      </c>
      <c r="F197" s="973">
        <v>0</v>
      </c>
      <c r="G197" s="973">
        <v>0</v>
      </c>
      <c r="H197" s="973">
        <v>0</v>
      </c>
      <c r="I197" s="973">
        <v>0</v>
      </c>
      <c r="J197" s="973">
        <v>0</v>
      </c>
      <c r="K197" s="973">
        <v>0</v>
      </c>
      <c r="L197" s="973">
        <v>0</v>
      </c>
      <c r="M197" s="973">
        <v>0</v>
      </c>
      <c r="N197" s="973">
        <v>0</v>
      </c>
      <c r="O197" s="974">
        <f>SUM(C197:N197)</f>
        <v>0</v>
      </c>
      <c r="P197" s="975"/>
      <c r="Q197" s="942"/>
      <c r="R197" s="976" t="s">
        <v>12</v>
      </c>
      <c r="S197" s="942"/>
      <c r="T197" s="975"/>
      <c r="U197" s="958">
        <f>C197+D197+E197</f>
        <v>0</v>
      </c>
      <c r="V197" s="959">
        <f>F197+G197+H197</f>
        <v>0</v>
      </c>
      <c r="W197" s="959">
        <f>I197+J197+K197</f>
        <v>0</v>
      </c>
      <c r="X197" s="959">
        <f>L197+M197+N197</f>
        <v>0</v>
      </c>
      <c r="Y197" s="960">
        <f>SUM(U197:X197)</f>
        <v>0</v>
      </c>
    </row>
    <row r="198" spans="1:25" ht="6" customHeight="1" x14ac:dyDescent="0.25">
      <c r="A198" s="977"/>
      <c r="C198" s="915"/>
      <c r="D198" s="915"/>
      <c r="E198" s="915"/>
      <c r="F198" s="915"/>
      <c r="G198" s="915"/>
      <c r="H198" s="915"/>
      <c r="I198" s="915"/>
      <c r="J198" s="915"/>
      <c r="K198" s="915"/>
      <c r="L198" s="915"/>
      <c r="M198" s="915"/>
      <c r="N198" s="915"/>
      <c r="O198" s="914"/>
      <c r="P198" s="914"/>
      <c r="Q198" s="912"/>
      <c r="R198" s="915"/>
      <c r="S198" s="912"/>
      <c r="T198" s="914"/>
      <c r="U198" s="914"/>
      <c r="V198" s="914"/>
      <c r="W198" s="914"/>
      <c r="X198" s="914"/>
      <c r="Y198" s="915"/>
    </row>
    <row r="199" spans="1:25" x14ac:dyDescent="0.25">
      <c r="A199" s="910" t="s">
        <v>31</v>
      </c>
      <c r="C199" s="915"/>
      <c r="D199" s="915"/>
      <c r="E199" s="915"/>
      <c r="F199" s="915"/>
      <c r="G199" s="915"/>
      <c r="H199" s="915"/>
      <c r="I199" s="915"/>
      <c r="J199" s="915"/>
      <c r="K199" s="915"/>
      <c r="L199" s="915"/>
      <c r="M199" s="915"/>
      <c r="N199" s="915"/>
      <c r="O199" s="914"/>
      <c r="P199" s="914"/>
      <c r="Q199" s="912"/>
      <c r="R199" s="915"/>
      <c r="S199" s="912"/>
      <c r="T199" s="914"/>
      <c r="U199" s="914"/>
      <c r="V199" s="914"/>
      <c r="W199" s="914"/>
      <c r="X199" s="914"/>
      <c r="Y199" s="915"/>
    </row>
    <row r="200" spans="1:25" x14ac:dyDescent="0.25">
      <c r="A200" s="911" t="s">
        <v>88</v>
      </c>
      <c r="C200" s="926">
        <v>-327</v>
      </c>
      <c r="D200" s="926">
        <v>-349</v>
      </c>
      <c r="E200" s="926">
        <v>-1344</v>
      </c>
      <c r="F200" s="926">
        <v>-199</v>
      </c>
      <c r="G200" s="926">
        <v>-144</v>
      </c>
      <c r="H200" s="926">
        <v>-333</v>
      </c>
      <c r="I200" s="926">
        <v>0</v>
      </c>
      <c r="J200" s="926">
        <v>0</v>
      </c>
      <c r="K200" s="926">
        <v>-100</v>
      </c>
      <c r="L200" s="926">
        <v>0</v>
      </c>
      <c r="M200" s="926">
        <v>0</v>
      </c>
      <c r="N200" s="926">
        <v>-100</v>
      </c>
      <c r="O200" s="142">
        <f t="shared" ref="O200:O217" si="72">SUM(C200:N200)</f>
        <v>-2896</v>
      </c>
      <c r="P200" s="142"/>
      <c r="Q200" s="912"/>
      <c r="R200" s="918" t="s">
        <v>43</v>
      </c>
      <c r="S200" s="912"/>
      <c r="T200" s="142"/>
      <c r="U200" s="914">
        <f t="shared" ref="U200:U217" si="73">C200+D200+E200</f>
        <v>-2020</v>
      </c>
      <c r="V200" s="914">
        <f t="shared" ref="V200:V217" si="74">F200+G200+H200</f>
        <v>-676</v>
      </c>
      <c r="W200" s="914">
        <f t="shared" ref="W200:W217" si="75">I200+J200+K200</f>
        <v>-100</v>
      </c>
      <c r="X200" s="914">
        <f t="shared" ref="X200:X217" si="76">L200+M200+N200</f>
        <v>-100</v>
      </c>
      <c r="Y200" s="915">
        <f t="shared" ref="Y200:Y217" si="77">SUM(U200:X200)</f>
        <v>-2896</v>
      </c>
    </row>
    <row r="201" spans="1:25" x14ac:dyDescent="0.25">
      <c r="A201" s="911" t="s">
        <v>89</v>
      </c>
      <c r="C201" s="926">
        <v>0</v>
      </c>
      <c r="D201" s="926">
        <v>0</v>
      </c>
      <c r="E201" s="926">
        <v>0</v>
      </c>
      <c r="F201" s="926">
        <v>0</v>
      </c>
      <c r="G201" s="926">
        <v>0</v>
      </c>
      <c r="H201" s="926">
        <v>0</v>
      </c>
      <c r="I201" s="926">
        <v>0</v>
      </c>
      <c r="J201" s="926">
        <v>0</v>
      </c>
      <c r="K201" s="926">
        <v>0</v>
      </c>
      <c r="L201" s="926">
        <v>0</v>
      </c>
      <c r="M201" s="926">
        <v>0</v>
      </c>
      <c r="N201" s="926">
        <v>-100</v>
      </c>
      <c r="O201" s="142">
        <f t="shared" si="72"/>
        <v>-100</v>
      </c>
      <c r="P201" s="142"/>
      <c r="Q201" s="912"/>
      <c r="R201" s="918" t="s">
        <v>43</v>
      </c>
      <c r="S201" s="912"/>
      <c r="T201" s="142"/>
      <c r="U201" s="914">
        <f t="shared" si="73"/>
        <v>0</v>
      </c>
      <c r="V201" s="914">
        <f t="shared" si="74"/>
        <v>0</v>
      </c>
      <c r="W201" s="914">
        <f t="shared" si="75"/>
        <v>0</v>
      </c>
      <c r="X201" s="914">
        <f t="shared" si="76"/>
        <v>-100</v>
      </c>
      <c r="Y201" s="915">
        <f t="shared" si="77"/>
        <v>-100</v>
      </c>
    </row>
    <row r="202" spans="1:25" x14ac:dyDescent="0.25">
      <c r="A202" s="911" t="s">
        <v>90</v>
      </c>
      <c r="C202" s="926">
        <v>0</v>
      </c>
      <c r="D202" s="926">
        <v>0</v>
      </c>
      <c r="E202" s="926">
        <v>0</v>
      </c>
      <c r="F202" s="926">
        <v>0</v>
      </c>
      <c r="G202" s="926">
        <v>0</v>
      </c>
      <c r="H202" s="926">
        <v>0</v>
      </c>
      <c r="I202" s="926">
        <v>0</v>
      </c>
      <c r="J202" s="926">
        <v>0</v>
      </c>
      <c r="K202" s="926">
        <v>0</v>
      </c>
      <c r="L202" s="926">
        <v>0</v>
      </c>
      <c r="M202" s="926">
        <v>0</v>
      </c>
      <c r="N202" s="926">
        <v>100</v>
      </c>
      <c r="O202" s="142">
        <f t="shared" si="72"/>
        <v>100</v>
      </c>
      <c r="P202" s="142"/>
      <c r="Q202" s="912"/>
      <c r="R202" s="918" t="s">
        <v>43</v>
      </c>
      <c r="S202" s="912"/>
      <c r="T202" s="142"/>
      <c r="U202" s="914">
        <f t="shared" si="73"/>
        <v>0</v>
      </c>
      <c r="V202" s="914">
        <f t="shared" si="74"/>
        <v>0</v>
      </c>
      <c r="W202" s="914">
        <f t="shared" si="75"/>
        <v>0</v>
      </c>
      <c r="X202" s="914">
        <f t="shared" si="76"/>
        <v>100</v>
      </c>
      <c r="Y202" s="915">
        <f t="shared" si="77"/>
        <v>100</v>
      </c>
    </row>
    <row r="203" spans="1:25" x14ac:dyDescent="0.25">
      <c r="A203" s="911" t="s">
        <v>78</v>
      </c>
      <c r="C203" s="926">
        <v>0</v>
      </c>
      <c r="D203" s="926">
        <v>0</v>
      </c>
      <c r="E203" s="926">
        <v>0</v>
      </c>
      <c r="F203" s="926">
        <v>0</v>
      </c>
      <c r="G203" s="926">
        <v>0</v>
      </c>
      <c r="H203" s="926">
        <v>0</v>
      </c>
      <c r="I203" s="926">
        <v>-100</v>
      </c>
      <c r="J203" s="926">
        <v>-100</v>
      </c>
      <c r="K203" s="926">
        <v>-100</v>
      </c>
      <c r="L203" s="926">
        <v>-100</v>
      </c>
      <c r="M203" s="926">
        <v>-100</v>
      </c>
      <c r="N203" s="926">
        <v>0</v>
      </c>
      <c r="O203" s="142">
        <f t="shared" si="72"/>
        <v>-500</v>
      </c>
      <c r="P203" s="142"/>
      <c r="Q203" s="912"/>
      <c r="R203" s="918" t="s">
        <v>43</v>
      </c>
      <c r="S203" s="912"/>
      <c r="T203" s="142"/>
      <c r="U203" s="914">
        <f t="shared" si="73"/>
        <v>0</v>
      </c>
      <c r="V203" s="914">
        <f t="shared" si="74"/>
        <v>0</v>
      </c>
      <c r="W203" s="914">
        <f t="shared" si="75"/>
        <v>-300</v>
      </c>
      <c r="X203" s="914">
        <f t="shared" si="76"/>
        <v>-200</v>
      </c>
      <c r="Y203" s="915">
        <f t="shared" si="77"/>
        <v>-500</v>
      </c>
    </row>
    <row r="204" spans="1:25" x14ac:dyDescent="0.25">
      <c r="A204" s="911" t="s">
        <v>91</v>
      </c>
      <c r="C204" s="926">
        <v>0</v>
      </c>
      <c r="D204" s="926">
        <v>0</v>
      </c>
      <c r="E204" s="926">
        <v>0</v>
      </c>
      <c r="F204" s="926">
        <v>0</v>
      </c>
      <c r="G204" s="926">
        <v>0</v>
      </c>
      <c r="H204" s="926">
        <v>0</v>
      </c>
      <c r="I204" s="926">
        <v>0</v>
      </c>
      <c r="J204" s="926">
        <v>0</v>
      </c>
      <c r="K204" s="926">
        <v>0</v>
      </c>
      <c r="L204" s="926">
        <v>0</v>
      </c>
      <c r="M204" s="926">
        <v>0</v>
      </c>
      <c r="N204" s="926">
        <v>0</v>
      </c>
      <c r="O204" s="142">
        <f t="shared" si="72"/>
        <v>0</v>
      </c>
      <c r="P204" s="142"/>
      <c r="Q204" s="912"/>
      <c r="R204" s="918" t="s">
        <v>43</v>
      </c>
      <c r="S204" s="912"/>
      <c r="T204" s="142"/>
      <c r="U204" s="914">
        <f t="shared" si="73"/>
        <v>0</v>
      </c>
      <c r="V204" s="914">
        <f t="shared" si="74"/>
        <v>0</v>
      </c>
      <c r="W204" s="914">
        <f t="shared" si="75"/>
        <v>0</v>
      </c>
      <c r="X204" s="914">
        <f t="shared" si="76"/>
        <v>0</v>
      </c>
      <c r="Y204" s="915">
        <f t="shared" si="77"/>
        <v>0</v>
      </c>
    </row>
    <row r="205" spans="1:25" x14ac:dyDescent="0.25">
      <c r="A205" s="911" t="s">
        <v>92</v>
      </c>
      <c r="C205" s="926">
        <v>0</v>
      </c>
      <c r="D205" s="926">
        <v>0</v>
      </c>
      <c r="E205" s="926">
        <v>0</v>
      </c>
      <c r="F205" s="926">
        <v>0</v>
      </c>
      <c r="G205" s="926">
        <v>0</v>
      </c>
      <c r="H205" s="926">
        <v>0</v>
      </c>
      <c r="I205" s="926">
        <v>0</v>
      </c>
      <c r="J205" s="926">
        <v>0</v>
      </c>
      <c r="K205" s="926">
        <v>0</v>
      </c>
      <c r="L205" s="926">
        <v>0</v>
      </c>
      <c r="M205" s="926">
        <v>0</v>
      </c>
      <c r="N205" s="926">
        <v>0</v>
      </c>
      <c r="O205" s="142">
        <f t="shared" si="72"/>
        <v>0</v>
      </c>
      <c r="P205" s="142"/>
      <c r="Q205" s="912"/>
      <c r="R205" s="918" t="s">
        <v>43</v>
      </c>
      <c r="S205" s="912"/>
      <c r="T205" s="142"/>
      <c r="U205" s="914">
        <f t="shared" si="73"/>
        <v>0</v>
      </c>
      <c r="V205" s="914">
        <f t="shared" si="74"/>
        <v>0</v>
      </c>
      <c r="W205" s="914">
        <f t="shared" si="75"/>
        <v>0</v>
      </c>
      <c r="X205" s="914">
        <f t="shared" si="76"/>
        <v>0</v>
      </c>
      <c r="Y205" s="915">
        <f t="shared" si="77"/>
        <v>0</v>
      </c>
    </row>
    <row r="206" spans="1:25" x14ac:dyDescent="0.25">
      <c r="A206" s="911" t="s">
        <v>93</v>
      </c>
      <c r="C206" s="926">
        <v>0</v>
      </c>
      <c r="D206" s="926">
        <v>0</v>
      </c>
      <c r="E206" s="926">
        <v>0</v>
      </c>
      <c r="F206" s="926">
        <v>0</v>
      </c>
      <c r="G206" s="926">
        <v>0</v>
      </c>
      <c r="H206" s="926">
        <v>0</v>
      </c>
      <c r="I206" s="926">
        <v>0</v>
      </c>
      <c r="J206" s="926">
        <v>0</v>
      </c>
      <c r="K206" s="926">
        <v>0</v>
      </c>
      <c r="L206" s="926">
        <v>0</v>
      </c>
      <c r="M206" s="926">
        <v>0</v>
      </c>
      <c r="N206" s="926">
        <v>0</v>
      </c>
      <c r="O206" s="142">
        <f t="shared" si="72"/>
        <v>0</v>
      </c>
      <c r="P206" s="142"/>
      <c r="Q206" s="912"/>
      <c r="R206" s="918" t="s">
        <v>43</v>
      </c>
      <c r="S206" s="912"/>
      <c r="T206" s="142"/>
      <c r="U206" s="914">
        <f t="shared" si="73"/>
        <v>0</v>
      </c>
      <c r="V206" s="914">
        <f t="shared" si="74"/>
        <v>0</v>
      </c>
      <c r="W206" s="914">
        <f t="shared" si="75"/>
        <v>0</v>
      </c>
      <c r="X206" s="914">
        <f t="shared" si="76"/>
        <v>0</v>
      </c>
      <c r="Y206" s="915">
        <f t="shared" si="77"/>
        <v>0</v>
      </c>
    </row>
    <row r="207" spans="1:25" x14ac:dyDescent="0.25">
      <c r="A207" s="911" t="s">
        <v>94</v>
      </c>
      <c r="C207" s="926">
        <v>0</v>
      </c>
      <c r="D207" s="926">
        <v>0</v>
      </c>
      <c r="E207" s="926">
        <v>0</v>
      </c>
      <c r="F207" s="926">
        <v>0</v>
      </c>
      <c r="G207" s="926">
        <v>0</v>
      </c>
      <c r="H207" s="926">
        <v>0</v>
      </c>
      <c r="I207" s="926">
        <v>0</v>
      </c>
      <c r="J207" s="926">
        <v>0</v>
      </c>
      <c r="K207" s="926">
        <v>0</v>
      </c>
      <c r="L207" s="926">
        <v>0</v>
      </c>
      <c r="M207" s="926">
        <v>0</v>
      </c>
      <c r="N207" s="926">
        <v>0</v>
      </c>
      <c r="O207" s="142">
        <f t="shared" si="72"/>
        <v>0</v>
      </c>
      <c r="P207" s="142"/>
      <c r="Q207" s="912"/>
      <c r="R207" s="918" t="s">
        <v>43</v>
      </c>
      <c r="S207" s="912"/>
      <c r="T207" s="142"/>
      <c r="U207" s="914">
        <f t="shared" si="73"/>
        <v>0</v>
      </c>
      <c r="V207" s="914">
        <f t="shared" si="74"/>
        <v>0</v>
      </c>
      <c r="W207" s="914">
        <f t="shared" si="75"/>
        <v>0</v>
      </c>
      <c r="X207" s="914">
        <f t="shared" si="76"/>
        <v>0</v>
      </c>
      <c r="Y207" s="915">
        <f t="shared" si="77"/>
        <v>0</v>
      </c>
    </row>
    <row r="208" spans="1:25" x14ac:dyDescent="0.25">
      <c r="A208" s="910" t="s">
        <v>95</v>
      </c>
      <c r="C208" s="926">
        <v>2.9000000000000001E-2</v>
      </c>
      <c r="D208" s="926">
        <v>9.8000000000000004E-2</v>
      </c>
      <c r="E208" s="926">
        <v>0</v>
      </c>
      <c r="F208" s="926">
        <v>0</v>
      </c>
      <c r="G208" s="926">
        <v>0</v>
      </c>
      <c r="H208" s="926">
        <v>0</v>
      </c>
      <c r="I208" s="926">
        <v>0</v>
      </c>
      <c r="J208" s="926">
        <v>0</v>
      </c>
      <c r="K208" s="926">
        <v>0</v>
      </c>
      <c r="L208" s="926">
        <v>0</v>
      </c>
      <c r="M208" s="926">
        <v>0</v>
      </c>
      <c r="N208" s="926">
        <v>0</v>
      </c>
      <c r="O208" s="142">
        <f t="shared" si="72"/>
        <v>0.127</v>
      </c>
      <c r="P208" s="142"/>
      <c r="Q208" s="912"/>
      <c r="R208" s="918" t="s">
        <v>43</v>
      </c>
      <c r="S208" s="912"/>
      <c r="T208" s="142"/>
      <c r="U208" s="914">
        <f t="shared" si="73"/>
        <v>0.127</v>
      </c>
      <c r="V208" s="914">
        <f t="shared" si="74"/>
        <v>0</v>
      </c>
      <c r="W208" s="914">
        <f t="shared" si="75"/>
        <v>0</v>
      </c>
      <c r="X208" s="914">
        <f t="shared" si="76"/>
        <v>0</v>
      </c>
      <c r="Y208" s="915">
        <f t="shared" si="77"/>
        <v>0.127</v>
      </c>
    </row>
    <row r="209" spans="1:25" x14ac:dyDescent="0.25">
      <c r="A209" s="911" t="s">
        <v>48</v>
      </c>
      <c r="C209" s="926">
        <v>0</v>
      </c>
      <c r="D209" s="926">
        <v>0</v>
      </c>
      <c r="E209" s="926">
        <v>0</v>
      </c>
      <c r="F209" s="926">
        <v>0</v>
      </c>
      <c r="G209" s="926">
        <v>0</v>
      </c>
      <c r="H209" s="926">
        <v>0</v>
      </c>
      <c r="I209" s="926">
        <v>-100</v>
      </c>
      <c r="J209" s="926">
        <v>0</v>
      </c>
      <c r="K209" s="926">
        <v>-100</v>
      </c>
      <c r="L209" s="926">
        <v>-100</v>
      </c>
      <c r="M209" s="926">
        <v>0</v>
      </c>
      <c r="N209" s="926">
        <v>-200</v>
      </c>
      <c r="O209" s="142">
        <f t="shared" si="72"/>
        <v>-500</v>
      </c>
      <c r="P209" s="142"/>
      <c r="Q209" s="912"/>
      <c r="R209" s="918" t="s">
        <v>43</v>
      </c>
      <c r="S209" s="912"/>
      <c r="T209" s="142"/>
      <c r="U209" s="914">
        <f t="shared" si="73"/>
        <v>0</v>
      </c>
      <c r="V209" s="914">
        <f t="shared" si="74"/>
        <v>0</v>
      </c>
      <c r="W209" s="914">
        <f t="shared" si="75"/>
        <v>-200</v>
      </c>
      <c r="X209" s="914">
        <f t="shared" si="76"/>
        <v>-300</v>
      </c>
      <c r="Y209" s="915">
        <f t="shared" si="77"/>
        <v>-500</v>
      </c>
    </row>
    <row r="210" spans="1:25" x14ac:dyDescent="0.25">
      <c r="A210" s="911" t="s">
        <v>96</v>
      </c>
      <c r="C210" s="926">
        <v>0</v>
      </c>
      <c r="D210" s="926">
        <v>0</v>
      </c>
      <c r="E210" s="926">
        <v>0</v>
      </c>
      <c r="F210" s="926">
        <v>0</v>
      </c>
      <c r="G210" s="926">
        <v>0</v>
      </c>
      <c r="H210" s="926">
        <v>0</v>
      </c>
      <c r="I210" s="926">
        <v>0</v>
      </c>
      <c r="J210" s="926">
        <v>0</v>
      </c>
      <c r="K210" s="926">
        <v>0</v>
      </c>
      <c r="L210" s="926">
        <v>0</v>
      </c>
      <c r="M210" s="926">
        <v>0</v>
      </c>
      <c r="N210" s="926">
        <v>100</v>
      </c>
      <c r="O210" s="142">
        <f t="shared" si="72"/>
        <v>100</v>
      </c>
      <c r="P210" s="142"/>
      <c r="Q210" s="912"/>
      <c r="R210" s="918" t="s">
        <v>43</v>
      </c>
      <c r="S210" s="912"/>
      <c r="T210" s="142"/>
      <c r="U210" s="914">
        <f t="shared" si="73"/>
        <v>0</v>
      </c>
      <c r="V210" s="914">
        <f t="shared" si="74"/>
        <v>0</v>
      </c>
      <c r="W210" s="914">
        <f t="shared" si="75"/>
        <v>0</v>
      </c>
      <c r="X210" s="914">
        <f t="shared" si="76"/>
        <v>100</v>
      </c>
      <c r="Y210" s="915">
        <f t="shared" si="77"/>
        <v>100</v>
      </c>
    </row>
    <row r="211" spans="1:25" x14ac:dyDescent="0.25">
      <c r="A211" s="911" t="s">
        <v>97</v>
      </c>
      <c r="C211" s="926">
        <v>0</v>
      </c>
      <c r="D211" s="926">
        <v>0</v>
      </c>
      <c r="E211" s="926">
        <v>0</v>
      </c>
      <c r="F211" s="926">
        <v>0</v>
      </c>
      <c r="G211" s="926">
        <v>0</v>
      </c>
      <c r="H211" s="926">
        <v>0</v>
      </c>
      <c r="I211" s="926">
        <v>0</v>
      </c>
      <c r="J211" s="926">
        <v>0</v>
      </c>
      <c r="K211" s="926">
        <v>0</v>
      </c>
      <c r="L211" s="926">
        <v>0</v>
      </c>
      <c r="M211" s="926">
        <v>0</v>
      </c>
      <c r="N211" s="926">
        <v>0</v>
      </c>
      <c r="O211" s="142">
        <f t="shared" si="72"/>
        <v>0</v>
      </c>
      <c r="P211" s="142"/>
      <c r="Q211" s="912"/>
      <c r="R211" s="918" t="s">
        <v>43</v>
      </c>
      <c r="S211" s="912"/>
      <c r="T211" s="142"/>
      <c r="U211" s="914">
        <f t="shared" si="73"/>
        <v>0</v>
      </c>
      <c r="V211" s="914">
        <f t="shared" si="74"/>
        <v>0</v>
      </c>
      <c r="W211" s="914">
        <f t="shared" si="75"/>
        <v>0</v>
      </c>
      <c r="X211" s="914">
        <f t="shared" si="76"/>
        <v>0</v>
      </c>
      <c r="Y211" s="915">
        <f t="shared" si="77"/>
        <v>0</v>
      </c>
    </row>
    <row r="212" spans="1:25" x14ac:dyDescent="0.25">
      <c r="A212" s="911" t="s">
        <v>98</v>
      </c>
      <c r="C212" s="926">
        <v>0</v>
      </c>
      <c r="D212" s="926">
        <v>0</v>
      </c>
      <c r="E212" s="926">
        <v>0</v>
      </c>
      <c r="F212" s="926">
        <v>0</v>
      </c>
      <c r="G212" s="926">
        <v>0</v>
      </c>
      <c r="H212" s="926">
        <v>0</v>
      </c>
      <c r="I212" s="926">
        <v>0</v>
      </c>
      <c r="J212" s="926">
        <v>0</v>
      </c>
      <c r="K212" s="926">
        <v>0</v>
      </c>
      <c r="L212" s="926">
        <v>0</v>
      </c>
      <c r="M212" s="926">
        <v>0</v>
      </c>
      <c r="N212" s="926">
        <v>100</v>
      </c>
      <c r="O212" s="142">
        <f t="shared" si="72"/>
        <v>100</v>
      </c>
      <c r="P212" s="142"/>
      <c r="Q212" s="912"/>
      <c r="R212" s="918" t="s">
        <v>43</v>
      </c>
      <c r="S212" s="912"/>
      <c r="T212" s="142"/>
      <c r="U212" s="914">
        <f t="shared" si="73"/>
        <v>0</v>
      </c>
      <c r="V212" s="914">
        <f t="shared" si="74"/>
        <v>0</v>
      </c>
      <c r="W212" s="914">
        <f t="shared" si="75"/>
        <v>0</v>
      </c>
      <c r="X212" s="914">
        <f t="shared" si="76"/>
        <v>100</v>
      </c>
      <c r="Y212" s="915">
        <f t="shared" si="77"/>
        <v>100</v>
      </c>
    </row>
    <row r="213" spans="1:25" x14ac:dyDescent="0.25">
      <c r="A213" s="911" t="s">
        <v>99</v>
      </c>
      <c r="C213" s="926">
        <v>0</v>
      </c>
      <c r="D213" s="926">
        <v>0</v>
      </c>
      <c r="E213" s="926">
        <v>0</v>
      </c>
      <c r="F213" s="926">
        <v>0</v>
      </c>
      <c r="G213" s="926">
        <v>0</v>
      </c>
      <c r="H213" s="926">
        <v>0</v>
      </c>
      <c r="I213" s="926">
        <v>-100</v>
      </c>
      <c r="J213" s="926">
        <v>-100</v>
      </c>
      <c r="K213" s="926">
        <v>-100</v>
      </c>
      <c r="L213" s="926">
        <v>-100</v>
      </c>
      <c r="M213" s="926">
        <v>-100</v>
      </c>
      <c r="N213" s="926">
        <v>-100</v>
      </c>
      <c r="O213" s="142">
        <f t="shared" si="72"/>
        <v>-600</v>
      </c>
      <c r="P213" s="142"/>
      <c r="Q213" s="912"/>
      <c r="R213" s="918" t="s">
        <v>43</v>
      </c>
      <c r="S213" s="912"/>
      <c r="T213" s="142"/>
      <c r="U213" s="914">
        <f t="shared" si="73"/>
        <v>0</v>
      </c>
      <c r="V213" s="914">
        <f t="shared" si="74"/>
        <v>0</v>
      </c>
      <c r="W213" s="914">
        <f t="shared" si="75"/>
        <v>-300</v>
      </c>
      <c r="X213" s="914">
        <f t="shared" si="76"/>
        <v>-300</v>
      </c>
      <c r="Y213" s="915">
        <f t="shared" si="77"/>
        <v>-600</v>
      </c>
    </row>
    <row r="214" spans="1:25" x14ac:dyDescent="0.25">
      <c r="A214" s="978" t="s">
        <v>100</v>
      </c>
      <c r="C214" s="926">
        <v>0</v>
      </c>
      <c r="D214" s="926">
        <v>0</v>
      </c>
      <c r="E214" s="926">
        <v>0</v>
      </c>
      <c r="F214" s="926">
        <v>0</v>
      </c>
      <c r="G214" s="926">
        <v>0</v>
      </c>
      <c r="H214" s="926">
        <v>0</v>
      </c>
      <c r="I214" s="926">
        <v>-100</v>
      </c>
      <c r="J214" s="926">
        <v>0</v>
      </c>
      <c r="K214" s="926">
        <v>-100</v>
      </c>
      <c r="L214" s="926">
        <v>-100</v>
      </c>
      <c r="M214" s="926">
        <v>-100</v>
      </c>
      <c r="N214" s="926">
        <v>-100</v>
      </c>
      <c r="O214" s="142">
        <f t="shared" si="72"/>
        <v>-500</v>
      </c>
      <c r="P214" s="142"/>
      <c r="Q214" s="912"/>
      <c r="R214" s="918" t="s">
        <v>43</v>
      </c>
      <c r="S214" s="912"/>
      <c r="T214" s="142"/>
      <c r="U214" s="914">
        <f t="shared" si="73"/>
        <v>0</v>
      </c>
      <c r="V214" s="914">
        <f t="shared" si="74"/>
        <v>0</v>
      </c>
      <c r="W214" s="914">
        <f t="shared" si="75"/>
        <v>-200</v>
      </c>
      <c r="X214" s="914">
        <f t="shared" si="76"/>
        <v>-300</v>
      </c>
      <c r="Y214" s="915">
        <f t="shared" si="77"/>
        <v>-500</v>
      </c>
    </row>
    <row r="215" spans="1:25" x14ac:dyDescent="0.25">
      <c r="A215" s="911" t="s">
        <v>101</v>
      </c>
      <c r="C215" s="926">
        <v>0</v>
      </c>
      <c r="D215" s="926">
        <v>0</v>
      </c>
      <c r="E215" s="926">
        <v>0</v>
      </c>
      <c r="F215" s="926">
        <v>0</v>
      </c>
      <c r="G215" s="926">
        <v>0</v>
      </c>
      <c r="H215" s="926">
        <v>0</v>
      </c>
      <c r="I215" s="926">
        <v>0</v>
      </c>
      <c r="J215" s="926">
        <v>-100</v>
      </c>
      <c r="K215" s="926">
        <v>0</v>
      </c>
      <c r="L215" s="926">
        <v>-100</v>
      </c>
      <c r="M215" s="926">
        <v>0</v>
      </c>
      <c r="N215" s="926">
        <v>-100</v>
      </c>
      <c r="O215" s="142">
        <f t="shared" si="72"/>
        <v>-300</v>
      </c>
      <c r="P215" s="142"/>
      <c r="Q215" s="912"/>
      <c r="R215" s="918" t="s">
        <v>43</v>
      </c>
      <c r="S215" s="912"/>
      <c r="T215" s="142"/>
      <c r="U215" s="914">
        <f t="shared" si="73"/>
        <v>0</v>
      </c>
      <c r="V215" s="914">
        <f t="shared" si="74"/>
        <v>0</v>
      </c>
      <c r="W215" s="914">
        <f t="shared" si="75"/>
        <v>-100</v>
      </c>
      <c r="X215" s="914">
        <f t="shared" si="76"/>
        <v>-200</v>
      </c>
      <c r="Y215" s="915">
        <f t="shared" si="77"/>
        <v>-300</v>
      </c>
    </row>
    <row r="216" spans="1:25" x14ac:dyDescent="0.25">
      <c r="A216" s="911" t="s">
        <v>102</v>
      </c>
      <c r="C216" s="926">
        <v>0</v>
      </c>
      <c r="D216" s="926">
        <v>0</v>
      </c>
      <c r="E216" s="926">
        <v>0</v>
      </c>
      <c r="F216" s="926">
        <v>0</v>
      </c>
      <c r="G216" s="926">
        <v>0</v>
      </c>
      <c r="H216" s="926">
        <v>0</v>
      </c>
      <c r="I216" s="926">
        <v>0</v>
      </c>
      <c r="J216" s="926">
        <v>0</v>
      </c>
      <c r="K216" s="926">
        <v>0</v>
      </c>
      <c r="L216" s="926">
        <v>0</v>
      </c>
      <c r="M216" s="926">
        <v>0</v>
      </c>
      <c r="N216" s="926">
        <v>0</v>
      </c>
      <c r="O216" s="142">
        <f t="shared" si="72"/>
        <v>0</v>
      </c>
      <c r="P216" s="142"/>
      <c r="Q216" s="912"/>
      <c r="R216" s="918" t="s">
        <v>43</v>
      </c>
      <c r="S216" s="912"/>
      <c r="T216" s="142"/>
      <c r="U216" s="914">
        <f t="shared" si="73"/>
        <v>0</v>
      </c>
      <c r="V216" s="914">
        <f t="shared" si="74"/>
        <v>0</v>
      </c>
      <c r="W216" s="914">
        <f t="shared" si="75"/>
        <v>0</v>
      </c>
      <c r="X216" s="914">
        <f t="shared" si="76"/>
        <v>0</v>
      </c>
      <c r="Y216" s="915">
        <f t="shared" si="77"/>
        <v>0</v>
      </c>
    </row>
    <row r="217" spans="1:25" x14ac:dyDescent="0.25">
      <c r="A217" s="911" t="s">
        <v>103</v>
      </c>
      <c r="C217" s="940">
        <v>0</v>
      </c>
      <c r="D217" s="940">
        <v>0</v>
      </c>
      <c r="E217" s="940">
        <v>0</v>
      </c>
      <c r="F217" s="940">
        <v>0</v>
      </c>
      <c r="G217" s="940">
        <v>0</v>
      </c>
      <c r="H217" s="940">
        <v>0</v>
      </c>
      <c r="I217" s="940">
        <v>0</v>
      </c>
      <c r="J217" s="940">
        <v>0</v>
      </c>
      <c r="K217" s="940">
        <v>0</v>
      </c>
      <c r="L217" s="940">
        <v>0</v>
      </c>
      <c r="M217" s="940">
        <v>0</v>
      </c>
      <c r="N217" s="940">
        <v>0</v>
      </c>
      <c r="O217" s="143">
        <f t="shared" si="72"/>
        <v>0</v>
      </c>
      <c r="P217" s="143"/>
      <c r="Q217" s="912"/>
      <c r="R217" s="918" t="s">
        <v>43</v>
      </c>
      <c r="S217" s="912"/>
      <c r="T217" s="143"/>
      <c r="U217" s="923">
        <f t="shared" si="73"/>
        <v>0</v>
      </c>
      <c r="V217" s="923">
        <f t="shared" si="74"/>
        <v>0</v>
      </c>
      <c r="W217" s="923">
        <f t="shared" si="75"/>
        <v>0</v>
      </c>
      <c r="X217" s="923">
        <f t="shared" si="76"/>
        <v>0</v>
      </c>
      <c r="Y217" s="924">
        <f t="shared" si="77"/>
        <v>0</v>
      </c>
    </row>
    <row r="218" spans="1:25" x14ac:dyDescent="0.25">
      <c r="A218" s="911" t="s">
        <v>50</v>
      </c>
      <c r="C218" s="920">
        <f t="shared" ref="C218:O218" si="78">SUM(C200:C217)</f>
        <v>-326.971</v>
      </c>
      <c r="D218" s="920">
        <f t="shared" si="78"/>
        <v>-348.90199999999999</v>
      </c>
      <c r="E218" s="920">
        <f t="shared" si="78"/>
        <v>-1344</v>
      </c>
      <c r="F218" s="920">
        <f t="shared" si="78"/>
        <v>-199</v>
      </c>
      <c r="G218" s="920">
        <f t="shared" si="78"/>
        <v>-144</v>
      </c>
      <c r="H218" s="920">
        <f t="shared" si="78"/>
        <v>-333</v>
      </c>
      <c r="I218" s="920">
        <f t="shared" si="78"/>
        <v>-400</v>
      </c>
      <c r="J218" s="920">
        <f t="shared" si="78"/>
        <v>-300</v>
      </c>
      <c r="K218" s="920">
        <f t="shared" si="78"/>
        <v>-500</v>
      </c>
      <c r="L218" s="920">
        <f t="shared" si="78"/>
        <v>-500</v>
      </c>
      <c r="M218" s="920">
        <f t="shared" si="78"/>
        <v>-300</v>
      </c>
      <c r="N218" s="920">
        <f t="shared" si="78"/>
        <v>-400</v>
      </c>
      <c r="O218" s="920">
        <f t="shared" si="78"/>
        <v>-5095.8729999999996</v>
      </c>
      <c r="P218" s="920"/>
      <c r="Q218" s="912"/>
      <c r="R218" s="918"/>
      <c r="S218" s="912"/>
      <c r="T218" s="920"/>
      <c r="U218" s="920">
        <f>SUM(U200:U217)</f>
        <v>-2019.873</v>
      </c>
      <c r="V218" s="920">
        <f>SUM(V200:V217)</f>
        <v>-676</v>
      </c>
      <c r="W218" s="920">
        <f>SUM(W200:W217)</f>
        <v>-1200</v>
      </c>
      <c r="X218" s="920">
        <f>SUM(X200:X217)</f>
        <v>-1200</v>
      </c>
      <c r="Y218" s="920">
        <f>SUM(Y200:Y217)</f>
        <v>-5095.8729999999996</v>
      </c>
    </row>
    <row r="219" spans="1:25" ht="3.9" customHeight="1" x14ac:dyDescent="0.25">
      <c r="A219" s="911"/>
      <c r="C219" s="915"/>
      <c r="D219" s="915"/>
      <c r="E219" s="915"/>
      <c r="F219" s="915"/>
      <c r="G219" s="915"/>
      <c r="H219" s="915"/>
      <c r="I219" s="915"/>
      <c r="J219" s="915"/>
      <c r="K219" s="915"/>
      <c r="L219" s="915"/>
      <c r="M219" s="915"/>
      <c r="N219" s="915"/>
      <c r="O219" s="914"/>
      <c r="P219" s="914"/>
      <c r="Q219" s="912"/>
      <c r="R219" s="918"/>
      <c r="S219" s="912"/>
      <c r="T219" s="914"/>
      <c r="U219" s="914"/>
      <c r="V219" s="914"/>
      <c r="W219" s="914"/>
      <c r="X219" s="914"/>
      <c r="Y219" s="915"/>
    </row>
    <row r="220" spans="1:25" x14ac:dyDescent="0.25">
      <c r="A220" s="911" t="s">
        <v>104</v>
      </c>
      <c r="C220" s="926">
        <v>-503</v>
      </c>
      <c r="D220" s="926">
        <v>-506</v>
      </c>
      <c r="E220" s="926">
        <v>-286</v>
      </c>
      <c r="F220" s="926">
        <v>-428</v>
      </c>
      <c r="G220" s="926">
        <v>-428</v>
      </c>
      <c r="H220" s="926">
        <v>-428</v>
      </c>
      <c r="I220" s="926">
        <v>-400</v>
      </c>
      <c r="J220" s="926">
        <v>-400</v>
      </c>
      <c r="K220" s="926">
        <v>-400</v>
      </c>
      <c r="L220" s="926">
        <v>-400</v>
      </c>
      <c r="M220" s="926">
        <v>-500</v>
      </c>
      <c r="N220" s="926">
        <v>-400</v>
      </c>
      <c r="O220" s="142">
        <f>SUM(C220:N220)</f>
        <v>-5079</v>
      </c>
      <c r="P220" s="142"/>
      <c r="Q220" s="912"/>
      <c r="R220" s="918" t="s">
        <v>43</v>
      </c>
      <c r="S220" s="912"/>
      <c r="T220" s="142"/>
      <c r="U220" s="914">
        <f>C220+D220+E220</f>
        <v>-1295</v>
      </c>
      <c r="V220" s="914">
        <f>F220+G220+H220</f>
        <v>-1284</v>
      </c>
      <c r="W220" s="914">
        <f>I220+J220+K220</f>
        <v>-1200</v>
      </c>
      <c r="X220" s="914">
        <f>L220+M220+N220</f>
        <v>-1300</v>
      </c>
      <c r="Y220" s="915">
        <f>SUM(U220:X220)</f>
        <v>-5079</v>
      </c>
    </row>
    <row r="221" spans="1:25" x14ac:dyDescent="0.25">
      <c r="A221" s="911" t="s">
        <v>105</v>
      </c>
      <c r="C221" s="926">
        <v>0</v>
      </c>
      <c r="D221" s="926">
        <v>0</v>
      </c>
      <c r="E221" s="926">
        <v>0</v>
      </c>
      <c r="F221" s="926">
        <v>0</v>
      </c>
      <c r="G221" s="926">
        <v>0</v>
      </c>
      <c r="H221" s="926">
        <v>0</v>
      </c>
      <c r="I221" s="926">
        <v>0</v>
      </c>
      <c r="J221" s="926">
        <v>0</v>
      </c>
      <c r="K221" s="926">
        <v>0</v>
      </c>
      <c r="L221" s="926">
        <v>0</v>
      </c>
      <c r="M221" s="926">
        <v>0</v>
      </c>
      <c r="N221" s="926">
        <v>0</v>
      </c>
      <c r="O221" s="142">
        <f>SUM(C221:N221)</f>
        <v>0</v>
      </c>
      <c r="P221" s="142"/>
      <c r="Q221" s="912"/>
      <c r="R221" s="918" t="s">
        <v>43</v>
      </c>
      <c r="S221" s="912"/>
      <c r="T221" s="142"/>
      <c r="U221" s="914">
        <f>C221+D221+E221</f>
        <v>0</v>
      </c>
      <c r="V221" s="914">
        <f>F221+G221+H221</f>
        <v>0</v>
      </c>
      <c r="W221" s="914">
        <f>I221+J221+K221</f>
        <v>0</v>
      </c>
      <c r="X221" s="914">
        <f>L221+M221+N221</f>
        <v>0</v>
      </c>
      <c r="Y221" s="915">
        <f>SUM(U221:X221)</f>
        <v>0</v>
      </c>
    </row>
    <row r="222" spans="1:25" s="931" customFormat="1" ht="12.75" customHeight="1" x14ac:dyDescent="0.25">
      <c r="A222" s="925" t="s">
        <v>106</v>
      </c>
      <c r="C222" s="880">
        <v>0</v>
      </c>
      <c r="D222" s="880">
        <v>0</v>
      </c>
      <c r="E222" s="880">
        <v>0</v>
      </c>
      <c r="F222" s="880">
        <v>0</v>
      </c>
      <c r="G222" s="880">
        <v>0</v>
      </c>
      <c r="H222" s="880">
        <v>0</v>
      </c>
      <c r="I222" s="880">
        <v>0</v>
      </c>
      <c r="J222" s="880">
        <v>0</v>
      </c>
      <c r="K222" s="880">
        <v>0</v>
      </c>
      <c r="L222" s="880">
        <v>0</v>
      </c>
      <c r="M222" s="880">
        <v>0</v>
      </c>
      <c r="N222" s="880">
        <v>0</v>
      </c>
      <c r="O222" s="143">
        <f>SUM(C222:N222)</f>
        <v>0</v>
      </c>
      <c r="P222" s="143"/>
      <c r="Q222" s="942"/>
      <c r="R222" s="918" t="s">
        <v>43</v>
      </c>
      <c r="S222" s="942"/>
      <c r="T222" s="143"/>
      <c r="U222" s="979">
        <f>C222+D222+E222</f>
        <v>0</v>
      </c>
      <c r="V222" s="979">
        <f>F222+G222+H222</f>
        <v>0</v>
      </c>
      <c r="W222" s="979">
        <f>I222+J222+K222</f>
        <v>0</v>
      </c>
      <c r="X222" s="979">
        <f>L222+M222+N222</f>
        <v>0</v>
      </c>
      <c r="Y222" s="924">
        <f>SUM(U222:X222)</f>
        <v>0</v>
      </c>
    </row>
    <row r="223" spans="1:25" s="931" customFormat="1" ht="12.75" customHeight="1" x14ac:dyDescent="0.25">
      <c r="A223" s="925" t="s">
        <v>107</v>
      </c>
      <c r="C223" s="920">
        <f t="shared" ref="C223:O223" si="79">SUM(C220:C222)</f>
        <v>-503</v>
      </c>
      <c r="D223" s="920">
        <f t="shared" si="79"/>
        <v>-506</v>
      </c>
      <c r="E223" s="920">
        <f t="shared" si="79"/>
        <v>-286</v>
      </c>
      <c r="F223" s="920">
        <f t="shared" si="79"/>
        <v>-428</v>
      </c>
      <c r="G223" s="920">
        <f t="shared" si="79"/>
        <v>-428</v>
      </c>
      <c r="H223" s="920">
        <f t="shared" si="79"/>
        <v>-428</v>
      </c>
      <c r="I223" s="920">
        <f t="shared" si="79"/>
        <v>-400</v>
      </c>
      <c r="J223" s="920">
        <f t="shared" si="79"/>
        <v>-400</v>
      </c>
      <c r="K223" s="920">
        <f t="shared" si="79"/>
        <v>-400</v>
      </c>
      <c r="L223" s="920">
        <f t="shared" si="79"/>
        <v>-400</v>
      </c>
      <c r="M223" s="920">
        <f t="shared" si="79"/>
        <v>-500</v>
      </c>
      <c r="N223" s="920">
        <f t="shared" si="79"/>
        <v>-400</v>
      </c>
      <c r="O223" s="920">
        <f t="shared" si="79"/>
        <v>-5079</v>
      </c>
      <c r="P223" s="920"/>
      <c r="Q223" s="942"/>
      <c r="R223" s="937"/>
      <c r="S223" s="942"/>
      <c r="T223" s="920"/>
      <c r="U223" s="920">
        <f>SUM(U220:U222)</f>
        <v>-1295</v>
      </c>
      <c r="V223" s="920">
        <f>SUM(V220:V222)</f>
        <v>-1284</v>
      </c>
      <c r="W223" s="920">
        <f>SUM(W220:W222)</f>
        <v>-1200</v>
      </c>
      <c r="X223" s="920">
        <f>SUM(X220:X222)</f>
        <v>-1300</v>
      </c>
      <c r="Y223" s="920">
        <f>SUM(Y220:Y222)</f>
        <v>-5079</v>
      </c>
    </row>
    <row r="224" spans="1:25" s="931" customFormat="1" ht="3.9" customHeight="1" x14ac:dyDescent="0.25">
      <c r="A224" s="947"/>
      <c r="C224" s="937"/>
      <c r="D224" s="937"/>
      <c r="E224" s="937"/>
      <c r="F224" s="937"/>
      <c r="G224" s="937"/>
      <c r="H224" s="937"/>
      <c r="I224" s="937"/>
      <c r="J224" s="937"/>
      <c r="K224" s="937"/>
      <c r="L224" s="937"/>
      <c r="M224" s="937"/>
      <c r="N224" s="937"/>
      <c r="O224" s="935"/>
      <c r="P224" s="935"/>
      <c r="Q224" s="942"/>
      <c r="R224" s="937"/>
      <c r="S224" s="942"/>
      <c r="T224" s="935"/>
      <c r="U224" s="935"/>
      <c r="V224" s="935"/>
      <c r="W224" s="935"/>
      <c r="X224" s="935"/>
      <c r="Y224" s="937"/>
    </row>
    <row r="225" spans="1:25" s="931" customFormat="1" ht="12.75" customHeight="1" x14ac:dyDescent="0.25">
      <c r="A225" s="925" t="s">
        <v>108</v>
      </c>
      <c r="C225" s="880">
        <v>0</v>
      </c>
      <c r="D225" s="880">
        <v>0</v>
      </c>
      <c r="E225" s="880">
        <v>0</v>
      </c>
      <c r="F225" s="880">
        <v>0</v>
      </c>
      <c r="G225" s="880">
        <v>0</v>
      </c>
      <c r="H225" s="880">
        <v>0</v>
      </c>
      <c r="I225" s="880">
        <v>200</v>
      </c>
      <c r="J225" s="880">
        <v>200</v>
      </c>
      <c r="K225" s="880">
        <v>200</v>
      </c>
      <c r="L225" s="880">
        <v>200</v>
      </c>
      <c r="M225" s="880">
        <v>200</v>
      </c>
      <c r="N225" s="880">
        <v>300</v>
      </c>
      <c r="O225" s="979">
        <f>C225+D225+E225+F225+G225+H225+I225+J225+K225+L225+M225+N225</f>
        <v>1300</v>
      </c>
      <c r="P225" s="979"/>
      <c r="Q225" s="942"/>
      <c r="R225" s="918" t="s">
        <v>43</v>
      </c>
      <c r="S225" s="942"/>
      <c r="T225" s="979"/>
      <c r="U225" s="979">
        <f>C225+D225+E225</f>
        <v>0</v>
      </c>
      <c r="V225" s="979">
        <f>F225+G225+H225</f>
        <v>0</v>
      </c>
      <c r="W225" s="979">
        <f>I225+J225+K225</f>
        <v>600</v>
      </c>
      <c r="X225" s="979">
        <f>L225+M225+N225</f>
        <v>700</v>
      </c>
      <c r="Y225" s="920">
        <f>SUM(U225:X225)</f>
        <v>1300</v>
      </c>
    </row>
    <row r="226" spans="1:25" ht="3.9" customHeight="1" x14ac:dyDescent="0.25">
      <c r="A226" s="911"/>
      <c r="C226" s="915"/>
      <c r="D226" s="915"/>
      <c r="E226" s="915"/>
      <c r="F226" s="915"/>
      <c r="G226" s="915"/>
      <c r="H226" s="915"/>
      <c r="I226" s="915"/>
      <c r="J226" s="915"/>
      <c r="K226" s="915"/>
      <c r="L226" s="915"/>
      <c r="M226" s="915"/>
      <c r="N226" s="915"/>
      <c r="O226" s="914"/>
      <c r="P226" s="914"/>
      <c r="Q226" s="912"/>
      <c r="R226" s="918"/>
      <c r="S226" s="912"/>
      <c r="T226" s="914"/>
      <c r="U226" s="914"/>
      <c r="V226" s="914"/>
      <c r="W226" s="914"/>
      <c r="X226" s="914"/>
      <c r="Y226" s="915"/>
    </row>
    <row r="227" spans="1:25" x14ac:dyDescent="0.25">
      <c r="A227" s="925" t="s">
        <v>109</v>
      </c>
      <c r="C227" s="924">
        <f t="shared" ref="C227:O227" si="80">+C218+C223+C225</f>
        <v>-829.971</v>
      </c>
      <c r="D227" s="924">
        <f t="shared" si="80"/>
        <v>-854.90200000000004</v>
      </c>
      <c r="E227" s="924">
        <f t="shared" si="80"/>
        <v>-1630</v>
      </c>
      <c r="F227" s="924">
        <f t="shared" si="80"/>
        <v>-627</v>
      </c>
      <c r="G227" s="924">
        <f t="shared" si="80"/>
        <v>-572</v>
      </c>
      <c r="H227" s="924">
        <f t="shared" si="80"/>
        <v>-761</v>
      </c>
      <c r="I227" s="924">
        <f t="shared" si="80"/>
        <v>-600</v>
      </c>
      <c r="J227" s="924">
        <f t="shared" si="80"/>
        <v>-500</v>
      </c>
      <c r="K227" s="924">
        <f t="shared" si="80"/>
        <v>-700</v>
      </c>
      <c r="L227" s="924">
        <f t="shared" si="80"/>
        <v>-700</v>
      </c>
      <c r="M227" s="924">
        <f t="shared" si="80"/>
        <v>-600</v>
      </c>
      <c r="N227" s="924">
        <f t="shared" si="80"/>
        <v>-500</v>
      </c>
      <c r="O227" s="924">
        <f t="shared" si="80"/>
        <v>-8874.8729999999996</v>
      </c>
      <c r="P227" s="924"/>
      <c r="Q227" s="912"/>
      <c r="R227" s="918"/>
      <c r="S227" s="912"/>
      <c r="T227" s="924"/>
      <c r="U227" s="924">
        <f>+U218+U223+U225</f>
        <v>-3314.873</v>
      </c>
      <c r="V227" s="924">
        <f>+V218+V223+V225</f>
        <v>-1960</v>
      </c>
      <c r="W227" s="924">
        <f>+W218+W223+W225</f>
        <v>-1800</v>
      </c>
      <c r="X227" s="924">
        <f>+X218+X223+X225</f>
        <v>-1800</v>
      </c>
      <c r="Y227" s="924">
        <f>+Y218+Y223+Y225</f>
        <v>-8874.8729999999996</v>
      </c>
    </row>
    <row r="228" spans="1:25" ht="6" customHeight="1" x14ac:dyDescent="0.25">
      <c r="A228" s="911"/>
      <c r="C228" s="915"/>
      <c r="D228" s="915"/>
      <c r="E228" s="915"/>
      <c r="F228" s="915"/>
      <c r="G228" s="915"/>
      <c r="H228" s="915"/>
      <c r="I228" s="915"/>
      <c r="J228" s="915"/>
      <c r="K228" s="915"/>
      <c r="L228" s="915"/>
      <c r="M228" s="915"/>
      <c r="N228" s="915"/>
      <c r="O228" s="914"/>
      <c r="P228" s="914"/>
      <c r="Q228" s="912"/>
      <c r="R228" s="918"/>
      <c r="S228" s="912"/>
      <c r="T228" s="914"/>
      <c r="U228" s="914"/>
      <c r="V228" s="914"/>
      <c r="W228" s="914"/>
      <c r="X228" s="914"/>
      <c r="Y228" s="915"/>
    </row>
    <row r="229" spans="1:25" ht="12.75" customHeight="1" x14ac:dyDescent="0.25">
      <c r="A229" s="911" t="s">
        <v>110</v>
      </c>
      <c r="C229" s="128">
        <v>-949</v>
      </c>
      <c r="D229" s="128">
        <v>-950</v>
      </c>
      <c r="E229" s="128">
        <v>-924</v>
      </c>
      <c r="F229" s="128">
        <v>-972</v>
      </c>
      <c r="G229" s="128">
        <v>-928</v>
      </c>
      <c r="H229" s="128">
        <v>-1037</v>
      </c>
      <c r="I229" s="128">
        <v>-1029</v>
      </c>
      <c r="J229" s="128">
        <v>-1077</v>
      </c>
      <c r="K229" s="128">
        <v>-1078</v>
      </c>
      <c r="L229" s="128">
        <v>-1179</v>
      </c>
      <c r="M229" s="128">
        <v>-1177</v>
      </c>
      <c r="N229" s="128">
        <v>-1178</v>
      </c>
      <c r="O229" s="129">
        <f t="shared" ref="O229:O238" si="81">SUM(C229:N229)</f>
        <v>-12478</v>
      </c>
      <c r="P229" s="129"/>
      <c r="Q229" s="912"/>
      <c r="R229" s="913" t="s">
        <v>51</v>
      </c>
      <c r="S229" s="912"/>
      <c r="T229" s="129"/>
      <c r="U229" s="914">
        <f t="shared" ref="U229:U238" si="82">C229+D229+E229</f>
        <v>-2823</v>
      </c>
      <c r="V229" s="914">
        <f t="shared" ref="V229:V238" si="83">F229+G229+H229</f>
        <v>-2937</v>
      </c>
      <c r="W229" s="914">
        <f t="shared" ref="W229:W238" si="84">I229+J229+K229</f>
        <v>-3184</v>
      </c>
      <c r="X229" s="914">
        <f t="shared" ref="X229:X238" si="85">L229+M229+N229</f>
        <v>-3534</v>
      </c>
      <c r="Y229" s="915">
        <f t="shared" ref="Y229:Y238" si="86">SUM(U229:X229)</f>
        <v>-12478</v>
      </c>
    </row>
    <row r="230" spans="1:25" ht="12.75" customHeight="1" x14ac:dyDescent="0.25">
      <c r="A230" s="911" t="s">
        <v>149</v>
      </c>
      <c r="C230" s="926">
        <v>-11</v>
      </c>
      <c r="D230" s="926">
        <v>-10</v>
      </c>
      <c r="E230" s="926">
        <v>-11</v>
      </c>
      <c r="F230" s="926">
        <v>-10</v>
      </c>
      <c r="G230" s="926">
        <v>-11</v>
      </c>
      <c r="H230" s="926">
        <v>-11</v>
      </c>
      <c r="I230" s="926">
        <v>-10</v>
      </c>
      <c r="J230" s="926">
        <v>-11</v>
      </c>
      <c r="K230" s="926">
        <v>-11</v>
      </c>
      <c r="L230" s="926">
        <v>-10</v>
      </c>
      <c r="M230" s="926">
        <v>-11</v>
      </c>
      <c r="N230" s="926">
        <v>-10</v>
      </c>
      <c r="O230" s="129">
        <f t="shared" si="81"/>
        <v>-127</v>
      </c>
      <c r="P230" s="129"/>
      <c r="Q230" s="912"/>
      <c r="R230" s="917" t="s">
        <v>51</v>
      </c>
      <c r="S230" s="912"/>
      <c r="T230" s="129"/>
      <c r="U230" s="914">
        <f t="shared" si="82"/>
        <v>-32</v>
      </c>
      <c r="V230" s="914">
        <f t="shared" si="83"/>
        <v>-32</v>
      </c>
      <c r="W230" s="914">
        <f t="shared" si="84"/>
        <v>-32</v>
      </c>
      <c r="X230" s="914">
        <f t="shared" si="85"/>
        <v>-31</v>
      </c>
      <c r="Y230" s="915">
        <f t="shared" si="86"/>
        <v>-127</v>
      </c>
    </row>
    <row r="231" spans="1:25" ht="12.75" customHeight="1" x14ac:dyDescent="0.25">
      <c r="A231" s="911" t="s">
        <v>150</v>
      </c>
      <c r="C231" s="926">
        <v>-50</v>
      </c>
      <c r="D231" s="926">
        <v>-50</v>
      </c>
      <c r="E231" s="926">
        <v>-50</v>
      </c>
      <c r="F231" s="926">
        <v>-50</v>
      </c>
      <c r="G231" s="926">
        <v>-50</v>
      </c>
      <c r="H231" s="926">
        <v>-50</v>
      </c>
      <c r="I231" s="926">
        <v>-50</v>
      </c>
      <c r="J231" s="926">
        <v>-50</v>
      </c>
      <c r="K231" s="926">
        <v>-50</v>
      </c>
      <c r="L231" s="926">
        <v>-50</v>
      </c>
      <c r="M231" s="926">
        <v>-50</v>
      </c>
      <c r="N231" s="926">
        <v>-50</v>
      </c>
      <c r="O231" s="129">
        <f t="shared" si="81"/>
        <v>-600</v>
      </c>
      <c r="P231" s="129"/>
      <c r="Q231" s="912"/>
      <c r="R231" s="917" t="s">
        <v>51</v>
      </c>
      <c r="S231" s="912"/>
      <c r="T231" s="129"/>
      <c r="U231" s="914">
        <f t="shared" si="82"/>
        <v>-150</v>
      </c>
      <c r="V231" s="914">
        <f t="shared" si="83"/>
        <v>-150</v>
      </c>
      <c r="W231" s="914">
        <f t="shared" si="84"/>
        <v>-150</v>
      </c>
      <c r="X231" s="914">
        <f t="shared" si="85"/>
        <v>-150</v>
      </c>
      <c r="Y231" s="915">
        <f t="shared" si="86"/>
        <v>-600</v>
      </c>
    </row>
    <row r="232" spans="1:25" ht="12.75" customHeight="1" x14ac:dyDescent="0.25">
      <c r="A232" s="911" t="s">
        <v>111</v>
      </c>
      <c r="C232" s="128">
        <v>-94</v>
      </c>
      <c r="D232" s="128">
        <v>-94</v>
      </c>
      <c r="E232" s="128">
        <v>-94</v>
      </c>
      <c r="F232" s="128">
        <v>-94</v>
      </c>
      <c r="G232" s="128">
        <v>-94</v>
      </c>
      <c r="H232" s="128">
        <v>-94</v>
      </c>
      <c r="I232" s="128">
        <v>-94</v>
      </c>
      <c r="J232" s="128">
        <v>-94</v>
      </c>
      <c r="K232" s="128">
        <v>-94</v>
      </c>
      <c r="L232" s="128">
        <v>-94</v>
      </c>
      <c r="M232" s="128">
        <v>-94</v>
      </c>
      <c r="N232" s="128">
        <v>-94</v>
      </c>
      <c r="O232" s="129">
        <f t="shared" si="81"/>
        <v>-1128</v>
      </c>
      <c r="P232" s="129"/>
      <c r="Q232" s="912"/>
      <c r="R232" s="917" t="s">
        <v>51</v>
      </c>
      <c r="S232" s="912"/>
      <c r="T232" s="129"/>
      <c r="U232" s="914">
        <f t="shared" si="82"/>
        <v>-282</v>
      </c>
      <c r="V232" s="914">
        <f t="shared" si="83"/>
        <v>-282</v>
      </c>
      <c r="W232" s="914">
        <f t="shared" si="84"/>
        <v>-282</v>
      </c>
      <c r="X232" s="914">
        <f t="shared" si="85"/>
        <v>-282</v>
      </c>
      <c r="Y232" s="915">
        <f t="shared" si="86"/>
        <v>-1128</v>
      </c>
    </row>
    <row r="233" spans="1:25" ht="12.75" customHeight="1" x14ac:dyDescent="0.25">
      <c r="A233" s="911" t="s">
        <v>155</v>
      </c>
      <c r="C233" s="128">
        <v>-500</v>
      </c>
      <c r="D233" s="128">
        <v>-500</v>
      </c>
      <c r="E233" s="128">
        <v>-500</v>
      </c>
      <c r="F233" s="128">
        <v>-500</v>
      </c>
      <c r="G233" s="128">
        <v>-500</v>
      </c>
      <c r="H233" s="128">
        <v>-500</v>
      </c>
      <c r="I233" s="128">
        <v>-500</v>
      </c>
      <c r="J233" s="128">
        <v>-500</v>
      </c>
      <c r="K233" s="128">
        <v>-500</v>
      </c>
      <c r="L233" s="128">
        <v>-500</v>
      </c>
      <c r="M233" s="128">
        <v>-500</v>
      </c>
      <c r="N233" s="128">
        <v>-500</v>
      </c>
      <c r="O233" s="129">
        <f t="shared" si="81"/>
        <v>-6000</v>
      </c>
      <c r="P233" s="129"/>
      <c r="Q233" s="912"/>
      <c r="R233" s="917" t="s">
        <v>51</v>
      </c>
      <c r="S233" s="912"/>
      <c r="T233" s="129"/>
      <c r="U233" s="914">
        <f t="shared" si="82"/>
        <v>-1500</v>
      </c>
      <c r="V233" s="914">
        <f t="shared" si="83"/>
        <v>-1500</v>
      </c>
      <c r="W233" s="914">
        <f t="shared" si="84"/>
        <v>-1500</v>
      </c>
      <c r="X233" s="914">
        <f t="shared" si="85"/>
        <v>-1500</v>
      </c>
      <c r="Y233" s="915">
        <f t="shared" si="86"/>
        <v>-6000</v>
      </c>
    </row>
    <row r="234" spans="1:25" ht="12.75" customHeight="1" x14ac:dyDescent="0.25">
      <c r="A234" s="911" t="s">
        <v>156</v>
      </c>
      <c r="C234" s="128">
        <v>0</v>
      </c>
      <c r="D234" s="128">
        <v>0</v>
      </c>
      <c r="E234" s="128">
        <v>0</v>
      </c>
      <c r="F234" s="128">
        <v>0</v>
      </c>
      <c r="G234" s="128">
        <v>0</v>
      </c>
      <c r="H234" s="128">
        <v>0</v>
      </c>
      <c r="I234" s="128">
        <v>0</v>
      </c>
      <c r="J234" s="128">
        <v>0</v>
      </c>
      <c r="K234" s="128">
        <v>0</v>
      </c>
      <c r="L234" s="128">
        <v>0</v>
      </c>
      <c r="M234" s="128">
        <v>0</v>
      </c>
      <c r="N234" s="128">
        <v>0</v>
      </c>
      <c r="O234" s="129">
        <f t="shared" si="81"/>
        <v>0</v>
      </c>
      <c r="P234" s="129"/>
      <c r="Q234" s="912"/>
      <c r="R234" s="917" t="s">
        <v>51</v>
      </c>
      <c r="S234" s="912"/>
      <c r="T234" s="129"/>
      <c r="U234" s="914">
        <f t="shared" si="82"/>
        <v>0</v>
      </c>
      <c r="V234" s="914">
        <f t="shared" si="83"/>
        <v>0</v>
      </c>
      <c r="W234" s="914">
        <f t="shared" si="84"/>
        <v>0</v>
      </c>
      <c r="X234" s="914">
        <f t="shared" si="85"/>
        <v>0</v>
      </c>
      <c r="Y234" s="915">
        <f t="shared" si="86"/>
        <v>0</v>
      </c>
    </row>
    <row r="235" spans="1:25" ht="12.75" customHeight="1" x14ac:dyDescent="0.25">
      <c r="A235" s="911" t="s">
        <v>112</v>
      </c>
      <c r="C235" s="128">
        <v>-17</v>
      </c>
      <c r="D235" s="128">
        <v>17</v>
      </c>
      <c r="E235" s="128">
        <v>-52</v>
      </c>
      <c r="F235" s="128">
        <v>-17</v>
      </c>
      <c r="G235" s="128">
        <v>-17</v>
      </c>
      <c r="H235" s="128">
        <v>-18</v>
      </c>
      <c r="I235" s="128">
        <v>-17</v>
      </c>
      <c r="J235" s="128">
        <v>-18</v>
      </c>
      <c r="K235" s="128">
        <v>-17</v>
      </c>
      <c r="L235" s="128">
        <v>-17</v>
      </c>
      <c r="M235" s="128">
        <v>-18</v>
      </c>
      <c r="N235" s="128">
        <v>-18</v>
      </c>
      <c r="O235" s="129">
        <f t="shared" si="81"/>
        <v>-209</v>
      </c>
      <c r="P235" s="129"/>
      <c r="Q235" s="912"/>
      <c r="R235" s="917" t="s">
        <v>51</v>
      </c>
      <c r="S235" s="912"/>
      <c r="T235" s="129"/>
      <c r="U235" s="914">
        <f t="shared" si="82"/>
        <v>-52</v>
      </c>
      <c r="V235" s="914">
        <f t="shared" si="83"/>
        <v>-52</v>
      </c>
      <c r="W235" s="914">
        <f t="shared" si="84"/>
        <v>-52</v>
      </c>
      <c r="X235" s="914">
        <f t="shared" si="85"/>
        <v>-53</v>
      </c>
      <c r="Y235" s="915">
        <f t="shared" si="86"/>
        <v>-209</v>
      </c>
    </row>
    <row r="236" spans="1:25" ht="12.75" customHeight="1" x14ac:dyDescent="0.25">
      <c r="A236" s="911" t="s">
        <v>113</v>
      </c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9">
        <f t="shared" si="81"/>
        <v>0</v>
      </c>
      <c r="P236" s="129"/>
      <c r="Q236" s="912"/>
      <c r="R236" s="913" t="s">
        <v>51</v>
      </c>
      <c r="S236" s="912"/>
      <c r="T236" s="129"/>
      <c r="U236" s="914">
        <f t="shared" si="82"/>
        <v>0</v>
      </c>
      <c r="V236" s="914">
        <f t="shared" si="83"/>
        <v>0</v>
      </c>
      <c r="W236" s="914">
        <f t="shared" si="84"/>
        <v>0</v>
      </c>
      <c r="X236" s="914">
        <f t="shared" si="85"/>
        <v>0</v>
      </c>
      <c r="Y236" s="915">
        <f t="shared" si="86"/>
        <v>0</v>
      </c>
    </row>
    <row r="237" spans="1:25" ht="12.75" customHeight="1" x14ac:dyDescent="0.25">
      <c r="A237" s="911" t="s">
        <v>169</v>
      </c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9">
        <f t="shared" si="81"/>
        <v>0</v>
      </c>
      <c r="P237" s="129"/>
      <c r="Q237" s="912"/>
      <c r="R237" s="917" t="s">
        <v>51</v>
      </c>
      <c r="S237" s="912"/>
      <c r="T237" s="129"/>
      <c r="U237" s="914">
        <f t="shared" si="82"/>
        <v>0</v>
      </c>
      <c r="V237" s="914">
        <f t="shared" si="83"/>
        <v>0</v>
      </c>
      <c r="W237" s="914">
        <f t="shared" si="84"/>
        <v>0</v>
      </c>
      <c r="X237" s="914">
        <f t="shared" si="85"/>
        <v>0</v>
      </c>
      <c r="Y237" s="915">
        <f t="shared" si="86"/>
        <v>0</v>
      </c>
    </row>
    <row r="238" spans="1:25" ht="12.75" customHeight="1" x14ac:dyDescent="0.25">
      <c r="A238" s="911" t="s">
        <v>157</v>
      </c>
      <c r="C238" s="924"/>
      <c r="D238" s="924"/>
      <c r="E238" s="924"/>
      <c r="F238" s="924"/>
      <c r="G238" s="924"/>
      <c r="H238" s="924"/>
      <c r="I238" s="924"/>
      <c r="J238" s="924"/>
      <c r="K238" s="924"/>
      <c r="L238" s="924"/>
      <c r="M238" s="924"/>
      <c r="N238" s="924"/>
      <c r="O238" s="130">
        <f t="shared" si="81"/>
        <v>0</v>
      </c>
      <c r="P238" s="130"/>
      <c r="Q238" s="912"/>
      <c r="R238" s="917" t="s">
        <v>51</v>
      </c>
      <c r="S238" s="912"/>
      <c r="T238" s="130"/>
      <c r="U238" s="923">
        <f t="shared" si="82"/>
        <v>0</v>
      </c>
      <c r="V238" s="923">
        <f t="shared" si="83"/>
        <v>0</v>
      </c>
      <c r="W238" s="923">
        <f t="shared" si="84"/>
        <v>0</v>
      </c>
      <c r="X238" s="923">
        <f t="shared" si="85"/>
        <v>0</v>
      </c>
      <c r="Y238" s="924">
        <f t="shared" si="86"/>
        <v>0</v>
      </c>
    </row>
    <row r="239" spans="1:25" ht="12.75" customHeight="1" x14ac:dyDescent="0.25">
      <c r="A239" s="925" t="s">
        <v>170</v>
      </c>
      <c r="C239" s="920">
        <f t="shared" ref="C239:O239" si="87">SUM(C229:C238)</f>
        <v>-1621</v>
      </c>
      <c r="D239" s="920">
        <f t="shared" si="87"/>
        <v>-1587</v>
      </c>
      <c r="E239" s="920">
        <f t="shared" si="87"/>
        <v>-1631</v>
      </c>
      <c r="F239" s="920">
        <f t="shared" si="87"/>
        <v>-1643</v>
      </c>
      <c r="G239" s="920">
        <f t="shared" si="87"/>
        <v>-1600</v>
      </c>
      <c r="H239" s="920">
        <f t="shared" si="87"/>
        <v>-1710</v>
      </c>
      <c r="I239" s="920">
        <f t="shared" si="87"/>
        <v>-1700</v>
      </c>
      <c r="J239" s="920">
        <f t="shared" si="87"/>
        <v>-1750</v>
      </c>
      <c r="K239" s="920">
        <f t="shared" si="87"/>
        <v>-1750</v>
      </c>
      <c r="L239" s="920">
        <f t="shared" si="87"/>
        <v>-1850</v>
      </c>
      <c r="M239" s="920">
        <f t="shared" si="87"/>
        <v>-1850</v>
      </c>
      <c r="N239" s="920">
        <f t="shared" si="87"/>
        <v>-1850</v>
      </c>
      <c r="O239" s="920">
        <f t="shared" si="87"/>
        <v>-20542</v>
      </c>
      <c r="P239" s="920"/>
      <c r="Q239" s="912"/>
      <c r="R239" s="917"/>
      <c r="S239" s="912"/>
      <c r="T239" s="920"/>
      <c r="U239" s="920">
        <f>SUM(U229:U238)</f>
        <v>-4839</v>
      </c>
      <c r="V239" s="920">
        <f>SUM(V229:V238)</f>
        <v>-4953</v>
      </c>
      <c r="W239" s="920">
        <f>SUM(W229:W238)</f>
        <v>-5200</v>
      </c>
      <c r="X239" s="920">
        <f>SUM(X229:X238)</f>
        <v>-5550</v>
      </c>
      <c r="Y239" s="920">
        <f>SUM(Y229:Y238)</f>
        <v>-20542</v>
      </c>
    </row>
    <row r="240" spans="1:25" ht="6" customHeight="1" x14ac:dyDescent="0.25">
      <c r="A240" s="911"/>
      <c r="C240" s="915"/>
      <c r="D240" s="915"/>
      <c r="E240" s="915"/>
      <c r="F240" s="915"/>
      <c r="G240" s="915"/>
      <c r="H240" s="915"/>
      <c r="I240" s="915"/>
      <c r="J240" s="915"/>
      <c r="K240" s="915"/>
      <c r="L240" s="915"/>
      <c r="M240" s="915"/>
      <c r="N240" s="915"/>
      <c r="O240" s="914"/>
      <c r="P240" s="914"/>
      <c r="Q240" s="912"/>
      <c r="R240" s="918"/>
      <c r="S240" s="912"/>
      <c r="T240" s="914"/>
      <c r="U240" s="914"/>
      <c r="V240" s="914"/>
      <c r="W240" s="914"/>
      <c r="X240" s="914"/>
      <c r="Y240" s="915"/>
    </row>
    <row r="241" spans="1:25" ht="12.75" customHeight="1" x14ac:dyDescent="0.25">
      <c r="A241" s="911" t="s">
        <v>171</v>
      </c>
      <c r="C241" s="128">
        <v>-722</v>
      </c>
      <c r="D241" s="128">
        <v>-722</v>
      </c>
      <c r="E241" s="128">
        <v>-722</v>
      </c>
      <c r="F241" s="128">
        <v>-722</v>
      </c>
      <c r="G241" s="128">
        <v>-722</v>
      </c>
      <c r="H241" s="128">
        <v>-722</v>
      </c>
      <c r="I241" s="128">
        <v>-722</v>
      </c>
      <c r="J241" s="128">
        <v>-722</v>
      </c>
      <c r="K241" s="128">
        <v>-722</v>
      </c>
      <c r="L241" s="128">
        <v>-722</v>
      </c>
      <c r="M241" s="128">
        <v>-722</v>
      </c>
      <c r="N241" s="128">
        <v>-722</v>
      </c>
      <c r="O241" s="129">
        <f>SUM(C241:N241)</f>
        <v>-8664</v>
      </c>
      <c r="P241" s="129"/>
      <c r="Q241" s="912"/>
      <c r="R241" s="943" t="s">
        <v>54</v>
      </c>
      <c r="S241" s="912"/>
      <c r="T241" s="129"/>
      <c r="U241" s="914">
        <f>C241+D241+E241</f>
        <v>-2166</v>
      </c>
      <c r="V241" s="914">
        <f>F241+G241+H241</f>
        <v>-2166</v>
      </c>
      <c r="W241" s="914">
        <f>I241+J241+K241</f>
        <v>-2166</v>
      </c>
      <c r="X241" s="914">
        <f>L241+M241+N241</f>
        <v>-2166</v>
      </c>
      <c r="Y241" s="915">
        <f>SUM(U241:X241)</f>
        <v>-8664</v>
      </c>
    </row>
    <row r="242" spans="1:25" ht="12.75" customHeight="1" x14ac:dyDescent="0.25">
      <c r="A242" s="911" t="s">
        <v>158</v>
      </c>
      <c r="C242" s="128">
        <v>-96</v>
      </c>
      <c r="D242" s="128">
        <v>-96</v>
      </c>
      <c r="E242" s="128">
        <v>-96</v>
      </c>
      <c r="F242" s="128">
        <v>-96</v>
      </c>
      <c r="G242" s="128">
        <v>-96</v>
      </c>
      <c r="H242" s="128">
        <v>-96</v>
      </c>
      <c r="I242" s="128">
        <v>-96</v>
      </c>
      <c r="J242" s="128">
        <v>-96</v>
      </c>
      <c r="K242" s="128">
        <v>-96</v>
      </c>
      <c r="L242" s="128">
        <v>-96</v>
      </c>
      <c r="M242" s="128">
        <v>-96</v>
      </c>
      <c r="N242" s="128">
        <v>-96</v>
      </c>
      <c r="O242" s="129">
        <f>SUM(C242:N242)</f>
        <v>-1152</v>
      </c>
      <c r="P242" s="129"/>
      <c r="Q242" s="912"/>
      <c r="R242" s="943" t="s">
        <v>54</v>
      </c>
      <c r="S242" s="912"/>
      <c r="T242" s="129"/>
      <c r="U242" s="914">
        <f>C242+D242+E242</f>
        <v>-288</v>
      </c>
      <c r="V242" s="914">
        <f>F242+G242+H242</f>
        <v>-288</v>
      </c>
      <c r="W242" s="914">
        <f>I242+J242+K242</f>
        <v>-288</v>
      </c>
      <c r="X242" s="914">
        <f>L242+M242+N242</f>
        <v>-288</v>
      </c>
      <c r="Y242" s="915">
        <f>SUM(U242:X242)</f>
        <v>-1152</v>
      </c>
    </row>
    <row r="243" spans="1:25" ht="12.75" customHeight="1" x14ac:dyDescent="0.25">
      <c r="A243" s="911" t="s">
        <v>159</v>
      </c>
      <c r="C243" s="868">
        <f>-7-1</f>
        <v>-8</v>
      </c>
      <c r="D243" s="128">
        <v>-11</v>
      </c>
      <c r="E243" s="868">
        <f>-7+1</f>
        <v>-6</v>
      </c>
      <c r="F243" s="128">
        <v>-7</v>
      </c>
      <c r="G243" s="868">
        <f>-7+1</f>
        <v>-6</v>
      </c>
      <c r="H243" s="868">
        <f>-7-4</f>
        <v>-11</v>
      </c>
      <c r="I243" s="128">
        <v>-7</v>
      </c>
      <c r="J243" s="128">
        <v>-7</v>
      </c>
      <c r="K243" s="128">
        <v>-7</v>
      </c>
      <c r="L243" s="128">
        <v>-7</v>
      </c>
      <c r="M243" s="128">
        <v>-7</v>
      </c>
      <c r="N243" s="128">
        <v>-7</v>
      </c>
      <c r="O243" s="129">
        <f>SUM(C243:N243)</f>
        <v>-91</v>
      </c>
      <c r="P243" s="129"/>
      <c r="Q243" s="912"/>
      <c r="R243" s="980" t="s">
        <v>54</v>
      </c>
      <c r="S243" s="912"/>
      <c r="T243" s="129"/>
      <c r="U243" s="914">
        <f>C243+D243+E243</f>
        <v>-25</v>
      </c>
      <c r="V243" s="914">
        <f>F243+G243+H243</f>
        <v>-24</v>
      </c>
      <c r="W243" s="914">
        <f>I243+J243+K243</f>
        <v>-21</v>
      </c>
      <c r="X243" s="914">
        <f>L243+M243+N243</f>
        <v>-21</v>
      </c>
      <c r="Y243" s="915">
        <f>SUM(U243:X243)</f>
        <v>-91</v>
      </c>
    </row>
    <row r="244" spans="1:25" ht="12.75" customHeight="1" x14ac:dyDescent="0.25">
      <c r="A244" s="925" t="s">
        <v>172</v>
      </c>
      <c r="C244" s="706">
        <v>15</v>
      </c>
      <c r="D244" s="706">
        <v>36</v>
      </c>
      <c r="E244" s="706">
        <v>12</v>
      </c>
      <c r="F244" s="706">
        <v>11</v>
      </c>
      <c r="G244" s="706">
        <v>10</v>
      </c>
      <c r="H244" s="706">
        <v>22</v>
      </c>
      <c r="I244" s="706">
        <v>0</v>
      </c>
      <c r="J244" s="706">
        <v>0</v>
      </c>
      <c r="K244" s="706">
        <v>0</v>
      </c>
      <c r="L244" s="706">
        <v>0</v>
      </c>
      <c r="M244" s="706">
        <v>0</v>
      </c>
      <c r="N244" s="706">
        <v>0</v>
      </c>
      <c r="O244" s="697">
        <f>SUM(C244:N244)</f>
        <v>106</v>
      </c>
      <c r="P244" s="697"/>
      <c r="Q244" s="912"/>
      <c r="R244" s="980" t="s">
        <v>54</v>
      </c>
      <c r="S244" s="912"/>
      <c r="T244" s="697"/>
      <c r="U244" s="914">
        <f>C244+D244+E244</f>
        <v>63</v>
      </c>
      <c r="V244" s="914">
        <f>F244+G244+H244</f>
        <v>43</v>
      </c>
      <c r="W244" s="914">
        <f>I244+J244+K244</f>
        <v>0</v>
      </c>
      <c r="X244" s="914">
        <f>L244+M244+N244</f>
        <v>0</v>
      </c>
      <c r="Y244" s="915">
        <f>SUM(U244:X244)</f>
        <v>106</v>
      </c>
    </row>
    <row r="245" spans="1:25" ht="12.75" customHeight="1" x14ac:dyDescent="0.25">
      <c r="A245" s="925" t="s">
        <v>173</v>
      </c>
      <c r="B245" s="931"/>
      <c r="C245" s="260">
        <v>-16</v>
      </c>
      <c r="D245" s="260">
        <v>-18</v>
      </c>
      <c r="E245" s="260">
        <v>-8</v>
      </c>
      <c r="F245" s="260">
        <v>-6</v>
      </c>
      <c r="G245" s="260">
        <v>-7</v>
      </c>
      <c r="H245" s="260">
        <v>-5</v>
      </c>
      <c r="I245" s="260">
        <v>-5</v>
      </c>
      <c r="J245" s="260">
        <v>-5</v>
      </c>
      <c r="K245" s="260">
        <v>-5</v>
      </c>
      <c r="L245" s="260">
        <v>-4</v>
      </c>
      <c r="M245" s="260">
        <v>-4</v>
      </c>
      <c r="N245" s="260">
        <v>-4</v>
      </c>
      <c r="O245" s="130">
        <f>SUM(C245:N245)</f>
        <v>-87</v>
      </c>
      <c r="P245" s="130"/>
      <c r="Q245" s="936"/>
      <c r="R245" s="943" t="s">
        <v>54</v>
      </c>
      <c r="S245" s="936"/>
      <c r="T245" s="130"/>
      <c r="U245" s="979">
        <f>C245+D245+E245</f>
        <v>-42</v>
      </c>
      <c r="V245" s="979">
        <f>F245+G245+H245</f>
        <v>-18</v>
      </c>
      <c r="W245" s="979">
        <f>I245+J245+K245</f>
        <v>-15</v>
      </c>
      <c r="X245" s="979">
        <f>L245+M245+N245</f>
        <v>-12</v>
      </c>
      <c r="Y245" s="920">
        <f>SUM(U245:X245)</f>
        <v>-87</v>
      </c>
    </row>
    <row r="246" spans="1:25" ht="12.75" customHeight="1" x14ac:dyDescent="0.25">
      <c r="A246" s="925" t="s">
        <v>174</v>
      </c>
      <c r="B246" s="931"/>
      <c r="C246" s="920">
        <f t="shared" ref="C246:O246" si="88">SUM(C241:C245)</f>
        <v>-827</v>
      </c>
      <c r="D246" s="920">
        <f t="shared" si="88"/>
        <v>-811</v>
      </c>
      <c r="E246" s="920">
        <f t="shared" si="88"/>
        <v>-820</v>
      </c>
      <c r="F246" s="920">
        <f t="shared" si="88"/>
        <v>-820</v>
      </c>
      <c r="G246" s="920">
        <f t="shared" si="88"/>
        <v>-821</v>
      </c>
      <c r="H246" s="920">
        <f t="shared" si="88"/>
        <v>-812</v>
      </c>
      <c r="I246" s="920">
        <f t="shared" si="88"/>
        <v>-830</v>
      </c>
      <c r="J246" s="920">
        <f t="shared" si="88"/>
        <v>-830</v>
      </c>
      <c r="K246" s="920">
        <f t="shared" si="88"/>
        <v>-830</v>
      </c>
      <c r="L246" s="920">
        <f t="shared" si="88"/>
        <v>-829</v>
      </c>
      <c r="M246" s="920">
        <f t="shared" si="88"/>
        <v>-829</v>
      </c>
      <c r="N246" s="920">
        <f t="shared" si="88"/>
        <v>-829</v>
      </c>
      <c r="O246" s="920">
        <f t="shared" si="88"/>
        <v>-9888</v>
      </c>
      <c r="P246" s="920"/>
      <c r="Q246" s="936"/>
      <c r="R246" s="928"/>
      <c r="S246" s="936"/>
      <c r="T246" s="920"/>
      <c r="U246" s="920">
        <f>SUM(U241:U245)</f>
        <v>-2458</v>
      </c>
      <c r="V246" s="920">
        <f>SUM(V241:V245)</f>
        <v>-2453</v>
      </c>
      <c r="W246" s="920">
        <f>SUM(W241:W245)</f>
        <v>-2490</v>
      </c>
      <c r="X246" s="920">
        <f>SUM(X241:X245)</f>
        <v>-2487</v>
      </c>
      <c r="Y246" s="920">
        <f>SUM(Y241:Y245)</f>
        <v>-9888</v>
      </c>
    </row>
    <row r="247" spans="1:25" ht="6" customHeight="1" x14ac:dyDescent="0.25">
      <c r="A247" s="911"/>
      <c r="C247" s="915"/>
      <c r="D247" s="915"/>
      <c r="E247" s="915"/>
      <c r="F247" s="915"/>
      <c r="G247" s="915"/>
      <c r="H247" s="915"/>
      <c r="I247" s="915"/>
      <c r="J247" s="915"/>
      <c r="K247" s="915"/>
      <c r="L247" s="915"/>
      <c r="M247" s="915"/>
      <c r="N247" s="915"/>
      <c r="O247" s="914"/>
      <c r="P247" s="914"/>
      <c r="Q247" s="912"/>
      <c r="R247" s="918"/>
      <c r="S247" s="912"/>
      <c r="T247" s="914"/>
      <c r="U247" s="914"/>
      <c r="V247" s="914"/>
      <c r="W247" s="914"/>
      <c r="X247" s="914"/>
      <c r="Y247" s="915"/>
    </row>
    <row r="248" spans="1:25" ht="12.75" customHeight="1" x14ac:dyDescent="0.25">
      <c r="A248" s="911" t="s">
        <v>160</v>
      </c>
      <c r="C248" s="141">
        <v>0</v>
      </c>
      <c r="D248" s="141">
        <v>0</v>
      </c>
      <c r="E248" s="141">
        <v>0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42">
        <f>SUM(C248:N248)</f>
        <v>0</v>
      </c>
      <c r="P248" s="142"/>
      <c r="Q248" s="912"/>
      <c r="R248" s="913" t="s">
        <v>175</v>
      </c>
      <c r="S248" s="912"/>
      <c r="T248" s="142"/>
      <c r="U248" s="914">
        <f>C248+D248+E248</f>
        <v>0</v>
      </c>
      <c r="V248" s="914">
        <f>F248+G248+H248</f>
        <v>0</v>
      </c>
      <c r="W248" s="914">
        <f>I248+J248+K248</f>
        <v>0</v>
      </c>
      <c r="X248" s="914">
        <f>L248+M248+N248</f>
        <v>0</v>
      </c>
      <c r="Y248" s="915">
        <f>SUM(U248:X248)</f>
        <v>0</v>
      </c>
    </row>
    <row r="249" spans="1:25" ht="12.75" customHeight="1" x14ac:dyDescent="0.25">
      <c r="A249" s="911" t="s">
        <v>19</v>
      </c>
      <c r="C249" s="141">
        <v>0</v>
      </c>
      <c r="D249" s="141">
        <v>1</v>
      </c>
      <c r="E249" s="141">
        <v>2</v>
      </c>
      <c r="F249" s="141">
        <v>1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142">
        <f>SUM(C249:N249)</f>
        <v>4</v>
      </c>
      <c r="P249" s="142"/>
      <c r="Q249" s="912"/>
      <c r="R249" s="917" t="s">
        <v>175</v>
      </c>
      <c r="S249" s="912"/>
      <c r="T249" s="142"/>
      <c r="U249" s="914">
        <f>C249+D249+E249</f>
        <v>3</v>
      </c>
      <c r="V249" s="914">
        <f>F249+G249+H249</f>
        <v>1</v>
      </c>
      <c r="W249" s="914">
        <f>I249+J249+K249</f>
        <v>0</v>
      </c>
      <c r="X249" s="914">
        <f>L249+M249+N249</f>
        <v>0</v>
      </c>
      <c r="Y249" s="915">
        <f>SUM(U249:X249)</f>
        <v>4</v>
      </c>
    </row>
    <row r="250" spans="1:25" ht="12.75" customHeight="1" x14ac:dyDescent="0.25">
      <c r="A250" s="911" t="s">
        <v>176</v>
      </c>
      <c r="C250" s="981"/>
      <c r="D250" s="981"/>
      <c r="E250" s="981"/>
      <c r="F250" s="981"/>
      <c r="G250" s="981"/>
      <c r="H250" s="981"/>
      <c r="I250" s="981"/>
      <c r="J250" s="981"/>
      <c r="K250" s="981"/>
      <c r="L250" s="981"/>
      <c r="M250" s="981"/>
      <c r="N250" s="981"/>
      <c r="O250" s="142">
        <f>SUM(C250:N250)</f>
        <v>0</v>
      </c>
      <c r="P250" s="142"/>
      <c r="Q250" s="912"/>
      <c r="R250" s="917" t="s">
        <v>175</v>
      </c>
      <c r="S250" s="912"/>
      <c r="T250" s="142"/>
      <c r="U250" s="914">
        <f>C250+D250+E250</f>
        <v>0</v>
      </c>
      <c r="V250" s="914">
        <f>F250+G250+H250</f>
        <v>0</v>
      </c>
      <c r="W250" s="914">
        <f>I250+J250+K250</f>
        <v>0</v>
      </c>
      <c r="X250" s="914">
        <f>L250+M250+N250</f>
        <v>0</v>
      </c>
      <c r="Y250" s="915">
        <f>SUM(U250:X250)</f>
        <v>0</v>
      </c>
    </row>
    <row r="251" spans="1:25" ht="12.75" customHeight="1" x14ac:dyDescent="0.25">
      <c r="A251" s="911" t="s">
        <v>177</v>
      </c>
      <c r="C251" s="937"/>
      <c r="D251" s="937"/>
      <c r="E251" s="937"/>
      <c r="F251" s="937"/>
      <c r="G251" s="937"/>
      <c r="H251" s="937"/>
      <c r="I251" s="937"/>
      <c r="J251" s="937"/>
      <c r="K251" s="937"/>
      <c r="L251" s="937"/>
      <c r="M251" s="937"/>
      <c r="N251" s="937"/>
      <c r="O251" s="142">
        <f>SUM(C251:N251)</f>
        <v>0</v>
      </c>
      <c r="P251" s="142"/>
      <c r="Q251" s="912"/>
      <c r="R251" s="917" t="s">
        <v>175</v>
      </c>
      <c r="S251" s="912"/>
      <c r="T251" s="142"/>
      <c r="U251" s="914">
        <f>C251+D251+E251</f>
        <v>0</v>
      </c>
      <c r="V251" s="914">
        <f>F251+G251+H251</f>
        <v>0</v>
      </c>
      <c r="W251" s="914">
        <f>I251+J251+K251</f>
        <v>0</v>
      </c>
      <c r="X251" s="914">
        <f>L251+M251+N251</f>
        <v>0</v>
      </c>
      <c r="Y251" s="915">
        <f>SUM(U251:X251)</f>
        <v>0</v>
      </c>
    </row>
    <row r="252" spans="1:25" ht="12.75" customHeight="1" x14ac:dyDescent="0.25">
      <c r="A252" s="911" t="s">
        <v>161</v>
      </c>
      <c r="C252" s="937"/>
      <c r="D252" s="937"/>
      <c r="E252" s="937"/>
      <c r="F252" s="937"/>
      <c r="G252" s="937"/>
      <c r="H252" s="937"/>
      <c r="I252" s="937"/>
      <c r="J252" s="937"/>
      <c r="K252" s="937"/>
      <c r="L252" s="937"/>
      <c r="M252" s="937"/>
      <c r="N252" s="937"/>
      <c r="O252" s="142">
        <f>SUM(C252:N252)</f>
        <v>0</v>
      </c>
      <c r="P252" s="142"/>
      <c r="Q252" s="912"/>
      <c r="R252" s="917" t="s">
        <v>175</v>
      </c>
      <c r="S252" s="912"/>
      <c r="T252" s="142"/>
      <c r="U252" s="914">
        <f>C252+D252+E252</f>
        <v>0</v>
      </c>
      <c r="V252" s="914">
        <f>F252+G252+H252</f>
        <v>0</v>
      </c>
      <c r="W252" s="914">
        <f>I252+J252+K252</f>
        <v>0</v>
      </c>
      <c r="X252" s="914">
        <f>L252+M252+N252</f>
        <v>0</v>
      </c>
      <c r="Y252" s="915">
        <f>SUM(U252:X252)</f>
        <v>0</v>
      </c>
    </row>
    <row r="253" spans="1:25" ht="3.9" customHeight="1" x14ac:dyDescent="0.25">
      <c r="A253" s="911"/>
      <c r="C253" s="915"/>
      <c r="D253" s="915"/>
      <c r="E253" s="915"/>
      <c r="F253" s="915"/>
      <c r="G253" s="915"/>
      <c r="H253" s="915"/>
      <c r="I253" s="915"/>
      <c r="J253" s="915"/>
      <c r="K253" s="915"/>
      <c r="L253" s="915"/>
      <c r="M253" s="915"/>
      <c r="N253" s="915"/>
      <c r="O253" s="914"/>
      <c r="P253" s="914"/>
      <c r="Q253" s="912"/>
      <c r="R253" s="918"/>
      <c r="S253" s="912"/>
      <c r="T253" s="914"/>
      <c r="U253" s="914"/>
      <c r="V253" s="914"/>
      <c r="W253" s="914"/>
      <c r="X253" s="914"/>
      <c r="Y253" s="915"/>
    </row>
    <row r="254" spans="1:25" x14ac:dyDescent="0.25">
      <c r="A254" s="911" t="s">
        <v>178</v>
      </c>
      <c r="C254" s="158">
        <v>0</v>
      </c>
      <c r="D254" s="158">
        <v>0</v>
      </c>
      <c r="E254" s="158">
        <v>0</v>
      </c>
      <c r="F254" s="158">
        <v>0</v>
      </c>
      <c r="G254" s="158">
        <v>0</v>
      </c>
      <c r="H254" s="158">
        <v>0</v>
      </c>
      <c r="I254" s="158">
        <v>0</v>
      </c>
      <c r="J254" s="158">
        <v>0</v>
      </c>
      <c r="K254" s="158">
        <v>0</v>
      </c>
      <c r="L254" s="158">
        <v>0</v>
      </c>
      <c r="M254" s="158">
        <v>0</v>
      </c>
      <c r="N254" s="158">
        <v>0</v>
      </c>
      <c r="O254" s="156">
        <f>SUM(C254:N254)</f>
        <v>0</v>
      </c>
      <c r="P254" s="156"/>
      <c r="Q254" s="912"/>
      <c r="R254" s="913" t="s">
        <v>64</v>
      </c>
      <c r="S254" s="912"/>
      <c r="T254" s="156"/>
      <c r="U254" s="914">
        <f t="shared" ref="U254:U261" si="89">C254+D254+E254</f>
        <v>0</v>
      </c>
      <c r="V254" s="914">
        <f t="shared" ref="V254:V261" si="90">F254+G254+H254</f>
        <v>0</v>
      </c>
      <c r="W254" s="914">
        <f t="shared" ref="W254:W261" si="91">I254+J254+K254</f>
        <v>0</v>
      </c>
      <c r="X254" s="914">
        <f t="shared" ref="X254:X261" si="92">L254+M254+N254</f>
        <v>0</v>
      </c>
      <c r="Y254" s="915">
        <f t="shared" ref="Y254:Y261" si="93">SUM(U254:X254)</f>
        <v>0</v>
      </c>
    </row>
    <row r="255" spans="1:25" x14ac:dyDescent="0.25">
      <c r="A255" s="911" t="s">
        <v>179</v>
      </c>
      <c r="C255" s="158">
        <v>0</v>
      </c>
      <c r="D255" s="158">
        <v>0</v>
      </c>
      <c r="E255" s="158">
        <v>0</v>
      </c>
      <c r="F255" s="158">
        <v>0</v>
      </c>
      <c r="G255" s="158">
        <v>0</v>
      </c>
      <c r="H255" s="158">
        <v>0</v>
      </c>
      <c r="I255" s="158">
        <v>0</v>
      </c>
      <c r="J255" s="158">
        <v>0</v>
      </c>
      <c r="K255" s="158">
        <v>0</v>
      </c>
      <c r="L255" s="158">
        <v>0</v>
      </c>
      <c r="M255" s="158">
        <v>0</v>
      </c>
      <c r="N255" s="158">
        <v>0</v>
      </c>
      <c r="O255" s="156">
        <f>SUM(C255:N255)</f>
        <v>0</v>
      </c>
      <c r="P255" s="156"/>
      <c r="Q255" s="912"/>
      <c r="R255" s="917" t="s">
        <v>64</v>
      </c>
      <c r="S255" s="912"/>
      <c r="T255" s="156"/>
      <c r="U255" s="914">
        <f t="shared" si="89"/>
        <v>0</v>
      </c>
      <c r="V255" s="914">
        <f t="shared" si="90"/>
        <v>0</v>
      </c>
      <c r="W255" s="914">
        <f t="shared" si="91"/>
        <v>0</v>
      </c>
      <c r="X255" s="914">
        <f t="shared" si="92"/>
        <v>0</v>
      </c>
      <c r="Y255" s="915">
        <f t="shared" si="93"/>
        <v>0</v>
      </c>
    </row>
    <row r="256" spans="1:25" x14ac:dyDescent="0.25">
      <c r="A256" s="911" t="s">
        <v>163</v>
      </c>
      <c r="C256" s="158">
        <v>0</v>
      </c>
      <c r="D256" s="158">
        <v>0</v>
      </c>
      <c r="E256" s="158">
        <v>0</v>
      </c>
      <c r="F256" s="158">
        <v>0</v>
      </c>
      <c r="G256" s="158">
        <v>0</v>
      </c>
      <c r="H256" s="158">
        <v>0</v>
      </c>
      <c r="I256" s="158">
        <v>0</v>
      </c>
      <c r="J256" s="158">
        <v>0</v>
      </c>
      <c r="K256" s="158">
        <v>0</v>
      </c>
      <c r="L256" s="158">
        <v>0</v>
      </c>
      <c r="M256" s="158">
        <v>0</v>
      </c>
      <c r="N256" s="158">
        <v>0</v>
      </c>
      <c r="O256" s="156">
        <f>SUM(C256:N256)</f>
        <v>0</v>
      </c>
      <c r="P256" s="156"/>
      <c r="Q256" s="912"/>
      <c r="R256" s="913" t="s">
        <v>64</v>
      </c>
      <c r="S256" s="912"/>
      <c r="T256" s="156"/>
      <c r="U256" s="914">
        <f t="shared" si="89"/>
        <v>0</v>
      </c>
      <c r="V256" s="914">
        <f t="shared" si="90"/>
        <v>0</v>
      </c>
      <c r="W256" s="914">
        <f t="shared" si="91"/>
        <v>0</v>
      </c>
      <c r="X256" s="914">
        <f t="shared" si="92"/>
        <v>0</v>
      </c>
      <c r="Y256" s="915">
        <f t="shared" si="93"/>
        <v>0</v>
      </c>
    </row>
    <row r="257" spans="1:25" x14ac:dyDescent="0.25">
      <c r="A257" s="911" t="s">
        <v>162</v>
      </c>
      <c r="C257" s="926">
        <v>-3</v>
      </c>
      <c r="D257" s="926">
        <v>-3</v>
      </c>
      <c r="E257" s="926">
        <v>-3</v>
      </c>
      <c r="F257" s="926">
        <v>-3</v>
      </c>
      <c r="G257" s="926">
        <v>-3</v>
      </c>
      <c r="H257" s="926">
        <v>-3</v>
      </c>
      <c r="I257" s="926">
        <v>-3</v>
      </c>
      <c r="J257" s="926">
        <v>-3</v>
      </c>
      <c r="K257" s="926">
        <v>-3</v>
      </c>
      <c r="L257" s="926">
        <v>-3</v>
      </c>
      <c r="M257" s="926">
        <v>-3</v>
      </c>
      <c r="N257" s="926">
        <v>-3</v>
      </c>
      <c r="O257" s="156">
        <f>SUM(C257:N257)</f>
        <v>-36</v>
      </c>
      <c r="P257" s="156"/>
      <c r="Q257" s="912"/>
      <c r="R257" s="917" t="s">
        <v>64</v>
      </c>
      <c r="S257" s="912"/>
      <c r="T257" s="156"/>
      <c r="U257" s="914">
        <f t="shared" si="89"/>
        <v>-9</v>
      </c>
      <c r="V257" s="914">
        <f t="shared" si="90"/>
        <v>-9</v>
      </c>
      <c r="W257" s="914">
        <f t="shared" si="91"/>
        <v>-9</v>
      </c>
      <c r="X257" s="914">
        <f t="shared" si="92"/>
        <v>-9</v>
      </c>
      <c r="Y257" s="915">
        <f t="shared" si="93"/>
        <v>-36</v>
      </c>
    </row>
    <row r="258" spans="1:25" x14ac:dyDescent="0.25">
      <c r="A258" s="911" t="s">
        <v>180</v>
      </c>
      <c r="C258" s="926"/>
      <c r="D258" s="926"/>
      <c r="E258" s="926"/>
      <c r="F258" s="926"/>
      <c r="G258" s="926"/>
      <c r="H258" s="926"/>
      <c r="I258" s="926"/>
      <c r="J258" s="926"/>
      <c r="K258" s="926"/>
      <c r="L258" s="926"/>
      <c r="M258" s="926"/>
      <c r="N258" s="926"/>
      <c r="O258" s="156">
        <f>SUM(C258:N258)</f>
        <v>0</v>
      </c>
      <c r="P258" s="156"/>
      <c r="Q258" s="912"/>
      <c r="R258" s="917" t="s">
        <v>64</v>
      </c>
      <c r="S258" s="912"/>
      <c r="T258" s="156"/>
      <c r="U258" s="914">
        <f t="shared" si="89"/>
        <v>0</v>
      </c>
      <c r="V258" s="914">
        <f t="shared" si="90"/>
        <v>0</v>
      </c>
      <c r="W258" s="914">
        <f t="shared" si="91"/>
        <v>0</v>
      </c>
      <c r="X258" s="914">
        <f t="shared" si="92"/>
        <v>0</v>
      </c>
      <c r="Y258" s="915">
        <f t="shared" si="93"/>
        <v>0</v>
      </c>
    </row>
    <row r="259" spans="1:25" x14ac:dyDescent="0.25">
      <c r="A259" s="911" t="s">
        <v>85</v>
      </c>
      <c r="C259" s="926"/>
      <c r="D259" s="926"/>
      <c r="E259" s="926"/>
      <c r="F259" s="926"/>
      <c r="G259" s="926"/>
      <c r="H259" s="926"/>
      <c r="I259" s="926"/>
      <c r="J259" s="926"/>
      <c r="K259" s="926"/>
      <c r="L259" s="926"/>
      <c r="M259" s="926"/>
      <c r="N259" s="926"/>
      <c r="O259" s="914">
        <f>C259+D259+E259+F259+G259+H259+I259+J259+K259+L259+M259+N259</f>
        <v>0</v>
      </c>
      <c r="P259" s="914"/>
      <c r="Q259" s="912"/>
      <c r="R259" s="913" t="s">
        <v>64</v>
      </c>
      <c r="S259" s="912"/>
      <c r="T259" s="914"/>
      <c r="U259" s="914">
        <f t="shared" si="89"/>
        <v>0</v>
      </c>
      <c r="V259" s="914">
        <f t="shared" si="90"/>
        <v>0</v>
      </c>
      <c r="W259" s="914">
        <f t="shared" si="91"/>
        <v>0</v>
      </c>
      <c r="X259" s="914">
        <f t="shared" si="92"/>
        <v>0</v>
      </c>
      <c r="Y259" s="915">
        <f t="shared" si="93"/>
        <v>0</v>
      </c>
    </row>
    <row r="260" spans="1:25" x14ac:dyDescent="0.25">
      <c r="A260" s="911" t="s">
        <v>1093</v>
      </c>
      <c r="C260" s="926"/>
      <c r="D260" s="926"/>
      <c r="E260" s="926"/>
      <c r="F260" s="926"/>
      <c r="G260" s="926"/>
      <c r="H260" s="926"/>
      <c r="I260" s="926"/>
      <c r="J260" s="926"/>
      <c r="K260" s="926"/>
      <c r="L260" s="926"/>
      <c r="M260" s="926"/>
      <c r="N260" s="926"/>
      <c r="O260" s="914">
        <f>C260+D260+E260+F260+G260+H260+I260+J260+K260+L260+M260+N260</f>
        <v>0</v>
      </c>
      <c r="P260" s="914"/>
      <c r="Q260" s="912"/>
      <c r="R260" s="917" t="s">
        <v>64</v>
      </c>
      <c r="S260" s="912"/>
      <c r="T260" s="914"/>
      <c r="U260" s="914">
        <f t="shared" si="89"/>
        <v>0</v>
      </c>
      <c r="V260" s="914">
        <f t="shared" si="90"/>
        <v>0</v>
      </c>
      <c r="W260" s="914">
        <f t="shared" si="91"/>
        <v>0</v>
      </c>
      <c r="X260" s="914">
        <f t="shared" si="92"/>
        <v>0</v>
      </c>
      <c r="Y260" s="915">
        <f t="shared" si="93"/>
        <v>0</v>
      </c>
    </row>
    <row r="261" spans="1:25" x14ac:dyDescent="0.25">
      <c r="A261" s="911" t="s">
        <v>20</v>
      </c>
      <c r="C261" s="926"/>
      <c r="D261" s="926"/>
      <c r="E261" s="926"/>
      <c r="F261" s="926"/>
      <c r="G261" s="926"/>
      <c r="H261" s="926"/>
      <c r="I261" s="926"/>
      <c r="J261" s="926"/>
      <c r="K261" s="926"/>
      <c r="L261" s="926"/>
      <c r="M261" s="926"/>
      <c r="N261" s="926"/>
      <c r="O261" s="914">
        <f>C261+D261+E261+F261+G261+H261+I261+J261+K261+L261+M261+N261</f>
        <v>0</v>
      </c>
      <c r="P261" s="914"/>
      <c r="Q261" s="912"/>
      <c r="R261" s="917" t="s">
        <v>64</v>
      </c>
      <c r="S261" s="912"/>
      <c r="T261" s="914"/>
      <c r="U261" s="914">
        <f t="shared" si="89"/>
        <v>0</v>
      </c>
      <c r="V261" s="914">
        <f t="shared" si="90"/>
        <v>0</v>
      </c>
      <c r="W261" s="914">
        <f t="shared" si="91"/>
        <v>0</v>
      </c>
      <c r="X261" s="914">
        <f t="shared" si="92"/>
        <v>0</v>
      </c>
      <c r="Y261" s="915">
        <f t="shared" si="93"/>
        <v>0</v>
      </c>
    </row>
    <row r="262" spans="1:25" ht="3.9" customHeight="1" x14ac:dyDescent="0.25">
      <c r="A262" s="911"/>
      <c r="C262" s="937"/>
      <c r="D262" s="937"/>
      <c r="E262" s="937"/>
      <c r="F262" s="937"/>
      <c r="G262" s="937"/>
      <c r="H262" s="937"/>
      <c r="I262" s="937"/>
      <c r="J262" s="937"/>
      <c r="K262" s="937"/>
      <c r="L262" s="937"/>
      <c r="M262" s="937"/>
      <c r="N262" s="937"/>
      <c r="O262" s="914"/>
      <c r="P262" s="914"/>
      <c r="Q262" s="912"/>
      <c r="R262" s="917"/>
      <c r="S262" s="912"/>
      <c r="T262" s="914"/>
      <c r="U262" s="914"/>
      <c r="V262" s="914"/>
      <c r="W262" s="914"/>
      <c r="X262" s="914"/>
      <c r="Y262" s="915"/>
    </row>
    <row r="263" spans="1:25" ht="12.75" customHeight="1" x14ac:dyDescent="0.25">
      <c r="A263" s="911" t="s">
        <v>181</v>
      </c>
      <c r="C263" s="141">
        <v>0</v>
      </c>
      <c r="D263" s="141">
        <v>0</v>
      </c>
      <c r="E263" s="141">
        <v>0</v>
      </c>
      <c r="F263" s="141">
        <v>0</v>
      </c>
      <c r="G263" s="141">
        <v>0</v>
      </c>
      <c r="H263" s="141">
        <v>0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914">
        <f>C263+D263+E263+F263+G263+H263+I263+J263+K263+L263+M263+N263</f>
        <v>0</v>
      </c>
      <c r="P263" s="914"/>
      <c r="Q263" s="912"/>
      <c r="R263" s="917"/>
      <c r="S263" s="912"/>
      <c r="T263" s="914"/>
      <c r="U263" s="914">
        <f>C263+D263+E263</f>
        <v>0</v>
      </c>
      <c r="V263" s="914">
        <f>F263+G263+H263</f>
        <v>0</v>
      </c>
      <c r="W263" s="914">
        <f>I263+J263+K263</f>
        <v>0</v>
      </c>
      <c r="X263" s="914">
        <f>L263+M263+N263</f>
        <v>0</v>
      </c>
      <c r="Y263" s="915">
        <f>SUM(U263:X263)</f>
        <v>0</v>
      </c>
    </row>
    <row r="264" spans="1:25" ht="12.75" customHeight="1" x14ac:dyDescent="0.25">
      <c r="A264" s="911" t="s">
        <v>182</v>
      </c>
      <c r="C264" s="141">
        <v>7</v>
      </c>
      <c r="D264" s="141">
        <v>7</v>
      </c>
      <c r="E264" s="141">
        <v>5</v>
      </c>
      <c r="F264" s="141">
        <v>5</v>
      </c>
      <c r="G264" s="141">
        <v>4</v>
      </c>
      <c r="H264" s="141">
        <v>7</v>
      </c>
      <c r="I264" s="141">
        <v>3</v>
      </c>
      <c r="J264" s="141">
        <v>10</v>
      </c>
      <c r="K264" s="141">
        <v>8</v>
      </c>
      <c r="L264" s="141">
        <v>5</v>
      </c>
      <c r="M264" s="141">
        <v>8</v>
      </c>
      <c r="N264" s="141">
        <v>8</v>
      </c>
      <c r="O264" s="142">
        <f>SUM(C264:N264)</f>
        <v>77</v>
      </c>
      <c r="P264" s="142"/>
      <c r="Q264" s="912"/>
      <c r="R264" s="943" t="s">
        <v>27</v>
      </c>
      <c r="S264" s="912"/>
      <c r="T264" s="142"/>
      <c r="U264" s="914">
        <f>C264+D264+E264</f>
        <v>19</v>
      </c>
      <c r="V264" s="914">
        <f>F264+G264+H264</f>
        <v>16</v>
      </c>
      <c r="W264" s="914">
        <f>I264+J264+K264</f>
        <v>21</v>
      </c>
      <c r="X264" s="914">
        <f>L264+M264+N264</f>
        <v>21</v>
      </c>
      <c r="Y264" s="915">
        <f>SUM(U264:X264)</f>
        <v>77</v>
      </c>
    </row>
    <row r="265" spans="1:25" ht="12.75" customHeight="1" x14ac:dyDescent="0.25">
      <c r="A265" s="911" t="s">
        <v>183</v>
      </c>
      <c r="C265" s="141">
        <v>-7</v>
      </c>
      <c r="D265" s="141">
        <v>-7</v>
      </c>
      <c r="E265" s="141">
        <v>-7</v>
      </c>
      <c r="F265" s="141">
        <v>-8</v>
      </c>
      <c r="G265" s="141">
        <v>-7</v>
      </c>
      <c r="H265" s="141">
        <v>-7</v>
      </c>
      <c r="I265" s="141">
        <v>-7</v>
      </c>
      <c r="J265" s="141">
        <v>-7</v>
      </c>
      <c r="K265" s="141">
        <v>-7</v>
      </c>
      <c r="L265" s="141">
        <v>-7</v>
      </c>
      <c r="M265" s="141">
        <v>-7</v>
      </c>
      <c r="N265" s="141">
        <v>-7</v>
      </c>
      <c r="O265" s="142">
        <f>SUM(C265:N265)</f>
        <v>-85</v>
      </c>
      <c r="P265" s="142"/>
      <c r="Q265" s="912"/>
      <c r="R265" s="980" t="s">
        <v>27</v>
      </c>
      <c r="S265" s="912"/>
      <c r="T265" s="142"/>
      <c r="U265" s="914">
        <f>C265+D265+E265</f>
        <v>-21</v>
      </c>
      <c r="V265" s="914">
        <f>F265+G265+H265</f>
        <v>-22</v>
      </c>
      <c r="W265" s="914">
        <f>I265+J265+K265</f>
        <v>-21</v>
      </c>
      <c r="X265" s="914">
        <f>L265+M265+N265</f>
        <v>-21</v>
      </c>
      <c r="Y265" s="915">
        <f>SUM(U265:X265)</f>
        <v>-85</v>
      </c>
    </row>
    <row r="266" spans="1:25" x14ac:dyDescent="0.25">
      <c r="A266" s="911" t="s">
        <v>184</v>
      </c>
      <c r="C266" s="261">
        <v>0</v>
      </c>
      <c r="D266" s="261">
        <v>0</v>
      </c>
      <c r="E266" s="261">
        <v>0</v>
      </c>
      <c r="F266" s="261">
        <v>0</v>
      </c>
      <c r="G266" s="261">
        <v>0</v>
      </c>
      <c r="H266" s="261">
        <v>0</v>
      </c>
      <c r="I266" s="261">
        <v>0</v>
      </c>
      <c r="J266" s="261">
        <v>0</v>
      </c>
      <c r="K266" s="261">
        <v>0</v>
      </c>
      <c r="L266" s="261">
        <v>0</v>
      </c>
      <c r="M266" s="261">
        <v>0</v>
      </c>
      <c r="N266" s="982">
        <f>-4300+4300</f>
        <v>0</v>
      </c>
      <c r="O266" s="143">
        <f>SUM(C266:N266)</f>
        <v>0</v>
      </c>
      <c r="P266" s="143"/>
      <c r="Q266" s="912"/>
      <c r="R266" s="919" t="s">
        <v>27</v>
      </c>
      <c r="S266" s="912"/>
      <c r="T266" s="143"/>
      <c r="U266" s="923">
        <f>C266+D266+E266</f>
        <v>0</v>
      </c>
      <c r="V266" s="923">
        <f>F266+G266+H266</f>
        <v>0</v>
      </c>
      <c r="W266" s="923">
        <f>I266+J266+K266</f>
        <v>0</v>
      </c>
      <c r="X266" s="923">
        <f>L266+M266+N266</f>
        <v>0</v>
      </c>
      <c r="Y266" s="924">
        <f>SUM(U266:X266)</f>
        <v>0</v>
      </c>
    </row>
    <row r="267" spans="1:25" s="931" customFormat="1" ht="6" customHeight="1" x14ac:dyDescent="0.25">
      <c r="Q267" s="936"/>
      <c r="S267" s="936"/>
    </row>
    <row r="268" spans="1:25" s="931" customFormat="1" ht="12.75" customHeight="1" x14ac:dyDescent="0.25">
      <c r="A268" s="930" t="s">
        <v>185</v>
      </c>
      <c r="C268" s="920">
        <f t="shared" ref="C268:O268" si="94">C227+C239+C246+SUM(C248:C266)</f>
        <v>-3280.971</v>
      </c>
      <c r="D268" s="920">
        <f t="shared" si="94"/>
        <v>-3254.902</v>
      </c>
      <c r="E268" s="920">
        <f t="shared" si="94"/>
        <v>-4084</v>
      </c>
      <c r="F268" s="920">
        <f t="shared" si="94"/>
        <v>-3095</v>
      </c>
      <c r="G268" s="920">
        <f t="shared" si="94"/>
        <v>-2999</v>
      </c>
      <c r="H268" s="920">
        <f t="shared" si="94"/>
        <v>-3286</v>
      </c>
      <c r="I268" s="920">
        <f t="shared" si="94"/>
        <v>-3137</v>
      </c>
      <c r="J268" s="920">
        <f t="shared" si="94"/>
        <v>-3080</v>
      </c>
      <c r="K268" s="920">
        <f t="shared" si="94"/>
        <v>-3282</v>
      </c>
      <c r="L268" s="920">
        <f t="shared" si="94"/>
        <v>-3384</v>
      </c>
      <c r="M268" s="920">
        <f t="shared" si="94"/>
        <v>-3281</v>
      </c>
      <c r="N268" s="920">
        <f t="shared" si="94"/>
        <v>-3181</v>
      </c>
      <c r="O268" s="920">
        <f t="shared" si="94"/>
        <v>-39344.873</v>
      </c>
      <c r="P268" s="920"/>
      <c r="Q268" s="936"/>
      <c r="R268" s="928"/>
      <c r="S268" s="936"/>
      <c r="T268" s="920"/>
      <c r="U268" s="920">
        <f>U227+U239+U246+SUM(U248:U266)</f>
        <v>-10619.873</v>
      </c>
      <c r="V268" s="920">
        <f>V227+V239+V246+SUM(V248:V266)</f>
        <v>-9380</v>
      </c>
      <c r="W268" s="920">
        <f>W227+W239+W246+SUM(W248:W266)</f>
        <v>-9499</v>
      </c>
      <c r="X268" s="920">
        <f>X227+X239+X246+SUM(X248:X266)</f>
        <v>-9846</v>
      </c>
      <c r="Y268" s="920">
        <f>Y227+Y239+Y246+SUM(Y248:Y266)</f>
        <v>-39344.873</v>
      </c>
    </row>
    <row r="269" spans="1:25" s="931" customFormat="1" ht="12.75" customHeight="1" x14ac:dyDescent="0.25">
      <c r="A269" s="930"/>
      <c r="C269" s="920"/>
      <c r="D269" s="920"/>
      <c r="E269" s="920"/>
      <c r="F269" s="920"/>
      <c r="G269" s="920"/>
      <c r="H269" s="920"/>
      <c r="I269" s="920"/>
      <c r="J269" s="920"/>
      <c r="K269" s="920"/>
      <c r="L269" s="920"/>
      <c r="M269" s="920"/>
      <c r="N269" s="920"/>
      <c r="O269" s="920"/>
      <c r="P269" s="920"/>
      <c r="Q269" s="936"/>
      <c r="R269" s="928"/>
      <c r="S269" s="936"/>
      <c r="T269" s="920"/>
      <c r="U269" s="920"/>
      <c r="V269" s="920"/>
      <c r="W269" s="920"/>
      <c r="X269" s="920"/>
      <c r="Y269" s="920"/>
    </row>
    <row r="270" spans="1:25" s="931" customFormat="1" ht="12.75" customHeight="1" x14ac:dyDescent="0.25">
      <c r="A270" s="930" t="s">
        <v>164</v>
      </c>
      <c r="B270" s="950"/>
      <c r="C270" s="983">
        <f t="shared" ref="C270:O270" si="95">SUM(C195:C197)+C268</f>
        <v>-3280.971</v>
      </c>
      <c r="D270" s="983">
        <f t="shared" si="95"/>
        <v>-3254.902</v>
      </c>
      <c r="E270" s="983">
        <f t="shared" si="95"/>
        <v>-4084</v>
      </c>
      <c r="F270" s="983">
        <f t="shared" si="95"/>
        <v>-3095</v>
      </c>
      <c r="G270" s="983">
        <f t="shared" si="95"/>
        <v>-2999</v>
      </c>
      <c r="H270" s="983">
        <f t="shared" si="95"/>
        <v>-3286</v>
      </c>
      <c r="I270" s="983">
        <f t="shared" si="95"/>
        <v>-3137</v>
      </c>
      <c r="J270" s="983">
        <f t="shared" si="95"/>
        <v>-3080</v>
      </c>
      <c r="K270" s="983">
        <f t="shared" si="95"/>
        <v>-3282</v>
      </c>
      <c r="L270" s="983">
        <f t="shared" si="95"/>
        <v>-3384</v>
      </c>
      <c r="M270" s="983">
        <f t="shared" si="95"/>
        <v>-3281</v>
      </c>
      <c r="N270" s="983">
        <f t="shared" si="95"/>
        <v>-3181</v>
      </c>
      <c r="O270" s="983">
        <f t="shared" si="95"/>
        <v>-39344.873</v>
      </c>
      <c r="P270" s="983"/>
      <c r="Q270" s="984"/>
      <c r="R270" s="985"/>
      <c r="S270" s="984"/>
      <c r="T270" s="983"/>
      <c r="U270" s="983">
        <f>SUM(U195:U197)+U268</f>
        <v>-10619.873</v>
      </c>
      <c r="V270" s="983">
        <f>SUM(V195:V197)+V268</f>
        <v>-9380</v>
      </c>
      <c r="W270" s="983">
        <f>SUM(W195:W197)+W268</f>
        <v>-9499</v>
      </c>
      <c r="X270" s="983">
        <f>SUM(X195:X197)+X268</f>
        <v>-9846</v>
      </c>
      <c r="Y270" s="983">
        <f>SUM(Y195:Y197)+Y268</f>
        <v>-39344.873</v>
      </c>
    </row>
    <row r="271" spans="1:25" s="931" customFormat="1" ht="12.75" customHeight="1" x14ac:dyDescent="0.25">
      <c r="A271" s="911"/>
      <c r="C271" s="937"/>
      <c r="D271" s="937"/>
      <c r="E271" s="937"/>
      <c r="F271" s="937"/>
      <c r="G271" s="937"/>
      <c r="H271" s="937"/>
      <c r="I271" s="937"/>
      <c r="J271" s="937"/>
      <c r="K271" s="937"/>
      <c r="L271" s="937"/>
      <c r="M271" s="937"/>
      <c r="N271" s="937"/>
      <c r="O271" s="142"/>
      <c r="P271" s="142"/>
      <c r="Q271" s="984"/>
      <c r="S271" s="936"/>
      <c r="T271" s="142"/>
      <c r="U271" s="914"/>
      <c r="V271" s="914"/>
      <c r="W271" s="914"/>
      <c r="X271" s="914"/>
      <c r="Y271" s="915"/>
    </row>
    <row r="272" spans="1:25" s="931" customFormat="1" ht="12.75" customHeight="1" x14ac:dyDescent="0.25">
      <c r="A272" s="911"/>
      <c r="B272" s="950"/>
      <c r="C272" s="937"/>
      <c r="D272" s="937"/>
      <c r="E272" s="937"/>
      <c r="F272" s="937"/>
      <c r="G272" s="937"/>
      <c r="H272" s="937"/>
      <c r="I272" s="937"/>
      <c r="J272" s="937"/>
      <c r="K272" s="937"/>
      <c r="L272" s="937"/>
      <c r="M272" s="937"/>
      <c r="N272" s="937"/>
      <c r="O272" s="142"/>
      <c r="P272" s="142"/>
      <c r="Q272" s="984"/>
      <c r="R272" s="985"/>
      <c r="S272" s="984"/>
      <c r="T272" s="142"/>
      <c r="U272" s="914"/>
      <c r="V272" s="914"/>
      <c r="W272" s="914"/>
      <c r="X272" s="914"/>
      <c r="Y272" s="915"/>
    </row>
    <row r="273" spans="1:25" s="931" customFormat="1" ht="12.75" customHeight="1" x14ac:dyDescent="0.25">
      <c r="A273" s="911"/>
      <c r="B273" s="950"/>
      <c r="C273" s="985"/>
      <c r="D273" s="985"/>
      <c r="E273" s="985"/>
      <c r="F273" s="985"/>
      <c r="G273" s="985"/>
      <c r="H273" s="985"/>
      <c r="I273" s="985"/>
      <c r="J273" s="985"/>
      <c r="K273" s="985"/>
      <c r="L273" s="985"/>
      <c r="M273" s="985"/>
      <c r="N273" s="985"/>
      <c r="O273" s="986"/>
      <c r="P273" s="986"/>
      <c r="Q273" s="984"/>
      <c r="R273" s="985"/>
      <c r="S273" s="984"/>
      <c r="T273" s="986"/>
      <c r="U273" s="986"/>
      <c r="V273" s="986"/>
      <c r="W273" s="986"/>
      <c r="X273" s="986"/>
      <c r="Y273" s="985"/>
    </row>
    <row r="274" spans="1:25" x14ac:dyDescent="0.25">
      <c r="A274" s="907" t="s">
        <v>186</v>
      </c>
      <c r="Q274" s="912"/>
      <c r="R274" s="892"/>
      <c r="S274" s="912"/>
      <c r="T274" s="892"/>
    </row>
    <row r="275" spans="1:25" x14ac:dyDescent="0.25">
      <c r="A275" s="911" t="s">
        <v>154</v>
      </c>
      <c r="C275" s="972">
        <v>0</v>
      </c>
      <c r="D275" s="973">
        <v>0</v>
      </c>
      <c r="E275" s="973">
        <v>0</v>
      </c>
      <c r="F275" s="973">
        <v>0</v>
      </c>
      <c r="G275" s="973">
        <v>0</v>
      </c>
      <c r="H275" s="973">
        <v>0</v>
      </c>
      <c r="I275" s="973">
        <v>0</v>
      </c>
      <c r="J275" s="973">
        <v>0</v>
      </c>
      <c r="K275" s="973">
        <v>0</v>
      </c>
      <c r="L275" s="973">
        <v>0</v>
      </c>
      <c r="M275" s="973">
        <v>0</v>
      </c>
      <c r="N275" s="973">
        <v>0</v>
      </c>
      <c r="O275" s="974">
        <f>SUM(C275:N275)</f>
        <v>0</v>
      </c>
      <c r="P275" s="975"/>
      <c r="Q275" s="942"/>
      <c r="R275" s="987" t="s">
        <v>12</v>
      </c>
      <c r="S275" s="942"/>
      <c r="T275" s="975"/>
      <c r="U275" s="958">
        <f>C275+D275+E275</f>
        <v>0</v>
      </c>
      <c r="V275" s="959">
        <f>F275+G275+H275</f>
        <v>0</v>
      </c>
      <c r="W275" s="959">
        <f>I275+J275+K275</f>
        <v>0</v>
      </c>
      <c r="X275" s="959">
        <f>L275+M275+N275</f>
        <v>0</v>
      </c>
      <c r="Y275" s="960">
        <f>SUM(U275:X275)</f>
        <v>0</v>
      </c>
    </row>
    <row r="276" spans="1:25" ht="6" customHeight="1" x14ac:dyDescent="0.25">
      <c r="A276" s="910"/>
      <c r="C276" s="615"/>
      <c r="D276" s="615"/>
      <c r="E276" s="615"/>
      <c r="F276" s="615"/>
      <c r="G276" s="615"/>
      <c r="H276" s="615"/>
      <c r="I276" s="615"/>
      <c r="J276" s="615"/>
      <c r="K276" s="615"/>
      <c r="L276" s="615"/>
      <c r="M276" s="615"/>
      <c r="N276" s="615"/>
      <c r="O276" s="622"/>
      <c r="P276" s="622"/>
      <c r="Q276" s="942"/>
      <c r="R276" s="987"/>
      <c r="S276" s="942"/>
      <c r="T276" s="622"/>
      <c r="U276" s="914"/>
      <c r="V276" s="914"/>
      <c r="W276" s="914"/>
      <c r="X276" s="914"/>
      <c r="Y276" s="915"/>
    </row>
    <row r="277" spans="1:25" x14ac:dyDescent="0.25">
      <c r="A277" s="911" t="s">
        <v>166</v>
      </c>
      <c r="C277" s="988">
        <v>0</v>
      </c>
      <c r="D277" s="989">
        <v>0</v>
      </c>
      <c r="E277" s="989">
        <v>0</v>
      </c>
      <c r="F277" s="989">
        <v>0</v>
      </c>
      <c r="G277" s="989">
        <v>0</v>
      </c>
      <c r="H277" s="989">
        <v>0</v>
      </c>
      <c r="I277" s="989">
        <v>0</v>
      </c>
      <c r="J277" s="989">
        <v>0</v>
      </c>
      <c r="K277" s="989">
        <v>0</v>
      </c>
      <c r="L277" s="989">
        <v>0</v>
      </c>
      <c r="M277" s="989">
        <v>0</v>
      </c>
      <c r="N277" s="989">
        <v>0</v>
      </c>
      <c r="O277" s="990">
        <f>SUM(C277:N277)</f>
        <v>0</v>
      </c>
      <c r="P277" s="991"/>
      <c r="Q277" s="912"/>
      <c r="R277" s="913" t="s">
        <v>51</v>
      </c>
      <c r="S277" s="912"/>
      <c r="T277" s="991"/>
      <c r="U277" s="958">
        <f>C277+D277+E277</f>
        <v>0</v>
      </c>
      <c r="V277" s="959">
        <f>F277+G277+H277</f>
        <v>0</v>
      </c>
      <c r="W277" s="959">
        <f>I277+J277+K277</f>
        <v>0</v>
      </c>
      <c r="X277" s="959">
        <f>L277+M277+N277</f>
        <v>0</v>
      </c>
      <c r="Y277" s="960">
        <f>SUM(U277:X277)</f>
        <v>0</v>
      </c>
    </row>
    <row r="278" spans="1:25" ht="6" customHeight="1" x14ac:dyDescent="0.25">
      <c r="A278" s="910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9"/>
      <c r="P278" s="129"/>
      <c r="Q278" s="912"/>
      <c r="R278" s="913"/>
      <c r="S278" s="912"/>
      <c r="T278" s="129"/>
      <c r="U278" s="914"/>
      <c r="V278" s="914"/>
      <c r="W278" s="914"/>
      <c r="X278" s="914"/>
      <c r="Y278" s="915"/>
    </row>
    <row r="279" spans="1:25" x14ac:dyDescent="0.25">
      <c r="A279" s="910" t="s">
        <v>31</v>
      </c>
      <c r="C279" s="915"/>
      <c r="D279" s="915"/>
      <c r="E279" s="915"/>
      <c r="F279" s="915"/>
      <c r="G279" s="915"/>
      <c r="H279" s="915"/>
      <c r="I279" s="915"/>
      <c r="J279" s="915"/>
      <c r="K279" s="915"/>
      <c r="L279" s="915"/>
      <c r="M279" s="915"/>
      <c r="N279" s="915"/>
      <c r="O279" s="914"/>
      <c r="P279" s="914"/>
      <c r="Q279" s="912"/>
      <c r="R279" s="915"/>
      <c r="S279" s="912"/>
      <c r="T279" s="914"/>
      <c r="U279" s="914"/>
      <c r="V279" s="914"/>
      <c r="W279" s="914"/>
      <c r="X279" s="914"/>
      <c r="Y279" s="915"/>
    </row>
    <row r="280" spans="1:25" x14ac:dyDescent="0.25">
      <c r="A280" s="911" t="s">
        <v>42</v>
      </c>
      <c r="C280" s="861">
        <f>-175-SUM(C281:C289)</f>
        <v>-75</v>
      </c>
      <c r="D280" s="861">
        <f>-209-SUM(D281:D289)</f>
        <v>-209</v>
      </c>
      <c r="E280" s="861">
        <f>-334-SUM(E281:E289)</f>
        <v>-234</v>
      </c>
      <c r="F280" s="861">
        <f>-64-SUM(F281:F289)</f>
        <v>-64</v>
      </c>
      <c r="G280" s="861">
        <f>-209-SUM(G281:G289)</f>
        <v>-209</v>
      </c>
      <c r="H280" s="861">
        <f>-284-SUM(H281:H289)</f>
        <v>-84</v>
      </c>
      <c r="I280" s="706">
        <v>-300</v>
      </c>
      <c r="J280" s="706">
        <v>-300</v>
      </c>
      <c r="K280" s="706">
        <v>-300</v>
      </c>
      <c r="L280" s="706">
        <v>-300</v>
      </c>
      <c r="M280" s="706">
        <v>-300</v>
      </c>
      <c r="N280" s="706">
        <v>-300</v>
      </c>
      <c r="O280" s="697">
        <f t="shared" ref="O280:O289" si="96">SUM(C280:N280)</f>
        <v>-2675</v>
      </c>
      <c r="P280" s="697"/>
      <c r="Q280" s="912"/>
      <c r="R280" s="918" t="s">
        <v>43</v>
      </c>
      <c r="S280" s="912"/>
      <c r="T280" s="697"/>
      <c r="U280" s="914">
        <f t="shared" ref="U280:U289" si="97">C280+D280+E280</f>
        <v>-518</v>
      </c>
      <c r="V280" s="914">
        <f t="shared" ref="V280:V289" si="98">F280+G280+H280</f>
        <v>-357</v>
      </c>
      <c r="W280" s="914">
        <f t="shared" ref="W280:W289" si="99">I280+J280+K280</f>
        <v>-900</v>
      </c>
      <c r="X280" s="914">
        <f t="shared" ref="X280:X289" si="100">L280+M280+N280</f>
        <v>-900</v>
      </c>
      <c r="Y280" s="915">
        <f t="shared" ref="Y280:Y289" si="101">SUM(U280:X280)</f>
        <v>-2675</v>
      </c>
    </row>
    <row r="281" spans="1:25" x14ac:dyDescent="0.25">
      <c r="A281" s="911" t="s">
        <v>187</v>
      </c>
      <c r="C281" s="926">
        <v>0</v>
      </c>
      <c r="D281" s="926">
        <v>0</v>
      </c>
      <c r="E281" s="926">
        <v>0</v>
      </c>
      <c r="F281" s="926">
        <v>0</v>
      </c>
      <c r="G281" s="926">
        <v>0</v>
      </c>
      <c r="H281" s="926">
        <v>0</v>
      </c>
      <c r="I281" s="926">
        <v>0</v>
      </c>
      <c r="J281" s="926">
        <v>0</v>
      </c>
      <c r="K281" s="926">
        <v>0</v>
      </c>
      <c r="L281" s="926">
        <v>0</v>
      </c>
      <c r="M281" s="926">
        <v>0</v>
      </c>
      <c r="N281" s="926">
        <v>0</v>
      </c>
      <c r="O281" s="697">
        <f t="shared" si="96"/>
        <v>0</v>
      </c>
      <c r="P281" s="697"/>
      <c r="Q281" s="912"/>
      <c r="R281" s="918" t="s">
        <v>43</v>
      </c>
      <c r="S281" s="912"/>
      <c r="T281" s="697"/>
      <c r="U281" s="914">
        <f t="shared" si="97"/>
        <v>0</v>
      </c>
      <c r="V281" s="914">
        <f t="shared" si="98"/>
        <v>0</v>
      </c>
      <c r="W281" s="914">
        <f t="shared" si="99"/>
        <v>0</v>
      </c>
      <c r="X281" s="914">
        <f t="shared" si="100"/>
        <v>0</v>
      </c>
      <c r="Y281" s="915">
        <f t="shared" si="101"/>
        <v>0</v>
      </c>
    </row>
    <row r="282" spans="1:25" x14ac:dyDescent="0.25">
      <c r="A282" s="911" t="s">
        <v>90</v>
      </c>
      <c r="C282" s="926">
        <v>0</v>
      </c>
      <c r="D282" s="926">
        <v>0</v>
      </c>
      <c r="E282" s="926">
        <v>0</v>
      </c>
      <c r="F282" s="926">
        <v>0</v>
      </c>
      <c r="G282" s="926">
        <v>0</v>
      </c>
      <c r="H282" s="926">
        <v>0</v>
      </c>
      <c r="I282" s="926">
        <v>0</v>
      </c>
      <c r="J282" s="926">
        <v>0</v>
      </c>
      <c r="K282" s="926">
        <v>0</v>
      </c>
      <c r="L282" s="926">
        <v>0</v>
      </c>
      <c r="M282" s="926">
        <v>0</v>
      </c>
      <c r="N282" s="926">
        <v>0</v>
      </c>
      <c r="O282" s="697">
        <f t="shared" si="96"/>
        <v>0</v>
      </c>
      <c r="P282" s="697"/>
      <c r="Q282" s="912"/>
      <c r="R282" s="918" t="s">
        <v>43</v>
      </c>
      <c r="S282" s="912"/>
      <c r="T282" s="697"/>
      <c r="U282" s="914">
        <f t="shared" si="97"/>
        <v>0</v>
      </c>
      <c r="V282" s="914">
        <f t="shared" si="98"/>
        <v>0</v>
      </c>
      <c r="W282" s="914">
        <f t="shared" si="99"/>
        <v>0</v>
      </c>
      <c r="X282" s="914">
        <f t="shared" si="100"/>
        <v>0</v>
      </c>
      <c r="Y282" s="915">
        <f t="shared" si="101"/>
        <v>0</v>
      </c>
    </row>
    <row r="283" spans="1:25" x14ac:dyDescent="0.25">
      <c r="A283" s="911" t="s">
        <v>188</v>
      </c>
      <c r="C283" s="926">
        <v>0</v>
      </c>
      <c r="D283" s="926">
        <v>0</v>
      </c>
      <c r="E283" s="926">
        <v>0</v>
      </c>
      <c r="F283" s="926">
        <v>0</v>
      </c>
      <c r="G283" s="926">
        <v>0</v>
      </c>
      <c r="H283" s="926">
        <v>0</v>
      </c>
      <c r="I283" s="926">
        <v>0</v>
      </c>
      <c r="J283" s="926">
        <v>0</v>
      </c>
      <c r="K283" s="926">
        <v>0</v>
      </c>
      <c r="L283" s="926">
        <v>0</v>
      </c>
      <c r="M283" s="926">
        <v>0</v>
      </c>
      <c r="N283" s="926">
        <v>0</v>
      </c>
      <c r="O283" s="697">
        <f t="shared" si="96"/>
        <v>0</v>
      </c>
      <c r="P283" s="697"/>
      <c r="Q283" s="912"/>
      <c r="R283" s="918" t="s">
        <v>43</v>
      </c>
      <c r="S283" s="912"/>
      <c r="T283" s="697"/>
      <c r="U283" s="914">
        <f t="shared" si="97"/>
        <v>0</v>
      </c>
      <c r="V283" s="914">
        <f t="shared" si="98"/>
        <v>0</v>
      </c>
      <c r="W283" s="914">
        <f t="shared" si="99"/>
        <v>0</v>
      </c>
      <c r="X283" s="914">
        <f t="shared" si="100"/>
        <v>0</v>
      </c>
      <c r="Y283" s="915">
        <f t="shared" si="101"/>
        <v>0</v>
      </c>
    </row>
    <row r="284" spans="1:25" x14ac:dyDescent="0.25">
      <c r="A284" s="911" t="s">
        <v>189</v>
      </c>
      <c r="C284" s="926">
        <v>0</v>
      </c>
      <c r="D284" s="926">
        <v>0</v>
      </c>
      <c r="E284" s="926">
        <v>0</v>
      </c>
      <c r="F284" s="926">
        <v>0</v>
      </c>
      <c r="G284" s="926">
        <v>0</v>
      </c>
      <c r="H284" s="926">
        <v>0</v>
      </c>
      <c r="I284" s="926">
        <v>0</v>
      </c>
      <c r="J284" s="926">
        <v>0</v>
      </c>
      <c r="K284" s="926">
        <v>0</v>
      </c>
      <c r="L284" s="926">
        <v>0</v>
      </c>
      <c r="M284" s="926">
        <v>0</v>
      </c>
      <c r="N284" s="926">
        <v>0</v>
      </c>
      <c r="O284" s="697">
        <f t="shared" si="96"/>
        <v>0</v>
      </c>
      <c r="P284" s="697"/>
      <c r="Q284" s="912"/>
      <c r="R284" s="918" t="s">
        <v>43</v>
      </c>
      <c r="S284" s="912"/>
      <c r="T284" s="697"/>
      <c r="U284" s="914">
        <f t="shared" si="97"/>
        <v>0</v>
      </c>
      <c r="V284" s="914">
        <f t="shared" si="98"/>
        <v>0</v>
      </c>
      <c r="W284" s="914">
        <f t="shared" si="99"/>
        <v>0</v>
      </c>
      <c r="X284" s="914">
        <f t="shared" si="100"/>
        <v>0</v>
      </c>
      <c r="Y284" s="915">
        <f t="shared" si="101"/>
        <v>0</v>
      </c>
    </row>
    <row r="285" spans="1:25" x14ac:dyDescent="0.25">
      <c r="A285" s="911" t="s">
        <v>190</v>
      </c>
      <c r="C285" s="926">
        <v>-100</v>
      </c>
      <c r="D285" s="926">
        <v>0</v>
      </c>
      <c r="E285" s="926">
        <v>0</v>
      </c>
      <c r="F285" s="926">
        <v>0</v>
      </c>
      <c r="G285" s="926">
        <v>0</v>
      </c>
      <c r="H285" s="926">
        <v>-100</v>
      </c>
      <c r="I285" s="926">
        <v>-100</v>
      </c>
      <c r="J285" s="926">
        <v>0</v>
      </c>
      <c r="K285" s="926">
        <v>-100</v>
      </c>
      <c r="L285" s="926">
        <v>-100</v>
      </c>
      <c r="M285" s="926">
        <v>0</v>
      </c>
      <c r="N285" s="926">
        <v>-100</v>
      </c>
      <c r="O285" s="697">
        <f t="shared" si="96"/>
        <v>-600</v>
      </c>
      <c r="P285" s="697"/>
      <c r="Q285" s="912"/>
      <c r="R285" s="918" t="s">
        <v>43</v>
      </c>
      <c r="S285" s="912"/>
      <c r="T285" s="697"/>
      <c r="U285" s="914">
        <f t="shared" si="97"/>
        <v>-100</v>
      </c>
      <c r="V285" s="914">
        <f t="shared" si="98"/>
        <v>-100</v>
      </c>
      <c r="W285" s="914">
        <f t="shared" si="99"/>
        <v>-200</v>
      </c>
      <c r="X285" s="914">
        <f t="shared" si="100"/>
        <v>-200</v>
      </c>
      <c r="Y285" s="915">
        <f t="shared" si="101"/>
        <v>-600</v>
      </c>
    </row>
    <row r="286" spans="1:25" x14ac:dyDescent="0.25">
      <c r="A286" s="911" t="s">
        <v>96</v>
      </c>
      <c r="C286" s="926">
        <f>0</f>
        <v>0</v>
      </c>
      <c r="D286" s="926">
        <f>0</f>
        <v>0</v>
      </c>
      <c r="E286" s="926">
        <f>0</f>
        <v>0</v>
      </c>
      <c r="F286" s="926">
        <f>0</f>
        <v>0</v>
      </c>
      <c r="G286" s="926">
        <f>0</f>
        <v>0</v>
      </c>
      <c r="H286" s="926">
        <f>0</f>
        <v>0</v>
      </c>
      <c r="I286" s="926">
        <f>0</f>
        <v>0</v>
      </c>
      <c r="J286" s="926">
        <f>0</f>
        <v>0</v>
      </c>
      <c r="K286" s="926">
        <f>0</f>
        <v>0</v>
      </c>
      <c r="L286" s="926">
        <f>0</f>
        <v>0</v>
      </c>
      <c r="M286" s="926">
        <f>0</f>
        <v>0</v>
      </c>
      <c r="N286" s="926">
        <f>0</f>
        <v>0</v>
      </c>
      <c r="O286" s="697">
        <f t="shared" si="96"/>
        <v>0</v>
      </c>
      <c r="P286" s="697"/>
      <c r="Q286" s="912"/>
      <c r="R286" s="918" t="s">
        <v>43</v>
      </c>
      <c r="S286" s="912"/>
      <c r="T286" s="697"/>
      <c r="U286" s="914">
        <f t="shared" si="97"/>
        <v>0</v>
      </c>
      <c r="V286" s="914">
        <f t="shared" si="98"/>
        <v>0</v>
      </c>
      <c r="W286" s="914">
        <f t="shared" si="99"/>
        <v>0</v>
      </c>
      <c r="X286" s="914">
        <f t="shared" si="100"/>
        <v>0</v>
      </c>
      <c r="Y286" s="915">
        <f t="shared" si="101"/>
        <v>0</v>
      </c>
    </row>
    <row r="287" spans="1:25" x14ac:dyDescent="0.25">
      <c r="A287" s="911" t="s">
        <v>191</v>
      </c>
      <c r="C287" s="926">
        <f>0</f>
        <v>0</v>
      </c>
      <c r="D287" s="926">
        <f>0</f>
        <v>0</v>
      </c>
      <c r="E287" s="926">
        <f>0</f>
        <v>0</v>
      </c>
      <c r="F287" s="926">
        <f>0</f>
        <v>0</v>
      </c>
      <c r="G287" s="926">
        <f>0</f>
        <v>0</v>
      </c>
      <c r="H287" s="926">
        <f>0</f>
        <v>0</v>
      </c>
      <c r="I287" s="926">
        <f>0</f>
        <v>0</v>
      </c>
      <c r="J287" s="926">
        <f>0</f>
        <v>0</v>
      </c>
      <c r="K287" s="926">
        <f>0</f>
        <v>0</v>
      </c>
      <c r="L287" s="926">
        <f>0</f>
        <v>0</v>
      </c>
      <c r="M287" s="926">
        <f>0</f>
        <v>0</v>
      </c>
      <c r="N287" s="926">
        <f>0</f>
        <v>0</v>
      </c>
      <c r="O287" s="697">
        <f t="shared" si="96"/>
        <v>0</v>
      </c>
      <c r="P287" s="697"/>
      <c r="Q287" s="912"/>
      <c r="R287" s="918" t="s">
        <v>43</v>
      </c>
      <c r="S287" s="912"/>
      <c r="T287" s="697"/>
      <c r="U287" s="914">
        <f t="shared" si="97"/>
        <v>0</v>
      </c>
      <c r="V287" s="914">
        <f t="shared" si="98"/>
        <v>0</v>
      </c>
      <c r="W287" s="914">
        <f t="shared" si="99"/>
        <v>0</v>
      </c>
      <c r="X287" s="914">
        <f t="shared" si="100"/>
        <v>0</v>
      </c>
      <c r="Y287" s="915">
        <f t="shared" si="101"/>
        <v>0</v>
      </c>
    </row>
    <row r="288" spans="1:25" x14ac:dyDescent="0.25">
      <c r="A288" s="911" t="s">
        <v>192</v>
      </c>
      <c r="C288" s="926">
        <v>0</v>
      </c>
      <c r="D288" s="926">
        <v>0</v>
      </c>
      <c r="E288" s="926">
        <v>0</v>
      </c>
      <c r="F288" s="926">
        <v>0</v>
      </c>
      <c r="G288" s="926">
        <v>0</v>
      </c>
      <c r="H288" s="926">
        <v>0</v>
      </c>
      <c r="I288" s="926">
        <v>0</v>
      </c>
      <c r="J288" s="926">
        <v>0</v>
      </c>
      <c r="K288" s="926">
        <v>0</v>
      </c>
      <c r="L288" s="926">
        <v>0</v>
      </c>
      <c r="M288" s="926">
        <v>0</v>
      </c>
      <c r="N288" s="926">
        <v>0</v>
      </c>
      <c r="O288" s="697">
        <f t="shared" si="96"/>
        <v>0</v>
      </c>
      <c r="P288" s="697"/>
      <c r="Q288" s="912"/>
      <c r="R288" s="918" t="s">
        <v>43</v>
      </c>
      <c r="S288" s="912"/>
      <c r="T288" s="697"/>
      <c r="U288" s="914">
        <f t="shared" si="97"/>
        <v>0</v>
      </c>
      <c r="V288" s="914">
        <f t="shared" si="98"/>
        <v>0</v>
      </c>
      <c r="W288" s="914">
        <f t="shared" si="99"/>
        <v>0</v>
      </c>
      <c r="X288" s="914">
        <f t="shared" si="100"/>
        <v>0</v>
      </c>
      <c r="Y288" s="915">
        <f t="shared" si="101"/>
        <v>0</v>
      </c>
    </row>
    <row r="289" spans="1:25" s="931" customFormat="1" ht="12.75" customHeight="1" x14ac:dyDescent="0.25">
      <c r="A289" s="925" t="s">
        <v>193</v>
      </c>
      <c r="C289" s="880">
        <v>0</v>
      </c>
      <c r="D289" s="880">
        <v>0</v>
      </c>
      <c r="E289" s="880">
        <v>-100</v>
      </c>
      <c r="F289" s="880">
        <v>0</v>
      </c>
      <c r="G289" s="880">
        <v>0</v>
      </c>
      <c r="H289" s="880">
        <v>-100</v>
      </c>
      <c r="I289" s="880">
        <v>0</v>
      </c>
      <c r="J289" s="880">
        <v>0</v>
      </c>
      <c r="K289" s="880">
        <v>0</v>
      </c>
      <c r="L289" s="880">
        <v>0</v>
      </c>
      <c r="M289" s="880">
        <v>0</v>
      </c>
      <c r="N289" s="880">
        <v>0</v>
      </c>
      <c r="O289" s="699">
        <f t="shared" si="96"/>
        <v>-200</v>
      </c>
      <c r="P289" s="697"/>
      <c r="Q289" s="936"/>
      <c r="R289" s="918" t="s">
        <v>43</v>
      </c>
      <c r="S289" s="936"/>
      <c r="T289" s="697"/>
      <c r="U289" s="979">
        <f t="shared" si="97"/>
        <v>-100</v>
      </c>
      <c r="V289" s="979">
        <f t="shared" si="98"/>
        <v>-100</v>
      </c>
      <c r="W289" s="979">
        <f t="shared" si="99"/>
        <v>0</v>
      </c>
      <c r="X289" s="979">
        <f t="shared" si="100"/>
        <v>0</v>
      </c>
      <c r="Y289" s="924">
        <f t="shared" si="101"/>
        <v>-200</v>
      </c>
    </row>
    <row r="290" spans="1:25" s="931" customFormat="1" ht="12.75" customHeight="1" x14ac:dyDescent="0.25">
      <c r="A290" s="911" t="s">
        <v>50</v>
      </c>
      <c r="C290" s="937">
        <f t="shared" ref="C290:O290" si="102">SUM(C280:C289)</f>
        <v>-175</v>
      </c>
      <c r="D290" s="937">
        <f t="shared" si="102"/>
        <v>-209</v>
      </c>
      <c r="E290" s="937">
        <f t="shared" si="102"/>
        <v>-334</v>
      </c>
      <c r="F290" s="937">
        <f t="shared" si="102"/>
        <v>-64</v>
      </c>
      <c r="G290" s="937">
        <f t="shared" si="102"/>
        <v>-209</v>
      </c>
      <c r="H290" s="937">
        <f t="shared" si="102"/>
        <v>-284</v>
      </c>
      <c r="I290" s="937">
        <f t="shared" si="102"/>
        <v>-400</v>
      </c>
      <c r="J290" s="937">
        <f t="shared" si="102"/>
        <v>-300</v>
      </c>
      <c r="K290" s="937">
        <f t="shared" si="102"/>
        <v>-400</v>
      </c>
      <c r="L290" s="937">
        <f t="shared" si="102"/>
        <v>-400</v>
      </c>
      <c r="M290" s="937">
        <f t="shared" si="102"/>
        <v>-300</v>
      </c>
      <c r="N290" s="937">
        <f t="shared" si="102"/>
        <v>-400</v>
      </c>
      <c r="O290" s="937">
        <f t="shared" si="102"/>
        <v>-3475</v>
      </c>
      <c r="P290" s="697"/>
      <c r="Q290" s="936"/>
      <c r="R290" s="918"/>
      <c r="S290" s="936"/>
      <c r="T290" s="697"/>
      <c r="U290" s="937">
        <f>SUM(U280:U289)</f>
        <v>-718</v>
      </c>
      <c r="V290" s="937">
        <f>SUM(V280:V289)</f>
        <v>-557</v>
      </c>
      <c r="W290" s="937">
        <f>SUM(W280:W289)</f>
        <v>-1100</v>
      </c>
      <c r="X290" s="937">
        <f>SUM(X280:X289)</f>
        <v>-1100</v>
      </c>
      <c r="Y290" s="937">
        <f>SUM(Y280:Y289)</f>
        <v>-3475</v>
      </c>
    </row>
    <row r="291" spans="1:25" s="931" customFormat="1" ht="3.9" customHeight="1" x14ac:dyDescent="0.25">
      <c r="A291" s="925"/>
      <c r="C291" s="879"/>
      <c r="D291" s="879"/>
      <c r="E291" s="879"/>
      <c r="F291" s="879"/>
      <c r="G291" s="879"/>
      <c r="H291" s="879"/>
      <c r="I291" s="879"/>
      <c r="J291" s="879"/>
      <c r="K291" s="879"/>
      <c r="L291" s="879"/>
      <c r="M291" s="879"/>
      <c r="N291" s="879"/>
      <c r="O291" s="697"/>
      <c r="P291" s="697"/>
      <c r="Q291" s="936"/>
      <c r="R291" s="918"/>
      <c r="S291" s="936"/>
      <c r="T291" s="697"/>
      <c r="U291" s="935"/>
      <c r="V291" s="935"/>
      <c r="W291" s="935"/>
      <c r="X291" s="935"/>
      <c r="Y291" s="915"/>
    </row>
    <row r="292" spans="1:25" x14ac:dyDescent="0.25">
      <c r="A292" s="911" t="s">
        <v>53</v>
      </c>
      <c r="C292" s="128">
        <v>-12</v>
      </c>
      <c r="D292" s="128">
        <v>-24</v>
      </c>
      <c r="E292" s="128">
        <v>-10</v>
      </c>
      <c r="F292" s="128">
        <v>-9</v>
      </c>
      <c r="G292" s="128">
        <v>-8</v>
      </c>
      <c r="H292" s="128">
        <v>-20</v>
      </c>
      <c r="I292" s="128">
        <v>-15</v>
      </c>
      <c r="J292" s="128">
        <v>-15</v>
      </c>
      <c r="K292" s="128">
        <v>-15</v>
      </c>
      <c r="L292" s="128">
        <v>-15</v>
      </c>
      <c r="M292" s="128">
        <v>-15</v>
      </c>
      <c r="N292" s="128">
        <v>-15</v>
      </c>
      <c r="O292" s="129">
        <f>SUM(C292:N292)</f>
        <v>-173</v>
      </c>
      <c r="P292" s="129"/>
      <c r="Q292" s="912"/>
      <c r="R292" s="913" t="s">
        <v>54</v>
      </c>
      <c r="S292" s="912"/>
      <c r="T292" s="129"/>
      <c r="U292" s="914">
        <f>C292+D292+E292</f>
        <v>-46</v>
      </c>
      <c r="V292" s="914">
        <f>F292+G292+H292</f>
        <v>-37</v>
      </c>
      <c r="W292" s="914">
        <f>I292+J292+K292</f>
        <v>-45</v>
      </c>
      <c r="X292" s="914">
        <f>L292+M292+N292</f>
        <v>-45</v>
      </c>
      <c r="Y292" s="915">
        <f>SUM(U292:X292)</f>
        <v>-173</v>
      </c>
    </row>
    <row r="293" spans="1:25" s="931" customFormat="1" ht="12.75" customHeight="1" x14ac:dyDescent="0.25">
      <c r="A293" s="949" t="s">
        <v>55</v>
      </c>
      <c r="C293" s="932">
        <f t="shared" ref="C293:O293" si="103">+C290+C292</f>
        <v>-187</v>
      </c>
      <c r="D293" s="933">
        <f t="shared" si="103"/>
        <v>-233</v>
      </c>
      <c r="E293" s="933">
        <f t="shared" si="103"/>
        <v>-344</v>
      </c>
      <c r="F293" s="933">
        <f t="shared" si="103"/>
        <v>-73</v>
      </c>
      <c r="G293" s="933">
        <f t="shared" si="103"/>
        <v>-217</v>
      </c>
      <c r="H293" s="933">
        <f t="shared" si="103"/>
        <v>-304</v>
      </c>
      <c r="I293" s="933">
        <f t="shared" si="103"/>
        <v>-415</v>
      </c>
      <c r="J293" s="933">
        <f t="shared" si="103"/>
        <v>-315</v>
      </c>
      <c r="K293" s="933">
        <f t="shared" si="103"/>
        <v>-415</v>
      </c>
      <c r="L293" s="933">
        <f t="shared" si="103"/>
        <v>-415</v>
      </c>
      <c r="M293" s="933">
        <f t="shared" si="103"/>
        <v>-315</v>
      </c>
      <c r="N293" s="933">
        <f t="shared" si="103"/>
        <v>-415</v>
      </c>
      <c r="O293" s="934">
        <f t="shared" si="103"/>
        <v>-3648</v>
      </c>
      <c r="P293" s="935"/>
      <c r="Q293" s="936"/>
      <c r="R293" s="928"/>
      <c r="S293" s="936"/>
      <c r="T293" s="935"/>
      <c r="U293" s="932">
        <f>+U290+U292</f>
        <v>-764</v>
      </c>
      <c r="V293" s="933">
        <f>+V290+V292</f>
        <v>-594</v>
      </c>
      <c r="W293" s="933">
        <f>+W290+W292</f>
        <v>-1145</v>
      </c>
      <c r="X293" s="933">
        <f>+X290+X292</f>
        <v>-1145</v>
      </c>
      <c r="Y293" s="934">
        <f>+Y290+Y292</f>
        <v>-3648</v>
      </c>
    </row>
    <row r="294" spans="1:25" s="931" customFormat="1" ht="12.75" customHeight="1" x14ac:dyDescent="0.25">
      <c r="A294" s="949"/>
      <c r="C294" s="928"/>
      <c r="D294" s="928"/>
      <c r="E294" s="928"/>
      <c r="F294" s="928"/>
      <c r="G294" s="928"/>
      <c r="H294" s="928"/>
      <c r="I294" s="928"/>
      <c r="J294" s="928"/>
      <c r="K294" s="928"/>
      <c r="L294" s="928"/>
      <c r="M294" s="928"/>
      <c r="N294" s="928"/>
      <c r="O294" s="944"/>
      <c r="P294" s="944"/>
      <c r="Q294" s="936"/>
      <c r="R294" s="928"/>
      <c r="S294" s="936"/>
      <c r="T294" s="944"/>
      <c r="U294" s="944"/>
      <c r="V294" s="944"/>
      <c r="W294" s="944"/>
      <c r="X294" s="944"/>
      <c r="Y294" s="928"/>
    </row>
    <row r="295" spans="1:25" s="931" customFormat="1" ht="12.75" customHeight="1" x14ac:dyDescent="0.25">
      <c r="A295" s="965" t="s">
        <v>194</v>
      </c>
      <c r="B295" s="950"/>
      <c r="C295" s="951">
        <f t="shared" ref="C295:O295" si="104">+C275+C277+C293</f>
        <v>-187</v>
      </c>
      <c r="D295" s="952">
        <f t="shared" si="104"/>
        <v>-233</v>
      </c>
      <c r="E295" s="952">
        <f t="shared" si="104"/>
        <v>-344</v>
      </c>
      <c r="F295" s="952">
        <f t="shared" si="104"/>
        <v>-73</v>
      </c>
      <c r="G295" s="952">
        <f t="shared" si="104"/>
        <v>-217</v>
      </c>
      <c r="H295" s="952">
        <f t="shared" si="104"/>
        <v>-304</v>
      </c>
      <c r="I295" s="952">
        <f t="shared" si="104"/>
        <v>-415</v>
      </c>
      <c r="J295" s="952">
        <f t="shared" si="104"/>
        <v>-315</v>
      </c>
      <c r="K295" s="952">
        <f t="shared" si="104"/>
        <v>-415</v>
      </c>
      <c r="L295" s="952">
        <f t="shared" si="104"/>
        <v>-415</v>
      </c>
      <c r="M295" s="952">
        <f t="shared" si="104"/>
        <v>-315</v>
      </c>
      <c r="N295" s="952">
        <f t="shared" si="104"/>
        <v>-415</v>
      </c>
      <c r="O295" s="953">
        <f t="shared" si="104"/>
        <v>-3648</v>
      </c>
      <c r="P295" s="954"/>
      <c r="Q295" s="984"/>
      <c r="R295" s="985"/>
      <c r="S295" s="984"/>
      <c r="T295" s="954"/>
      <c r="U295" s="951">
        <f>+U275+U277+U293</f>
        <v>-764</v>
      </c>
      <c r="V295" s="952">
        <f>+V275+V277+V293</f>
        <v>-594</v>
      </c>
      <c r="W295" s="952">
        <f>+W275+W277+W293</f>
        <v>-1145</v>
      </c>
      <c r="X295" s="952">
        <f>+X275+X277+X293</f>
        <v>-1145</v>
      </c>
      <c r="Y295" s="953">
        <f>+Y275+Y277+Y293</f>
        <v>-3648</v>
      </c>
    </row>
    <row r="296" spans="1:25" x14ac:dyDescent="0.25">
      <c r="A296" s="957"/>
      <c r="C296" s="915"/>
      <c r="D296" s="915"/>
      <c r="E296" s="915"/>
      <c r="F296" s="915"/>
      <c r="G296" s="915"/>
      <c r="H296" s="915"/>
      <c r="I296" s="915"/>
      <c r="J296" s="915"/>
      <c r="K296" s="915"/>
      <c r="L296" s="915"/>
      <c r="M296" s="915"/>
      <c r="N296" s="915"/>
      <c r="O296" s="914"/>
      <c r="P296" s="914"/>
      <c r="Q296" s="912"/>
      <c r="R296" s="915"/>
      <c r="S296" s="912"/>
      <c r="T296" s="914"/>
      <c r="U296" s="914"/>
      <c r="V296" s="914"/>
      <c r="W296" s="914"/>
      <c r="X296" s="914"/>
      <c r="Y296" s="915"/>
    </row>
    <row r="297" spans="1:25" x14ac:dyDescent="0.25">
      <c r="A297" s="907" t="s">
        <v>195</v>
      </c>
      <c r="C297" s="915"/>
      <c r="D297" s="915"/>
      <c r="E297" s="915"/>
      <c r="F297" s="915"/>
      <c r="G297" s="915"/>
      <c r="H297" s="915"/>
      <c r="I297" s="915"/>
      <c r="J297" s="915"/>
      <c r="K297" s="915"/>
      <c r="L297" s="915"/>
      <c r="M297" s="915"/>
      <c r="N297" s="915"/>
      <c r="O297" s="914"/>
      <c r="P297" s="914"/>
      <c r="Q297" s="912"/>
      <c r="R297" s="915"/>
      <c r="S297" s="912"/>
      <c r="T297" s="914"/>
      <c r="U297" s="914"/>
      <c r="V297" s="914"/>
      <c r="W297" s="914"/>
      <c r="X297" s="914"/>
      <c r="Y297" s="915"/>
    </row>
    <row r="298" spans="1:25" x14ac:dyDescent="0.25">
      <c r="A298" s="910" t="s">
        <v>31</v>
      </c>
      <c r="C298" s="915"/>
      <c r="D298" s="915"/>
      <c r="E298" s="915"/>
      <c r="F298" s="915"/>
      <c r="G298" s="915"/>
      <c r="H298" s="915"/>
      <c r="I298" s="915"/>
      <c r="J298" s="915"/>
      <c r="K298" s="915"/>
      <c r="L298" s="915"/>
      <c r="M298" s="915"/>
      <c r="N298" s="915"/>
      <c r="O298" s="914"/>
      <c r="P298" s="914"/>
      <c r="Q298" s="912"/>
      <c r="R298" s="915"/>
      <c r="S298" s="912"/>
      <c r="T298" s="914"/>
      <c r="U298" s="914"/>
      <c r="V298" s="914"/>
      <c r="W298" s="914"/>
      <c r="X298" s="914"/>
      <c r="Y298" s="915"/>
    </row>
    <row r="299" spans="1:25" x14ac:dyDescent="0.25">
      <c r="A299" s="911" t="s">
        <v>196</v>
      </c>
      <c r="C299" s="706">
        <v>-60</v>
      </c>
      <c r="D299" s="706">
        <v>-84</v>
      </c>
      <c r="E299" s="706">
        <v>-75</v>
      </c>
      <c r="F299" s="706">
        <v>-81</v>
      </c>
      <c r="G299" s="706">
        <v>-67</v>
      </c>
      <c r="H299" s="706">
        <v>-70</v>
      </c>
      <c r="I299" s="706">
        <v>-100</v>
      </c>
      <c r="J299" s="706">
        <v>-100</v>
      </c>
      <c r="K299" s="706">
        <v>-200</v>
      </c>
      <c r="L299" s="706">
        <v>-100</v>
      </c>
      <c r="M299" s="706">
        <v>-100</v>
      </c>
      <c r="N299" s="706">
        <v>-200</v>
      </c>
      <c r="O299" s="697">
        <f>SUM(C299:N299)</f>
        <v>-1237</v>
      </c>
      <c r="P299" s="697"/>
      <c r="Q299" s="912"/>
      <c r="R299" s="918" t="s">
        <v>43</v>
      </c>
      <c r="S299" s="912"/>
      <c r="T299" s="697"/>
      <c r="U299" s="914">
        <f>C299+D299+E299</f>
        <v>-219</v>
      </c>
      <c r="V299" s="914">
        <f>F299+G299+H299</f>
        <v>-218</v>
      </c>
      <c r="W299" s="914">
        <f>I299+J299+K299</f>
        <v>-400</v>
      </c>
      <c r="X299" s="914">
        <f>L299+M299+N299</f>
        <v>-400</v>
      </c>
      <c r="Y299" s="915">
        <f>SUM(U299:X299)</f>
        <v>-1237</v>
      </c>
    </row>
    <row r="300" spans="1:25" x14ac:dyDescent="0.25">
      <c r="A300" s="911" t="s">
        <v>197</v>
      </c>
      <c r="C300" s="926"/>
      <c r="D300" s="926"/>
      <c r="E300" s="926"/>
      <c r="F300" s="926"/>
      <c r="G300" s="926"/>
      <c r="H300" s="926"/>
      <c r="I300" s="926"/>
      <c r="J300" s="926"/>
      <c r="K300" s="926"/>
      <c r="L300" s="926"/>
      <c r="M300" s="926"/>
      <c r="N300" s="926"/>
      <c r="O300" s="697">
        <f>SUM(C300:N300)</f>
        <v>0</v>
      </c>
      <c r="P300" s="697"/>
      <c r="Q300" s="912"/>
      <c r="R300" s="918" t="s">
        <v>43</v>
      </c>
      <c r="S300" s="912"/>
      <c r="T300" s="697"/>
      <c r="U300" s="914">
        <f>C300+D300+E300</f>
        <v>0</v>
      </c>
      <c r="V300" s="914">
        <f>F300+G300+H300</f>
        <v>0</v>
      </c>
      <c r="W300" s="914">
        <f>I300+J300+K300</f>
        <v>0</v>
      </c>
      <c r="X300" s="914">
        <f>L300+M300+N300</f>
        <v>0</v>
      </c>
      <c r="Y300" s="915">
        <f>SUM(U300:X300)</f>
        <v>0</v>
      </c>
    </row>
    <row r="301" spans="1:25" ht="12.75" customHeight="1" x14ac:dyDescent="0.25">
      <c r="A301" s="911" t="s">
        <v>198</v>
      </c>
      <c r="C301" s="880">
        <v>0</v>
      </c>
      <c r="D301" s="880">
        <v>0</v>
      </c>
      <c r="E301" s="880">
        <v>0</v>
      </c>
      <c r="F301" s="880">
        <v>0</v>
      </c>
      <c r="G301" s="880">
        <v>0</v>
      </c>
      <c r="H301" s="880">
        <v>0</v>
      </c>
      <c r="I301" s="880">
        <v>0</v>
      </c>
      <c r="J301" s="880">
        <v>0</v>
      </c>
      <c r="K301" s="880">
        <v>0</v>
      </c>
      <c r="L301" s="880">
        <v>0</v>
      </c>
      <c r="M301" s="880">
        <v>0</v>
      </c>
      <c r="N301" s="880">
        <v>0</v>
      </c>
      <c r="O301" s="699">
        <f>SUM(C301:N301)</f>
        <v>0</v>
      </c>
      <c r="P301" s="697"/>
      <c r="Q301" s="936"/>
      <c r="R301" s="918" t="s">
        <v>43</v>
      </c>
      <c r="S301" s="936"/>
      <c r="T301" s="697"/>
      <c r="U301" s="979">
        <f>C301+D301+E301</f>
        <v>0</v>
      </c>
      <c r="V301" s="979">
        <f>F301+G301+H301</f>
        <v>0</v>
      </c>
      <c r="W301" s="979">
        <f>I301+J301+K301</f>
        <v>0</v>
      </c>
      <c r="X301" s="979">
        <f>L301+M301+N301</f>
        <v>0</v>
      </c>
      <c r="Y301" s="924">
        <f>SUM(U301:X301)</f>
        <v>0</v>
      </c>
    </row>
    <row r="302" spans="1:25" ht="12.75" customHeight="1" x14ac:dyDescent="0.25">
      <c r="A302" s="911" t="s">
        <v>50</v>
      </c>
      <c r="C302" s="937">
        <f t="shared" ref="C302:O302" si="105">SUM(C299:C301)</f>
        <v>-60</v>
      </c>
      <c r="D302" s="937">
        <f t="shared" si="105"/>
        <v>-84</v>
      </c>
      <c r="E302" s="937">
        <f t="shared" si="105"/>
        <v>-75</v>
      </c>
      <c r="F302" s="937">
        <f t="shared" si="105"/>
        <v>-81</v>
      </c>
      <c r="G302" s="937">
        <f t="shared" si="105"/>
        <v>-67</v>
      </c>
      <c r="H302" s="937">
        <f t="shared" si="105"/>
        <v>-70</v>
      </c>
      <c r="I302" s="937">
        <f t="shared" si="105"/>
        <v>-100</v>
      </c>
      <c r="J302" s="937">
        <f t="shared" si="105"/>
        <v>-100</v>
      </c>
      <c r="K302" s="937">
        <f t="shared" si="105"/>
        <v>-200</v>
      </c>
      <c r="L302" s="937">
        <f t="shared" si="105"/>
        <v>-100</v>
      </c>
      <c r="M302" s="937">
        <f t="shared" si="105"/>
        <v>-100</v>
      </c>
      <c r="N302" s="937">
        <f t="shared" si="105"/>
        <v>-200</v>
      </c>
      <c r="O302" s="937">
        <f t="shared" si="105"/>
        <v>-1237</v>
      </c>
      <c r="P302" s="697"/>
      <c r="Q302" s="936"/>
      <c r="R302" s="918"/>
      <c r="S302" s="936"/>
      <c r="T302" s="697"/>
      <c r="U302" s="937">
        <f>SUM(U299:U301)</f>
        <v>-219</v>
      </c>
      <c r="V302" s="937">
        <f>SUM(V299:V301)</f>
        <v>-218</v>
      </c>
      <c r="W302" s="937">
        <f>SUM(W299:W301)</f>
        <v>-400</v>
      </c>
      <c r="X302" s="937">
        <f>SUM(X299:X301)</f>
        <v>-400</v>
      </c>
      <c r="Y302" s="937">
        <f>SUM(Y299:Y301)</f>
        <v>-1237</v>
      </c>
    </row>
    <row r="303" spans="1:25" ht="3.9" customHeight="1" x14ac:dyDescent="0.25">
      <c r="A303" s="911"/>
      <c r="C303" s="879"/>
      <c r="D303" s="879"/>
      <c r="E303" s="879"/>
      <c r="F303" s="879"/>
      <c r="G303" s="879"/>
      <c r="H303" s="879"/>
      <c r="I303" s="879"/>
      <c r="J303" s="879"/>
      <c r="K303" s="879"/>
      <c r="L303" s="879"/>
      <c r="M303" s="879"/>
      <c r="N303" s="879"/>
      <c r="O303" s="697"/>
      <c r="P303" s="697"/>
      <c r="Q303" s="936"/>
      <c r="R303" s="918"/>
      <c r="S303" s="936"/>
      <c r="T303" s="697"/>
      <c r="U303" s="935"/>
      <c r="V303" s="935"/>
      <c r="W303" s="935"/>
      <c r="X303" s="935"/>
      <c r="Y303" s="915"/>
    </row>
    <row r="304" spans="1:25" s="992" customFormat="1" ht="12.75" customHeight="1" x14ac:dyDescent="0.25">
      <c r="A304" s="911" t="s">
        <v>53</v>
      </c>
      <c r="C304" s="128">
        <v>-4</v>
      </c>
      <c r="D304" s="128">
        <v>-12</v>
      </c>
      <c r="E304" s="128">
        <v>-3</v>
      </c>
      <c r="F304" s="128">
        <v>-2</v>
      </c>
      <c r="G304" s="128">
        <v>-2</v>
      </c>
      <c r="H304" s="128">
        <v>-2</v>
      </c>
      <c r="I304" s="128">
        <v>-2</v>
      </c>
      <c r="J304" s="128">
        <v>-2</v>
      </c>
      <c r="K304" s="128">
        <v>-2</v>
      </c>
      <c r="L304" s="128">
        <v>-2</v>
      </c>
      <c r="M304" s="128">
        <v>-2</v>
      </c>
      <c r="N304" s="128">
        <v>-2</v>
      </c>
      <c r="O304" s="129">
        <f>SUM(C304:N304)</f>
        <v>-37</v>
      </c>
      <c r="P304" s="129"/>
      <c r="Q304" s="912"/>
      <c r="R304" s="913" t="s">
        <v>54</v>
      </c>
      <c r="S304" s="912"/>
      <c r="T304" s="129"/>
      <c r="U304" s="914">
        <f>C304+D304+E304</f>
        <v>-19</v>
      </c>
      <c r="V304" s="914">
        <f>F304+G304+H304</f>
        <v>-6</v>
      </c>
      <c r="W304" s="914">
        <f>I304+J304+K304</f>
        <v>-6</v>
      </c>
      <c r="X304" s="914">
        <f>L304+M304+N304</f>
        <v>-6</v>
      </c>
      <c r="Y304" s="915">
        <f>SUM(U304:X304)</f>
        <v>-37</v>
      </c>
    </row>
    <row r="305" spans="1:25" s="992" customFormat="1" ht="12.75" customHeight="1" x14ac:dyDescent="0.25">
      <c r="A305" s="930" t="s">
        <v>55</v>
      </c>
      <c r="C305" s="932">
        <f t="shared" ref="C305:O305" si="106">+C302+C304</f>
        <v>-64</v>
      </c>
      <c r="D305" s="933">
        <f t="shared" si="106"/>
        <v>-96</v>
      </c>
      <c r="E305" s="933">
        <f t="shared" si="106"/>
        <v>-78</v>
      </c>
      <c r="F305" s="933">
        <f t="shared" si="106"/>
        <v>-83</v>
      </c>
      <c r="G305" s="933">
        <f t="shared" si="106"/>
        <v>-69</v>
      </c>
      <c r="H305" s="933">
        <f t="shared" si="106"/>
        <v>-72</v>
      </c>
      <c r="I305" s="933">
        <f t="shared" si="106"/>
        <v>-102</v>
      </c>
      <c r="J305" s="933">
        <f t="shared" si="106"/>
        <v>-102</v>
      </c>
      <c r="K305" s="933">
        <f t="shared" si="106"/>
        <v>-202</v>
      </c>
      <c r="L305" s="933">
        <f t="shared" si="106"/>
        <v>-102</v>
      </c>
      <c r="M305" s="933">
        <f t="shared" si="106"/>
        <v>-102</v>
      </c>
      <c r="N305" s="933">
        <f t="shared" si="106"/>
        <v>-202</v>
      </c>
      <c r="O305" s="934">
        <f t="shared" si="106"/>
        <v>-1274</v>
      </c>
      <c r="P305" s="935"/>
      <c r="Q305" s="936"/>
      <c r="R305" s="928"/>
      <c r="S305" s="936"/>
      <c r="T305" s="935"/>
      <c r="U305" s="932">
        <f>+U302+U304</f>
        <v>-238</v>
      </c>
      <c r="V305" s="933">
        <f>+V302+V304</f>
        <v>-224</v>
      </c>
      <c r="W305" s="933">
        <f>+W302+W304</f>
        <v>-406</v>
      </c>
      <c r="X305" s="933">
        <f>+X302+X304</f>
        <v>-406</v>
      </c>
      <c r="Y305" s="934">
        <f>+Y302+Y304</f>
        <v>-1274</v>
      </c>
    </row>
    <row r="306" spans="1:25" x14ac:dyDescent="0.25">
      <c r="A306" s="957"/>
      <c r="C306" s="915"/>
      <c r="D306" s="915"/>
      <c r="E306" s="915"/>
      <c r="F306" s="915"/>
      <c r="G306" s="915"/>
      <c r="H306" s="915"/>
      <c r="I306" s="915"/>
      <c r="J306" s="915"/>
      <c r="K306" s="915"/>
      <c r="L306" s="915"/>
      <c r="M306" s="915"/>
      <c r="N306" s="915"/>
      <c r="O306" s="914"/>
      <c r="P306" s="914"/>
      <c r="Q306" s="912"/>
      <c r="R306" s="915"/>
      <c r="S306" s="912"/>
      <c r="T306" s="914"/>
      <c r="U306" s="914"/>
      <c r="V306" s="914"/>
      <c r="W306" s="914"/>
      <c r="X306" s="914"/>
      <c r="Y306" s="915"/>
    </row>
    <row r="307" spans="1:25" x14ac:dyDescent="0.25">
      <c r="C307" s="915"/>
      <c r="D307" s="915"/>
      <c r="E307" s="915"/>
      <c r="F307" s="915"/>
      <c r="G307" s="915"/>
      <c r="H307" s="915"/>
      <c r="I307" s="915"/>
      <c r="J307" s="915"/>
      <c r="K307" s="915"/>
      <c r="L307" s="915"/>
      <c r="M307" s="915"/>
      <c r="N307" s="915"/>
      <c r="O307" s="914"/>
      <c r="P307" s="914"/>
      <c r="Q307" s="912"/>
      <c r="R307" s="915"/>
      <c r="S307" s="912"/>
      <c r="T307" s="914"/>
      <c r="U307" s="914"/>
      <c r="V307" s="914"/>
      <c r="W307" s="914"/>
      <c r="X307" s="914"/>
      <c r="Y307" s="915"/>
    </row>
    <row r="308" spans="1:25" x14ac:dyDescent="0.25">
      <c r="A308" s="907" t="s">
        <v>199</v>
      </c>
      <c r="C308" s="915"/>
      <c r="D308" s="915"/>
      <c r="E308" s="915"/>
      <c r="F308" s="915"/>
      <c r="G308" s="915"/>
      <c r="H308" s="915"/>
      <c r="I308" s="915"/>
      <c r="J308" s="915"/>
      <c r="K308" s="915"/>
      <c r="L308" s="915"/>
      <c r="M308" s="915"/>
      <c r="N308" s="915"/>
      <c r="O308" s="914"/>
      <c r="P308" s="914"/>
      <c r="Q308" s="912"/>
      <c r="R308" s="915"/>
      <c r="S308" s="912"/>
      <c r="T308" s="914"/>
      <c r="U308" s="914"/>
      <c r="V308" s="914"/>
      <c r="W308" s="914"/>
      <c r="X308" s="914"/>
      <c r="Y308" s="915"/>
    </row>
    <row r="309" spans="1:25" x14ac:dyDescent="0.25">
      <c r="A309" s="910" t="s">
        <v>31</v>
      </c>
      <c r="C309" s="915"/>
      <c r="D309" s="915"/>
      <c r="E309" s="915"/>
      <c r="F309" s="915"/>
      <c r="G309" s="915"/>
      <c r="H309" s="915"/>
      <c r="I309" s="915"/>
      <c r="J309" s="915"/>
      <c r="K309" s="915"/>
      <c r="L309" s="915"/>
      <c r="M309" s="915"/>
      <c r="N309" s="915"/>
      <c r="O309" s="914"/>
      <c r="P309" s="914"/>
      <c r="Q309" s="912"/>
      <c r="R309" s="915"/>
      <c r="S309" s="912"/>
      <c r="T309" s="914"/>
      <c r="U309" s="914"/>
      <c r="V309" s="914"/>
      <c r="W309" s="914"/>
      <c r="X309" s="914"/>
      <c r="Y309" s="915"/>
    </row>
    <row r="310" spans="1:25" x14ac:dyDescent="0.25">
      <c r="A310" s="911" t="s">
        <v>200</v>
      </c>
      <c r="C310" s="706">
        <v>-21</v>
      </c>
      <c r="D310" s="706">
        <v>-29</v>
      </c>
      <c r="E310" s="706">
        <v>-30</v>
      </c>
      <c r="F310" s="706">
        <v>-24</v>
      </c>
      <c r="G310" s="706">
        <v>-22</v>
      </c>
      <c r="H310" s="706">
        <v>-25</v>
      </c>
      <c r="I310" s="706">
        <v>0</v>
      </c>
      <c r="J310" s="706">
        <v>0</v>
      </c>
      <c r="K310" s="706">
        <v>0</v>
      </c>
      <c r="L310" s="706">
        <v>0</v>
      </c>
      <c r="M310" s="706">
        <v>0</v>
      </c>
      <c r="N310" s="706">
        <v>-100</v>
      </c>
      <c r="O310" s="697">
        <f>SUM(C310:N310)</f>
        <v>-251</v>
      </c>
      <c r="P310" s="697"/>
      <c r="Q310" s="912"/>
      <c r="R310" s="918" t="s">
        <v>43</v>
      </c>
      <c r="S310" s="912"/>
      <c r="T310" s="697"/>
      <c r="U310" s="914">
        <f>C310+D310+E310</f>
        <v>-80</v>
      </c>
      <c r="V310" s="914">
        <f>F310+G310+H310</f>
        <v>-71</v>
      </c>
      <c r="W310" s="914">
        <f>I310+J310+K310</f>
        <v>0</v>
      </c>
      <c r="X310" s="914">
        <f>L310+M310+N310</f>
        <v>-100</v>
      </c>
      <c r="Y310" s="915">
        <f>SUM(U310:X310)</f>
        <v>-251</v>
      </c>
    </row>
    <row r="311" spans="1:25" x14ac:dyDescent="0.25">
      <c r="A311" s="911" t="s">
        <v>44</v>
      </c>
      <c r="C311" s="926"/>
      <c r="D311" s="926"/>
      <c r="E311" s="926"/>
      <c r="F311" s="926"/>
      <c r="G311" s="926"/>
      <c r="H311" s="926"/>
      <c r="I311" s="926"/>
      <c r="J311" s="926"/>
      <c r="K311" s="926"/>
      <c r="L311" s="926"/>
      <c r="M311" s="926"/>
      <c r="N311" s="926">
        <v>100</v>
      </c>
      <c r="O311" s="914">
        <f>C311+D311+E311+F311+G311+H311+I311+J311+K311+L311+M311+N311</f>
        <v>100</v>
      </c>
      <c r="P311" s="914"/>
      <c r="Q311" s="912"/>
      <c r="R311" s="918" t="s">
        <v>43</v>
      </c>
      <c r="S311" s="912"/>
      <c r="T311" s="914"/>
      <c r="U311" s="914">
        <f>C311+D311+E311</f>
        <v>0</v>
      </c>
      <c r="V311" s="914">
        <f>F311+G311+H311</f>
        <v>0</v>
      </c>
      <c r="W311" s="914">
        <f>I311+J311+K311</f>
        <v>0</v>
      </c>
      <c r="X311" s="914">
        <f>L311+M311+N311</f>
        <v>100</v>
      </c>
      <c r="Y311" s="915">
        <f>SUM(U311:X311)</f>
        <v>100</v>
      </c>
    </row>
    <row r="312" spans="1:25" s="931" customFormat="1" ht="12.75" customHeight="1" x14ac:dyDescent="0.25">
      <c r="A312" s="925" t="s">
        <v>201</v>
      </c>
      <c r="C312" s="880">
        <v>0</v>
      </c>
      <c r="D312" s="880">
        <v>0</v>
      </c>
      <c r="E312" s="880">
        <v>0</v>
      </c>
      <c r="F312" s="880">
        <v>0</v>
      </c>
      <c r="G312" s="880">
        <v>0</v>
      </c>
      <c r="H312" s="880">
        <v>0</v>
      </c>
      <c r="I312" s="880">
        <v>0</v>
      </c>
      <c r="J312" s="880">
        <v>0</v>
      </c>
      <c r="K312" s="880">
        <v>0</v>
      </c>
      <c r="L312" s="880">
        <v>0</v>
      </c>
      <c r="M312" s="880">
        <v>0</v>
      </c>
      <c r="N312" s="880">
        <v>0</v>
      </c>
      <c r="O312" s="699">
        <f>SUM(C312:N312)</f>
        <v>0</v>
      </c>
      <c r="P312" s="697"/>
      <c r="Q312" s="936"/>
      <c r="R312" s="918" t="s">
        <v>43</v>
      </c>
      <c r="S312" s="936"/>
      <c r="T312" s="697"/>
      <c r="U312" s="979">
        <f>C312+D312+E312</f>
        <v>0</v>
      </c>
      <c r="V312" s="979">
        <f>F312+G312+H312</f>
        <v>0</v>
      </c>
      <c r="W312" s="979">
        <f>I312+J312+K312</f>
        <v>0</v>
      </c>
      <c r="X312" s="979">
        <f>L312+M312+N312</f>
        <v>0</v>
      </c>
      <c r="Y312" s="924">
        <f>SUM(U312:X312)</f>
        <v>0</v>
      </c>
    </row>
    <row r="313" spans="1:25" s="931" customFormat="1" ht="12.75" customHeight="1" x14ac:dyDescent="0.25">
      <c r="A313" s="911" t="s">
        <v>50</v>
      </c>
      <c r="C313" s="937">
        <f t="shared" ref="C313:O313" si="107">SUM(C310:C312)</f>
        <v>-21</v>
      </c>
      <c r="D313" s="937">
        <f t="shared" si="107"/>
        <v>-29</v>
      </c>
      <c r="E313" s="937">
        <f t="shared" si="107"/>
        <v>-30</v>
      </c>
      <c r="F313" s="937">
        <f t="shared" si="107"/>
        <v>-24</v>
      </c>
      <c r="G313" s="937">
        <f t="shared" si="107"/>
        <v>-22</v>
      </c>
      <c r="H313" s="937">
        <f t="shared" si="107"/>
        <v>-25</v>
      </c>
      <c r="I313" s="937">
        <f t="shared" si="107"/>
        <v>0</v>
      </c>
      <c r="J313" s="937">
        <f t="shared" si="107"/>
        <v>0</v>
      </c>
      <c r="K313" s="937">
        <f t="shared" si="107"/>
        <v>0</v>
      </c>
      <c r="L313" s="937">
        <f t="shared" si="107"/>
        <v>0</v>
      </c>
      <c r="M313" s="937">
        <f t="shared" si="107"/>
        <v>0</v>
      </c>
      <c r="N313" s="937">
        <f t="shared" si="107"/>
        <v>0</v>
      </c>
      <c r="O313" s="937">
        <f t="shared" si="107"/>
        <v>-151</v>
      </c>
      <c r="P313" s="697"/>
      <c r="Q313" s="936"/>
      <c r="R313" s="918"/>
      <c r="S313" s="936"/>
      <c r="T313" s="697"/>
      <c r="U313" s="937">
        <f>SUM(U310:U312)</f>
        <v>-80</v>
      </c>
      <c r="V313" s="937">
        <f>SUM(V310:V312)</f>
        <v>-71</v>
      </c>
      <c r="W313" s="937">
        <f>SUM(W310:W312)</f>
        <v>0</v>
      </c>
      <c r="X313" s="937">
        <f>SUM(X310:X312)</f>
        <v>0</v>
      </c>
      <c r="Y313" s="937">
        <f>SUM(Y310:Y312)</f>
        <v>-151</v>
      </c>
    </row>
    <row r="314" spans="1:25" s="931" customFormat="1" ht="3.9" customHeight="1" x14ac:dyDescent="0.25">
      <c r="A314" s="925"/>
      <c r="C314" s="879"/>
      <c r="D314" s="879"/>
      <c r="E314" s="879"/>
      <c r="F314" s="879"/>
      <c r="G314" s="879"/>
      <c r="H314" s="879"/>
      <c r="I314" s="879"/>
      <c r="J314" s="879"/>
      <c r="K314" s="879"/>
      <c r="L314" s="879"/>
      <c r="M314" s="879"/>
      <c r="N314" s="879"/>
      <c r="O314" s="697"/>
      <c r="P314" s="697"/>
      <c r="Q314" s="936"/>
      <c r="R314" s="918"/>
      <c r="S314" s="936"/>
      <c r="T314" s="697"/>
      <c r="U314" s="935"/>
      <c r="V314" s="935"/>
      <c r="W314" s="935"/>
      <c r="X314" s="935"/>
      <c r="Y314" s="915"/>
    </row>
    <row r="315" spans="1:25" s="931" customFormat="1" ht="12.75" customHeight="1" x14ac:dyDescent="0.25">
      <c r="A315" s="911" t="s">
        <v>53</v>
      </c>
      <c r="B315" s="992"/>
      <c r="C315" s="128">
        <v>-3</v>
      </c>
      <c r="D315" s="128">
        <v>-3</v>
      </c>
      <c r="E315" s="128">
        <v>-2</v>
      </c>
      <c r="F315" s="128">
        <v>-1</v>
      </c>
      <c r="G315" s="128">
        <v>-1</v>
      </c>
      <c r="H315" s="128">
        <v>-1</v>
      </c>
      <c r="I315" s="128">
        <v>-1</v>
      </c>
      <c r="J315" s="128">
        <v>-1</v>
      </c>
      <c r="K315" s="128">
        <v>-1</v>
      </c>
      <c r="L315" s="128">
        <v>-1</v>
      </c>
      <c r="M315" s="128">
        <v>-1</v>
      </c>
      <c r="N315" s="128">
        <v>-1</v>
      </c>
      <c r="O315" s="129">
        <f>SUM(C315:N315)</f>
        <v>-17</v>
      </c>
      <c r="P315" s="129"/>
      <c r="Q315" s="912"/>
      <c r="R315" s="913" t="s">
        <v>54</v>
      </c>
      <c r="S315" s="912"/>
      <c r="T315" s="129"/>
      <c r="U315" s="914">
        <f>C315+D315+E315</f>
        <v>-8</v>
      </c>
      <c r="V315" s="914">
        <f>F315+G315+H315</f>
        <v>-3</v>
      </c>
      <c r="W315" s="914">
        <f>I315+J315+K315</f>
        <v>-3</v>
      </c>
      <c r="X315" s="914">
        <f>L315+M315+N315</f>
        <v>-3</v>
      </c>
      <c r="Y315" s="915">
        <f>SUM(U315:X315)</f>
        <v>-17</v>
      </c>
    </row>
    <row r="316" spans="1:25" s="931" customFormat="1" ht="12.75" customHeight="1" x14ac:dyDescent="0.25">
      <c r="A316" s="930" t="s">
        <v>55</v>
      </c>
      <c r="B316" s="992"/>
      <c r="C316" s="932">
        <f t="shared" ref="C316:O316" si="108">+C313+C315</f>
        <v>-24</v>
      </c>
      <c r="D316" s="933">
        <f t="shared" si="108"/>
        <v>-32</v>
      </c>
      <c r="E316" s="933">
        <f t="shared" si="108"/>
        <v>-32</v>
      </c>
      <c r="F316" s="933">
        <f t="shared" si="108"/>
        <v>-25</v>
      </c>
      <c r="G316" s="933">
        <f t="shared" si="108"/>
        <v>-23</v>
      </c>
      <c r="H316" s="933">
        <f t="shared" si="108"/>
        <v>-26</v>
      </c>
      <c r="I316" s="933">
        <f t="shared" si="108"/>
        <v>-1</v>
      </c>
      <c r="J316" s="933">
        <f t="shared" si="108"/>
        <v>-1</v>
      </c>
      <c r="K316" s="933">
        <f t="shared" si="108"/>
        <v>-1</v>
      </c>
      <c r="L316" s="933">
        <f t="shared" si="108"/>
        <v>-1</v>
      </c>
      <c r="M316" s="933">
        <f t="shared" si="108"/>
        <v>-1</v>
      </c>
      <c r="N316" s="933">
        <f t="shared" si="108"/>
        <v>-1</v>
      </c>
      <c r="O316" s="934">
        <f t="shared" si="108"/>
        <v>-168</v>
      </c>
      <c r="P316" s="935"/>
      <c r="Q316" s="936"/>
      <c r="R316" s="928"/>
      <c r="S316" s="936"/>
      <c r="T316" s="935"/>
      <c r="U316" s="932">
        <f>+U313+U315</f>
        <v>-88</v>
      </c>
      <c r="V316" s="933">
        <f>+V313+V315</f>
        <v>-74</v>
      </c>
      <c r="W316" s="933">
        <f>+W313+W315</f>
        <v>-3</v>
      </c>
      <c r="X316" s="933">
        <f>+X313+X315</f>
        <v>-3</v>
      </c>
      <c r="Y316" s="934">
        <f>+Y313+Y315</f>
        <v>-168</v>
      </c>
    </row>
    <row r="317" spans="1:25" s="931" customFormat="1" ht="12.75" customHeight="1" x14ac:dyDescent="0.25">
      <c r="A317" s="947"/>
      <c r="C317" s="937"/>
      <c r="D317" s="937"/>
      <c r="E317" s="937"/>
      <c r="F317" s="937"/>
      <c r="G317" s="937"/>
      <c r="H317" s="937"/>
      <c r="I317" s="937"/>
      <c r="J317" s="937"/>
      <c r="K317" s="937"/>
      <c r="L317" s="937"/>
      <c r="M317" s="937"/>
      <c r="N317" s="937"/>
      <c r="O317" s="935"/>
      <c r="P317" s="935"/>
      <c r="Q317" s="942"/>
      <c r="R317" s="937"/>
      <c r="S317" s="942"/>
      <c r="T317" s="935"/>
      <c r="U317" s="935"/>
      <c r="V317" s="935"/>
      <c r="W317" s="935"/>
      <c r="X317" s="935"/>
      <c r="Y317" s="937"/>
    </row>
    <row r="318" spans="1:25" x14ac:dyDescent="0.25">
      <c r="A318" s="971" t="s">
        <v>202</v>
      </c>
      <c r="C318" s="915"/>
      <c r="D318" s="915"/>
      <c r="E318" s="915"/>
      <c r="F318" s="915"/>
      <c r="G318" s="915"/>
      <c r="H318" s="915"/>
      <c r="I318" s="915"/>
      <c r="J318" s="915"/>
      <c r="K318" s="915"/>
      <c r="L318" s="915"/>
      <c r="M318" s="915"/>
      <c r="N318" s="915"/>
      <c r="O318" s="914"/>
      <c r="P318" s="914"/>
      <c r="Q318" s="912"/>
      <c r="R318" s="915"/>
      <c r="S318" s="912"/>
      <c r="T318" s="914"/>
      <c r="U318" s="914"/>
      <c r="V318" s="914"/>
      <c r="W318" s="914"/>
      <c r="X318" s="914"/>
      <c r="Y318" s="915"/>
    </row>
    <row r="319" spans="1:25" x14ac:dyDescent="0.25">
      <c r="A319" s="910" t="s">
        <v>31</v>
      </c>
      <c r="C319" s="915"/>
      <c r="D319" s="915"/>
      <c r="E319" s="915"/>
      <c r="F319" s="915"/>
      <c r="G319" s="915"/>
      <c r="H319" s="915"/>
      <c r="I319" s="915"/>
      <c r="J319" s="915"/>
      <c r="K319" s="915"/>
      <c r="L319" s="915"/>
      <c r="M319" s="915"/>
      <c r="N319" s="915"/>
      <c r="O319" s="914"/>
      <c r="P319" s="914"/>
      <c r="Q319" s="912"/>
      <c r="R319" s="915"/>
      <c r="S319" s="912"/>
      <c r="T319" s="914"/>
      <c r="U319" s="914"/>
      <c r="V319" s="914"/>
      <c r="W319" s="914"/>
      <c r="X319" s="914"/>
      <c r="Y319" s="915"/>
    </row>
    <row r="320" spans="1:25" x14ac:dyDescent="0.25">
      <c r="A320" s="911" t="s">
        <v>42</v>
      </c>
      <c r="C320" s="861">
        <f>-193-SUM(C321:C326)</f>
        <v>-193</v>
      </c>
      <c r="D320" s="861">
        <f>-155-SUM(D321:D326)</f>
        <v>-155</v>
      </c>
      <c r="E320" s="861">
        <f>-163-SUM(E321:E326)</f>
        <v>-163</v>
      </c>
      <c r="F320" s="861">
        <f>-108-SUM(F321:F326)</f>
        <v>-108</v>
      </c>
      <c r="G320" s="861">
        <f>-127-SUM(G321:G326)</f>
        <v>-127</v>
      </c>
      <c r="H320" s="861">
        <f>-225-SUM(H321:H326)</f>
        <v>-225</v>
      </c>
      <c r="I320" s="706">
        <v>0</v>
      </c>
      <c r="J320" s="706">
        <v>0</v>
      </c>
      <c r="K320" s="706">
        <v>0</v>
      </c>
      <c r="L320" s="706">
        <v>0</v>
      </c>
      <c r="M320" s="706">
        <v>0</v>
      </c>
      <c r="N320" s="706">
        <v>0</v>
      </c>
      <c r="O320" s="697">
        <f t="shared" ref="O320:O326" si="109">SUM(C320:N320)</f>
        <v>-971</v>
      </c>
      <c r="P320" s="697"/>
      <c r="Q320" s="912"/>
      <c r="R320" s="987" t="s">
        <v>43</v>
      </c>
      <c r="S320" s="912"/>
      <c r="T320" s="697"/>
      <c r="U320" s="914">
        <f t="shared" ref="U320:U326" si="110">C320+D320+E320</f>
        <v>-511</v>
      </c>
      <c r="V320" s="914">
        <f t="shared" ref="V320:V326" si="111">F320+G320+H320</f>
        <v>-460</v>
      </c>
      <c r="W320" s="914">
        <f t="shared" ref="W320:W326" si="112">I320+J320+K320</f>
        <v>0</v>
      </c>
      <c r="X320" s="914">
        <f t="shared" ref="X320:X326" si="113">L320+M320+N320</f>
        <v>0</v>
      </c>
      <c r="Y320" s="915">
        <f t="shared" ref="Y320:Y326" si="114">SUM(U320:X320)</f>
        <v>-971</v>
      </c>
    </row>
    <row r="321" spans="1:25" x14ac:dyDescent="0.25">
      <c r="A321" s="911" t="s">
        <v>203</v>
      </c>
      <c r="C321" s="926"/>
      <c r="D321" s="926"/>
      <c r="E321" s="926"/>
      <c r="F321" s="926"/>
      <c r="G321" s="926"/>
      <c r="H321" s="926"/>
      <c r="I321" s="926"/>
      <c r="J321" s="926"/>
      <c r="K321" s="926"/>
      <c r="L321" s="926"/>
      <c r="M321" s="926"/>
      <c r="N321" s="926"/>
      <c r="O321" s="697">
        <f t="shared" si="109"/>
        <v>0</v>
      </c>
      <c r="P321" s="697"/>
      <c r="Q321" s="912"/>
      <c r="R321" s="987" t="s">
        <v>43</v>
      </c>
      <c r="S321" s="912"/>
      <c r="T321" s="697"/>
      <c r="U321" s="914">
        <f t="shared" si="110"/>
        <v>0</v>
      </c>
      <c r="V321" s="914">
        <f t="shared" si="111"/>
        <v>0</v>
      </c>
      <c r="W321" s="914">
        <f t="shared" si="112"/>
        <v>0</v>
      </c>
      <c r="X321" s="914">
        <f t="shared" si="113"/>
        <v>0</v>
      </c>
      <c r="Y321" s="915">
        <f t="shared" si="114"/>
        <v>0</v>
      </c>
    </row>
    <row r="322" spans="1:25" x14ac:dyDescent="0.25">
      <c r="A322" s="911" t="s">
        <v>204</v>
      </c>
      <c r="C322" s="926"/>
      <c r="D322" s="926"/>
      <c r="E322" s="926"/>
      <c r="F322" s="926"/>
      <c r="G322" s="926"/>
      <c r="H322" s="926"/>
      <c r="I322" s="926"/>
      <c r="J322" s="926"/>
      <c r="K322" s="926"/>
      <c r="L322" s="926"/>
      <c r="M322" s="926"/>
      <c r="N322" s="926"/>
      <c r="O322" s="697">
        <f t="shared" si="109"/>
        <v>0</v>
      </c>
      <c r="P322" s="697"/>
      <c r="Q322" s="912"/>
      <c r="R322" s="987" t="s">
        <v>43</v>
      </c>
      <c r="S322" s="912"/>
      <c r="T322" s="697"/>
      <c r="U322" s="914">
        <f t="shared" si="110"/>
        <v>0</v>
      </c>
      <c r="V322" s="914">
        <f t="shared" si="111"/>
        <v>0</v>
      </c>
      <c r="W322" s="914">
        <f t="shared" si="112"/>
        <v>0</v>
      </c>
      <c r="X322" s="914">
        <f t="shared" si="113"/>
        <v>0</v>
      </c>
      <c r="Y322" s="915">
        <f t="shared" si="114"/>
        <v>0</v>
      </c>
    </row>
    <row r="323" spans="1:25" x14ac:dyDescent="0.25">
      <c r="A323" s="911" t="s">
        <v>205</v>
      </c>
      <c r="C323" s="926"/>
      <c r="D323" s="926"/>
      <c r="E323" s="926"/>
      <c r="F323" s="926"/>
      <c r="G323" s="926"/>
      <c r="H323" s="926"/>
      <c r="I323" s="926"/>
      <c r="J323" s="926"/>
      <c r="K323" s="926"/>
      <c r="L323" s="926"/>
      <c r="M323" s="926"/>
      <c r="N323" s="926"/>
      <c r="O323" s="697">
        <f t="shared" si="109"/>
        <v>0</v>
      </c>
      <c r="P323" s="697"/>
      <c r="Q323" s="912"/>
      <c r="R323" s="987" t="s">
        <v>43</v>
      </c>
      <c r="S323" s="912"/>
      <c r="T323" s="697"/>
      <c r="U323" s="914">
        <f t="shared" si="110"/>
        <v>0</v>
      </c>
      <c r="V323" s="914">
        <f t="shared" si="111"/>
        <v>0</v>
      </c>
      <c r="W323" s="914">
        <f t="shared" si="112"/>
        <v>0</v>
      </c>
      <c r="X323" s="914">
        <f t="shared" si="113"/>
        <v>0</v>
      </c>
      <c r="Y323" s="915">
        <f t="shared" si="114"/>
        <v>0</v>
      </c>
    </row>
    <row r="324" spans="1:25" x14ac:dyDescent="0.25">
      <c r="A324" s="911" t="s">
        <v>206</v>
      </c>
      <c r="C324" s="926"/>
      <c r="D324" s="926"/>
      <c r="E324" s="926"/>
      <c r="F324" s="926"/>
      <c r="G324" s="926"/>
      <c r="H324" s="926"/>
      <c r="I324" s="926"/>
      <c r="J324" s="926"/>
      <c r="K324" s="926">
        <v>100</v>
      </c>
      <c r="L324" s="926"/>
      <c r="M324" s="926"/>
      <c r="N324" s="926"/>
      <c r="O324" s="697">
        <f t="shared" si="109"/>
        <v>100</v>
      </c>
      <c r="P324" s="697"/>
      <c r="Q324" s="912"/>
      <c r="R324" s="987" t="s">
        <v>43</v>
      </c>
      <c r="S324" s="912"/>
      <c r="T324" s="697"/>
      <c r="U324" s="914">
        <f t="shared" si="110"/>
        <v>0</v>
      </c>
      <c r="V324" s="914">
        <f t="shared" si="111"/>
        <v>0</v>
      </c>
      <c r="W324" s="914">
        <f t="shared" si="112"/>
        <v>100</v>
      </c>
      <c r="X324" s="914">
        <f t="shared" si="113"/>
        <v>0</v>
      </c>
      <c r="Y324" s="915">
        <f t="shared" si="114"/>
        <v>100</v>
      </c>
    </row>
    <row r="325" spans="1:25" x14ac:dyDescent="0.25">
      <c r="A325" s="911" t="s">
        <v>207</v>
      </c>
      <c r="C325" s="926"/>
      <c r="D325" s="926"/>
      <c r="E325" s="926"/>
      <c r="F325" s="926"/>
      <c r="G325" s="926"/>
      <c r="H325" s="926"/>
      <c r="I325" s="926"/>
      <c r="J325" s="926"/>
      <c r="K325" s="926"/>
      <c r="L325" s="926"/>
      <c r="M325" s="926"/>
      <c r="N325" s="926">
        <v>-100</v>
      </c>
      <c r="O325" s="697">
        <f t="shared" si="109"/>
        <v>-100</v>
      </c>
      <c r="P325" s="697"/>
      <c r="Q325" s="912"/>
      <c r="R325" s="987" t="s">
        <v>43</v>
      </c>
      <c r="S325" s="912"/>
      <c r="T325" s="697"/>
      <c r="U325" s="914">
        <f t="shared" si="110"/>
        <v>0</v>
      </c>
      <c r="V325" s="914">
        <f t="shared" si="111"/>
        <v>0</v>
      </c>
      <c r="W325" s="914">
        <f t="shared" si="112"/>
        <v>0</v>
      </c>
      <c r="X325" s="914">
        <f t="shared" si="113"/>
        <v>-100</v>
      </c>
      <c r="Y325" s="915">
        <f t="shared" si="114"/>
        <v>-100</v>
      </c>
    </row>
    <row r="326" spans="1:25" ht="12.75" customHeight="1" x14ac:dyDescent="0.25">
      <c r="A326" s="925" t="s">
        <v>208</v>
      </c>
      <c r="B326" s="931"/>
      <c r="C326" s="880">
        <v>0</v>
      </c>
      <c r="D326" s="880">
        <v>0</v>
      </c>
      <c r="E326" s="880">
        <v>0</v>
      </c>
      <c r="F326" s="880">
        <v>0</v>
      </c>
      <c r="G326" s="880">
        <v>0</v>
      </c>
      <c r="H326" s="880">
        <v>0</v>
      </c>
      <c r="I326" s="880">
        <v>0</v>
      </c>
      <c r="J326" s="880">
        <v>0</v>
      </c>
      <c r="K326" s="880">
        <v>0</v>
      </c>
      <c r="L326" s="880">
        <v>0</v>
      </c>
      <c r="M326" s="880">
        <v>0</v>
      </c>
      <c r="N326" s="880">
        <v>0</v>
      </c>
      <c r="O326" s="699">
        <f t="shared" si="109"/>
        <v>0</v>
      </c>
      <c r="P326" s="697"/>
      <c r="Q326" s="936"/>
      <c r="R326" s="918" t="s">
        <v>43</v>
      </c>
      <c r="S326" s="936"/>
      <c r="T326" s="697"/>
      <c r="U326" s="979">
        <f t="shared" si="110"/>
        <v>0</v>
      </c>
      <c r="V326" s="979">
        <f t="shared" si="111"/>
        <v>0</v>
      </c>
      <c r="W326" s="979">
        <f t="shared" si="112"/>
        <v>0</v>
      </c>
      <c r="X326" s="979">
        <f t="shared" si="113"/>
        <v>0</v>
      </c>
      <c r="Y326" s="924">
        <f t="shared" si="114"/>
        <v>0</v>
      </c>
    </row>
    <row r="327" spans="1:25" ht="12.75" customHeight="1" x14ac:dyDescent="0.25">
      <c r="A327" s="911" t="s">
        <v>50</v>
      </c>
      <c r="B327" s="931"/>
      <c r="C327" s="937">
        <f t="shared" ref="C327:O327" si="115">SUM(C320:C326)</f>
        <v>-193</v>
      </c>
      <c r="D327" s="937">
        <f t="shared" si="115"/>
        <v>-155</v>
      </c>
      <c r="E327" s="937">
        <f t="shared" si="115"/>
        <v>-163</v>
      </c>
      <c r="F327" s="937">
        <f t="shared" si="115"/>
        <v>-108</v>
      </c>
      <c r="G327" s="937">
        <f t="shared" si="115"/>
        <v>-127</v>
      </c>
      <c r="H327" s="937">
        <f t="shared" si="115"/>
        <v>-225</v>
      </c>
      <c r="I327" s="937">
        <f t="shared" si="115"/>
        <v>0</v>
      </c>
      <c r="J327" s="937">
        <f t="shared" si="115"/>
        <v>0</v>
      </c>
      <c r="K327" s="937">
        <f t="shared" si="115"/>
        <v>100</v>
      </c>
      <c r="L327" s="937">
        <f t="shared" si="115"/>
        <v>0</v>
      </c>
      <c r="M327" s="937">
        <f t="shared" si="115"/>
        <v>0</v>
      </c>
      <c r="N327" s="937">
        <f t="shared" si="115"/>
        <v>-100</v>
      </c>
      <c r="O327" s="937">
        <f t="shared" si="115"/>
        <v>-971</v>
      </c>
      <c r="P327" s="697"/>
      <c r="Q327" s="936"/>
      <c r="R327" s="918"/>
      <c r="S327" s="936"/>
      <c r="T327" s="697"/>
      <c r="U327" s="937">
        <f>SUM(U320:U326)</f>
        <v>-511</v>
      </c>
      <c r="V327" s="937">
        <f>SUM(V320:V326)</f>
        <v>-460</v>
      </c>
      <c r="W327" s="937">
        <f>SUM(W320:W326)</f>
        <v>100</v>
      </c>
      <c r="X327" s="937">
        <f>SUM(X320:X326)</f>
        <v>-100</v>
      </c>
      <c r="Y327" s="937">
        <f>SUM(Y320:Y326)</f>
        <v>-971</v>
      </c>
    </row>
    <row r="328" spans="1:25" ht="3.9" customHeight="1" x14ac:dyDescent="0.25">
      <c r="A328" s="925"/>
      <c r="C328" s="879"/>
      <c r="D328" s="879"/>
      <c r="E328" s="879"/>
      <c r="F328" s="879"/>
      <c r="G328" s="879"/>
      <c r="H328" s="879"/>
      <c r="I328" s="879"/>
      <c r="J328" s="879"/>
      <c r="K328" s="879"/>
      <c r="L328" s="879"/>
      <c r="M328" s="879"/>
      <c r="N328" s="879"/>
      <c r="O328" s="697"/>
      <c r="P328" s="697"/>
      <c r="Q328" s="942"/>
      <c r="R328" s="987"/>
      <c r="S328" s="942"/>
      <c r="T328" s="697"/>
      <c r="U328" s="914"/>
      <c r="V328" s="914"/>
      <c r="W328" s="914"/>
      <c r="X328" s="914"/>
      <c r="Y328" s="915"/>
    </row>
    <row r="329" spans="1:25" x14ac:dyDescent="0.25">
      <c r="A329" s="911" t="s">
        <v>53</v>
      </c>
      <c r="B329" s="992"/>
      <c r="C329" s="128">
        <v>-2</v>
      </c>
      <c r="D329" s="128">
        <v>-3</v>
      </c>
      <c r="E329" s="128">
        <v>-3</v>
      </c>
      <c r="F329" s="128">
        <v>-2</v>
      </c>
      <c r="G329" s="128">
        <v>-2</v>
      </c>
      <c r="H329" s="128">
        <v>-2</v>
      </c>
      <c r="I329" s="128">
        <v>-2</v>
      </c>
      <c r="J329" s="128">
        <v>-2</v>
      </c>
      <c r="K329" s="128">
        <v>-2</v>
      </c>
      <c r="L329" s="128">
        <v>-2</v>
      </c>
      <c r="M329" s="128">
        <v>-2</v>
      </c>
      <c r="N329" s="128">
        <v>-2</v>
      </c>
      <c r="O329" s="129">
        <f>SUM(C329:N329)</f>
        <v>-26</v>
      </c>
      <c r="P329" s="129"/>
      <c r="Q329" s="942"/>
      <c r="R329" s="913" t="s">
        <v>54</v>
      </c>
      <c r="S329" s="942"/>
      <c r="T329" s="129"/>
      <c r="U329" s="935">
        <f>C329+D329+E329</f>
        <v>-8</v>
      </c>
      <c r="V329" s="935">
        <f>F329+G329+H329</f>
        <v>-6</v>
      </c>
      <c r="W329" s="935">
        <f>I329+J329+K329</f>
        <v>-6</v>
      </c>
      <c r="X329" s="935">
        <f>L329+M329+N329</f>
        <v>-6</v>
      </c>
      <c r="Y329" s="915">
        <f>SUM(U329:X329)</f>
        <v>-26</v>
      </c>
    </row>
    <row r="330" spans="1:25" ht="12.75" customHeight="1" x14ac:dyDescent="0.25">
      <c r="A330" s="930" t="s">
        <v>55</v>
      </c>
      <c r="B330" s="992"/>
      <c r="C330" s="932">
        <f t="shared" ref="C330:O330" si="116">+C327+C329</f>
        <v>-195</v>
      </c>
      <c r="D330" s="933">
        <f t="shared" si="116"/>
        <v>-158</v>
      </c>
      <c r="E330" s="933">
        <f t="shared" si="116"/>
        <v>-166</v>
      </c>
      <c r="F330" s="933">
        <f t="shared" si="116"/>
        <v>-110</v>
      </c>
      <c r="G330" s="933">
        <f t="shared" si="116"/>
        <v>-129</v>
      </c>
      <c r="H330" s="933">
        <f t="shared" si="116"/>
        <v>-227</v>
      </c>
      <c r="I330" s="933">
        <f t="shared" si="116"/>
        <v>-2</v>
      </c>
      <c r="J330" s="933">
        <f t="shared" si="116"/>
        <v>-2</v>
      </c>
      <c r="K330" s="933">
        <f t="shared" si="116"/>
        <v>98</v>
      </c>
      <c r="L330" s="933">
        <f t="shared" si="116"/>
        <v>-2</v>
      </c>
      <c r="M330" s="933">
        <f t="shared" si="116"/>
        <v>-2</v>
      </c>
      <c r="N330" s="933">
        <f t="shared" si="116"/>
        <v>-102</v>
      </c>
      <c r="O330" s="934">
        <f t="shared" si="116"/>
        <v>-997</v>
      </c>
      <c r="P330" s="935"/>
      <c r="Q330" s="936"/>
      <c r="R330" s="928"/>
      <c r="S330" s="936"/>
      <c r="T330" s="935"/>
      <c r="U330" s="932">
        <f>+U327+U329</f>
        <v>-519</v>
      </c>
      <c r="V330" s="933">
        <f>+V327+V329</f>
        <v>-466</v>
      </c>
      <c r="W330" s="933">
        <f>+W327+W329</f>
        <v>94</v>
      </c>
      <c r="X330" s="933">
        <f>+X327+X329</f>
        <v>-106</v>
      </c>
      <c r="Y330" s="934">
        <f>+Y327+Y329</f>
        <v>-997</v>
      </c>
    </row>
    <row r="331" spans="1:25" x14ac:dyDescent="0.25">
      <c r="A331" s="957"/>
      <c r="C331" s="915"/>
      <c r="D331" s="915"/>
      <c r="E331" s="915"/>
      <c r="F331" s="915"/>
      <c r="G331" s="915"/>
      <c r="H331" s="915"/>
      <c r="I331" s="915"/>
      <c r="J331" s="915"/>
      <c r="K331" s="915"/>
      <c r="L331" s="915"/>
      <c r="M331" s="915"/>
      <c r="N331" s="915"/>
      <c r="O331" s="914"/>
      <c r="P331" s="914"/>
      <c r="Q331" s="912"/>
      <c r="R331" s="915"/>
      <c r="S331" s="912"/>
      <c r="T331" s="914"/>
      <c r="U331" s="914"/>
      <c r="V331" s="914"/>
      <c r="W331" s="914"/>
      <c r="X331" s="914"/>
      <c r="Y331" s="915"/>
    </row>
    <row r="332" spans="1:25" s="992" customFormat="1" ht="12.75" customHeight="1" x14ac:dyDescent="0.25">
      <c r="A332" s="993" t="s">
        <v>209</v>
      </c>
      <c r="C332" s="951">
        <f t="shared" ref="C332:O332" si="117">C147+C166+C191+C270+C295+C305+C316+C330</f>
        <v>11959.029</v>
      </c>
      <c r="D332" s="952">
        <f t="shared" si="117"/>
        <v>15034.098</v>
      </c>
      <c r="E332" s="952">
        <f t="shared" si="117"/>
        <v>1338</v>
      </c>
      <c r="F332" s="952">
        <f t="shared" si="117"/>
        <v>12359</v>
      </c>
      <c r="G332" s="952">
        <f t="shared" si="117"/>
        <v>11795</v>
      </c>
      <c r="H332" s="952">
        <f t="shared" si="117"/>
        <v>9740</v>
      </c>
      <c r="I332" s="952">
        <f t="shared" si="117"/>
        <v>10626</v>
      </c>
      <c r="J332" s="952">
        <f t="shared" si="117"/>
        <v>9579</v>
      </c>
      <c r="K332" s="952">
        <f t="shared" si="117"/>
        <v>18871</v>
      </c>
      <c r="L332" s="952">
        <f t="shared" si="117"/>
        <v>9600</v>
      </c>
      <c r="M332" s="952">
        <f t="shared" si="117"/>
        <v>9168</v>
      </c>
      <c r="N332" s="952">
        <f t="shared" si="117"/>
        <v>9729</v>
      </c>
      <c r="O332" s="953">
        <f t="shared" si="117"/>
        <v>129798.12700000001</v>
      </c>
      <c r="P332" s="954"/>
      <c r="Q332" s="955"/>
      <c r="R332" s="956"/>
      <c r="S332" s="955"/>
      <c r="T332" s="954"/>
      <c r="U332" s="951">
        <f>U147+U166+U191+U270+U295+U305+U316+U330</f>
        <v>28331.127</v>
      </c>
      <c r="V332" s="952">
        <f>V147+V166+V191+V270+V295+V305+V316+V330</f>
        <v>33894</v>
      </c>
      <c r="W332" s="952">
        <f>W147+W166+W191+W270+W295+W305+W316+W330</f>
        <v>39076</v>
      </c>
      <c r="X332" s="952">
        <f>X147+X166+X191+X270+X295+X305+X316+X330</f>
        <v>28497</v>
      </c>
      <c r="Y332" s="953">
        <f>Y147+Y166+Y191+Y270+Y295+Y305+Y316+Y330</f>
        <v>129798.12700000001</v>
      </c>
    </row>
    <row r="333" spans="1:25" s="992" customFormat="1" ht="12.75" customHeight="1" x14ac:dyDescent="0.25">
      <c r="A333" s="993"/>
      <c r="C333" s="954"/>
      <c r="D333" s="954"/>
      <c r="E333" s="954"/>
      <c r="F333" s="954"/>
      <c r="G333" s="954"/>
      <c r="H333" s="954"/>
      <c r="I333" s="954"/>
      <c r="J333" s="954"/>
      <c r="K333" s="954"/>
      <c r="L333" s="954"/>
      <c r="M333" s="954"/>
      <c r="N333" s="954"/>
      <c r="O333" s="954"/>
      <c r="P333" s="954"/>
      <c r="Q333" s="955"/>
      <c r="R333" s="956"/>
      <c r="S333" s="955"/>
      <c r="T333" s="954"/>
      <c r="U333" s="954"/>
      <c r="V333" s="954"/>
      <c r="W333" s="954"/>
      <c r="X333" s="954"/>
      <c r="Y333" s="954"/>
    </row>
    <row r="334" spans="1:25" x14ac:dyDescent="0.25">
      <c r="A334" s="910" t="s">
        <v>210</v>
      </c>
      <c r="C334" s="915"/>
      <c r="D334" s="915"/>
      <c r="E334" s="915"/>
      <c r="F334" s="915"/>
      <c r="G334" s="915"/>
      <c r="H334" s="915"/>
      <c r="I334" s="915"/>
      <c r="J334" s="915"/>
      <c r="K334" s="915"/>
      <c r="L334" s="915"/>
      <c r="M334" s="915"/>
      <c r="N334" s="915"/>
      <c r="O334" s="914"/>
      <c r="P334" s="914"/>
      <c r="Q334" s="912"/>
      <c r="R334" s="915"/>
      <c r="S334" s="912"/>
      <c r="T334" s="914"/>
      <c r="U334" s="914"/>
      <c r="V334" s="914"/>
      <c r="W334" s="914"/>
      <c r="X334" s="914"/>
      <c r="Y334" s="915"/>
    </row>
    <row r="335" spans="1:25" x14ac:dyDescent="0.25">
      <c r="A335" s="911" t="s">
        <v>211</v>
      </c>
      <c r="C335" s="926"/>
      <c r="D335" s="926"/>
      <c r="E335" s="926"/>
      <c r="F335" s="926"/>
      <c r="G335" s="926"/>
      <c r="H335" s="926"/>
      <c r="I335" s="926"/>
      <c r="J335" s="926"/>
      <c r="K335" s="926"/>
      <c r="L335" s="926"/>
      <c r="M335" s="926"/>
      <c r="N335" s="926"/>
      <c r="O335" s="142">
        <f t="shared" ref="O335:O341" si="118">SUM(C335:N335)</f>
        <v>0</v>
      </c>
      <c r="P335" s="142"/>
      <c r="Q335" s="912"/>
      <c r="R335" s="915"/>
      <c r="S335" s="912"/>
      <c r="T335" s="142"/>
      <c r="U335" s="914">
        <f t="shared" ref="U335:U341" si="119">C335+D335+E335</f>
        <v>0</v>
      </c>
      <c r="V335" s="914">
        <f t="shared" ref="V335:V341" si="120">F335+G335+H335</f>
        <v>0</v>
      </c>
      <c r="W335" s="914">
        <f t="shared" ref="W335:W341" si="121">I335+J335+K335</f>
        <v>0</v>
      </c>
      <c r="X335" s="914">
        <f t="shared" ref="X335:X341" si="122">L335+M335+N335</f>
        <v>0</v>
      </c>
      <c r="Y335" s="915">
        <f t="shared" ref="Y335:Y341" si="123">SUM(U335:X335)</f>
        <v>0</v>
      </c>
    </row>
    <row r="336" spans="1:25" x14ac:dyDescent="0.25">
      <c r="A336" s="911" t="s">
        <v>212</v>
      </c>
      <c r="C336" s="926"/>
      <c r="D336" s="926"/>
      <c r="E336" s="926"/>
      <c r="F336" s="926"/>
      <c r="G336" s="926"/>
      <c r="H336" s="926"/>
      <c r="I336" s="926"/>
      <c r="J336" s="926"/>
      <c r="K336" s="926"/>
      <c r="L336" s="926"/>
      <c r="M336" s="926"/>
      <c r="N336" s="926"/>
      <c r="O336" s="142">
        <f t="shared" si="118"/>
        <v>0</v>
      </c>
      <c r="P336" s="142"/>
      <c r="Q336" s="912"/>
      <c r="R336" s="915"/>
      <c r="S336" s="912"/>
      <c r="T336" s="142"/>
      <c r="U336" s="914">
        <f t="shared" si="119"/>
        <v>0</v>
      </c>
      <c r="V336" s="914">
        <f t="shared" si="120"/>
        <v>0</v>
      </c>
      <c r="W336" s="914">
        <f t="shared" si="121"/>
        <v>0</v>
      </c>
      <c r="X336" s="914">
        <f t="shared" si="122"/>
        <v>0</v>
      </c>
      <c r="Y336" s="915">
        <f t="shared" si="123"/>
        <v>0</v>
      </c>
    </row>
    <row r="337" spans="1:25" x14ac:dyDescent="0.25">
      <c r="A337" s="911" t="s">
        <v>213</v>
      </c>
      <c r="C337" s="926"/>
      <c r="D337" s="926"/>
      <c r="E337" s="926"/>
      <c r="F337" s="926"/>
      <c r="G337" s="926"/>
      <c r="H337" s="926"/>
      <c r="I337" s="926"/>
      <c r="J337" s="926"/>
      <c r="K337" s="926"/>
      <c r="L337" s="926"/>
      <c r="M337" s="926"/>
      <c r="N337" s="926"/>
      <c r="O337" s="142">
        <f t="shared" si="118"/>
        <v>0</v>
      </c>
      <c r="P337" s="142"/>
      <c r="Q337" s="912"/>
      <c r="R337" s="915"/>
      <c r="S337" s="912"/>
      <c r="T337" s="142"/>
      <c r="U337" s="914">
        <f t="shared" si="119"/>
        <v>0</v>
      </c>
      <c r="V337" s="914">
        <f t="shared" si="120"/>
        <v>0</v>
      </c>
      <c r="W337" s="914">
        <f t="shared" si="121"/>
        <v>0</v>
      </c>
      <c r="X337" s="914">
        <f t="shared" si="122"/>
        <v>0</v>
      </c>
      <c r="Y337" s="915">
        <f t="shared" si="123"/>
        <v>0</v>
      </c>
    </row>
    <row r="338" spans="1:25" x14ac:dyDescent="0.25">
      <c r="A338" s="911" t="s">
        <v>214</v>
      </c>
      <c r="C338" s="926"/>
      <c r="D338" s="926"/>
      <c r="E338" s="926"/>
      <c r="F338" s="926"/>
      <c r="G338" s="926"/>
      <c r="H338" s="926"/>
      <c r="I338" s="926"/>
      <c r="J338" s="926"/>
      <c r="K338" s="926"/>
      <c r="L338" s="926"/>
      <c r="M338" s="926"/>
      <c r="N338" s="926"/>
      <c r="O338" s="142">
        <f t="shared" si="118"/>
        <v>0</v>
      </c>
      <c r="P338" s="142"/>
      <c r="Q338" s="912"/>
      <c r="R338" s="915"/>
      <c r="S338" s="912"/>
      <c r="T338" s="142"/>
      <c r="U338" s="914">
        <f t="shared" si="119"/>
        <v>0</v>
      </c>
      <c r="V338" s="914">
        <f t="shared" si="120"/>
        <v>0</v>
      </c>
      <c r="W338" s="914">
        <f t="shared" si="121"/>
        <v>0</v>
      </c>
      <c r="X338" s="914">
        <f t="shared" si="122"/>
        <v>0</v>
      </c>
      <c r="Y338" s="915">
        <f t="shared" si="123"/>
        <v>0</v>
      </c>
    </row>
    <row r="339" spans="1:25" x14ac:dyDescent="0.25">
      <c r="A339" s="911" t="s">
        <v>215</v>
      </c>
      <c r="C339" s="926"/>
      <c r="D339" s="926"/>
      <c r="E339" s="926"/>
      <c r="F339" s="926"/>
      <c r="G339" s="926"/>
      <c r="H339" s="926"/>
      <c r="I339" s="926"/>
      <c r="J339" s="926"/>
      <c r="K339" s="926"/>
      <c r="L339" s="926"/>
      <c r="M339" s="926"/>
      <c r="N339" s="926"/>
      <c r="O339" s="142">
        <f t="shared" si="118"/>
        <v>0</v>
      </c>
      <c r="P339" s="142"/>
      <c r="Q339" s="912"/>
      <c r="R339" s="915"/>
      <c r="S339" s="912"/>
      <c r="T339" s="142"/>
      <c r="U339" s="914">
        <f t="shared" si="119"/>
        <v>0</v>
      </c>
      <c r="V339" s="914">
        <f t="shared" si="120"/>
        <v>0</v>
      </c>
      <c r="W339" s="914">
        <f t="shared" si="121"/>
        <v>0</v>
      </c>
      <c r="X339" s="914">
        <f t="shared" si="122"/>
        <v>0</v>
      </c>
      <c r="Y339" s="915">
        <f t="shared" si="123"/>
        <v>0</v>
      </c>
    </row>
    <row r="340" spans="1:25" x14ac:dyDescent="0.25">
      <c r="A340" s="911" t="s">
        <v>216</v>
      </c>
      <c r="C340" s="926"/>
      <c r="D340" s="926"/>
      <c r="E340" s="926"/>
      <c r="F340" s="926"/>
      <c r="G340" s="926"/>
      <c r="H340" s="926"/>
      <c r="I340" s="926"/>
      <c r="J340" s="926"/>
      <c r="K340" s="926"/>
      <c r="L340" s="926"/>
      <c r="M340" s="926"/>
      <c r="N340" s="926"/>
      <c r="O340" s="142">
        <f t="shared" si="118"/>
        <v>0</v>
      </c>
      <c r="P340" s="142"/>
      <c r="Q340" s="912"/>
      <c r="R340" s="915"/>
      <c r="S340" s="912"/>
      <c r="T340" s="142"/>
      <c r="U340" s="914">
        <f t="shared" si="119"/>
        <v>0</v>
      </c>
      <c r="V340" s="914">
        <f t="shared" si="120"/>
        <v>0</v>
      </c>
      <c r="W340" s="914">
        <f t="shared" si="121"/>
        <v>0</v>
      </c>
      <c r="X340" s="914">
        <f t="shared" si="122"/>
        <v>0</v>
      </c>
      <c r="Y340" s="915">
        <f t="shared" si="123"/>
        <v>0</v>
      </c>
    </row>
    <row r="341" spans="1:25" s="931" customFormat="1" ht="12.75" customHeight="1" x14ac:dyDescent="0.25">
      <c r="A341" s="964" t="s">
        <v>217</v>
      </c>
      <c r="C341" s="879"/>
      <c r="D341" s="879"/>
      <c r="E341" s="879"/>
      <c r="F341" s="879"/>
      <c r="G341" s="879"/>
      <c r="H341" s="879"/>
      <c r="I341" s="879"/>
      <c r="J341" s="879"/>
      <c r="K341" s="879"/>
      <c r="L341" s="879"/>
      <c r="M341" s="879"/>
      <c r="N341" s="879"/>
      <c r="O341" s="142">
        <f t="shared" si="118"/>
        <v>0</v>
      </c>
      <c r="P341" s="142"/>
      <c r="Q341" s="955"/>
      <c r="R341" s="943"/>
      <c r="S341" s="955"/>
      <c r="T341" s="142"/>
      <c r="U341" s="935">
        <f t="shared" si="119"/>
        <v>0</v>
      </c>
      <c r="V341" s="935">
        <f t="shared" si="120"/>
        <v>0</v>
      </c>
      <c r="W341" s="935">
        <f t="shared" si="121"/>
        <v>0</v>
      </c>
      <c r="X341" s="935">
        <f t="shared" si="122"/>
        <v>0</v>
      </c>
      <c r="Y341" s="915">
        <f t="shared" si="123"/>
        <v>0</v>
      </c>
    </row>
    <row r="342" spans="1:25" s="931" customFormat="1" ht="12.75" customHeight="1" thickBot="1" x14ac:dyDescent="0.3">
      <c r="A342" s="947"/>
      <c r="C342" s="937"/>
      <c r="D342" s="937"/>
      <c r="E342" s="937"/>
      <c r="F342" s="937"/>
      <c r="G342" s="937"/>
      <c r="H342" s="937"/>
      <c r="I342" s="937"/>
      <c r="J342" s="937"/>
      <c r="K342" s="937"/>
      <c r="L342" s="937"/>
      <c r="M342" s="937"/>
      <c r="N342" s="937"/>
      <c r="O342" s="935"/>
      <c r="P342" s="935"/>
      <c r="Q342" s="942"/>
      <c r="R342" s="937"/>
      <c r="S342" s="942"/>
      <c r="T342" s="935"/>
      <c r="U342" s="935"/>
      <c r="V342" s="935"/>
      <c r="W342" s="935"/>
      <c r="X342" s="935"/>
      <c r="Y342" s="937"/>
    </row>
    <row r="343" spans="1:25" s="931" customFormat="1" ht="12.75" customHeight="1" thickBot="1" x14ac:dyDescent="0.3">
      <c r="A343" s="965" t="s">
        <v>218</v>
      </c>
      <c r="C343" s="994">
        <f t="shared" ref="C343:O343" si="124">SUM(C332:C341)</f>
        <v>11959.029</v>
      </c>
      <c r="D343" s="995">
        <f t="shared" si="124"/>
        <v>15034.098</v>
      </c>
      <c r="E343" s="995">
        <f t="shared" si="124"/>
        <v>1338</v>
      </c>
      <c r="F343" s="995">
        <f t="shared" si="124"/>
        <v>12359</v>
      </c>
      <c r="G343" s="995">
        <f t="shared" si="124"/>
        <v>11795</v>
      </c>
      <c r="H343" s="995">
        <f t="shared" si="124"/>
        <v>9740</v>
      </c>
      <c r="I343" s="995">
        <f t="shared" si="124"/>
        <v>10626</v>
      </c>
      <c r="J343" s="995">
        <f t="shared" si="124"/>
        <v>9579</v>
      </c>
      <c r="K343" s="995">
        <f t="shared" si="124"/>
        <v>18871</v>
      </c>
      <c r="L343" s="995">
        <f t="shared" si="124"/>
        <v>9600</v>
      </c>
      <c r="M343" s="995">
        <f t="shared" si="124"/>
        <v>9168</v>
      </c>
      <c r="N343" s="995">
        <f t="shared" si="124"/>
        <v>9729</v>
      </c>
      <c r="O343" s="996">
        <f t="shared" si="124"/>
        <v>129798.12700000001</v>
      </c>
      <c r="P343" s="954"/>
      <c r="Q343" s="997"/>
      <c r="R343" s="954"/>
      <c r="S343" s="997"/>
      <c r="T343" s="954"/>
      <c r="U343" s="994">
        <f>SUM(U332:U341)</f>
        <v>28331.127</v>
      </c>
      <c r="V343" s="995">
        <f>SUM(V332:V341)</f>
        <v>33894</v>
      </c>
      <c r="W343" s="995">
        <f>SUM(W332:W341)</f>
        <v>39076</v>
      </c>
      <c r="X343" s="995">
        <f>SUM(X332:X341)</f>
        <v>28497</v>
      </c>
      <c r="Y343" s="996">
        <f>SUM(Y332:Y341)</f>
        <v>129798.12700000001</v>
      </c>
    </row>
    <row r="344" spans="1:25" s="931" customFormat="1" ht="12.75" customHeight="1" x14ac:dyDescent="0.25">
      <c r="A344" s="965"/>
      <c r="C344" s="954"/>
      <c r="D344" s="954"/>
      <c r="E344" s="954"/>
      <c r="F344" s="954"/>
      <c r="G344" s="954"/>
      <c r="H344" s="954"/>
      <c r="I344" s="954"/>
      <c r="J344" s="954"/>
      <c r="K344" s="954"/>
      <c r="L344" s="954"/>
      <c r="M344" s="954"/>
      <c r="N344" s="954"/>
      <c r="O344" s="954"/>
      <c r="P344" s="954"/>
      <c r="Q344" s="997"/>
      <c r="R344" s="954"/>
      <c r="S344" s="997"/>
      <c r="T344" s="954"/>
      <c r="U344" s="954"/>
      <c r="V344" s="954"/>
      <c r="W344" s="954"/>
      <c r="X344" s="954"/>
      <c r="Y344" s="954"/>
    </row>
    <row r="345" spans="1:25" x14ac:dyDescent="0.25">
      <c r="A345" s="911" t="s">
        <v>219</v>
      </c>
      <c r="C345" s="914"/>
      <c r="D345" s="914"/>
      <c r="E345" s="914"/>
      <c r="F345" s="914"/>
      <c r="G345" s="914"/>
      <c r="H345" s="914"/>
      <c r="I345" s="914"/>
      <c r="J345" s="914"/>
      <c r="K345" s="914"/>
      <c r="L345" s="914"/>
      <c r="M345" s="914"/>
      <c r="N345" s="914"/>
      <c r="O345" s="142">
        <f t="shared" ref="O345:O356" si="125">SUM(C345:N345)</f>
        <v>0</v>
      </c>
      <c r="P345" s="142"/>
      <c r="Q345" s="998"/>
      <c r="R345" s="980" t="s">
        <v>220</v>
      </c>
      <c r="S345" s="998"/>
      <c r="T345" s="142"/>
      <c r="U345" s="935">
        <f t="shared" ref="U345:U356" si="126">C345+D345+E345</f>
        <v>0</v>
      </c>
      <c r="V345" s="935">
        <f t="shared" ref="V345:V356" si="127">F345+G345+H345</f>
        <v>0</v>
      </c>
      <c r="W345" s="935">
        <f t="shared" ref="W345:W356" si="128">I345+J345+K345</f>
        <v>0</v>
      </c>
      <c r="X345" s="935">
        <f t="shared" ref="X345:X356" si="129">L345+M345+N345</f>
        <v>0</v>
      </c>
      <c r="Y345" s="915">
        <f t="shared" ref="Y345:Y356" si="130">SUM(U345:X345)</f>
        <v>0</v>
      </c>
    </row>
    <row r="346" spans="1:25" x14ac:dyDescent="0.25">
      <c r="A346" s="911" t="s">
        <v>221</v>
      </c>
      <c r="C346" s="914"/>
      <c r="D346" s="914"/>
      <c r="E346" s="914"/>
      <c r="F346" s="914"/>
      <c r="G346" s="914"/>
      <c r="H346" s="914"/>
      <c r="I346" s="914"/>
      <c r="J346" s="914"/>
      <c r="K346" s="914"/>
      <c r="L346" s="914"/>
      <c r="M346" s="914"/>
      <c r="N346" s="914"/>
      <c r="O346" s="142">
        <f t="shared" si="125"/>
        <v>0</v>
      </c>
      <c r="P346" s="142"/>
      <c r="Q346" s="998"/>
      <c r="R346" s="980" t="s">
        <v>220</v>
      </c>
      <c r="S346" s="998"/>
      <c r="T346" s="142"/>
      <c r="U346" s="935">
        <f t="shared" si="126"/>
        <v>0</v>
      </c>
      <c r="V346" s="935">
        <f t="shared" si="127"/>
        <v>0</v>
      </c>
      <c r="W346" s="935">
        <f t="shared" si="128"/>
        <v>0</v>
      </c>
      <c r="X346" s="935">
        <f t="shared" si="129"/>
        <v>0</v>
      </c>
      <c r="Y346" s="915">
        <f t="shared" si="130"/>
        <v>0</v>
      </c>
    </row>
    <row r="347" spans="1:25" x14ac:dyDescent="0.25">
      <c r="A347" s="911" t="s">
        <v>222</v>
      </c>
      <c r="C347" s="914"/>
      <c r="D347" s="914"/>
      <c r="E347" s="914"/>
      <c r="F347" s="914"/>
      <c r="G347" s="914"/>
      <c r="H347" s="914"/>
      <c r="I347" s="914"/>
      <c r="J347" s="914"/>
      <c r="K347" s="914"/>
      <c r="L347" s="914"/>
      <c r="M347" s="914"/>
      <c r="N347" s="914"/>
      <c r="O347" s="142">
        <f t="shared" si="125"/>
        <v>0</v>
      </c>
      <c r="P347" s="142"/>
      <c r="Q347" s="998"/>
      <c r="R347" s="980" t="s">
        <v>220</v>
      </c>
      <c r="S347" s="998"/>
      <c r="T347" s="142"/>
      <c r="U347" s="935">
        <f t="shared" si="126"/>
        <v>0</v>
      </c>
      <c r="V347" s="935">
        <f t="shared" si="127"/>
        <v>0</v>
      </c>
      <c r="W347" s="935">
        <f t="shared" si="128"/>
        <v>0</v>
      </c>
      <c r="X347" s="935">
        <f t="shared" si="129"/>
        <v>0</v>
      </c>
      <c r="Y347" s="915">
        <f t="shared" si="130"/>
        <v>0</v>
      </c>
    </row>
    <row r="348" spans="1:25" x14ac:dyDescent="0.25">
      <c r="A348" s="911" t="s">
        <v>223</v>
      </c>
      <c r="C348" s="914"/>
      <c r="D348" s="914"/>
      <c r="E348" s="914"/>
      <c r="F348" s="914"/>
      <c r="G348" s="914"/>
      <c r="H348" s="914"/>
      <c r="I348" s="914"/>
      <c r="J348" s="914"/>
      <c r="K348" s="914"/>
      <c r="L348" s="914"/>
      <c r="M348" s="914"/>
      <c r="N348" s="914"/>
      <c r="O348" s="142">
        <f t="shared" si="125"/>
        <v>0</v>
      </c>
      <c r="P348" s="142"/>
      <c r="Q348" s="998"/>
      <c r="R348" s="980" t="s">
        <v>220</v>
      </c>
      <c r="S348" s="998"/>
      <c r="T348" s="142"/>
      <c r="U348" s="935">
        <f t="shared" si="126"/>
        <v>0</v>
      </c>
      <c r="V348" s="935">
        <f t="shared" si="127"/>
        <v>0</v>
      </c>
      <c r="W348" s="935">
        <f t="shared" si="128"/>
        <v>0</v>
      </c>
      <c r="X348" s="935">
        <f t="shared" si="129"/>
        <v>0</v>
      </c>
      <c r="Y348" s="915">
        <f t="shared" si="130"/>
        <v>0</v>
      </c>
    </row>
    <row r="349" spans="1:25" x14ac:dyDescent="0.25">
      <c r="A349" s="911" t="s">
        <v>224</v>
      </c>
      <c r="C349" s="914"/>
      <c r="D349" s="914"/>
      <c r="E349" s="914"/>
      <c r="F349" s="914"/>
      <c r="G349" s="914"/>
      <c r="H349" s="914"/>
      <c r="I349" s="914"/>
      <c r="J349" s="914"/>
      <c r="K349" s="914"/>
      <c r="L349" s="914"/>
      <c r="M349" s="914"/>
      <c r="N349" s="914"/>
      <c r="O349" s="142">
        <f t="shared" si="125"/>
        <v>0</v>
      </c>
      <c r="P349" s="142"/>
      <c r="Q349" s="998"/>
      <c r="R349" s="980" t="s">
        <v>220</v>
      </c>
      <c r="S349" s="998"/>
      <c r="T349" s="142"/>
      <c r="U349" s="935">
        <f t="shared" si="126"/>
        <v>0</v>
      </c>
      <c r="V349" s="935">
        <f t="shared" si="127"/>
        <v>0</v>
      </c>
      <c r="W349" s="935">
        <f t="shared" si="128"/>
        <v>0</v>
      </c>
      <c r="X349" s="935">
        <f t="shared" si="129"/>
        <v>0</v>
      </c>
      <c r="Y349" s="915">
        <f t="shared" si="130"/>
        <v>0</v>
      </c>
    </row>
    <row r="350" spans="1:25" x14ac:dyDescent="0.25">
      <c r="A350" s="911" t="s">
        <v>225</v>
      </c>
      <c r="C350" s="914"/>
      <c r="D350" s="914"/>
      <c r="E350" s="914"/>
      <c r="F350" s="914"/>
      <c r="G350" s="914"/>
      <c r="H350" s="914"/>
      <c r="I350" s="914"/>
      <c r="J350" s="914"/>
      <c r="K350" s="914"/>
      <c r="L350" s="914"/>
      <c r="M350" s="914"/>
      <c r="N350" s="914"/>
      <c r="O350" s="142">
        <f t="shared" si="125"/>
        <v>0</v>
      </c>
      <c r="P350" s="142"/>
      <c r="Q350" s="998"/>
      <c r="R350" s="980" t="s">
        <v>220</v>
      </c>
      <c r="S350" s="998"/>
      <c r="T350" s="142"/>
      <c r="U350" s="935">
        <f t="shared" si="126"/>
        <v>0</v>
      </c>
      <c r="V350" s="935">
        <f t="shared" si="127"/>
        <v>0</v>
      </c>
      <c r="W350" s="935">
        <f t="shared" si="128"/>
        <v>0</v>
      </c>
      <c r="X350" s="935">
        <f t="shared" si="129"/>
        <v>0</v>
      </c>
      <c r="Y350" s="915">
        <f t="shared" si="130"/>
        <v>0</v>
      </c>
    </row>
    <row r="351" spans="1:25" x14ac:dyDescent="0.25">
      <c r="A351" s="911" t="s">
        <v>226</v>
      </c>
      <c r="C351" s="914"/>
      <c r="D351" s="914"/>
      <c r="E351" s="914"/>
      <c r="F351" s="914"/>
      <c r="G351" s="914"/>
      <c r="H351" s="914"/>
      <c r="I351" s="914"/>
      <c r="J351" s="914"/>
      <c r="K351" s="914"/>
      <c r="L351" s="914"/>
      <c r="M351" s="914"/>
      <c r="N351" s="914"/>
      <c r="O351" s="142">
        <f t="shared" si="125"/>
        <v>0</v>
      </c>
      <c r="P351" s="142"/>
      <c r="Q351" s="998"/>
      <c r="R351" s="980" t="s">
        <v>220</v>
      </c>
      <c r="S351" s="998"/>
      <c r="T351" s="142"/>
      <c r="U351" s="935">
        <f t="shared" si="126"/>
        <v>0</v>
      </c>
      <c r="V351" s="935">
        <f t="shared" si="127"/>
        <v>0</v>
      </c>
      <c r="W351" s="935">
        <f t="shared" si="128"/>
        <v>0</v>
      </c>
      <c r="X351" s="935">
        <f t="shared" si="129"/>
        <v>0</v>
      </c>
      <c r="Y351" s="915">
        <f t="shared" si="130"/>
        <v>0</v>
      </c>
    </row>
    <row r="352" spans="1:25" x14ac:dyDescent="0.25">
      <c r="A352" s="911" t="s">
        <v>227</v>
      </c>
      <c r="C352" s="914"/>
      <c r="D352" s="914"/>
      <c r="E352" s="914"/>
      <c r="F352" s="914"/>
      <c r="G352" s="914"/>
      <c r="H352" s="914"/>
      <c r="I352" s="914"/>
      <c r="J352" s="914"/>
      <c r="K352" s="914"/>
      <c r="L352" s="914"/>
      <c r="M352" s="914"/>
      <c r="N352" s="914"/>
      <c r="O352" s="142">
        <f t="shared" si="125"/>
        <v>0</v>
      </c>
      <c r="P352" s="142"/>
      <c r="Q352" s="998"/>
      <c r="R352" s="980" t="s">
        <v>220</v>
      </c>
      <c r="S352" s="998"/>
      <c r="T352" s="142"/>
      <c r="U352" s="935">
        <f t="shared" si="126"/>
        <v>0</v>
      </c>
      <c r="V352" s="935">
        <f t="shared" si="127"/>
        <v>0</v>
      </c>
      <c r="W352" s="935">
        <f t="shared" si="128"/>
        <v>0</v>
      </c>
      <c r="X352" s="935">
        <f t="shared" si="129"/>
        <v>0</v>
      </c>
      <c r="Y352" s="915">
        <f t="shared" si="130"/>
        <v>0</v>
      </c>
    </row>
    <row r="353" spans="1:25" x14ac:dyDescent="0.25">
      <c r="A353" s="911" t="s">
        <v>228</v>
      </c>
      <c r="C353" s="914">
        <f>-IntDeduct!C12</f>
        <v>1</v>
      </c>
      <c r="D353" s="914">
        <f>-IntDeduct!D12</f>
        <v>1</v>
      </c>
      <c r="E353" s="914">
        <f>-IntDeduct!E12</f>
        <v>1</v>
      </c>
      <c r="F353" s="914">
        <f>-IntDeduct!F12</f>
        <v>1</v>
      </c>
      <c r="G353" s="914">
        <f>-IntDeduct!G12</f>
        <v>1</v>
      </c>
      <c r="H353" s="914">
        <f>-IntDeduct!H12</f>
        <v>1</v>
      </c>
      <c r="I353" s="914">
        <f>-IntDeduct!I12</f>
        <v>1</v>
      </c>
      <c r="J353" s="914">
        <f>-IntDeduct!J12</f>
        <v>4</v>
      </c>
      <c r="K353" s="914">
        <f>-IntDeduct!K12</f>
        <v>3</v>
      </c>
      <c r="L353" s="914">
        <f>-IntDeduct!L12</f>
        <v>2</v>
      </c>
      <c r="M353" s="914">
        <f>-IntDeduct!M12</f>
        <v>3</v>
      </c>
      <c r="N353" s="914">
        <f>-IntDeduct!N12</f>
        <v>3</v>
      </c>
      <c r="O353" s="142">
        <f t="shared" si="125"/>
        <v>22</v>
      </c>
      <c r="P353" s="142"/>
      <c r="Q353" s="998"/>
      <c r="R353" s="980" t="s">
        <v>220</v>
      </c>
      <c r="S353" s="998"/>
      <c r="T353" s="142"/>
      <c r="U353" s="935">
        <f t="shared" si="126"/>
        <v>3</v>
      </c>
      <c r="V353" s="935">
        <f t="shared" si="127"/>
        <v>3</v>
      </c>
      <c r="W353" s="935">
        <f t="shared" si="128"/>
        <v>8</v>
      </c>
      <c r="X353" s="935">
        <f t="shared" si="129"/>
        <v>8</v>
      </c>
      <c r="Y353" s="915">
        <f t="shared" si="130"/>
        <v>22</v>
      </c>
    </row>
    <row r="354" spans="1:25" x14ac:dyDescent="0.25">
      <c r="A354" s="911" t="s">
        <v>229</v>
      </c>
      <c r="C354" s="914">
        <f>-IntDeduct!C13</f>
        <v>0</v>
      </c>
      <c r="D354" s="914">
        <f>-IntDeduct!D13</f>
        <v>0</v>
      </c>
      <c r="E354" s="914">
        <f>-IntDeduct!E13</f>
        <v>0</v>
      </c>
      <c r="F354" s="914">
        <f>-IntDeduct!F13</f>
        <v>0</v>
      </c>
      <c r="G354" s="914">
        <f>-IntDeduct!G13</f>
        <v>0</v>
      </c>
      <c r="H354" s="914">
        <f>-IntDeduct!H13</f>
        <v>0</v>
      </c>
      <c r="I354" s="914">
        <f>-IntDeduct!I13</f>
        <v>0</v>
      </c>
      <c r="J354" s="914">
        <f>-IntDeduct!J13</f>
        <v>0</v>
      </c>
      <c r="K354" s="914">
        <f>-IntDeduct!K13</f>
        <v>0</v>
      </c>
      <c r="L354" s="914">
        <f>-IntDeduct!L13</f>
        <v>0</v>
      </c>
      <c r="M354" s="914">
        <f>-IntDeduct!M13</f>
        <v>0</v>
      </c>
      <c r="N354" s="914">
        <f>-IntDeduct!N13</f>
        <v>0</v>
      </c>
      <c r="O354" s="142">
        <f t="shared" si="125"/>
        <v>0</v>
      </c>
      <c r="P354" s="142"/>
      <c r="Q354" s="998"/>
      <c r="R354" s="980" t="s">
        <v>220</v>
      </c>
      <c r="S354" s="998"/>
      <c r="T354" s="142"/>
      <c r="U354" s="935">
        <f t="shared" si="126"/>
        <v>0</v>
      </c>
      <c r="V354" s="935">
        <f t="shared" si="127"/>
        <v>0</v>
      </c>
      <c r="W354" s="935">
        <f t="shared" si="128"/>
        <v>0</v>
      </c>
      <c r="X354" s="935">
        <f t="shared" si="129"/>
        <v>0</v>
      </c>
      <c r="Y354" s="915">
        <f t="shared" si="130"/>
        <v>0</v>
      </c>
    </row>
    <row r="355" spans="1:25" x14ac:dyDescent="0.25">
      <c r="A355" s="911" t="s">
        <v>19</v>
      </c>
      <c r="C355" s="914">
        <f>-IntDeduct!C14</f>
        <v>0</v>
      </c>
      <c r="D355" s="914">
        <f>-IntDeduct!D14</f>
        <v>1</v>
      </c>
      <c r="E355" s="914">
        <f>-IntDeduct!E14</f>
        <v>0</v>
      </c>
      <c r="F355" s="914">
        <f>-IntDeduct!F14</f>
        <v>1</v>
      </c>
      <c r="G355" s="914">
        <f>-IntDeduct!G14</f>
        <v>0</v>
      </c>
      <c r="H355" s="914">
        <f>-IntDeduct!H14</f>
        <v>0</v>
      </c>
      <c r="I355" s="914">
        <f>-IntDeduct!I14</f>
        <v>0</v>
      </c>
      <c r="J355" s="914">
        <f>-IntDeduct!J14</f>
        <v>0</v>
      </c>
      <c r="K355" s="914">
        <f>-IntDeduct!K14</f>
        <v>0</v>
      </c>
      <c r="L355" s="914">
        <f>-IntDeduct!L14</f>
        <v>0</v>
      </c>
      <c r="M355" s="914">
        <f>-IntDeduct!M14</f>
        <v>0</v>
      </c>
      <c r="N355" s="914">
        <f>-IntDeduct!N14</f>
        <v>0</v>
      </c>
      <c r="O355" s="142">
        <f t="shared" si="125"/>
        <v>2</v>
      </c>
      <c r="P355" s="142"/>
      <c r="Q355" s="998"/>
      <c r="R355" s="980" t="s">
        <v>220</v>
      </c>
      <c r="S355" s="998"/>
      <c r="T355" s="142"/>
      <c r="U355" s="935">
        <f t="shared" si="126"/>
        <v>1</v>
      </c>
      <c r="V355" s="935">
        <f t="shared" si="127"/>
        <v>1</v>
      </c>
      <c r="W355" s="935">
        <f t="shared" si="128"/>
        <v>0</v>
      </c>
      <c r="X355" s="935">
        <f t="shared" si="129"/>
        <v>0</v>
      </c>
      <c r="Y355" s="915">
        <f t="shared" si="130"/>
        <v>2</v>
      </c>
    </row>
    <row r="356" spans="1:25" x14ac:dyDescent="0.25">
      <c r="A356" s="911" t="s">
        <v>1093</v>
      </c>
      <c r="C356" s="999"/>
      <c r="D356" s="999"/>
      <c r="E356" s="999"/>
      <c r="F356" s="999"/>
      <c r="G356" s="999"/>
      <c r="H356" s="999"/>
      <c r="I356" s="999"/>
      <c r="J356" s="999"/>
      <c r="K356" s="999"/>
      <c r="L356" s="999"/>
      <c r="M356" s="999"/>
      <c r="N356" s="999"/>
      <c r="O356" s="142">
        <f t="shared" si="125"/>
        <v>0</v>
      </c>
      <c r="P356" s="142"/>
      <c r="Q356" s="998"/>
      <c r="R356" s="980" t="s">
        <v>220</v>
      </c>
      <c r="S356" s="998"/>
      <c r="T356" s="142"/>
      <c r="U356" s="935">
        <f t="shared" si="126"/>
        <v>0</v>
      </c>
      <c r="V356" s="935">
        <f t="shared" si="127"/>
        <v>0</v>
      </c>
      <c r="W356" s="935">
        <f t="shared" si="128"/>
        <v>0</v>
      </c>
      <c r="X356" s="935">
        <f t="shared" si="129"/>
        <v>0</v>
      </c>
      <c r="Y356" s="915">
        <f t="shared" si="130"/>
        <v>0</v>
      </c>
    </row>
    <row r="357" spans="1:25" ht="6" customHeight="1" x14ac:dyDescent="0.25">
      <c r="A357" s="911"/>
      <c r="C357" s="999"/>
      <c r="D357" s="999"/>
      <c r="E357" s="999"/>
      <c r="F357" s="999"/>
      <c r="G357" s="999"/>
      <c r="H357" s="999"/>
      <c r="I357" s="999"/>
      <c r="J357" s="999"/>
      <c r="K357" s="999"/>
      <c r="L357" s="999"/>
      <c r="M357" s="999"/>
      <c r="N357" s="999"/>
      <c r="O357" s="999"/>
      <c r="P357" s="999"/>
      <c r="Q357" s="998"/>
      <c r="R357" s="980"/>
      <c r="S357" s="998"/>
      <c r="T357" s="999"/>
      <c r="U357" s="999"/>
      <c r="V357" s="999"/>
      <c r="W357" s="999"/>
      <c r="X357" s="999"/>
      <c r="Y357" s="999"/>
    </row>
    <row r="358" spans="1:25" x14ac:dyDescent="0.25">
      <c r="A358" s="911" t="s">
        <v>230</v>
      </c>
      <c r="C358" s="914">
        <f>-IntDeduct!C23</f>
        <v>0</v>
      </c>
      <c r="D358" s="914">
        <f>-IntDeduct!D23</f>
        <v>0</v>
      </c>
      <c r="E358" s="914">
        <f>-IntDeduct!E23</f>
        <v>5198</v>
      </c>
      <c r="F358" s="914">
        <f>-IntDeduct!F23</f>
        <v>1785</v>
      </c>
      <c r="G358" s="914">
        <f>-IntDeduct!G23</f>
        <v>1429</v>
      </c>
      <c r="H358" s="914">
        <f>-IntDeduct!H23</f>
        <v>1319</v>
      </c>
      <c r="I358" s="914">
        <f>-IntDeduct!I23</f>
        <v>825</v>
      </c>
      <c r="J358" s="914">
        <f>-IntDeduct!J23</f>
        <v>884</v>
      </c>
      <c r="K358" s="914">
        <f>-IntDeduct!K23</f>
        <v>844</v>
      </c>
      <c r="L358" s="914">
        <f>-IntDeduct!L23</f>
        <v>869</v>
      </c>
      <c r="M358" s="914">
        <f>-IntDeduct!M23</f>
        <v>822</v>
      </c>
      <c r="N358" s="914">
        <f>-IntDeduct!N23</f>
        <v>820</v>
      </c>
      <c r="O358" s="142">
        <f>SUM(C358:N358)</f>
        <v>14795</v>
      </c>
      <c r="P358" s="142"/>
      <c r="Q358" s="998"/>
      <c r="R358" s="976" t="s">
        <v>231</v>
      </c>
      <c r="S358" s="998"/>
      <c r="T358" s="142"/>
      <c r="U358" s="935">
        <f>C358+D358+E358</f>
        <v>5198</v>
      </c>
      <c r="V358" s="935">
        <f>F358+G358+H358</f>
        <v>4533</v>
      </c>
      <c r="W358" s="935">
        <f>I358+J358+K358</f>
        <v>2553</v>
      </c>
      <c r="X358" s="935">
        <f>L358+M358+N358</f>
        <v>2511</v>
      </c>
      <c r="Y358" s="915">
        <f>SUM(U358:X358)</f>
        <v>14795</v>
      </c>
    </row>
    <row r="359" spans="1:25" ht="6" customHeight="1" x14ac:dyDescent="0.25">
      <c r="A359" s="911"/>
      <c r="C359" s="999"/>
      <c r="D359" s="999"/>
      <c r="E359" s="999"/>
      <c r="F359" s="999"/>
      <c r="G359" s="999"/>
      <c r="H359" s="999"/>
      <c r="I359" s="999"/>
      <c r="J359" s="999"/>
      <c r="K359" s="999"/>
      <c r="L359" s="999"/>
      <c r="M359" s="999"/>
      <c r="N359" s="999"/>
      <c r="O359" s="999"/>
      <c r="P359" s="999"/>
      <c r="Q359" s="998"/>
      <c r="R359" s="980"/>
      <c r="S359" s="998"/>
      <c r="T359" s="999"/>
      <c r="U359" s="999"/>
      <c r="V359" s="999"/>
      <c r="W359" s="999"/>
      <c r="X359" s="999"/>
      <c r="Y359" s="999"/>
    </row>
    <row r="360" spans="1:25" x14ac:dyDescent="0.25">
      <c r="A360" s="911" t="s">
        <v>232</v>
      </c>
      <c r="C360" s="914">
        <f>-IntDeduct!C20</f>
        <v>-118</v>
      </c>
      <c r="D360" s="914">
        <f>-IntDeduct!D20</f>
        <v>-118</v>
      </c>
      <c r="E360" s="914">
        <f>-IntDeduct!E20</f>
        <v>-119</v>
      </c>
      <c r="F360" s="914">
        <f>-IntDeduct!F20</f>
        <v>-118</v>
      </c>
      <c r="G360" s="914">
        <f>-IntDeduct!G20</f>
        <v>-118</v>
      </c>
      <c r="H360" s="914">
        <f>-IntDeduct!H20</f>
        <v>-118</v>
      </c>
      <c r="I360" s="914">
        <f>-IntDeduct!I20</f>
        <v>-118</v>
      </c>
      <c r="J360" s="914">
        <f>-IntDeduct!J20</f>
        <v>-118</v>
      </c>
      <c r="K360" s="914">
        <f>-IntDeduct!K20</f>
        <v>-119</v>
      </c>
      <c r="L360" s="914">
        <f>-IntDeduct!L20</f>
        <v>-118</v>
      </c>
      <c r="M360" s="914">
        <f>-IntDeduct!M20</f>
        <v>-89</v>
      </c>
      <c r="N360" s="914">
        <f>-IntDeduct!N20</f>
        <v>-89</v>
      </c>
      <c r="O360" s="142">
        <f>SUM(C360:N360)</f>
        <v>-1360</v>
      </c>
      <c r="P360" s="142"/>
      <c r="Q360" s="998"/>
      <c r="R360" s="980" t="s">
        <v>220</v>
      </c>
      <c r="S360" s="998"/>
      <c r="T360" s="142"/>
      <c r="U360" s="935">
        <f>C360+D360+E360</f>
        <v>-355</v>
      </c>
      <c r="V360" s="935">
        <f>F360+G360+H360</f>
        <v>-354</v>
      </c>
      <c r="W360" s="935">
        <f>I360+J360+K360</f>
        <v>-355</v>
      </c>
      <c r="X360" s="935">
        <f>L360+M360+N360</f>
        <v>-296</v>
      </c>
      <c r="Y360" s="915">
        <f>SUM(U360:X360)</f>
        <v>-1360</v>
      </c>
    </row>
    <row r="361" spans="1:25" x14ac:dyDescent="0.25">
      <c r="A361" s="911" t="s">
        <v>233</v>
      </c>
      <c r="C361" s="914">
        <f>-IntDeduct!C21</f>
        <v>-1</v>
      </c>
      <c r="D361" s="914">
        <f>-IntDeduct!D21</f>
        <v>-1</v>
      </c>
      <c r="E361" s="914">
        <f>-IntDeduct!E21</f>
        <v>-1</v>
      </c>
      <c r="F361" s="914">
        <f>-IntDeduct!F21</f>
        <v>-1</v>
      </c>
      <c r="G361" s="914">
        <f>-IntDeduct!G21</f>
        <v>-1</v>
      </c>
      <c r="H361" s="914">
        <f>-IntDeduct!H21</f>
        <v>-1</v>
      </c>
      <c r="I361" s="914">
        <f>-IntDeduct!I21</f>
        <v>-1</v>
      </c>
      <c r="J361" s="914">
        <f>-IntDeduct!J21</f>
        <v>-1</v>
      </c>
      <c r="K361" s="914">
        <f>-IntDeduct!K21</f>
        <v>-1</v>
      </c>
      <c r="L361" s="914">
        <f>-IntDeduct!L21</f>
        <v>-1</v>
      </c>
      <c r="M361" s="914">
        <f>-IntDeduct!M21</f>
        <v>-1</v>
      </c>
      <c r="N361" s="914">
        <f>-IntDeduct!N21</f>
        <v>-1</v>
      </c>
      <c r="O361" s="142">
        <f>SUM(C361:N361)</f>
        <v>-12</v>
      </c>
      <c r="P361" s="142"/>
      <c r="Q361" s="998"/>
      <c r="R361" s="980" t="s">
        <v>220</v>
      </c>
      <c r="S361" s="998"/>
      <c r="T361" s="142"/>
      <c r="U361" s="935">
        <f>C361+D361+E361</f>
        <v>-3</v>
      </c>
      <c r="V361" s="935">
        <f>F361+G361+H361</f>
        <v>-3</v>
      </c>
      <c r="W361" s="935">
        <f>I361+J361+K361</f>
        <v>-3</v>
      </c>
      <c r="X361" s="935">
        <f>L361+M361+N361</f>
        <v>-3</v>
      </c>
      <c r="Y361" s="915">
        <f>SUM(U361:X361)</f>
        <v>-12</v>
      </c>
    </row>
    <row r="362" spans="1:25" x14ac:dyDescent="0.25">
      <c r="A362" s="911" t="s">
        <v>234</v>
      </c>
      <c r="C362" s="914">
        <f>-IntDeduct!C22</f>
        <v>-925</v>
      </c>
      <c r="D362" s="914">
        <f>-IntDeduct!D22</f>
        <v>-925</v>
      </c>
      <c r="E362" s="914">
        <f>-IntDeduct!E22</f>
        <v>-925</v>
      </c>
      <c r="F362" s="914">
        <f>-IntDeduct!F22</f>
        <v>-657</v>
      </c>
      <c r="G362" s="914">
        <f>-IntDeduct!G22</f>
        <v>-678</v>
      </c>
      <c r="H362" s="914">
        <f>-IntDeduct!H22</f>
        <v>-613</v>
      </c>
      <c r="I362" s="914">
        <f>-IntDeduct!I22</f>
        <v>0</v>
      </c>
      <c r="J362" s="914">
        <f>-IntDeduct!J22</f>
        <v>0</v>
      </c>
      <c r="K362" s="914">
        <f>-IntDeduct!K22</f>
        <v>0</v>
      </c>
      <c r="L362" s="914">
        <f>-IntDeduct!L22</f>
        <v>0</v>
      </c>
      <c r="M362" s="914">
        <f>-IntDeduct!M22</f>
        <v>0</v>
      </c>
      <c r="N362" s="914">
        <f>-IntDeduct!N22</f>
        <v>0</v>
      </c>
      <c r="O362" s="142">
        <f>SUM(C362:N362)</f>
        <v>-4723</v>
      </c>
      <c r="P362" s="142"/>
      <c r="Q362" s="998"/>
      <c r="R362" s="980" t="s">
        <v>220</v>
      </c>
      <c r="S362" s="998"/>
      <c r="T362" s="142"/>
      <c r="U362" s="935">
        <f>C362+D362+E362</f>
        <v>-2775</v>
      </c>
      <c r="V362" s="935">
        <f>F362+G362+H362</f>
        <v>-1948</v>
      </c>
      <c r="W362" s="935">
        <f>I362+J362+K362</f>
        <v>0</v>
      </c>
      <c r="X362" s="935">
        <f>L362+M362+N362</f>
        <v>0</v>
      </c>
      <c r="Y362" s="915">
        <f>SUM(U362:X362)</f>
        <v>-4723</v>
      </c>
    </row>
    <row r="363" spans="1:25" x14ac:dyDescent="0.25">
      <c r="A363" s="911" t="s">
        <v>233</v>
      </c>
      <c r="C363" s="914"/>
      <c r="D363" s="914"/>
      <c r="E363" s="914"/>
      <c r="F363" s="914"/>
      <c r="G363" s="914"/>
      <c r="H363" s="914"/>
      <c r="I363" s="914"/>
      <c r="J363" s="914"/>
      <c r="K363" s="914"/>
      <c r="L363" s="914"/>
      <c r="M363" s="914"/>
      <c r="N363" s="914"/>
      <c r="O363" s="142">
        <f>SUM(C363:N363)</f>
        <v>0</v>
      </c>
      <c r="P363" s="142"/>
      <c r="Q363" s="998"/>
      <c r="R363" s="980" t="s">
        <v>220</v>
      </c>
      <c r="S363" s="998"/>
      <c r="T363" s="142"/>
      <c r="U363" s="935">
        <f>C363+D363+E363</f>
        <v>0</v>
      </c>
      <c r="V363" s="935">
        <f>F363+G363+H363</f>
        <v>0</v>
      </c>
      <c r="W363" s="935">
        <f>I363+J363+K363</f>
        <v>0</v>
      </c>
      <c r="X363" s="935">
        <f>L363+M363+N363</f>
        <v>0</v>
      </c>
      <c r="Y363" s="915">
        <f>SUM(U363:X363)</f>
        <v>0</v>
      </c>
    </row>
    <row r="364" spans="1:25" ht="6" customHeight="1" x14ac:dyDescent="0.25">
      <c r="A364" s="957"/>
      <c r="C364" s="999"/>
      <c r="D364" s="999"/>
      <c r="E364" s="999"/>
      <c r="F364" s="999"/>
      <c r="G364" s="999"/>
      <c r="H364" s="999"/>
      <c r="I364" s="999"/>
      <c r="J364" s="999"/>
      <c r="K364" s="999"/>
      <c r="L364" s="999"/>
      <c r="M364" s="999"/>
      <c r="N364" s="999"/>
      <c r="O364" s="999"/>
      <c r="P364" s="999"/>
      <c r="Q364" s="998"/>
      <c r="R364" s="980"/>
      <c r="S364" s="998"/>
      <c r="T364" s="999"/>
      <c r="U364" s="999"/>
      <c r="V364" s="999"/>
      <c r="W364" s="999"/>
      <c r="X364" s="999"/>
      <c r="Y364" s="999"/>
    </row>
    <row r="365" spans="1:25" x14ac:dyDescent="0.25">
      <c r="A365" s="911" t="s">
        <v>982</v>
      </c>
      <c r="C365" s="914">
        <f>-IntDeduct!C30</f>
        <v>11</v>
      </c>
      <c r="D365" s="914">
        <f>-IntDeduct!D30</f>
        <v>10</v>
      </c>
      <c r="E365" s="914">
        <f>-IntDeduct!E30</f>
        <v>9</v>
      </c>
      <c r="F365" s="914">
        <f>-IntDeduct!F30</f>
        <v>7</v>
      </c>
      <c r="G365" s="914">
        <f>-IntDeduct!G30</f>
        <v>8</v>
      </c>
      <c r="H365" s="914">
        <f>-IntDeduct!H30</f>
        <v>11</v>
      </c>
      <c r="I365" s="914">
        <f>-IntDeduct!I30</f>
        <v>8</v>
      </c>
      <c r="J365" s="914">
        <f>-IntDeduct!J30</f>
        <v>31</v>
      </c>
      <c r="K365" s="914">
        <f>-IntDeduct!K30</f>
        <v>25</v>
      </c>
      <c r="L365" s="914">
        <f>-IntDeduct!L30</f>
        <v>15</v>
      </c>
      <c r="M365" s="914">
        <f>-IntDeduct!M30</f>
        <v>27</v>
      </c>
      <c r="N365" s="914">
        <f>-IntDeduct!N30</f>
        <v>22</v>
      </c>
      <c r="O365" s="142">
        <f>SUM(C365:N365)</f>
        <v>184</v>
      </c>
      <c r="P365" s="142"/>
      <c r="Q365" s="946"/>
      <c r="R365" s="943" t="s">
        <v>876</v>
      </c>
      <c r="S365" s="946"/>
      <c r="T365" s="142"/>
      <c r="U365" s="935">
        <f>C365+D365+E365</f>
        <v>30</v>
      </c>
      <c r="V365" s="935">
        <f>F365+G365+H365</f>
        <v>26</v>
      </c>
      <c r="W365" s="935">
        <f>I365+J365+K365</f>
        <v>64</v>
      </c>
      <c r="X365" s="935">
        <f>L365+M365+N365</f>
        <v>64</v>
      </c>
      <c r="Y365" s="915">
        <f>SUM(U365:X365)</f>
        <v>184</v>
      </c>
    </row>
    <row r="366" spans="1:25" ht="6" customHeight="1" thickBot="1" x14ac:dyDescent="0.3">
      <c r="A366" s="911"/>
      <c r="C366" s="914"/>
      <c r="D366" s="914"/>
      <c r="E366" s="914"/>
      <c r="F366" s="914"/>
      <c r="G366" s="914"/>
      <c r="H366" s="914"/>
      <c r="I366" s="914"/>
      <c r="J366" s="914"/>
      <c r="K366" s="914"/>
      <c r="L366" s="914"/>
      <c r="M366" s="914"/>
      <c r="N366" s="914"/>
      <c r="O366" s="142"/>
      <c r="P366" s="142"/>
      <c r="Q366" s="946"/>
      <c r="R366" s="943"/>
      <c r="S366" s="946"/>
      <c r="T366" s="142"/>
      <c r="U366" s="914"/>
      <c r="V366" s="914"/>
      <c r="W366" s="914"/>
      <c r="X366" s="914"/>
      <c r="Y366" s="915"/>
    </row>
    <row r="367" spans="1:25" ht="13.8" thickBot="1" x14ac:dyDescent="0.3">
      <c r="A367" s="970" t="s">
        <v>235</v>
      </c>
      <c r="C367" s="1000">
        <f t="shared" ref="C367:O367" si="131">C343+SUM(C345:C365)</f>
        <v>10927.029</v>
      </c>
      <c r="D367" s="1000">
        <f t="shared" si="131"/>
        <v>14002.098</v>
      </c>
      <c r="E367" s="1000">
        <f t="shared" si="131"/>
        <v>5501</v>
      </c>
      <c r="F367" s="1000">
        <f t="shared" si="131"/>
        <v>13377</v>
      </c>
      <c r="G367" s="1000">
        <f t="shared" si="131"/>
        <v>12436</v>
      </c>
      <c r="H367" s="1000">
        <f t="shared" si="131"/>
        <v>10339</v>
      </c>
      <c r="I367" s="1000">
        <f t="shared" si="131"/>
        <v>11341</v>
      </c>
      <c r="J367" s="1000">
        <f t="shared" si="131"/>
        <v>10379</v>
      </c>
      <c r="K367" s="1000">
        <f t="shared" si="131"/>
        <v>19623</v>
      </c>
      <c r="L367" s="1000">
        <f t="shared" si="131"/>
        <v>10367</v>
      </c>
      <c r="M367" s="1000">
        <f t="shared" si="131"/>
        <v>9930</v>
      </c>
      <c r="N367" s="1000">
        <f t="shared" si="131"/>
        <v>10484</v>
      </c>
      <c r="O367" s="1000">
        <f t="shared" si="131"/>
        <v>138706.12700000001</v>
      </c>
      <c r="P367" s="999"/>
      <c r="Q367" s="998"/>
      <c r="R367" s="999"/>
      <c r="S367" s="998"/>
      <c r="T367" s="999"/>
      <c r="U367" s="1001">
        <f>U343+SUM(U345:U365)</f>
        <v>30430.127</v>
      </c>
      <c r="V367" s="1001">
        <f>V343+SUM(V345:V365)</f>
        <v>36152</v>
      </c>
      <c r="W367" s="1001">
        <f>W343+SUM(W345:W365)</f>
        <v>41343</v>
      </c>
      <c r="X367" s="1001">
        <f>X343+SUM(X345:X365)</f>
        <v>30781</v>
      </c>
      <c r="Y367" s="1001">
        <f>Y343+SUM(Y345:Y365)</f>
        <v>138706.12700000001</v>
      </c>
    </row>
    <row r="368" spans="1:25" ht="6" customHeight="1" x14ac:dyDescent="0.25">
      <c r="A368" s="970"/>
      <c r="C368" s="999"/>
      <c r="D368" s="999"/>
      <c r="E368" s="999"/>
      <c r="F368" s="999"/>
      <c r="G368" s="999"/>
      <c r="H368" s="999"/>
      <c r="I368" s="999"/>
      <c r="J368" s="999"/>
      <c r="K368" s="999"/>
      <c r="L368" s="999"/>
      <c r="M368" s="999"/>
      <c r="N368" s="999"/>
      <c r="O368" s="999"/>
      <c r="P368" s="999"/>
      <c r="Q368" s="998"/>
      <c r="R368" s="999"/>
      <c r="S368" s="998"/>
      <c r="T368" s="999"/>
      <c r="U368" s="999"/>
      <c r="V368" s="999"/>
      <c r="W368" s="999"/>
      <c r="X368" s="999"/>
      <c r="Y368" s="999"/>
    </row>
    <row r="369" spans="1:26" s="931" customFormat="1" ht="12.75" customHeight="1" x14ac:dyDescent="0.25">
      <c r="A369" s="925" t="s">
        <v>236</v>
      </c>
      <c r="C369" s="935">
        <f>-IncomeState!C51</f>
        <v>-4119</v>
      </c>
      <c r="D369" s="935">
        <f>-IncomeState!D51</f>
        <v>-5370</v>
      </c>
      <c r="E369" s="935">
        <f>-IncomeState!E51</f>
        <v>-6853</v>
      </c>
      <c r="F369" s="935">
        <f>-IncomeState!F51</f>
        <v>-4421</v>
      </c>
      <c r="G369" s="935">
        <f>-IncomeState!G51</f>
        <v>-4599</v>
      </c>
      <c r="H369" s="935">
        <f>-IncomeState!H51</f>
        <v>-4037</v>
      </c>
      <c r="I369" s="935">
        <f>-IncomeState!I51</f>
        <v>-4181</v>
      </c>
      <c r="J369" s="935">
        <f>-IncomeState!J51</f>
        <v>-3930</v>
      </c>
      <c r="K369" s="935">
        <f>-IncomeState!K51</f>
        <v>-2247</v>
      </c>
      <c r="L369" s="935">
        <f>-IncomeState!L51</f>
        <v>-812</v>
      </c>
      <c r="M369" s="935">
        <f>-IncomeState!M51</f>
        <v>-4613</v>
      </c>
      <c r="N369" s="935">
        <f>-IncomeState!N51</f>
        <v>-4053</v>
      </c>
      <c r="O369" s="142">
        <f>SUM(C369:N369)</f>
        <v>-49235</v>
      </c>
      <c r="P369" s="142"/>
      <c r="Q369" s="997"/>
      <c r="R369" s="976" t="s">
        <v>237</v>
      </c>
      <c r="S369" s="997"/>
      <c r="T369" s="142"/>
      <c r="U369" s="935">
        <f>C369+D369+E369</f>
        <v>-16342</v>
      </c>
      <c r="V369" s="935">
        <f>F369+G369+H369</f>
        <v>-13057</v>
      </c>
      <c r="W369" s="935">
        <f>I369+J369+K369</f>
        <v>-10358</v>
      </c>
      <c r="X369" s="935">
        <f>L369+M369+N369</f>
        <v>-9478</v>
      </c>
      <c r="Y369" s="915">
        <f>SUM(U369:X369)</f>
        <v>-49235</v>
      </c>
    </row>
    <row r="370" spans="1:26" s="931" customFormat="1" ht="12.75" customHeight="1" x14ac:dyDescent="0.25">
      <c r="A370" s="925" t="s">
        <v>238</v>
      </c>
      <c r="C370" s="979">
        <f>-IncomeState!C52</f>
        <v>-150</v>
      </c>
      <c r="D370" s="979">
        <f>-IncomeState!D52</f>
        <v>-92</v>
      </c>
      <c r="E370" s="979">
        <f>-IncomeState!E52</f>
        <v>4693</v>
      </c>
      <c r="F370" s="979">
        <f>-IncomeState!F52</f>
        <v>-802</v>
      </c>
      <c r="G370" s="979">
        <f>-IncomeState!G52</f>
        <v>-259</v>
      </c>
      <c r="H370" s="979">
        <f>-IncomeState!H52</f>
        <v>-6</v>
      </c>
      <c r="I370" s="979">
        <f>-IncomeState!I52</f>
        <v>-135</v>
      </c>
      <c r="J370" s="979">
        <f>-IncomeState!J52</f>
        <v>-127</v>
      </c>
      <c r="K370" s="979">
        <f>-IncomeState!K52</f>
        <v>-5365</v>
      </c>
      <c r="L370" s="979">
        <f>-IncomeState!L52</f>
        <v>-3241</v>
      </c>
      <c r="M370" s="979">
        <f>-IncomeState!M52</f>
        <v>730</v>
      </c>
      <c r="N370" s="979">
        <f>-IncomeState!N52</f>
        <v>-45</v>
      </c>
      <c r="O370" s="143">
        <f>SUM(C370:N370)</f>
        <v>-4799</v>
      </c>
      <c r="P370" s="143"/>
      <c r="Q370" s="997"/>
      <c r="R370" s="976" t="s">
        <v>239</v>
      </c>
      <c r="S370" s="997"/>
      <c r="T370" s="143"/>
      <c r="U370" s="979">
        <f>C370+D370+E370</f>
        <v>4451</v>
      </c>
      <c r="V370" s="979">
        <f>F370+G370+H370</f>
        <v>-1067</v>
      </c>
      <c r="W370" s="979">
        <f>I370+J370+K370</f>
        <v>-5627</v>
      </c>
      <c r="X370" s="979">
        <f>L370+M370+N370</f>
        <v>-2556</v>
      </c>
      <c r="Y370" s="924">
        <f>SUM(U370:X370)</f>
        <v>-4799</v>
      </c>
    </row>
    <row r="371" spans="1:26" s="931" customFormat="1" ht="12.75" customHeight="1" x14ac:dyDescent="0.25">
      <c r="A371" s="925" t="s">
        <v>240</v>
      </c>
      <c r="C371" s="935">
        <f t="shared" ref="C371:N371" si="132">+C369+C370</f>
        <v>-4269</v>
      </c>
      <c r="D371" s="935">
        <f t="shared" si="132"/>
        <v>-5462</v>
      </c>
      <c r="E371" s="935">
        <f t="shared" si="132"/>
        <v>-2160</v>
      </c>
      <c r="F371" s="935">
        <f t="shared" si="132"/>
        <v>-5223</v>
      </c>
      <c r="G371" s="935">
        <f t="shared" si="132"/>
        <v>-4858</v>
      </c>
      <c r="H371" s="935">
        <f t="shared" si="132"/>
        <v>-4043</v>
      </c>
      <c r="I371" s="935">
        <f t="shared" si="132"/>
        <v>-4316</v>
      </c>
      <c r="J371" s="935">
        <f t="shared" si="132"/>
        <v>-4057</v>
      </c>
      <c r="K371" s="935">
        <f t="shared" si="132"/>
        <v>-7612</v>
      </c>
      <c r="L371" s="935">
        <f t="shared" si="132"/>
        <v>-4053</v>
      </c>
      <c r="M371" s="935">
        <f t="shared" si="132"/>
        <v>-3883</v>
      </c>
      <c r="N371" s="935">
        <f t="shared" si="132"/>
        <v>-4098</v>
      </c>
      <c r="O371" s="935">
        <f>C371+D371+E371+F371+G371+H371+I371+J371+K371+L371+M371+N371</f>
        <v>-54034</v>
      </c>
      <c r="P371" s="935"/>
      <c r="Q371" s="1002"/>
      <c r="R371" s="943" t="s">
        <v>241</v>
      </c>
      <c r="S371" s="1002"/>
      <c r="T371" s="935"/>
      <c r="U371" s="935">
        <f>C371+D371+E371</f>
        <v>-11891</v>
      </c>
      <c r="V371" s="935">
        <f>F371+G371+H371</f>
        <v>-14124</v>
      </c>
      <c r="W371" s="935">
        <f>I371+J371+K371</f>
        <v>-15985</v>
      </c>
      <c r="X371" s="935">
        <f>L371+M371+N371</f>
        <v>-12034</v>
      </c>
      <c r="Y371" s="915">
        <f>SUM(U371:X371)</f>
        <v>-54034</v>
      </c>
    </row>
    <row r="372" spans="1:26" ht="6" customHeight="1" thickBot="1" x14ac:dyDescent="0.3">
      <c r="A372" s="970"/>
      <c r="C372" s="999"/>
      <c r="D372" s="999"/>
      <c r="E372" s="999"/>
      <c r="F372" s="999"/>
      <c r="G372" s="999"/>
      <c r="H372" s="999"/>
      <c r="I372" s="999"/>
      <c r="J372" s="999"/>
      <c r="K372" s="999"/>
      <c r="L372" s="999"/>
      <c r="M372" s="999"/>
      <c r="N372" s="999"/>
      <c r="O372" s="999"/>
      <c r="P372" s="999"/>
      <c r="Q372" s="998"/>
      <c r="R372" s="999"/>
      <c r="S372" s="998"/>
      <c r="T372" s="999"/>
      <c r="U372" s="999"/>
      <c r="V372" s="999"/>
      <c r="W372" s="999"/>
      <c r="X372" s="999"/>
      <c r="Y372" s="999"/>
    </row>
    <row r="373" spans="1:26" ht="13.8" thickBot="1" x14ac:dyDescent="0.3">
      <c r="A373" s="910" t="s">
        <v>242</v>
      </c>
      <c r="C373" s="1000">
        <f t="shared" ref="C373:O373" si="133">+C367+C371</f>
        <v>6658.0290000000005</v>
      </c>
      <c r="D373" s="1000">
        <f t="shared" si="133"/>
        <v>8540.098</v>
      </c>
      <c r="E373" s="1000">
        <f t="shared" si="133"/>
        <v>3341</v>
      </c>
      <c r="F373" s="1000">
        <f t="shared" si="133"/>
        <v>8154</v>
      </c>
      <c r="G373" s="1000">
        <f t="shared" si="133"/>
        <v>7578</v>
      </c>
      <c r="H373" s="1000">
        <f t="shared" si="133"/>
        <v>6296</v>
      </c>
      <c r="I373" s="1000">
        <f t="shared" si="133"/>
        <v>7025</v>
      </c>
      <c r="J373" s="1000">
        <f t="shared" si="133"/>
        <v>6322</v>
      </c>
      <c r="K373" s="1000">
        <f t="shared" si="133"/>
        <v>12011</v>
      </c>
      <c r="L373" s="1000">
        <f t="shared" si="133"/>
        <v>6314</v>
      </c>
      <c r="M373" s="1000">
        <f t="shared" si="133"/>
        <v>6047</v>
      </c>
      <c r="N373" s="1000">
        <f t="shared" si="133"/>
        <v>6386</v>
      </c>
      <c r="O373" s="1001">
        <f t="shared" si="133"/>
        <v>84672.127000000008</v>
      </c>
      <c r="P373" s="999"/>
      <c r="Q373" s="998"/>
      <c r="R373" s="999"/>
      <c r="S373" s="998"/>
      <c r="T373" s="999"/>
      <c r="U373" s="1001">
        <f>+U367+U371</f>
        <v>18539.127</v>
      </c>
      <c r="V373" s="1001">
        <f>+V367+V371</f>
        <v>22028</v>
      </c>
      <c r="W373" s="1001">
        <f>+W367+W371</f>
        <v>25358</v>
      </c>
      <c r="X373" s="1001">
        <f>+X367+X371</f>
        <v>18747</v>
      </c>
      <c r="Y373" s="1001">
        <f>+Y367+Y371</f>
        <v>84672.127000000008</v>
      </c>
    </row>
    <row r="374" spans="1:26" x14ac:dyDescent="0.25">
      <c r="A374" s="970"/>
      <c r="C374" s="999"/>
      <c r="D374" s="999"/>
      <c r="E374" s="999"/>
      <c r="F374" s="999"/>
      <c r="G374" s="999"/>
      <c r="H374" s="999"/>
      <c r="I374" s="999"/>
      <c r="J374" s="999"/>
      <c r="K374" s="999"/>
      <c r="L374" s="999"/>
      <c r="M374" s="999"/>
      <c r="N374" s="999"/>
      <c r="O374" s="999"/>
      <c r="P374" s="999"/>
      <c r="Q374" s="998"/>
      <c r="R374" s="999"/>
      <c r="S374" s="998"/>
      <c r="T374" s="999"/>
      <c r="U374" s="999"/>
      <c r="V374" s="999"/>
      <c r="W374" s="999"/>
      <c r="X374" s="999"/>
      <c r="Y374" s="999"/>
    </row>
    <row r="375" spans="1:26" x14ac:dyDescent="0.25">
      <c r="A375" s="910" t="s">
        <v>243</v>
      </c>
      <c r="C375" s="945">
        <v>0</v>
      </c>
      <c r="D375" s="945">
        <v>0</v>
      </c>
      <c r="E375" s="945">
        <v>0</v>
      </c>
      <c r="F375" s="945">
        <v>0</v>
      </c>
      <c r="G375" s="945">
        <v>0</v>
      </c>
      <c r="H375" s="945">
        <v>0</v>
      </c>
      <c r="I375" s="945">
        <v>0</v>
      </c>
      <c r="J375" s="945">
        <v>0</v>
      </c>
      <c r="K375" s="945">
        <v>0</v>
      </c>
      <c r="L375" s="945">
        <v>0</v>
      </c>
      <c r="M375" s="945">
        <v>0</v>
      </c>
      <c r="N375" s="945">
        <v>0</v>
      </c>
      <c r="O375" s="142">
        <f>SUM(C375:N375)</f>
        <v>0</v>
      </c>
      <c r="P375" s="142"/>
      <c r="Q375" s="998"/>
      <c r="R375" s="913" t="s">
        <v>244</v>
      </c>
      <c r="S375" s="998"/>
      <c r="T375" s="142"/>
      <c r="U375" s="914">
        <f>C375+D375+E375</f>
        <v>0</v>
      </c>
      <c r="V375" s="914">
        <f>F375+G375+H375</f>
        <v>0</v>
      </c>
      <c r="W375" s="914">
        <f>I375+J375+K375</f>
        <v>0</v>
      </c>
      <c r="X375" s="914">
        <f>L375+M375+N375</f>
        <v>0</v>
      </c>
      <c r="Y375" s="915">
        <f>SUM(U375:X375)</f>
        <v>0</v>
      </c>
    </row>
    <row r="376" spans="1:26" ht="13.8" thickBot="1" x14ac:dyDescent="0.3">
      <c r="A376" s="957"/>
      <c r="C376" s="999"/>
      <c r="D376" s="999"/>
      <c r="E376" s="999"/>
      <c r="F376" s="999"/>
      <c r="G376" s="999"/>
      <c r="H376" s="999"/>
      <c r="I376" s="999"/>
      <c r="J376" s="999"/>
      <c r="K376" s="999"/>
      <c r="L376" s="999"/>
      <c r="M376" s="999"/>
      <c r="N376" s="999"/>
      <c r="O376" s="999"/>
      <c r="P376" s="999"/>
      <c r="Q376" s="998"/>
      <c r="R376" s="1003"/>
      <c r="S376" s="998"/>
      <c r="T376" s="999"/>
      <c r="U376" s="999"/>
      <c r="V376" s="999"/>
      <c r="W376" s="999"/>
      <c r="X376" s="999"/>
      <c r="Y376" s="999"/>
      <c r="Z376" s="999"/>
    </row>
    <row r="377" spans="1:26" ht="13.8" thickBot="1" x14ac:dyDescent="0.3">
      <c r="A377" s="910" t="s">
        <v>245</v>
      </c>
      <c r="C377" s="1000">
        <f t="shared" ref="C377:O377" si="134">SUM(C373:C376)</f>
        <v>6658.0290000000005</v>
      </c>
      <c r="D377" s="1000">
        <f t="shared" si="134"/>
        <v>8540.098</v>
      </c>
      <c r="E377" s="1004">
        <f t="shared" si="134"/>
        <v>3341</v>
      </c>
      <c r="F377" s="1005">
        <f t="shared" si="134"/>
        <v>8154</v>
      </c>
      <c r="G377" s="1000">
        <f t="shared" si="134"/>
        <v>7578</v>
      </c>
      <c r="H377" s="1000">
        <f t="shared" si="134"/>
        <v>6296</v>
      </c>
      <c r="I377" s="1000">
        <f t="shared" si="134"/>
        <v>7025</v>
      </c>
      <c r="J377" s="1000">
        <f t="shared" si="134"/>
        <v>6322</v>
      </c>
      <c r="K377" s="1000">
        <f t="shared" si="134"/>
        <v>12011</v>
      </c>
      <c r="L377" s="1000">
        <f t="shared" si="134"/>
        <v>6314</v>
      </c>
      <c r="M377" s="1000">
        <f t="shared" si="134"/>
        <v>6047</v>
      </c>
      <c r="N377" s="1004">
        <f t="shared" si="134"/>
        <v>6386</v>
      </c>
      <c r="O377" s="1000">
        <f t="shared" si="134"/>
        <v>84672.127000000008</v>
      </c>
      <c r="P377" s="999"/>
      <c r="Q377" s="998"/>
      <c r="R377" s="1003"/>
      <c r="S377" s="998"/>
      <c r="T377" s="999"/>
      <c r="U377" s="1001">
        <f>SUM(U373:U376)</f>
        <v>18539.127</v>
      </c>
      <c r="V377" s="1001">
        <f>SUM(V373:V376)</f>
        <v>22028</v>
      </c>
      <c r="W377" s="1001">
        <f>SUM(W373:W376)</f>
        <v>25358</v>
      </c>
      <c r="X377" s="1001">
        <f>SUM(X373:X376)</f>
        <v>18747</v>
      </c>
      <c r="Y377" s="1005">
        <f>SUM(Y373:Y376)</f>
        <v>84672.127000000008</v>
      </c>
      <c r="Z377" s="999"/>
    </row>
    <row r="378" spans="1:26" x14ac:dyDescent="0.25">
      <c r="A378" s="957"/>
      <c r="C378" s="1006"/>
      <c r="D378" s="1006"/>
      <c r="E378" s="1006"/>
      <c r="F378" s="1006"/>
      <c r="G378" s="1006"/>
      <c r="H378" s="1006"/>
      <c r="I378" s="1006"/>
      <c r="J378" s="1006"/>
      <c r="K378" s="1006"/>
      <c r="L378" s="1006"/>
      <c r="M378" s="1006"/>
      <c r="N378" s="1006"/>
      <c r="O378" s="1006"/>
      <c r="P378" s="999"/>
      <c r="Q378" s="912"/>
      <c r="R378" s="1007"/>
      <c r="S378" s="912"/>
      <c r="T378" s="999"/>
      <c r="U378" s="1006"/>
      <c r="V378" s="1006"/>
      <c r="W378" s="1006"/>
      <c r="X378" s="1006"/>
      <c r="Y378" s="999"/>
      <c r="Z378" s="999"/>
    </row>
    <row r="379" spans="1:26" x14ac:dyDescent="0.25">
      <c r="A379" s="965" t="s">
        <v>168</v>
      </c>
      <c r="C379" s="999"/>
      <c r="D379" s="999"/>
      <c r="E379" s="999"/>
      <c r="F379" s="999"/>
      <c r="G379" s="999"/>
      <c r="H379" s="999"/>
      <c r="I379" s="999"/>
      <c r="J379" s="999"/>
      <c r="K379" s="999"/>
      <c r="L379" s="999"/>
      <c r="M379" s="999"/>
      <c r="N379" s="999"/>
      <c r="O379" s="999"/>
      <c r="P379" s="999"/>
      <c r="Q379" s="912"/>
      <c r="R379" s="1007"/>
      <c r="S379" s="912"/>
      <c r="T379" s="999"/>
      <c r="U379" s="999"/>
      <c r="V379" s="999"/>
      <c r="W379" s="999"/>
      <c r="X379" s="999"/>
      <c r="Y379" s="999"/>
      <c r="Z379" s="999"/>
    </row>
    <row r="380" spans="1:26" x14ac:dyDescent="0.25">
      <c r="A380" s="930" t="s">
        <v>246</v>
      </c>
      <c r="B380" s="931"/>
      <c r="C380" s="935"/>
      <c r="D380" s="935"/>
      <c r="E380" s="935"/>
      <c r="F380" s="935"/>
      <c r="G380" s="935"/>
      <c r="H380" s="935"/>
      <c r="I380" s="935"/>
      <c r="J380" s="935"/>
      <c r="K380" s="935"/>
      <c r="L380" s="935"/>
      <c r="M380" s="935"/>
      <c r="N380" s="935"/>
      <c r="O380" s="935"/>
      <c r="P380" s="935"/>
      <c r="Q380" s="912"/>
      <c r="R380" s="1008"/>
      <c r="S380" s="912"/>
      <c r="T380" s="935"/>
      <c r="U380" s="914"/>
      <c r="V380" s="914"/>
      <c r="W380" s="914"/>
      <c r="X380" s="914"/>
      <c r="Y380" s="937"/>
      <c r="Z380" s="915"/>
    </row>
    <row r="381" spans="1:26" x14ac:dyDescent="0.25">
      <c r="A381" s="925" t="s">
        <v>247</v>
      </c>
      <c r="B381" s="931"/>
      <c r="C381" s="937">
        <f t="shared" ref="C381:N381" si="135">SUM(C7:C10)+SUM(C127:C130)</f>
        <v>-238</v>
      </c>
      <c r="D381" s="937">
        <f t="shared" si="135"/>
        <v>-888</v>
      </c>
      <c r="E381" s="937">
        <f t="shared" si="135"/>
        <v>-172</v>
      </c>
      <c r="F381" s="937">
        <f t="shared" si="135"/>
        <v>14744</v>
      </c>
      <c r="G381" s="937">
        <f t="shared" si="135"/>
        <v>2258</v>
      </c>
      <c r="H381" s="937">
        <f t="shared" si="135"/>
        <v>3206</v>
      </c>
      <c r="I381" s="937">
        <f t="shared" si="135"/>
        <v>0</v>
      </c>
      <c r="J381" s="937">
        <f t="shared" si="135"/>
        <v>0</v>
      </c>
      <c r="K381" s="937">
        <f t="shared" si="135"/>
        <v>0</v>
      </c>
      <c r="L381" s="937">
        <f t="shared" si="135"/>
        <v>0</v>
      </c>
      <c r="M381" s="937">
        <f t="shared" si="135"/>
        <v>0</v>
      </c>
      <c r="N381" s="937">
        <f t="shared" si="135"/>
        <v>0</v>
      </c>
      <c r="O381" s="142">
        <f t="shared" ref="O381:O393" si="136">SUM(C381:N381)</f>
        <v>18910</v>
      </c>
      <c r="P381" s="142"/>
      <c r="Q381" s="912"/>
      <c r="R381" s="1009"/>
      <c r="S381" s="912"/>
      <c r="T381" s="142"/>
      <c r="U381" s="935">
        <f t="shared" ref="U381:U393" si="137">C381+D381+E381</f>
        <v>-1298</v>
      </c>
      <c r="V381" s="935">
        <f t="shared" ref="V381:V393" si="138">F381+G381+H381</f>
        <v>20208</v>
      </c>
      <c r="W381" s="935">
        <f t="shared" ref="W381:W393" si="139">I381+J381+K381</f>
        <v>0</v>
      </c>
      <c r="X381" s="935">
        <f t="shared" ref="X381:X393" si="140">L381+M381+N381</f>
        <v>0</v>
      </c>
      <c r="Y381" s="915">
        <f t="shared" ref="Y381:Y393" si="141">SUM(U381:X381)</f>
        <v>18910</v>
      </c>
      <c r="Z381" s="915"/>
    </row>
    <row r="382" spans="1:26" x14ac:dyDescent="0.25">
      <c r="A382" s="925" t="s">
        <v>248</v>
      </c>
      <c r="B382" s="931"/>
      <c r="C382" s="937">
        <f t="shared" ref="C382:N382" si="142">SUM(C11:C35)+C41+C42+C48+C49</f>
        <v>13886</v>
      </c>
      <c r="D382" s="937">
        <f t="shared" si="142"/>
        <v>18314</v>
      </c>
      <c r="E382" s="937">
        <f t="shared" si="142"/>
        <v>8736</v>
      </c>
      <c r="F382" s="937">
        <f t="shared" si="142"/>
        <v>14527</v>
      </c>
      <c r="G382" s="937">
        <f t="shared" si="142"/>
        <v>16313</v>
      </c>
      <c r="H382" s="937">
        <f t="shared" si="142"/>
        <v>14266</v>
      </c>
      <c r="I382" s="937">
        <f t="shared" si="142"/>
        <v>13645</v>
      </c>
      <c r="J382" s="937">
        <f t="shared" si="142"/>
        <v>13428</v>
      </c>
      <c r="K382" s="937">
        <f t="shared" si="142"/>
        <v>22814</v>
      </c>
      <c r="L382" s="937">
        <f t="shared" si="142"/>
        <v>13259</v>
      </c>
      <c r="M382" s="937">
        <f t="shared" si="142"/>
        <v>12755</v>
      </c>
      <c r="N382" s="937">
        <f t="shared" si="142"/>
        <v>13468</v>
      </c>
      <c r="O382" s="142">
        <f t="shared" si="136"/>
        <v>175411</v>
      </c>
      <c r="P382" s="142"/>
      <c r="Q382" s="912"/>
      <c r="R382" s="1009"/>
      <c r="S382" s="912"/>
      <c r="T382" s="142"/>
      <c r="U382" s="935">
        <f t="shared" si="137"/>
        <v>40936</v>
      </c>
      <c r="V382" s="935">
        <f t="shared" si="138"/>
        <v>45106</v>
      </c>
      <c r="W382" s="935">
        <f t="shared" si="139"/>
        <v>49887</v>
      </c>
      <c r="X382" s="935">
        <f t="shared" si="140"/>
        <v>39482</v>
      </c>
      <c r="Y382" s="915">
        <f t="shared" si="141"/>
        <v>175411</v>
      </c>
      <c r="Z382" s="915"/>
    </row>
    <row r="383" spans="1:26" s="931" customFormat="1" ht="12.75" customHeight="1" x14ac:dyDescent="0.25">
      <c r="A383" s="925" t="s">
        <v>249</v>
      </c>
      <c r="C383" s="937">
        <f t="shared" ref="C383:N383" si="143">SUM(C55:C72)</f>
        <v>23</v>
      </c>
      <c r="D383" s="937">
        <f t="shared" si="143"/>
        <v>24</v>
      </c>
      <c r="E383" s="937">
        <f t="shared" si="143"/>
        <v>25</v>
      </c>
      <c r="F383" s="937">
        <f t="shared" si="143"/>
        <v>23</v>
      </c>
      <c r="G383" s="937">
        <f t="shared" si="143"/>
        <v>78</v>
      </c>
      <c r="H383" s="937">
        <f t="shared" si="143"/>
        <v>24</v>
      </c>
      <c r="I383" s="937">
        <f t="shared" si="143"/>
        <v>23</v>
      </c>
      <c r="J383" s="937">
        <f t="shared" si="143"/>
        <v>23</v>
      </c>
      <c r="K383" s="937">
        <f t="shared" si="143"/>
        <v>23</v>
      </c>
      <c r="L383" s="937">
        <f t="shared" si="143"/>
        <v>23</v>
      </c>
      <c r="M383" s="937">
        <f t="shared" si="143"/>
        <v>22</v>
      </c>
      <c r="N383" s="937">
        <f t="shared" si="143"/>
        <v>22</v>
      </c>
      <c r="O383" s="142">
        <f t="shared" si="136"/>
        <v>333</v>
      </c>
      <c r="P383" s="142"/>
      <c r="Q383" s="942"/>
      <c r="R383" s="1010"/>
      <c r="S383" s="942"/>
      <c r="T383" s="142"/>
      <c r="U383" s="935">
        <f t="shared" si="137"/>
        <v>72</v>
      </c>
      <c r="V383" s="935">
        <f t="shared" si="138"/>
        <v>125</v>
      </c>
      <c r="W383" s="935">
        <f t="shared" si="139"/>
        <v>69</v>
      </c>
      <c r="X383" s="935">
        <f t="shared" si="140"/>
        <v>67</v>
      </c>
      <c r="Y383" s="937">
        <f t="shared" si="141"/>
        <v>333</v>
      </c>
      <c r="Z383" s="937"/>
    </row>
    <row r="384" spans="1:26" x14ac:dyDescent="0.25">
      <c r="A384" s="925" t="s">
        <v>250</v>
      </c>
      <c r="B384" s="931"/>
      <c r="C384" s="937">
        <f t="shared" ref="C384:N384" si="144">+C116</f>
        <v>-157</v>
      </c>
      <c r="D384" s="937">
        <f t="shared" si="144"/>
        <v>-168</v>
      </c>
      <c r="E384" s="937">
        <f t="shared" si="144"/>
        <v>-326</v>
      </c>
      <c r="F384" s="937">
        <f t="shared" si="144"/>
        <v>-312</v>
      </c>
      <c r="G384" s="937">
        <f t="shared" si="144"/>
        <v>-157</v>
      </c>
      <c r="H384" s="937">
        <f t="shared" si="144"/>
        <v>-228</v>
      </c>
      <c r="I384" s="937">
        <f t="shared" si="144"/>
        <v>-200</v>
      </c>
      <c r="J384" s="937">
        <f t="shared" si="144"/>
        <v>-200</v>
      </c>
      <c r="K384" s="937">
        <f t="shared" si="144"/>
        <v>-100</v>
      </c>
      <c r="L384" s="937">
        <f t="shared" si="144"/>
        <v>-200</v>
      </c>
      <c r="M384" s="937">
        <f t="shared" si="144"/>
        <v>-200</v>
      </c>
      <c r="N384" s="937">
        <f t="shared" si="144"/>
        <v>-500</v>
      </c>
      <c r="O384" s="142">
        <f t="shared" si="136"/>
        <v>-2748</v>
      </c>
      <c r="P384" s="142"/>
      <c r="Q384" s="912"/>
      <c r="R384" s="1009"/>
      <c r="S384" s="912"/>
      <c r="T384" s="142"/>
      <c r="U384" s="935">
        <f t="shared" si="137"/>
        <v>-651</v>
      </c>
      <c r="V384" s="935">
        <f t="shared" si="138"/>
        <v>-697</v>
      </c>
      <c r="W384" s="935">
        <f t="shared" si="139"/>
        <v>-500</v>
      </c>
      <c r="X384" s="935">
        <f t="shared" si="140"/>
        <v>-900</v>
      </c>
      <c r="Y384" s="937">
        <f t="shared" si="141"/>
        <v>-2748</v>
      </c>
      <c r="Z384" s="915"/>
    </row>
    <row r="385" spans="1:26" x14ac:dyDescent="0.25">
      <c r="A385" s="925" t="s">
        <v>251</v>
      </c>
      <c r="B385" s="931"/>
      <c r="C385" s="937">
        <f t="shared" ref="C385:N385" si="145">+C102</f>
        <v>-730</v>
      </c>
      <c r="D385" s="937">
        <f t="shared" si="145"/>
        <v>-668</v>
      </c>
      <c r="E385" s="937">
        <f t="shared" si="145"/>
        <v>-1269</v>
      </c>
      <c r="F385" s="937">
        <f t="shared" si="145"/>
        <v>-571</v>
      </c>
      <c r="G385" s="937">
        <f t="shared" si="145"/>
        <v>-564</v>
      </c>
      <c r="H385" s="937">
        <f t="shared" si="145"/>
        <v>-545</v>
      </c>
      <c r="I385" s="937">
        <f t="shared" si="145"/>
        <v>-591</v>
      </c>
      <c r="J385" s="937">
        <f t="shared" si="145"/>
        <v>-607</v>
      </c>
      <c r="K385" s="937">
        <f t="shared" si="145"/>
        <v>-584</v>
      </c>
      <c r="L385" s="937">
        <f t="shared" si="145"/>
        <v>-708</v>
      </c>
      <c r="M385" s="937">
        <f t="shared" si="145"/>
        <v>-704</v>
      </c>
      <c r="N385" s="937">
        <f t="shared" si="145"/>
        <v>-731</v>
      </c>
      <c r="O385" s="142">
        <f t="shared" si="136"/>
        <v>-8272</v>
      </c>
      <c r="P385" s="142"/>
      <c r="Q385" s="912"/>
      <c r="R385" s="1009"/>
      <c r="S385" s="912"/>
      <c r="T385" s="142"/>
      <c r="U385" s="935">
        <f t="shared" si="137"/>
        <v>-2667</v>
      </c>
      <c r="V385" s="935">
        <f t="shared" si="138"/>
        <v>-1680</v>
      </c>
      <c r="W385" s="935">
        <f t="shared" si="139"/>
        <v>-1782</v>
      </c>
      <c r="X385" s="935">
        <f t="shared" si="140"/>
        <v>-2143</v>
      </c>
      <c r="Y385" s="937">
        <f t="shared" si="141"/>
        <v>-8272</v>
      </c>
      <c r="Z385" s="915"/>
    </row>
    <row r="386" spans="1:26" x14ac:dyDescent="0.25">
      <c r="A386" s="925" t="s">
        <v>252</v>
      </c>
      <c r="B386" s="931"/>
      <c r="C386" s="937">
        <f t="shared" ref="C386:N386" si="146">SUM(C36:C39)+SUM(C119:C122)</f>
        <v>4888</v>
      </c>
      <c r="D386" s="937">
        <f t="shared" si="146"/>
        <v>4666</v>
      </c>
      <c r="E386" s="937">
        <f t="shared" si="146"/>
        <v>1896</v>
      </c>
      <c r="F386" s="937">
        <f t="shared" si="146"/>
        <v>-10663</v>
      </c>
      <c r="G386" s="937">
        <f t="shared" si="146"/>
        <v>327</v>
      </c>
      <c r="H386" s="937">
        <f t="shared" si="146"/>
        <v>-372</v>
      </c>
      <c r="I386" s="937">
        <f t="shared" si="146"/>
        <v>3286</v>
      </c>
      <c r="J386" s="937">
        <f t="shared" si="146"/>
        <v>2715</v>
      </c>
      <c r="K386" s="937">
        <f t="shared" si="146"/>
        <v>2800</v>
      </c>
      <c r="L386" s="937">
        <f t="shared" si="146"/>
        <v>3208</v>
      </c>
      <c r="M386" s="937">
        <f t="shared" si="146"/>
        <v>3074</v>
      </c>
      <c r="N386" s="937">
        <f t="shared" si="146"/>
        <v>2749</v>
      </c>
      <c r="O386" s="142">
        <f t="shared" si="136"/>
        <v>18574</v>
      </c>
      <c r="P386" s="142"/>
      <c r="Q386" s="912"/>
      <c r="R386" s="1009"/>
      <c r="S386" s="912"/>
      <c r="T386" s="142"/>
      <c r="U386" s="935">
        <f t="shared" si="137"/>
        <v>11450</v>
      </c>
      <c r="V386" s="935">
        <f t="shared" si="138"/>
        <v>-10708</v>
      </c>
      <c r="W386" s="935">
        <f t="shared" si="139"/>
        <v>8801</v>
      </c>
      <c r="X386" s="935">
        <f t="shared" si="140"/>
        <v>9031</v>
      </c>
      <c r="Y386" s="937">
        <f t="shared" si="141"/>
        <v>18574</v>
      </c>
      <c r="Z386" s="915"/>
    </row>
    <row r="387" spans="1:26" x14ac:dyDescent="0.25">
      <c r="A387" s="925" t="s">
        <v>253</v>
      </c>
      <c r="B387" s="931"/>
      <c r="C387" s="937">
        <f t="shared" ref="C387:N387" si="147">+C43+C44+C46+C50+C51+C53+SUM(C104:C108)</f>
        <v>0</v>
      </c>
      <c r="D387" s="937">
        <f t="shared" si="147"/>
        <v>0</v>
      </c>
      <c r="E387" s="937">
        <f t="shared" si="147"/>
        <v>0</v>
      </c>
      <c r="F387" s="937">
        <f t="shared" si="147"/>
        <v>0</v>
      </c>
      <c r="G387" s="937">
        <f t="shared" si="147"/>
        <v>0</v>
      </c>
      <c r="H387" s="937">
        <f t="shared" si="147"/>
        <v>0</v>
      </c>
      <c r="I387" s="937">
        <f t="shared" si="147"/>
        <v>0</v>
      </c>
      <c r="J387" s="937">
        <f t="shared" si="147"/>
        <v>0</v>
      </c>
      <c r="K387" s="937">
        <f t="shared" si="147"/>
        <v>0</v>
      </c>
      <c r="L387" s="937">
        <f t="shared" si="147"/>
        <v>0</v>
      </c>
      <c r="M387" s="937">
        <f t="shared" si="147"/>
        <v>0</v>
      </c>
      <c r="N387" s="937">
        <f t="shared" si="147"/>
        <v>0</v>
      </c>
      <c r="O387" s="142">
        <f t="shared" si="136"/>
        <v>0</v>
      </c>
      <c r="P387" s="142"/>
      <c r="Q387" s="912"/>
      <c r="R387" s="1009"/>
      <c r="S387" s="912"/>
      <c r="T387" s="142"/>
      <c r="U387" s="935">
        <f t="shared" si="137"/>
        <v>0</v>
      </c>
      <c r="V387" s="935">
        <f t="shared" si="138"/>
        <v>0</v>
      </c>
      <c r="W387" s="935">
        <f t="shared" si="139"/>
        <v>0</v>
      </c>
      <c r="X387" s="935">
        <f t="shared" si="140"/>
        <v>0</v>
      </c>
      <c r="Y387" s="937">
        <f t="shared" si="141"/>
        <v>0</v>
      </c>
      <c r="Z387" s="915"/>
    </row>
    <row r="388" spans="1:26" x14ac:dyDescent="0.25">
      <c r="A388" s="925" t="s">
        <v>254</v>
      </c>
      <c r="B388" s="931"/>
      <c r="C388" s="937">
        <f t="shared" ref="C388:N388" si="148">+C118</f>
        <v>0</v>
      </c>
      <c r="D388" s="937">
        <f t="shared" si="148"/>
        <v>0</v>
      </c>
      <c r="E388" s="937">
        <f t="shared" si="148"/>
        <v>0</v>
      </c>
      <c r="F388" s="937">
        <f t="shared" si="148"/>
        <v>0</v>
      </c>
      <c r="G388" s="937">
        <f t="shared" si="148"/>
        <v>0</v>
      </c>
      <c r="H388" s="937">
        <f t="shared" si="148"/>
        <v>0</v>
      </c>
      <c r="I388" s="937">
        <f t="shared" si="148"/>
        <v>0</v>
      </c>
      <c r="J388" s="937">
        <f t="shared" si="148"/>
        <v>0</v>
      </c>
      <c r="K388" s="937">
        <f t="shared" si="148"/>
        <v>0</v>
      </c>
      <c r="L388" s="937">
        <f t="shared" si="148"/>
        <v>0</v>
      </c>
      <c r="M388" s="937">
        <f t="shared" si="148"/>
        <v>0</v>
      </c>
      <c r="N388" s="937">
        <f t="shared" si="148"/>
        <v>0</v>
      </c>
      <c r="O388" s="142">
        <f t="shared" si="136"/>
        <v>0</v>
      </c>
      <c r="P388" s="142"/>
      <c r="Q388" s="912"/>
      <c r="R388" s="1009"/>
      <c r="S388" s="912"/>
      <c r="T388" s="142"/>
      <c r="U388" s="935">
        <f t="shared" si="137"/>
        <v>0</v>
      </c>
      <c r="V388" s="935">
        <f t="shared" si="138"/>
        <v>0</v>
      </c>
      <c r="W388" s="935">
        <f t="shared" si="139"/>
        <v>0</v>
      </c>
      <c r="X388" s="935">
        <f t="shared" si="140"/>
        <v>0</v>
      </c>
      <c r="Y388" s="937">
        <f t="shared" si="141"/>
        <v>0</v>
      </c>
      <c r="Z388" s="915"/>
    </row>
    <row r="389" spans="1:26" s="931" customFormat="1" ht="12.75" customHeight="1" x14ac:dyDescent="0.25">
      <c r="A389" s="925" t="s">
        <v>255</v>
      </c>
      <c r="C389" s="937">
        <f t="shared" ref="C389:N389" si="149">+C123</f>
        <v>-14</v>
      </c>
      <c r="D389" s="937">
        <f t="shared" si="149"/>
        <v>-28</v>
      </c>
      <c r="E389" s="937">
        <f t="shared" si="149"/>
        <v>-6</v>
      </c>
      <c r="F389" s="937">
        <f t="shared" si="149"/>
        <v>-6</v>
      </c>
      <c r="G389" s="937">
        <f t="shared" si="149"/>
        <v>-6</v>
      </c>
      <c r="H389" s="937">
        <f t="shared" si="149"/>
        <v>-6</v>
      </c>
      <c r="I389" s="937">
        <f t="shared" si="149"/>
        <v>-6</v>
      </c>
      <c r="J389" s="937">
        <f t="shared" si="149"/>
        <v>-6</v>
      </c>
      <c r="K389" s="937">
        <f t="shared" si="149"/>
        <v>-6</v>
      </c>
      <c r="L389" s="937">
        <f t="shared" si="149"/>
        <v>-5</v>
      </c>
      <c r="M389" s="937">
        <f t="shared" si="149"/>
        <v>-5</v>
      </c>
      <c r="N389" s="937">
        <f t="shared" si="149"/>
        <v>-5</v>
      </c>
      <c r="O389" s="1012">
        <f t="shared" si="136"/>
        <v>-99</v>
      </c>
      <c r="P389" s="1012"/>
      <c r="Q389" s="942"/>
      <c r="R389" s="1010"/>
      <c r="S389" s="942"/>
      <c r="T389" s="1012"/>
      <c r="U389" s="935">
        <f t="shared" si="137"/>
        <v>-48</v>
      </c>
      <c r="V389" s="935">
        <f t="shared" si="138"/>
        <v>-18</v>
      </c>
      <c r="W389" s="935">
        <f t="shared" si="139"/>
        <v>-18</v>
      </c>
      <c r="X389" s="935">
        <f t="shared" si="140"/>
        <v>-15</v>
      </c>
      <c r="Y389" s="937">
        <f t="shared" si="141"/>
        <v>-99</v>
      </c>
      <c r="Z389" s="937"/>
    </row>
    <row r="390" spans="1:26" s="931" customFormat="1" ht="12.75" customHeight="1" x14ac:dyDescent="0.25">
      <c r="A390" s="925" t="s">
        <v>256</v>
      </c>
      <c r="C390" s="937">
        <f>+C74</f>
        <v>0</v>
      </c>
      <c r="D390" s="937">
        <f t="shared" ref="D390:N390" si="150">+D74-D74</f>
        <v>0</v>
      </c>
      <c r="E390" s="937">
        <f t="shared" si="150"/>
        <v>0</v>
      </c>
      <c r="F390" s="937">
        <f t="shared" si="150"/>
        <v>0</v>
      </c>
      <c r="G390" s="937">
        <f t="shared" si="150"/>
        <v>0</v>
      </c>
      <c r="H390" s="937">
        <f t="shared" si="150"/>
        <v>0</v>
      </c>
      <c r="I390" s="937">
        <f t="shared" si="150"/>
        <v>0</v>
      </c>
      <c r="J390" s="937">
        <f t="shared" si="150"/>
        <v>0</v>
      </c>
      <c r="K390" s="937">
        <f t="shared" si="150"/>
        <v>0</v>
      </c>
      <c r="L390" s="937">
        <f t="shared" si="150"/>
        <v>0</v>
      </c>
      <c r="M390" s="937">
        <f t="shared" si="150"/>
        <v>0</v>
      </c>
      <c r="N390" s="937">
        <f t="shared" si="150"/>
        <v>0</v>
      </c>
      <c r="O390" s="1012">
        <f t="shared" si="136"/>
        <v>0</v>
      </c>
      <c r="P390" s="1012"/>
      <c r="Q390" s="942"/>
      <c r="R390" s="1010"/>
      <c r="S390" s="942"/>
      <c r="T390" s="1012"/>
      <c r="U390" s="935">
        <f t="shared" si="137"/>
        <v>0</v>
      </c>
      <c r="V390" s="935">
        <f t="shared" si="138"/>
        <v>0</v>
      </c>
      <c r="W390" s="935">
        <f t="shared" si="139"/>
        <v>0</v>
      </c>
      <c r="X390" s="935">
        <f t="shared" si="140"/>
        <v>0</v>
      </c>
      <c r="Y390" s="937">
        <f t="shared" si="141"/>
        <v>0</v>
      </c>
      <c r="Z390" s="937"/>
    </row>
    <row r="391" spans="1:26" s="931" customFormat="1" ht="12.75" customHeight="1" x14ac:dyDescent="0.25">
      <c r="A391" s="925" t="s">
        <v>257</v>
      </c>
      <c r="C391" s="937">
        <f t="shared" ref="C391:N391" si="151">SUM(C131:C133)</f>
        <v>0</v>
      </c>
      <c r="D391" s="937">
        <f t="shared" si="151"/>
        <v>0</v>
      </c>
      <c r="E391" s="937">
        <f t="shared" si="151"/>
        <v>-106</v>
      </c>
      <c r="F391" s="937">
        <f t="shared" si="151"/>
        <v>0</v>
      </c>
      <c r="G391" s="937">
        <f t="shared" si="151"/>
        <v>0</v>
      </c>
      <c r="H391" s="937">
        <f t="shared" si="151"/>
        <v>0</v>
      </c>
      <c r="I391" s="937">
        <f t="shared" si="151"/>
        <v>0</v>
      </c>
      <c r="J391" s="937">
        <f t="shared" si="151"/>
        <v>0</v>
      </c>
      <c r="K391" s="937">
        <f t="shared" si="151"/>
        <v>0</v>
      </c>
      <c r="L391" s="937">
        <f t="shared" si="151"/>
        <v>0</v>
      </c>
      <c r="M391" s="937">
        <f t="shared" si="151"/>
        <v>0</v>
      </c>
      <c r="N391" s="937">
        <f t="shared" si="151"/>
        <v>0</v>
      </c>
      <c r="O391" s="1012">
        <f t="shared" si="136"/>
        <v>-106</v>
      </c>
      <c r="P391" s="1012"/>
      <c r="Q391" s="942"/>
      <c r="R391" s="1010"/>
      <c r="S391" s="942"/>
      <c r="T391" s="1012"/>
      <c r="U391" s="935">
        <f t="shared" si="137"/>
        <v>-106</v>
      </c>
      <c r="V391" s="935">
        <f t="shared" si="138"/>
        <v>0</v>
      </c>
      <c r="W391" s="935">
        <f t="shared" si="139"/>
        <v>0</v>
      </c>
      <c r="X391" s="935">
        <f t="shared" si="140"/>
        <v>0</v>
      </c>
      <c r="Y391" s="937">
        <f t="shared" si="141"/>
        <v>-106</v>
      </c>
      <c r="Z391" s="937"/>
    </row>
    <row r="392" spans="1:26" x14ac:dyDescent="0.25">
      <c r="A392" s="911" t="s">
        <v>258</v>
      </c>
      <c r="B392" s="931"/>
      <c r="C392" s="937">
        <f t="shared" ref="C392:N392" si="152">SUM(C76:C78)</f>
        <v>128</v>
      </c>
      <c r="D392" s="937">
        <f t="shared" si="152"/>
        <v>0</v>
      </c>
      <c r="E392" s="937">
        <f t="shared" si="152"/>
        <v>0</v>
      </c>
      <c r="F392" s="937">
        <f t="shared" si="152"/>
        <v>0</v>
      </c>
      <c r="G392" s="937">
        <f t="shared" si="152"/>
        <v>0</v>
      </c>
      <c r="H392" s="937">
        <f t="shared" si="152"/>
        <v>0</v>
      </c>
      <c r="I392" s="937">
        <f t="shared" si="152"/>
        <v>0</v>
      </c>
      <c r="J392" s="937">
        <f t="shared" si="152"/>
        <v>0</v>
      </c>
      <c r="K392" s="937">
        <f t="shared" si="152"/>
        <v>0</v>
      </c>
      <c r="L392" s="937">
        <f t="shared" si="152"/>
        <v>0</v>
      </c>
      <c r="M392" s="937">
        <f t="shared" si="152"/>
        <v>0</v>
      </c>
      <c r="N392" s="937">
        <f t="shared" si="152"/>
        <v>0</v>
      </c>
      <c r="O392" s="1012">
        <f t="shared" si="136"/>
        <v>128</v>
      </c>
      <c r="P392" s="1012"/>
      <c r="Q392" s="912"/>
      <c r="R392" s="1009"/>
      <c r="S392" s="912"/>
      <c r="T392" s="1012"/>
      <c r="U392" s="935">
        <f t="shared" si="137"/>
        <v>128</v>
      </c>
      <c r="V392" s="935">
        <f t="shared" si="138"/>
        <v>0</v>
      </c>
      <c r="W392" s="935">
        <f t="shared" si="139"/>
        <v>0</v>
      </c>
      <c r="X392" s="935">
        <f t="shared" si="140"/>
        <v>0</v>
      </c>
      <c r="Y392" s="937">
        <f t="shared" si="141"/>
        <v>128</v>
      </c>
      <c r="Z392" s="915"/>
    </row>
    <row r="393" spans="1:26" x14ac:dyDescent="0.25">
      <c r="A393" s="911" t="s">
        <v>19</v>
      </c>
      <c r="B393" s="931"/>
      <c r="C393" s="920">
        <f t="shared" ref="C393:N393" si="153">SUM(C134:C144)</f>
        <v>7</v>
      </c>
      <c r="D393" s="920">
        <f t="shared" si="153"/>
        <v>-88</v>
      </c>
      <c r="E393" s="920">
        <f t="shared" si="153"/>
        <v>86</v>
      </c>
      <c r="F393" s="920">
        <f t="shared" si="153"/>
        <v>10</v>
      </c>
      <c r="G393" s="920">
        <f t="shared" si="153"/>
        <v>2</v>
      </c>
      <c r="H393" s="920">
        <f t="shared" si="153"/>
        <v>-1</v>
      </c>
      <c r="I393" s="920">
        <f t="shared" si="153"/>
        <v>0</v>
      </c>
      <c r="J393" s="920">
        <f t="shared" si="153"/>
        <v>0</v>
      </c>
      <c r="K393" s="920">
        <f t="shared" si="153"/>
        <v>0</v>
      </c>
      <c r="L393" s="920">
        <f t="shared" si="153"/>
        <v>0</v>
      </c>
      <c r="M393" s="920">
        <f t="shared" si="153"/>
        <v>0</v>
      </c>
      <c r="N393" s="920">
        <f t="shared" si="153"/>
        <v>0</v>
      </c>
      <c r="O393" s="1013">
        <f t="shared" si="136"/>
        <v>16</v>
      </c>
      <c r="P393" s="1013"/>
      <c r="Q393" s="912"/>
      <c r="R393" s="1009"/>
      <c r="S393" s="912"/>
      <c r="T393" s="1013"/>
      <c r="U393" s="979">
        <f t="shared" si="137"/>
        <v>5</v>
      </c>
      <c r="V393" s="979">
        <f t="shared" si="138"/>
        <v>11</v>
      </c>
      <c r="W393" s="979">
        <f t="shared" si="139"/>
        <v>0</v>
      </c>
      <c r="X393" s="979">
        <f t="shared" si="140"/>
        <v>0</v>
      </c>
      <c r="Y393" s="920">
        <f t="shared" si="141"/>
        <v>16</v>
      </c>
      <c r="Z393" s="915"/>
    </row>
    <row r="394" spans="1:26" ht="3.9" customHeight="1" x14ac:dyDescent="0.25">
      <c r="A394" s="947"/>
      <c r="B394" s="931"/>
      <c r="C394" s="937"/>
      <c r="D394" s="937"/>
      <c r="E394" s="937"/>
      <c r="F394" s="937"/>
      <c r="G394" s="937"/>
      <c r="H394" s="937"/>
      <c r="I394" s="937"/>
      <c r="J394" s="937"/>
      <c r="K394" s="937"/>
      <c r="L394" s="937"/>
      <c r="M394" s="937"/>
      <c r="N394" s="937"/>
      <c r="O394" s="935"/>
      <c r="P394" s="935"/>
      <c r="Q394" s="912"/>
      <c r="R394" s="1009"/>
      <c r="S394" s="912"/>
      <c r="T394" s="935"/>
      <c r="U394" s="935"/>
      <c r="V394" s="935"/>
      <c r="W394" s="935"/>
      <c r="X394" s="935"/>
      <c r="Y394" s="937"/>
      <c r="Z394" s="915"/>
    </row>
    <row r="395" spans="1:26" x14ac:dyDescent="0.25">
      <c r="A395" s="930" t="s">
        <v>259</v>
      </c>
      <c r="B395" s="931"/>
      <c r="C395" s="983">
        <f t="shared" ref="C395:O395" si="154">SUM(C381:C393)</f>
        <v>17793</v>
      </c>
      <c r="D395" s="983">
        <f t="shared" si="154"/>
        <v>21164</v>
      </c>
      <c r="E395" s="983">
        <f t="shared" si="154"/>
        <v>8864</v>
      </c>
      <c r="F395" s="983">
        <f t="shared" si="154"/>
        <v>17752</v>
      </c>
      <c r="G395" s="983">
        <f t="shared" si="154"/>
        <v>18251</v>
      </c>
      <c r="H395" s="983">
        <f t="shared" si="154"/>
        <v>16344</v>
      </c>
      <c r="I395" s="983">
        <f t="shared" si="154"/>
        <v>16157</v>
      </c>
      <c r="J395" s="983">
        <f t="shared" si="154"/>
        <v>15353</v>
      </c>
      <c r="K395" s="983">
        <f t="shared" si="154"/>
        <v>24947</v>
      </c>
      <c r="L395" s="983">
        <f t="shared" si="154"/>
        <v>15577</v>
      </c>
      <c r="M395" s="983">
        <f t="shared" si="154"/>
        <v>14942</v>
      </c>
      <c r="N395" s="983">
        <f t="shared" si="154"/>
        <v>15003</v>
      </c>
      <c r="O395" s="983">
        <f t="shared" si="154"/>
        <v>202147</v>
      </c>
      <c r="P395" s="983"/>
      <c r="Q395" s="912"/>
      <c r="R395" s="1009"/>
      <c r="S395" s="912"/>
      <c r="T395" s="983"/>
      <c r="U395" s="983">
        <f>SUM(U381:U393)</f>
        <v>47821</v>
      </c>
      <c r="V395" s="983">
        <f>SUM(V381:V393)</f>
        <v>52347</v>
      </c>
      <c r="W395" s="983">
        <f>SUM(W381:W393)</f>
        <v>56457</v>
      </c>
      <c r="X395" s="983">
        <f>SUM(X381:X393)</f>
        <v>45522</v>
      </c>
      <c r="Y395" s="983">
        <f>SUM(Y381:Y393)</f>
        <v>202147</v>
      </c>
      <c r="Z395" s="915"/>
    </row>
    <row r="396" spans="1:26" ht="6" customHeight="1" x14ac:dyDescent="0.25">
      <c r="A396" s="930"/>
      <c r="B396" s="931"/>
      <c r="C396" s="937"/>
      <c r="D396" s="937"/>
      <c r="E396" s="937"/>
      <c r="F396" s="937"/>
      <c r="G396" s="937"/>
      <c r="H396" s="937"/>
      <c r="I396" s="937"/>
      <c r="J396" s="937"/>
      <c r="K396" s="937"/>
      <c r="L396" s="937"/>
      <c r="M396" s="937"/>
      <c r="N396" s="937"/>
      <c r="O396" s="935"/>
      <c r="P396" s="935"/>
      <c r="Q396" s="912"/>
      <c r="R396" s="1009"/>
      <c r="S396" s="912"/>
      <c r="T396" s="935"/>
      <c r="U396" s="935"/>
      <c r="V396" s="935"/>
      <c r="W396" s="935"/>
      <c r="X396" s="935"/>
      <c r="Y396" s="937"/>
      <c r="Z396" s="915"/>
    </row>
    <row r="397" spans="1:26" x14ac:dyDescent="0.25">
      <c r="A397" s="930" t="s">
        <v>260</v>
      </c>
      <c r="B397" s="931"/>
      <c r="C397" s="937"/>
      <c r="D397" s="937"/>
      <c r="E397" s="937"/>
      <c r="F397" s="937"/>
      <c r="G397" s="937"/>
      <c r="H397" s="937"/>
      <c r="I397" s="937"/>
      <c r="J397" s="937"/>
      <c r="K397" s="937"/>
      <c r="L397" s="937"/>
      <c r="M397" s="937"/>
      <c r="N397" s="937"/>
      <c r="O397" s="935"/>
      <c r="P397" s="935"/>
      <c r="Q397" s="912"/>
      <c r="R397" s="1009"/>
      <c r="S397" s="912"/>
      <c r="T397" s="935"/>
      <c r="U397" s="935"/>
      <c r="V397" s="935"/>
      <c r="W397" s="935"/>
      <c r="X397" s="935"/>
      <c r="Y397" s="937"/>
      <c r="Z397" s="915"/>
    </row>
    <row r="398" spans="1:26" x14ac:dyDescent="0.25">
      <c r="A398" s="925" t="s">
        <v>250</v>
      </c>
      <c r="B398" s="931"/>
      <c r="C398" s="937">
        <f t="shared" ref="C398:N398" si="155">+C161</f>
        <v>-119</v>
      </c>
      <c r="D398" s="937">
        <f t="shared" si="155"/>
        <v>-131</v>
      </c>
      <c r="E398" s="937">
        <f t="shared" si="155"/>
        <v>-141</v>
      </c>
      <c r="F398" s="937">
        <f t="shared" si="155"/>
        <v>-132</v>
      </c>
      <c r="G398" s="937">
        <f t="shared" si="155"/>
        <v>-130</v>
      </c>
      <c r="H398" s="937">
        <f t="shared" si="155"/>
        <v>-125</v>
      </c>
      <c r="I398" s="937">
        <f t="shared" si="155"/>
        <v>-200</v>
      </c>
      <c r="J398" s="937">
        <f t="shared" si="155"/>
        <v>-100</v>
      </c>
      <c r="K398" s="937">
        <f t="shared" si="155"/>
        <v>-100</v>
      </c>
      <c r="L398" s="937">
        <f t="shared" si="155"/>
        <v>-100</v>
      </c>
      <c r="M398" s="937">
        <f t="shared" si="155"/>
        <v>-200</v>
      </c>
      <c r="N398" s="937">
        <f t="shared" si="155"/>
        <v>-300</v>
      </c>
      <c r="O398" s="1012">
        <f>SUM(C398:N398)</f>
        <v>-1778</v>
      </c>
      <c r="P398" s="1012"/>
      <c r="Q398" s="912"/>
      <c r="R398" s="1009"/>
      <c r="S398" s="912"/>
      <c r="T398" s="1012"/>
      <c r="U398" s="935">
        <f>C398+D398+E398</f>
        <v>-391</v>
      </c>
      <c r="V398" s="935">
        <f>F398+G398+H398</f>
        <v>-387</v>
      </c>
      <c r="W398" s="935">
        <f>I398+J398+K398</f>
        <v>-400</v>
      </c>
      <c r="X398" s="935">
        <f>L398+M398+N398</f>
        <v>-600</v>
      </c>
      <c r="Y398" s="937">
        <f>SUM(U398:X398)</f>
        <v>-1778</v>
      </c>
      <c r="Z398" s="915"/>
    </row>
    <row r="399" spans="1:26" x14ac:dyDescent="0.25">
      <c r="A399" s="925" t="s">
        <v>255</v>
      </c>
      <c r="B399" s="931"/>
      <c r="C399" s="937">
        <f t="shared" ref="C399:N399" si="156">+C163</f>
        <v>-17</v>
      </c>
      <c r="D399" s="937">
        <f t="shared" si="156"/>
        <v>-17</v>
      </c>
      <c r="E399" s="937">
        <f t="shared" si="156"/>
        <v>-9</v>
      </c>
      <c r="F399" s="937">
        <f t="shared" si="156"/>
        <v>-9</v>
      </c>
      <c r="G399" s="937">
        <f t="shared" si="156"/>
        <v>-9</v>
      </c>
      <c r="H399" s="937">
        <f t="shared" si="156"/>
        <v>-9</v>
      </c>
      <c r="I399" s="937">
        <f t="shared" si="156"/>
        <v>-9</v>
      </c>
      <c r="J399" s="937">
        <f t="shared" si="156"/>
        <v>-9</v>
      </c>
      <c r="K399" s="937">
        <f t="shared" si="156"/>
        <v>-9</v>
      </c>
      <c r="L399" s="937">
        <f t="shared" si="156"/>
        <v>-8</v>
      </c>
      <c r="M399" s="937">
        <f t="shared" si="156"/>
        <v>-8</v>
      </c>
      <c r="N399" s="937">
        <f t="shared" si="156"/>
        <v>-8</v>
      </c>
      <c r="O399" s="1012">
        <f>SUM(C399:N399)</f>
        <v>-121</v>
      </c>
      <c r="P399" s="1012"/>
      <c r="Q399" s="912"/>
      <c r="R399" s="1009"/>
      <c r="S399" s="912"/>
      <c r="T399" s="1012"/>
      <c r="U399" s="935">
        <f>C399+D399+E399</f>
        <v>-43</v>
      </c>
      <c r="V399" s="935">
        <f>F399+G399+H399</f>
        <v>-27</v>
      </c>
      <c r="W399" s="935">
        <f>I399+J399+K399</f>
        <v>-27</v>
      </c>
      <c r="X399" s="935">
        <f>L399+M399+N399</f>
        <v>-24</v>
      </c>
      <c r="Y399" s="937">
        <f>SUM(U399:X399)</f>
        <v>-121</v>
      </c>
      <c r="Z399" s="915"/>
    </row>
    <row r="400" spans="1:26" x14ac:dyDescent="0.25">
      <c r="A400" s="925" t="s">
        <v>261</v>
      </c>
      <c r="B400" s="931"/>
      <c r="C400" s="920">
        <f t="shared" ref="C400:N400" si="157">+C153</f>
        <v>0</v>
      </c>
      <c r="D400" s="920">
        <f t="shared" si="157"/>
        <v>0</v>
      </c>
      <c r="E400" s="920">
        <f t="shared" si="157"/>
        <v>0</v>
      </c>
      <c r="F400" s="920">
        <f t="shared" si="157"/>
        <v>0</v>
      </c>
      <c r="G400" s="920">
        <f t="shared" si="157"/>
        <v>0</v>
      </c>
      <c r="H400" s="920">
        <f t="shared" si="157"/>
        <v>0</v>
      </c>
      <c r="I400" s="920">
        <f t="shared" si="157"/>
        <v>0</v>
      </c>
      <c r="J400" s="920">
        <f t="shared" si="157"/>
        <v>0</v>
      </c>
      <c r="K400" s="920">
        <f t="shared" si="157"/>
        <v>0</v>
      </c>
      <c r="L400" s="920">
        <f t="shared" si="157"/>
        <v>0</v>
      </c>
      <c r="M400" s="920">
        <f t="shared" si="157"/>
        <v>0</v>
      </c>
      <c r="N400" s="920">
        <f t="shared" si="157"/>
        <v>0</v>
      </c>
      <c r="O400" s="1013">
        <f>SUM(C400:N400)</f>
        <v>0</v>
      </c>
      <c r="P400" s="1013"/>
      <c r="Q400" s="912"/>
      <c r="R400" s="1009"/>
      <c r="S400" s="912"/>
      <c r="T400" s="1013"/>
      <c r="U400" s="979">
        <f>C400+D400+E400</f>
        <v>0</v>
      </c>
      <c r="V400" s="979">
        <f>F400+G400+H400</f>
        <v>0</v>
      </c>
      <c r="W400" s="979">
        <f>I400+J400+K400</f>
        <v>0</v>
      </c>
      <c r="X400" s="979">
        <f>L400+M400+N400</f>
        <v>0</v>
      </c>
      <c r="Y400" s="920">
        <f>SUM(U400:X400)</f>
        <v>0</v>
      </c>
      <c r="Z400" s="915"/>
    </row>
    <row r="401" spans="1:26" ht="3.9" customHeight="1" x14ac:dyDescent="0.25">
      <c r="A401" s="930"/>
      <c r="B401" s="931"/>
      <c r="C401" s="937"/>
      <c r="D401" s="937"/>
      <c r="E401" s="937"/>
      <c r="F401" s="937"/>
      <c r="G401" s="937"/>
      <c r="H401" s="937"/>
      <c r="I401" s="937"/>
      <c r="J401" s="937"/>
      <c r="K401" s="937"/>
      <c r="L401" s="937"/>
      <c r="M401" s="937"/>
      <c r="N401" s="937"/>
      <c r="O401" s="935"/>
      <c r="P401" s="935"/>
      <c r="Q401" s="912"/>
      <c r="R401" s="1009"/>
      <c r="S401" s="912"/>
      <c r="T401" s="935"/>
      <c r="U401" s="935"/>
      <c r="V401" s="935"/>
      <c r="W401" s="935"/>
      <c r="X401" s="935"/>
      <c r="Y401" s="937"/>
      <c r="Z401" s="915"/>
    </row>
    <row r="402" spans="1:26" x14ac:dyDescent="0.25">
      <c r="A402" s="930" t="s">
        <v>293</v>
      </c>
      <c r="B402" s="931"/>
      <c r="C402" s="983">
        <f t="shared" ref="C402:O402" si="158">SUM(C398:C400)</f>
        <v>-136</v>
      </c>
      <c r="D402" s="983">
        <f t="shared" si="158"/>
        <v>-148</v>
      </c>
      <c r="E402" s="983">
        <f t="shared" si="158"/>
        <v>-150</v>
      </c>
      <c r="F402" s="983">
        <f t="shared" si="158"/>
        <v>-141</v>
      </c>
      <c r="G402" s="983">
        <f t="shared" si="158"/>
        <v>-139</v>
      </c>
      <c r="H402" s="983">
        <f t="shared" si="158"/>
        <v>-134</v>
      </c>
      <c r="I402" s="983">
        <f t="shared" si="158"/>
        <v>-209</v>
      </c>
      <c r="J402" s="983">
        <f t="shared" si="158"/>
        <v>-109</v>
      </c>
      <c r="K402" s="983">
        <f t="shared" si="158"/>
        <v>-109</v>
      </c>
      <c r="L402" s="983">
        <f t="shared" si="158"/>
        <v>-108</v>
      </c>
      <c r="M402" s="983">
        <f t="shared" si="158"/>
        <v>-208</v>
      </c>
      <c r="N402" s="983">
        <f t="shared" si="158"/>
        <v>-308</v>
      </c>
      <c r="O402" s="983">
        <f t="shared" si="158"/>
        <v>-1899</v>
      </c>
      <c r="P402" s="983"/>
      <c r="Q402" s="912"/>
      <c r="R402" s="1009"/>
      <c r="S402" s="912"/>
      <c r="T402" s="983"/>
      <c r="U402" s="983">
        <f>SUM(U398:U400)</f>
        <v>-434</v>
      </c>
      <c r="V402" s="983">
        <f>SUM(V398:V400)</f>
        <v>-414</v>
      </c>
      <c r="W402" s="983">
        <f>SUM(W398:W400)</f>
        <v>-427</v>
      </c>
      <c r="X402" s="983">
        <f>SUM(X398:X400)</f>
        <v>-624</v>
      </c>
      <c r="Y402" s="983">
        <f>SUM(Y398:Y400)</f>
        <v>-1899</v>
      </c>
      <c r="Z402" s="915"/>
    </row>
    <row r="403" spans="1:26" ht="6" customHeight="1" x14ac:dyDescent="0.25">
      <c r="A403" s="930"/>
      <c r="B403" s="931"/>
      <c r="C403" s="937"/>
      <c r="D403" s="937"/>
      <c r="E403" s="937"/>
      <c r="F403" s="937"/>
      <c r="G403" s="937"/>
      <c r="H403" s="937"/>
      <c r="I403" s="937"/>
      <c r="J403" s="937"/>
      <c r="K403" s="937"/>
      <c r="L403" s="937"/>
      <c r="M403" s="937"/>
      <c r="N403" s="937"/>
      <c r="O403" s="935"/>
      <c r="P403" s="935"/>
      <c r="Q403" s="912"/>
      <c r="R403" s="1009"/>
      <c r="S403" s="912"/>
      <c r="T403" s="935"/>
      <c r="U403" s="935"/>
      <c r="V403" s="935"/>
      <c r="W403" s="935"/>
      <c r="X403" s="935"/>
      <c r="Y403" s="937"/>
      <c r="Z403" s="915"/>
    </row>
    <row r="404" spans="1:26" x14ac:dyDescent="0.25">
      <c r="A404" s="930" t="s">
        <v>294</v>
      </c>
      <c r="B404" s="931"/>
      <c r="C404" s="937"/>
      <c r="D404" s="937"/>
      <c r="E404" s="937"/>
      <c r="F404" s="937"/>
      <c r="G404" s="937"/>
      <c r="H404" s="937"/>
      <c r="I404" s="937"/>
      <c r="J404" s="937"/>
      <c r="K404" s="937"/>
      <c r="L404" s="937"/>
      <c r="M404" s="937"/>
      <c r="N404" s="937"/>
      <c r="O404" s="935"/>
      <c r="P404" s="935"/>
      <c r="Q404" s="912"/>
      <c r="R404" s="1009"/>
      <c r="S404" s="912"/>
      <c r="T404" s="935"/>
      <c r="U404" s="935"/>
      <c r="V404" s="935"/>
      <c r="W404" s="935"/>
      <c r="X404" s="935"/>
      <c r="Y404" s="937"/>
      <c r="Z404" s="915"/>
    </row>
    <row r="405" spans="1:26" x14ac:dyDescent="0.25">
      <c r="A405" s="925" t="s">
        <v>250</v>
      </c>
      <c r="B405" s="931"/>
      <c r="C405" s="937">
        <f t="shared" ref="C405:N405" si="159">+C186</f>
        <v>-1870</v>
      </c>
      <c r="D405" s="937">
        <f t="shared" si="159"/>
        <v>-2099</v>
      </c>
      <c r="E405" s="937">
        <f t="shared" si="159"/>
        <v>-2611</v>
      </c>
      <c r="F405" s="937">
        <f t="shared" si="159"/>
        <v>-1806</v>
      </c>
      <c r="G405" s="937">
        <f t="shared" si="159"/>
        <v>-2795</v>
      </c>
      <c r="H405" s="937">
        <f t="shared" si="159"/>
        <v>-2490</v>
      </c>
      <c r="I405" s="937">
        <f t="shared" si="159"/>
        <v>-1600</v>
      </c>
      <c r="J405" s="937">
        <f t="shared" si="159"/>
        <v>-2100</v>
      </c>
      <c r="K405" s="937">
        <f t="shared" si="159"/>
        <v>-2100</v>
      </c>
      <c r="L405" s="937">
        <f t="shared" si="159"/>
        <v>-1900</v>
      </c>
      <c r="M405" s="937">
        <f t="shared" si="159"/>
        <v>-1800</v>
      </c>
      <c r="N405" s="937">
        <f t="shared" si="159"/>
        <v>-1000</v>
      </c>
      <c r="O405" s="1012">
        <f>SUM(C405:N405)</f>
        <v>-24171</v>
      </c>
      <c r="P405" s="1012"/>
      <c r="Q405" s="912"/>
      <c r="R405" s="1009"/>
      <c r="S405" s="912"/>
      <c r="T405" s="1012"/>
      <c r="U405" s="935">
        <f>C405+D405+E405</f>
        <v>-6580</v>
      </c>
      <c r="V405" s="935">
        <f>F405+G405+H405</f>
        <v>-7091</v>
      </c>
      <c r="W405" s="935">
        <f>I405+J405+K405</f>
        <v>-5800</v>
      </c>
      <c r="X405" s="935">
        <f>L405+M405+N405</f>
        <v>-4700</v>
      </c>
      <c r="Y405" s="937">
        <f>SUM(U405:X405)</f>
        <v>-24171</v>
      </c>
      <c r="Z405" s="915"/>
    </row>
    <row r="406" spans="1:26" x14ac:dyDescent="0.25">
      <c r="A406" s="925" t="s">
        <v>255</v>
      </c>
      <c r="B406" s="931"/>
      <c r="C406" s="937">
        <f t="shared" ref="C406:N406" si="160">+C188</f>
        <v>-77</v>
      </c>
      <c r="D406" s="937">
        <f t="shared" si="160"/>
        <v>-109</v>
      </c>
      <c r="E406" s="937">
        <f t="shared" si="160"/>
        <v>-61</v>
      </c>
      <c r="F406" s="937">
        <f t="shared" si="160"/>
        <v>-60</v>
      </c>
      <c r="G406" s="937">
        <f t="shared" si="160"/>
        <v>-64</v>
      </c>
      <c r="H406" s="937">
        <f t="shared" si="160"/>
        <v>-65</v>
      </c>
      <c r="I406" s="937">
        <f t="shared" si="160"/>
        <v>-65</v>
      </c>
      <c r="J406" s="937">
        <f t="shared" si="160"/>
        <v>-65</v>
      </c>
      <c r="K406" s="937">
        <f t="shared" si="160"/>
        <v>-65</v>
      </c>
      <c r="L406" s="937">
        <f t="shared" si="160"/>
        <v>-65</v>
      </c>
      <c r="M406" s="937">
        <f t="shared" si="160"/>
        <v>-65</v>
      </c>
      <c r="N406" s="937">
        <f t="shared" si="160"/>
        <v>-65</v>
      </c>
      <c r="O406" s="1012">
        <f>SUM(C406:N406)</f>
        <v>-826</v>
      </c>
      <c r="P406" s="1012"/>
      <c r="Q406" s="912"/>
      <c r="R406" s="1009"/>
      <c r="S406" s="912"/>
      <c r="T406" s="1012"/>
      <c r="U406" s="935">
        <f>C406+D406+E406</f>
        <v>-247</v>
      </c>
      <c r="V406" s="935">
        <f>F406+G406+H406</f>
        <v>-189</v>
      </c>
      <c r="W406" s="935">
        <f>I406+J406+K406</f>
        <v>-195</v>
      </c>
      <c r="X406" s="935">
        <f>L406+M406+N406</f>
        <v>-195</v>
      </c>
      <c r="Y406" s="937">
        <f>SUM(U406:X406)</f>
        <v>-826</v>
      </c>
      <c r="Z406" s="915"/>
    </row>
    <row r="407" spans="1:26" x14ac:dyDescent="0.25">
      <c r="A407" s="925" t="s">
        <v>295</v>
      </c>
      <c r="B407" s="931"/>
      <c r="C407" s="920">
        <f t="shared" ref="C407:N407" si="161">+C169</f>
        <v>0</v>
      </c>
      <c r="D407" s="920">
        <f t="shared" si="161"/>
        <v>0</v>
      </c>
      <c r="E407" s="920">
        <f t="shared" si="161"/>
        <v>0</v>
      </c>
      <c r="F407" s="920">
        <f t="shared" si="161"/>
        <v>0</v>
      </c>
      <c r="G407" s="920">
        <f t="shared" si="161"/>
        <v>-21</v>
      </c>
      <c r="H407" s="920">
        <f t="shared" si="161"/>
        <v>0</v>
      </c>
      <c r="I407" s="920">
        <f t="shared" si="161"/>
        <v>0</v>
      </c>
      <c r="J407" s="920">
        <f t="shared" si="161"/>
        <v>0</v>
      </c>
      <c r="K407" s="920">
        <f t="shared" si="161"/>
        <v>0</v>
      </c>
      <c r="L407" s="920">
        <f t="shared" si="161"/>
        <v>0</v>
      </c>
      <c r="M407" s="920">
        <f t="shared" si="161"/>
        <v>0</v>
      </c>
      <c r="N407" s="920">
        <f t="shared" si="161"/>
        <v>0</v>
      </c>
      <c r="O407" s="1013">
        <f>SUM(C407:N407)</f>
        <v>-21</v>
      </c>
      <c r="P407" s="1013"/>
      <c r="Q407" s="912"/>
      <c r="R407" s="1009"/>
      <c r="S407" s="912"/>
      <c r="T407" s="1013"/>
      <c r="U407" s="979">
        <f>C407+D407+E407</f>
        <v>0</v>
      </c>
      <c r="V407" s="979">
        <f>F407+G407+H407</f>
        <v>-21</v>
      </c>
      <c r="W407" s="979">
        <f>I407+J407+K407</f>
        <v>0</v>
      </c>
      <c r="X407" s="979">
        <f>L407+M407+N407</f>
        <v>0</v>
      </c>
      <c r="Y407" s="920">
        <f>SUM(U407:X407)</f>
        <v>-21</v>
      </c>
      <c r="Z407" s="915"/>
    </row>
    <row r="408" spans="1:26" ht="3.9" customHeight="1" x14ac:dyDescent="0.25">
      <c r="A408" s="930"/>
      <c r="B408" s="931"/>
      <c r="C408" s="937"/>
      <c r="D408" s="937"/>
      <c r="E408" s="937"/>
      <c r="F408" s="937"/>
      <c r="G408" s="937"/>
      <c r="H408" s="937"/>
      <c r="I408" s="937"/>
      <c r="J408" s="937"/>
      <c r="K408" s="937"/>
      <c r="L408" s="937"/>
      <c r="M408" s="937"/>
      <c r="N408" s="937"/>
      <c r="O408" s="935"/>
      <c r="P408" s="935"/>
      <c r="Q408" s="912"/>
      <c r="R408" s="1009"/>
      <c r="S408" s="912"/>
      <c r="T408" s="935"/>
      <c r="U408" s="935"/>
      <c r="V408" s="935"/>
      <c r="W408" s="935"/>
      <c r="X408" s="935"/>
      <c r="Y408" s="937"/>
      <c r="Z408" s="915"/>
    </row>
    <row r="409" spans="1:26" x14ac:dyDescent="0.25">
      <c r="A409" s="930" t="s">
        <v>296</v>
      </c>
      <c r="B409" s="931"/>
      <c r="C409" s="983">
        <f t="shared" ref="C409:O409" si="162">SUM(C405:C407)</f>
        <v>-1947</v>
      </c>
      <c r="D409" s="983">
        <f t="shared" si="162"/>
        <v>-2208</v>
      </c>
      <c r="E409" s="983">
        <f t="shared" si="162"/>
        <v>-2672</v>
      </c>
      <c r="F409" s="983">
        <f t="shared" si="162"/>
        <v>-1866</v>
      </c>
      <c r="G409" s="983">
        <f t="shared" si="162"/>
        <v>-2880</v>
      </c>
      <c r="H409" s="983">
        <f t="shared" si="162"/>
        <v>-2555</v>
      </c>
      <c r="I409" s="983">
        <f t="shared" si="162"/>
        <v>-1665</v>
      </c>
      <c r="J409" s="983">
        <f t="shared" si="162"/>
        <v>-2165</v>
      </c>
      <c r="K409" s="983">
        <f t="shared" si="162"/>
        <v>-2165</v>
      </c>
      <c r="L409" s="983">
        <f t="shared" si="162"/>
        <v>-1965</v>
      </c>
      <c r="M409" s="983">
        <f t="shared" si="162"/>
        <v>-1865</v>
      </c>
      <c r="N409" s="983">
        <f t="shared" si="162"/>
        <v>-1065</v>
      </c>
      <c r="O409" s="983">
        <f t="shared" si="162"/>
        <v>-25018</v>
      </c>
      <c r="P409" s="983"/>
      <c r="Q409" s="912"/>
      <c r="R409" s="1009"/>
      <c r="S409" s="912"/>
      <c r="T409" s="983"/>
      <c r="U409" s="983">
        <f>SUM(U405:U407)</f>
        <v>-6827</v>
      </c>
      <c r="V409" s="983">
        <f>SUM(V405:V407)</f>
        <v>-7301</v>
      </c>
      <c r="W409" s="983">
        <f>SUM(W405:W407)</f>
        <v>-5995</v>
      </c>
      <c r="X409" s="983">
        <f>SUM(X405:X407)</f>
        <v>-4895</v>
      </c>
      <c r="Y409" s="983">
        <f>SUM(Y405:Y407)</f>
        <v>-25018</v>
      </c>
      <c r="Z409" s="915"/>
    </row>
    <row r="410" spans="1:26" ht="6" customHeight="1" x14ac:dyDescent="0.25">
      <c r="A410" s="930"/>
      <c r="B410" s="931"/>
      <c r="C410" s="937"/>
      <c r="D410" s="937"/>
      <c r="E410" s="937"/>
      <c r="F410" s="937"/>
      <c r="G410" s="937"/>
      <c r="H410" s="937"/>
      <c r="I410" s="937"/>
      <c r="J410" s="937"/>
      <c r="K410" s="937"/>
      <c r="L410" s="937"/>
      <c r="M410" s="937"/>
      <c r="N410" s="937"/>
      <c r="O410" s="935"/>
      <c r="P410" s="935"/>
      <c r="Q410" s="912"/>
      <c r="R410" s="1009"/>
      <c r="S410" s="912"/>
      <c r="T410" s="935"/>
      <c r="U410" s="935"/>
      <c r="V410" s="935"/>
      <c r="W410" s="935"/>
      <c r="X410" s="935"/>
      <c r="Y410" s="937"/>
      <c r="Z410" s="915"/>
    </row>
    <row r="411" spans="1:26" x14ac:dyDescent="0.25">
      <c r="A411" s="930" t="s">
        <v>297</v>
      </c>
      <c r="B411" s="931"/>
      <c r="C411" s="937"/>
      <c r="D411" s="937"/>
      <c r="E411" s="937"/>
      <c r="F411" s="937"/>
      <c r="G411" s="937"/>
      <c r="H411" s="937"/>
      <c r="I411" s="937"/>
      <c r="J411" s="937"/>
      <c r="K411" s="937"/>
      <c r="L411" s="937"/>
      <c r="M411" s="937"/>
      <c r="N411" s="937"/>
      <c r="O411" s="935"/>
      <c r="P411" s="935"/>
      <c r="Q411" s="912"/>
      <c r="R411" s="1009"/>
      <c r="S411" s="912"/>
      <c r="T411" s="935"/>
      <c r="U411" s="935"/>
      <c r="V411" s="935"/>
      <c r="W411" s="935"/>
      <c r="X411" s="935"/>
      <c r="Y411" s="937"/>
      <c r="Z411" s="915"/>
    </row>
    <row r="412" spans="1:26" x14ac:dyDescent="0.25">
      <c r="A412" s="925" t="s">
        <v>249</v>
      </c>
      <c r="B412" s="931"/>
      <c r="C412" s="937">
        <f t="shared" ref="C412:N412" si="163">+C197</f>
        <v>0</v>
      </c>
      <c r="D412" s="937">
        <f t="shared" si="163"/>
        <v>0</v>
      </c>
      <c r="E412" s="937">
        <f t="shared" si="163"/>
        <v>0</v>
      </c>
      <c r="F412" s="937">
        <f t="shared" si="163"/>
        <v>0</v>
      </c>
      <c r="G412" s="937">
        <f t="shared" si="163"/>
        <v>0</v>
      </c>
      <c r="H412" s="937">
        <f t="shared" si="163"/>
        <v>0</v>
      </c>
      <c r="I412" s="937">
        <f t="shared" si="163"/>
        <v>0</v>
      </c>
      <c r="J412" s="937">
        <f t="shared" si="163"/>
        <v>0</v>
      </c>
      <c r="K412" s="937">
        <f t="shared" si="163"/>
        <v>0</v>
      </c>
      <c r="L412" s="937">
        <f t="shared" si="163"/>
        <v>0</v>
      </c>
      <c r="M412" s="937">
        <f t="shared" si="163"/>
        <v>0</v>
      </c>
      <c r="N412" s="937">
        <f t="shared" si="163"/>
        <v>0</v>
      </c>
      <c r="O412" s="1012">
        <f t="shared" ref="O412:O420" si="164">SUM(C412:N412)</f>
        <v>0</v>
      </c>
      <c r="P412" s="1012"/>
      <c r="Q412" s="912"/>
      <c r="R412" s="1009"/>
      <c r="S412" s="912"/>
      <c r="T412" s="1012"/>
      <c r="U412" s="935">
        <f t="shared" ref="U412:U420" si="165">C412+D412+E412</f>
        <v>0</v>
      </c>
      <c r="V412" s="935">
        <f t="shared" ref="V412:V420" si="166">F412+G412+H412</f>
        <v>0</v>
      </c>
      <c r="W412" s="935">
        <f t="shared" ref="W412:W420" si="167">I412+J412+K412</f>
        <v>0</v>
      </c>
      <c r="X412" s="935">
        <f t="shared" ref="X412:X420" si="168">L412+M412+N412</f>
        <v>0</v>
      </c>
      <c r="Y412" s="937">
        <f t="shared" ref="Y412:Y420" si="169">SUM(U412:X412)</f>
        <v>0</v>
      </c>
      <c r="Z412" s="915"/>
    </row>
    <row r="413" spans="1:26" x14ac:dyDescent="0.25">
      <c r="A413" s="925" t="s">
        <v>250</v>
      </c>
      <c r="B413" s="931"/>
      <c r="C413" s="937">
        <f t="shared" ref="C413:N413" si="170">+C227</f>
        <v>-829.971</v>
      </c>
      <c r="D413" s="937">
        <f t="shared" si="170"/>
        <v>-854.90200000000004</v>
      </c>
      <c r="E413" s="937">
        <f t="shared" si="170"/>
        <v>-1630</v>
      </c>
      <c r="F413" s="937">
        <f t="shared" si="170"/>
        <v>-627</v>
      </c>
      <c r="G413" s="937">
        <f t="shared" si="170"/>
        <v>-572</v>
      </c>
      <c r="H413" s="937">
        <f t="shared" si="170"/>
        <v>-761</v>
      </c>
      <c r="I413" s="937">
        <f t="shared" si="170"/>
        <v>-600</v>
      </c>
      <c r="J413" s="937">
        <f t="shared" si="170"/>
        <v>-500</v>
      </c>
      <c r="K413" s="937">
        <f t="shared" si="170"/>
        <v>-700</v>
      </c>
      <c r="L413" s="937">
        <f t="shared" si="170"/>
        <v>-700</v>
      </c>
      <c r="M413" s="937">
        <f t="shared" si="170"/>
        <v>-600</v>
      </c>
      <c r="N413" s="937">
        <f t="shared" si="170"/>
        <v>-500</v>
      </c>
      <c r="O413" s="1012">
        <f t="shared" si="164"/>
        <v>-8874.8729999999996</v>
      </c>
      <c r="P413" s="1012"/>
      <c r="Q413" s="912"/>
      <c r="R413" s="1009"/>
      <c r="S413" s="912"/>
      <c r="T413" s="1012"/>
      <c r="U413" s="935">
        <f t="shared" si="165"/>
        <v>-3314.873</v>
      </c>
      <c r="V413" s="935">
        <f t="shared" si="166"/>
        <v>-1960</v>
      </c>
      <c r="W413" s="935">
        <f t="shared" si="167"/>
        <v>-1800</v>
      </c>
      <c r="X413" s="935">
        <f t="shared" si="168"/>
        <v>-1800</v>
      </c>
      <c r="Y413" s="937">
        <f t="shared" si="169"/>
        <v>-8874.8729999999996</v>
      </c>
      <c r="Z413" s="915"/>
    </row>
    <row r="414" spans="1:26" x14ac:dyDescent="0.25">
      <c r="A414" s="925" t="s">
        <v>254</v>
      </c>
      <c r="B414" s="931"/>
      <c r="C414" s="937">
        <f>+C239</f>
        <v>-1621</v>
      </c>
      <c r="D414" s="937">
        <f t="shared" ref="D414:N414" si="171">+D239</f>
        <v>-1587</v>
      </c>
      <c r="E414" s="937">
        <f t="shared" si="171"/>
        <v>-1631</v>
      </c>
      <c r="F414" s="937">
        <f t="shared" si="171"/>
        <v>-1643</v>
      </c>
      <c r="G414" s="937">
        <f t="shared" si="171"/>
        <v>-1600</v>
      </c>
      <c r="H414" s="937">
        <f t="shared" si="171"/>
        <v>-1710</v>
      </c>
      <c r="I414" s="937">
        <f t="shared" si="171"/>
        <v>-1700</v>
      </c>
      <c r="J414" s="937">
        <f t="shared" si="171"/>
        <v>-1750</v>
      </c>
      <c r="K414" s="937">
        <f t="shared" si="171"/>
        <v>-1750</v>
      </c>
      <c r="L414" s="937">
        <f t="shared" si="171"/>
        <v>-1850</v>
      </c>
      <c r="M414" s="937">
        <f t="shared" si="171"/>
        <v>-1850</v>
      </c>
      <c r="N414" s="937">
        <f t="shared" si="171"/>
        <v>-1850</v>
      </c>
      <c r="O414" s="1012">
        <f t="shared" si="164"/>
        <v>-20542</v>
      </c>
      <c r="P414" s="1012"/>
      <c r="Q414" s="912"/>
      <c r="R414" s="1009"/>
      <c r="S414" s="912"/>
      <c r="T414" s="1012"/>
      <c r="U414" s="935">
        <f t="shared" si="165"/>
        <v>-4839</v>
      </c>
      <c r="V414" s="935">
        <f t="shared" si="166"/>
        <v>-4953</v>
      </c>
      <c r="W414" s="935">
        <f t="shared" si="167"/>
        <v>-5200</v>
      </c>
      <c r="X414" s="935">
        <f t="shared" si="168"/>
        <v>-5550</v>
      </c>
      <c r="Y414" s="937">
        <f t="shared" si="169"/>
        <v>-20542</v>
      </c>
      <c r="Z414" s="915"/>
    </row>
    <row r="415" spans="1:26" x14ac:dyDescent="0.25">
      <c r="A415" s="925" t="s">
        <v>298</v>
      </c>
      <c r="B415" s="931"/>
      <c r="C415" s="937">
        <f t="shared" ref="C415:N415" si="172">+C241</f>
        <v>-722</v>
      </c>
      <c r="D415" s="937">
        <f t="shared" si="172"/>
        <v>-722</v>
      </c>
      <c r="E415" s="937">
        <f t="shared" si="172"/>
        <v>-722</v>
      </c>
      <c r="F415" s="937">
        <f t="shared" si="172"/>
        <v>-722</v>
      </c>
      <c r="G415" s="937">
        <f t="shared" si="172"/>
        <v>-722</v>
      </c>
      <c r="H415" s="937">
        <f t="shared" si="172"/>
        <v>-722</v>
      </c>
      <c r="I415" s="937">
        <f t="shared" si="172"/>
        <v>-722</v>
      </c>
      <c r="J415" s="937">
        <f t="shared" si="172"/>
        <v>-722</v>
      </c>
      <c r="K415" s="937">
        <f t="shared" si="172"/>
        <v>-722</v>
      </c>
      <c r="L415" s="937">
        <f t="shared" si="172"/>
        <v>-722</v>
      </c>
      <c r="M415" s="937">
        <f t="shared" si="172"/>
        <v>-722</v>
      </c>
      <c r="N415" s="937">
        <f t="shared" si="172"/>
        <v>-722</v>
      </c>
      <c r="O415" s="1012">
        <f t="shared" si="164"/>
        <v>-8664</v>
      </c>
      <c r="P415" s="1012"/>
      <c r="Q415" s="912"/>
      <c r="R415" s="1009"/>
      <c r="S415" s="912"/>
      <c r="T415" s="1012"/>
      <c r="U415" s="935">
        <f t="shared" si="165"/>
        <v>-2166</v>
      </c>
      <c r="V415" s="935">
        <f t="shared" si="166"/>
        <v>-2166</v>
      </c>
      <c r="W415" s="935">
        <f t="shared" si="167"/>
        <v>-2166</v>
      </c>
      <c r="X415" s="935">
        <f t="shared" si="168"/>
        <v>-2166</v>
      </c>
      <c r="Y415" s="937">
        <f t="shared" si="169"/>
        <v>-8664</v>
      </c>
      <c r="Z415" s="915"/>
    </row>
    <row r="416" spans="1:26" x14ac:dyDescent="0.25">
      <c r="A416" s="911" t="s">
        <v>173</v>
      </c>
      <c r="B416" s="931"/>
      <c r="C416" s="937">
        <f t="shared" ref="C416:N416" si="173">+C245</f>
        <v>-16</v>
      </c>
      <c r="D416" s="937">
        <f t="shared" si="173"/>
        <v>-18</v>
      </c>
      <c r="E416" s="937">
        <f t="shared" si="173"/>
        <v>-8</v>
      </c>
      <c r="F416" s="937">
        <f t="shared" si="173"/>
        <v>-6</v>
      </c>
      <c r="G416" s="937">
        <f t="shared" si="173"/>
        <v>-7</v>
      </c>
      <c r="H416" s="937">
        <f t="shared" si="173"/>
        <v>-5</v>
      </c>
      <c r="I416" s="937">
        <f t="shared" si="173"/>
        <v>-5</v>
      </c>
      <c r="J416" s="937">
        <f t="shared" si="173"/>
        <v>-5</v>
      </c>
      <c r="K416" s="937">
        <f t="shared" si="173"/>
        <v>-5</v>
      </c>
      <c r="L416" s="937">
        <f t="shared" si="173"/>
        <v>-4</v>
      </c>
      <c r="M416" s="937">
        <f t="shared" si="173"/>
        <v>-4</v>
      </c>
      <c r="N416" s="937">
        <f t="shared" si="173"/>
        <v>-4</v>
      </c>
      <c r="O416" s="1012">
        <f t="shared" si="164"/>
        <v>-87</v>
      </c>
      <c r="P416" s="1012"/>
      <c r="Q416" s="912"/>
      <c r="R416" s="1009"/>
      <c r="S416" s="912"/>
      <c r="T416" s="1012"/>
      <c r="U416" s="935">
        <f t="shared" si="165"/>
        <v>-42</v>
      </c>
      <c r="V416" s="935">
        <f t="shared" si="166"/>
        <v>-18</v>
      </c>
      <c r="W416" s="935">
        <f t="shared" si="167"/>
        <v>-15</v>
      </c>
      <c r="X416" s="935">
        <f t="shared" si="168"/>
        <v>-12</v>
      </c>
      <c r="Y416" s="937">
        <f t="shared" si="169"/>
        <v>-87</v>
      </c>
      <c r="Z416" s="915"/>
    </row>
    <row r="417" spans="1:26" x14ac:dyDescent="0.25">
      <c r="A417" s="911" t="s">
        <v>172</v>
      </c>
      <c r="B417" s="931"/>
      <c r="C417" s="937">
        <f t="shared" ref="C417:N417" si="174">+C244</f>
        <v>15</v>
      </c>
      <c r="D417" s="937">
        <f t="shared" si="174"/>
        <v>36</v>
      </c>
      <c r="E417" s="937">
        <f t="shared" si="174"/>
        <v>12</v>
      </c>
      <c r="F417" s="937">
        <f t="shared" si="174"/>
        <v>11</v>
      </c>
      <c r="G417" s="937">
        <f t="shared" si="174"/>
        <v>10</v>
      </c>
      <c r="H417" s="937">
        <f t="shared" si="174"/>
        <v>22</v>
      </c>
      <c r="I417" s="937">
        <f t="shared" si="174"/>
        <v>0</v>
      </c>
      <c r="J417" s="937">
        <f t="shared" si="174"/>
        <v>0</v>
      </c>
      <c r="K417" s="937">
        <f t="shared" si="174"/>
        <v>0</v>
      </c>
      <c r="L417" s="937">
        <f t="shared" si="174"/>
        <v>0</v>
      </c>
      <c r="M417" s="937">
        <f t="shared" si="174"/>
        <v>0</v>
      </c>
      <c r="N417" s="937">
        <f t="shared" si="174"/>
        <v>0</v>
      </c>
      <c r="O417" s="1012">
        <f t="shared" si="164"/>
        <v>106</v>
      </c>
      <c r="P417" s="1012"/>
      <c r="Q417" s="912"/>
      <c r="R417" s="1009"/>
      <c r="S417" s="912"/>
      <c r="T417" s="1012"/>
      <c r="U417" s="935">
        <f t="shared" si="165"/>
        <v>63</v>
      </c>
      <c r="V417" s="935">
        <f t="shared" si="166"/>
        <v>43</v>
      </c>
      <c r="W417" s="935">
        <f t="shared" si="167"/>
        <v>0</v>
      </c>
      <c r="X417" s="935">
        <f t="shared" si="168"/>
        <v>0</v>
      </c>
      <c r="Y417" s="937">
        <f t="shared" si="169"/>
        <v>106</v>
      </c>
      <c r="Z417" s="915"/>
    </row>
    <row r="418" spans="1:26" x14ac:dyDescent="0.25">
      <c r="A418" s="911" t="s">
        <v>299</v>
      </c>
      <c r="B418" s="931"/>
      <c r="C418" s="937">
        <f t="shared" ref="C418:N418" si="175">+C242+C243</f>
        <v>-104</v>
      </c>
      <c r="D418" s="937">
        <f t="shared" si="175"/>
        <v>-107</v>
      </c>
      <c r="E418" s="937">
        <f t="shared" si="175"/>
        <v>-102</v>
      </c>
      <c r="F418" s="937">
        <f t="shared" si="175"/>
        <v>-103</v>
      </c>
      <c r="G418" s="937">
        <f t="shared" si="175"/>
        <v>-102</v>
      </c>
      <c r="H418" s="937">
        <f t="shared" si="175"/>
        <v>-107</v>
      </c>
      <c r="I418" s="937">
        <f t="shared" si="175"/>
        <v>-103</v>
      </c>
      <c r="J418" s="937">
        <f t="shared" si="175"/>
        <v>-103</v>
      </c>
      <c r="K418" s="937">
        <f t="shared" si="175"/>
        <v>-103</v>
      </c>
      <c r="L418" s="937">
        <f t="shared" si="175"/>
        <v>-103</v>
      </c>
      <c r="M418" s="937">
        <f t="shared" si="175"/>
        <v>-103</v>
      </c>
      <c r="N418" s="937">
        <f t="shared" si="175"/>
        <v>-103</v>
      </c>
      <c r="O418" s="1012">
        <f t="shared" si="164"/>
        <v>-1243</v>
      </c>
      <c r="P418" s="1012"/>
      <c r="Q418" s="912"/>
      <c r="R418" s="1009"/>
      <c r="S418" s="912"/>
      <c r="T418" s="1012"/>
      <c r="U418" s="935">
        <f t="shared" si="165"/>
        <v>-313</v>
      </c>
      <c r="V418" s="935">
        <f t="shared" si="166"/>
        <v>-312</v>
      </c>
      <c r="W418" s="935">
        <f t="shared" si="167"/>
        <v>-309</v>
      </c>
      <c r="X418" s="935">
        <f t="shared" si="168"/>
        <v>-309</v>
      </c>
      <c r="Y418" s="937">
        <f t="shared" si="169"/>
        <v>-1243</v>
      </c>
      <c r="Z418" s="915"/>
    </row>
    <row r="419" spans="1:26" x14ac:dyDescent="0.25">
      <c r="A419" s="925" t="s">
        <v>256</v>
      </c>
      <c r="B419" s="931"/>
      <c r="C419" s="937">
        <f>+C195</f>
        <v>0</v>
      </c>
      <c r="D419" s="937">
        <f t="shared" ref="D419:N419" si="176">+D195</f>
        <v>0</v>
      </c>
      <c r="E419" s="937">
        <f t="shared" si="176"/>
        <v>0</v>
      </c>
      <c r="F419" s="937">
        <f t="shared" si="176"/>
        <v>0</v>
      </c>
      <c r="G419" s="937">
        <f t="shared" si="176"/>
        <v>0</v>
      </c>
      <c r="H419" s="937">
        <f t="shared" si="176"/>
        <v>0</v>
      </c>
      <c r="I419" s="937">
        <f t="shared" si="176"/>
        <v>0</v>
      </c>
      <c r="J419" s="937">
        <f t="shared" si="176"/>
        <v>0</v>
      </c>
      <c r="K419" s="937">
        <f t="shared" si="176"/>
        <v>0</v>
      </c>
      <c r="L419" s="937">
        <f t="shared" si="176"/>
        <v>0</v>
      </c>
      <c r="M419" s="937">
        <f t="shared" si="176"/>
        <v>0</v>
      </c>
      <c r="N419" s="937">
        <f t="shared" si="176"/>
        <v>0</v>
      </c>
      <c r="O419" s="1012">
        <f t="shared" si="164"/>
        <v>0</v>
      </c>
      <c r="P419" s="1012"/>
      <c r="Q419" s="912"/>
      <c r="R419" s="1009"/>
      <c r="S419" s="912"/>
      <c r="T419" s="1012"/>
      <c r="U419" s="935">
        <f t="shared" si="165"/>
        <v>0</v>
      </c>
      <c r="V419" s="935">
        <f t="shared" si="166"/>
        <v>0</v>
      </c>
      <c r="W419" s="935">
        <f t="shared" si="167"/>
        <v>0</v>
      </c>
      <c r="X419" s="935">
        <f t="shared" si="168"/>
        <v>0</v>
      </c>
      <c r="Y419" s="937">
        <f t="shared" si="169"/>
        <v>0</v>
      </c>
      <c r="Z419" s="915"/>
    </row>
    <row r="420" spans="1:26" x14ac:dyDescent="0.25">
      <c r="A420" s="925" t="s">
        <v>261</v>
      </c>
      <c r="B420" s="931"/>
      <c r="C420" s="920">
        <f t="shared" ref="C420:N420" si="177">SUM(C248:C266)</f>
        <v>-3</v>
      </c>
      <c r="D420" s="920">
        <f t="shared" si="177"/>
        <v>-2</v>
      </c>
      <c r="E420" s="920">
        <f t="shared" si="177"/>
        <v>-3</v>
      </c>
      <c r="F420" s="920">
        <f t="shared" si="177"/>
        <v>-5</v>
      </c>
      <c r="G420" s="920">
        <f t="shared" si="177"/>
        <v>-6</v>
      </c>
      <c r="H420" s="920">
        <f t="shared" si="177"/>
        <v>-3</v>
      </c>
      <c r="I420" s="920">
        <f t="shared" si="177"/>
        <v>-7</v>
      </c>
      <c r="J420" s="920">
        <f t="shared" si="177"/>
        <v>0</v>
      </c>
      <c r="K420" s="920">
        <f t="shared" si="177"/>
        <v>-2</v>
      </c>
      <c r="L420" s="920">
        <f t="shared" si="177"/>
        <v>-5</v>
      </c>
      <c r="M420" s="920">
        <f t="shared" si="177"/>
        <v>-2</v>
      </c>
      <c r="N420" s="920">
        <f t="shared" si="177"/>
        <v>-2</v>
      </c>
      <c r="O420" s="1013">
        <f t="shared" si="164"/>
        <v>-40</v>
      </c>
      <c r="P420" s="1013"/>
      <c r="Q420" s="912"/>
      <c r="R420" s="1009"/>
      <c r="S420" s="912"/>
      <c r="T420" s="1013"/>
      <c r="U420" s="979">
        <f t="shared" si="165"/>
        <v>-8</v>
      </c>
      <c r="V420" s="979">
        <f t="shared" si="166"/>
        <v>-14</v>
      </c>
      <c r="W420" s="979">
        <f t="shared" si="167"/>
        <v>-9</v>
      </c>
      <c r="X420" s="979">
        <f t="shared" si="168"/>
        <v>-9</v>
      </c>
      <c r="Y420" s="920">
        <f t="shared" si="169"/>
        <v>-40</v>
      </c>
      <c r="Z420" s="915"/>
    </row>
    <row r="421" spans="1:26" ht="3.9" customHeight="1" x14ac:dyDescent="0.25">
      <c r="A421" s="965"/>
      <c r="B421" s="931"/>
      <c r="C421" s="937"/>
      <c r="D421" s="937"/>
      <c r="E421" s="937"/>
      <c r="F421" s="937"/>
      <c r="G421" s="937"/>
      <c r="H421" s="937"/>
      <c r="I421" s="937"/>
      <c r="J421" s="937"/>
      <c r="K421" s="937"/>
      <c r="L421" s="937"/>
      <c r="M421" s="937"/>
      <c r="N421" s="937"/>
      <c r="O421" s="935"/>
      <c r="P421" s="935"/>
      <c r="Q421" s="912"/>
      <c r="R421" s="1009"/>
      <c r="S421" s="912"/>
      <c r="T421" s="935"/>
      <c r="U421" s="935"/>
      <c r="V421" s="935"/>
      <c r="W421" s="935"/>
      <c r="X421" s="935"/>
      <c r="Y421" s="937"/>
      <c r="Z421" s="915"/>
    </row>
    <row r="422" spans="1:26" x14ac:dyDescent="0.25">
      <c r="A422" s="930" t="s">
        <v>300</v>
      </c>
      <c r="B422" s="931"/>
      <c r="C422" s="983">
        <f t="shared" ref="C422:O422" si="178">SUM(C412:C420)</f>
        <v>-3280.971</v>
      </c>
      <c r="D422" s="983">
        <f t="shared" si="178"/>
        <v>-3254.902</v>
      </c>
      <c r="E422" s="983">
        <f t="shared" si="178"/>
        <v>-4084</v>
      </c>
      <c r="F422" s="983">
        <f t="shared" si="178"/>
        <v>-3095</v>
      </c>
      <c r="G422" s="983">
        <f t="shared" si="178"/>
        <v>-2999</v>
      </c>
      <c r="H422" s="983">
        <f t="shared" si="178"/>
        <v>-3286</v>
      </c>
      <c r="I422" s="983">
        <f t="shared" si="178"/>
        <v>-3137</v>
      </c>
      <c r="J422" s="983">
        <f t="shared" si="178"/>
        <v>-3080</v>
      </c>
      <c r="K422" s="983">
        <f t="shared" si="178"/>
        <v>-3282</v>
      </c>
      <c r="L422" s="983">
        <f t="shared" si="178"/>
        <v>-3384</v>
      </c>
      <c r="M422" s="983">
        <f t="shared" si="178"/>
        <v>-3281</v>
      </c>
      <c r="N422" s="983">
        <f t="shared" si="178"/>
        <v>-3181</v>
      </c>
      <c r="O422" s="983">
        <f t="shared" si="178"/>
        <v>-39344.873</v>
      </c>
      <c r="P422" s="983"/>
      <c r="Q422" s="912"/>
      <c r="R422" s="1009"/>
      <c r="S422" s="912"/>
      <c r="T422" s="983"/>
      <c r="U422" s="983">
        <f>SUM(U412:U420)</f>
        <v>-10619.873</v>
      </c>
      <c r="V422" s="983">
        <f>SUM(V412:V420)</f>
        <v>-9380</v>
      </c>
      <c r="W422" s="983">
        <f>SUM(W412:W420)</f>
        <v>-9499</v>
      </c>
      <c r="X422" s="983">
        <f>SUM(X412:X420)</f>
        <v>-9846</v>
      </c>
      <c r="Y422" s="983">
        <f>SUM(Y412:Y420)</f>
        <v>-39344.873</v>
      </c>
      <c r="Z422" s="915"/>
    </row>
    <row r="423" spans="1:26" ht="6" customHeight="1" x14ac:dyDescent="0.25">
      <c r="A423" s="947"/>
      <c r="B423" s="931"/>
      <c r="C423" s="937"/>
      <c r="D423" s="937"/>
      <c r="E423" s="937"/>
      <c r="F423" s="937"/>
      <c r="G423" s="937"/>
      <c r="H423" s="937"/>
      <c r="I423" s="937"/>
      <c r="J423" s="937"/>
      <c r="K423" s="937"/>
      <c r="L423" s="937"/>
      <c r="M423" s="937"/>
      <c r="N423" s="937"/>
      <c r="O423" s="935"/>
      <c r="P423" s="935"/>
      <c r="Q423" s="912"/>
      <c r="R423" s="1009"/>
      <c r="S423" s="912"/>
      <c r="T423" s="935"/>
      <c r="U423" s="935"/>
      <c r="V423" s="935"/>
      <c r="W423" s="935"/>
      <c r="X423" s="935"/>
      <c r="Y423" s="937"/>
      <c r="Z423" s="915"/>
    </row>
    <row r="424" spans="1:26" x14ac:dyDescent="0.25">
      <c r="A424" s="930" t="s">
        <v>301</v>
      </c>
      <c r="B424" s="931"/>
      <c r="C424" s="937"/>
      <c r="D424" s="937"/>
      <c r="E424" s="937"/>
      <c r="F424" s="937"/>
      <c r="G424" s="937"/>
      <c r="H424" s="937"/>
      <c r="I424" s="937"/>
      <c r="J424" s="937"/>
      <c r="K424" s="937"/>
      <c r="L424" s="937"/>
      <c r="M424" s="937"/>
      <c r="N424" s="937"/>
      <c r="O424" s="935"/>
      <c r="P424" s="935"/>
      <c r="Q424" s="912"/>
      <c r="R424" s="1009"/>
      <c r="S424" s="912"/>
      <c r="T424" s="935"/>
      <c r="U424" s="935"/>
      <c r="V424" s="935"/>
      <c r="W424" s="935"/>
      <c r="X424" s="935"/>
      <c r="Y424" s="937"/>
      <c r="Z424" s="915"/>
    </row>
    <row r="425" spans="1:26" x14ac:dyDescent="0.25">
      <c r="A425" s="925" t="s">
        <v>249</v>
      </c>
      <c r="B425" s="931"/>
      <c r="C425" s="937">
        <f t="shared" ref="C425:N425" si="179">+C275</f>
        <v>0</v>
      </c>
      <c r="D425" s="937">
        <f t="shared" si="179"/>
        <v>0</v>
      </c>
      <c r="E425" s="937">
        <f t="shared" si="179"/>
        <v>0</v>
      </c>
      <c r="F425" s="937">
        <f t="shared" si="179"/>
        <v>0</v>
      </c>
      <c r="G425" s="937">
        <f t="shared" si="179"/>
        <v>0</v>
      </c>
      <c r="H425" s="937">
        <f t="shared" si="179"/>
        <v>0</v>
      </c>
      <c r="I425" s="937">
        <f t="shared" si="179"/>
        <v>0</v>
      </c>
      <c r="J425" s="937">
        <f t="shared" si="179"/>
        <v>0</v>
      </c>
      <c r="K425" s="937">
        <f t="shared" si="179"/>
        <v>0</v>
      </c>
      <c r="L425" s="937">
        <f t="shared" si="179"/>
        <v>0</v>
      </c>
      <c r="M425" s="937">
        <f t="shared" si="179"/>
        <v>0</v>
      </c>
      <c r="N425" s="937">
        <f t="shared" si="179"/>
        <v>0</v>
      </c>
      <c r="O425" s="1012">
        <f>SUM(C425:N425)</f>
        <v>0</v>
      </c>
      <c r="P425" s="1012"/>
      <c r="Q425" s="912"/>
      <c r="R425" s="1009"/>
      <c r="S425" s="912"/>
      <c r="T425" s="1012"/>
      <c r="U425" s="935">
        <f>C425+D425+E425</f>
        <v>0</v>
      </c>
      <c r="V425" s="935">
        <f>F425+G425+H425</f>
        <v>0</v>
      </c>
      <c r="W425" s="935">
        <f>I425+J425+K425</f>
        <v>0</v>
      </c>
      <c r="X425" s="935">
        <f>L425+M425+N425</f>
        <v>0</v>
      </c>
      <c r="Y425" s="937">
        <f>SUM(U425:X425)</f>
        <v>0</v>
      </c>
      <c r="Z425" s="915"/>
    </row>
    <row r="426" spans="1:26" x14ac:dyDescent="0.25">
      <c r="A426" s="925" t="s">
        <v>250</v>
      </c>
      <c r="B426" s="931"/>
      <c r="C426" s="937">
        <f t="shared" ref="C426:N426" si="180">+C290</f>
        <v>-175</v>
      </c>
      <c r="D426" s="937">
        <f t="shared" si="180"/>
        <v>-209</v>
      </c>
      <c r="E426" s="937">
        <f t="shared" si="180"/>
        <v>-334</v>
      </c>
      <c r="F426" s="937">
        <f t="shared" si="180"/>
        <v>-64</v>
      </c>
      <c r="G426" s="937">
        <f t="shared" si="180"/>
        <v>-209</v>
      </c>
      <c r="H426" s="937">
        <f t="shared" si="180"/>
        <v>-284</v>
      </c>
      <c r="I426" s="937">
        <f t="shared" si="180"/>
        <v>-400</v>
      </c>
      <c r="J426" s="937">
        <f t="shared" si="180"/>
        <v>-300</v>
      </c>
      <c r="K426" s="937">
        <f t="shared" si="180"/>
        <v>-400</v>
      </c>
      <c r="L426" s="937">
        <f t="shared" si="180"/>
        <v>-400</v>
      </c>
      <c r="M426" s="937">
        <f t="shared" si="180"/>
        <v>-300</v>
      </c>
      <c r="N426" s="937">
        <f t="shared" si="180"/>
        <v>-400</v>
      </c>
      <c r="O426" s="1012">
        <f>SUM(C426:N426)</f>
        <v>-3475</v>
      </c>
      <c r="P426" s="1012"/>
      <c r="Q426" s="912"/>
      <c r="R426" s="1009"/>
      <c r="S426" s="912"/>
      <c r="T426" s="1012"/>
      <c r="U426" s="935">
        <f>C426+D426+E426</f>
        <v>-718</v>
      </c>
      <c r="V426" s="935">
        <f>F426+G426+H426</f>
        <v>-557</v>
      </c>
      <c r="W426" s="935">
        <f>I426+J426+K426</f>
        <v>-1100</v>
      </c>
      <c r="X426" s="935">
        <f>L426+M426+N426</f>
        <v>-1100</v>
      </c>
      <c r="Y426" s="937">
        <f>SUM(U426:X426)</f>
        <v>-3475</v>
      </c>
      <c r="Z426" s="915"/>
    </row>
    <row r="427" spans="1:26" x14ac:dyDescent="0.25">
      <c r="A427" s="925" t="s">
        <v>254</v>
      </c>
      <c r="B427" s="931"/>
      <c r="C427" s="937">
        <f t="shared" ref="C427:N427" si="181">+C277</f>
        <v>0</v>
      </c>
      <c r="D427" s="937">
        <f t="shared" si="181"/>
        <v>0</v>
      </c>
      <c r="E427" s="937">
        <f t="shared" si="181"/>
        <v>0</v>
      </c>
      <c r="F427" s="937">
        <f t="shared" si="181"/>
        <v>0</v>
      </c>
      <c r="G427" s="937">
        <f t="shared" si="181"/>
        <v>0</v>
      </c>
      <c r="H427" s="937">
        <f t="shared" si="181"/>
        <v>0</v>
      </c>
      <c r="I427" s="937">
        <f t="shared" si="181"/>
        <v>0</v>
      </c>
      <c r="J427" s="937">
        <f t="shared" si="181"/>
        <v>0</v>
      </c>
      <c r="K427" s="937">
        <f t="shared" si="181"/>
        <v>0</v>
      </c>
      <c r="L427" s="937">
        <f t="shared" si="181"/>
        <v>0</v>
      </c>
      <c r="M427" s="937">
        <f t="shared" si="181"/>
        <v>0</v>
      </c>
      <c r="N427" s="937">
        <f t="shared" si="181"/>
        <v>0</v>
      </c>
      <c r="O427" s="1012">
        <f>SUM(C427:N427)</f>
        <v>0</v>
      </c>
      <c r="P427" s="1012"/>
      <c r="Q427" s="912"/>
      <c r="R427" s="1009"/>
      <c r="S427" s="912"/>
      <c r="T427" s="1012"/>
      <c r="U427" s="935">
        <f>C427+D427+E427</f>
        <v>0</v>
      </c>
      <c r="V427" s="935">
        <f>F427+G427+H427</f>
        <v>0</v>
      </c>
      <c r="W427" s="935">
        <f>I427+J427+K427</f>
        <v>0</v>
      </c>
      <c r="X427" s="935">
        <f>L427+M427+N427</f>
        <v>0</v>
      </c>
      <c r="Y427" s="937">
        <f>SUM(U427:X427)</f>
        <v>0</v>
      </c>
      <c r="Z427" s="915"/>
    </row>
    <row r="428" spans="1:26" x14ac:dyDescent="0.25">
      <c r="A428" s="925" t="s">
        <v>255</v>
      </c>
      <c r="B428" s="931"/>
      <c r="C428" s="920">
        <f t="shared" ref="C428:N428" si="182">+C292</f>
        <v>-12</v>
      </c>
      <c r="D428" s="920">
        <f t="shared" si="182"/>
        <v>-24</v>
      </c>
      <c r="E428" s="920">
        <f t="shared" si="182"/>
        <v>-10</v>
      </c>
      <c r="F428" s="920">
        <f t="shared" si="182"/>
        <v>-9</v>
      </c>
      <c r="G428" s="920">
        <f t="shared" si="182"/>
        <v>-8</v>
      </c>
      <c r="H428" s="920">
        <f t="shared" si="182"/>
        <v>-20</v>
      </c>
      <c r="I428" s="920">
        <f t="shared" si="182"/>
        <v>-15</v>
      </c>
      <c r="J428" s="920">
        <f t="shared" si="182"/>
        <v>-15</v>
      </c>
      <c r="K428" s="920">
        <f t="shared" si="182"/>
        <v>-15</v>
      </c>
      <c r="L428" s="920">
        <f t="shared" si="182"/>
        <v>-15</v>
      </c>
      <c r="M428" s="920">
        <f t="shared" si="182"/>
        <v>-15</v>
      </c>
      <c r="N428" s="920">
        <f t="shared" si="182"/>
        <v>-15</v>
      </c>
      <c r="O428" s="1013">
        <f>SUM(C428:N428)</f>
        <v>-173</v>
      </c>
      <c r="P428" s="1013"/>
      <c r="Q428" s="912"/>
      <c r="R428" s="1009"/>
      <c r="S428" s="912"/>
      <c r="T428" s="1013"/>
      <c r="U428" s="979">
        <f>C428+D428+E428</f>
        <v>-46</v>
      </c>
      <c r="V428" s="979">
        <f>F428+G428+H428</f>
        <v>-37</v>
      </c>
      <c r="W428" s="979">
        <f>I428+J428+K428</f>
        <v>-45</v>
      </c>
      <c r="X428" s="979">
        <f>L428+M428+N428</f>
        <v>-45</v>
      </c>
      <c r="Y428" s="920">
        <f>SUM(U428:X428)</f>
        <v>-173</v>
      </c>
      <c r="Z428" s="915"/>
    </row>
    <row r="429" spans="1:26" ht="3.9" customHeight="1" x14ac:dyDescent="0.25">
      <c r="A429" s="947"/>
      <c r="B429" s="931"/>
      <c r="C429" s="937"/>
      <c r="D429" s="937"/>
      <c r="E429" s="937"/>
      <c r="F429" s="937"/>
      <c r="G429" s="937"/>
      <c r="H429" s="937"/>
      <c r="I429" s="937"/>
      <c r="J429" s="937"/>
      <c r="K429" s="937"/>
      <c r="L429" s="937"/>
      <c r="M429" s="937"/>
      <c r="N429" s="937"/>
      <c r="O429" s="935"/>
      <c r="P429" s="935"/>
      <c r="Q429" s="912"/>
      <c r="R429" s="1009"/>
      <c r="S429" s="912"/>
      <c r="T429" s="935"/>
      <c r="U429" s="935"/>
      <c r="V429" s="935"/>
      <c r="W429" s="935"/>
      <c r="X429" s="935"/>
      <c r="Y429" s="937"/>
      <c r="Z429" s="915"/>
    </row>
    <row r="430" spans="1:26" x14ac:dyDescent="0.25">
      <c r="A430" s="930" t="s">
        <v>302</v>
      </c>
      <c r="B430" s="931"/>
      <c r="C430" s="983">
        <f t="shared" ref="C430:O430" si="183">SUM(C425:C428)</f>
        <v>-187</v>
      </c>
      <c r="D430" s="983">
        <f t="shared" si="183"/>
        <v>-233</v>
      </c>
      <c r="E430" s="983">
        <f t="shared" si="183"/>
        <v>-344</v>
      </c>
      <c r="F430" s="983">
        <f t="shared" si="183"/>
        <v>-73</v>
      </c>
      <c r="G430" s="983">
        <f t="shared" si="183"/>
        <v>-217</v>
      </c>
      <c r="H430" s="983">
        <f t="shared" si="183"/>
        <v>-304</v>
      </c>
      <c r="I430" s="983">
        <f t="shared" si="183"/>
        <v>-415</v>
      </c>
      <c r="J430" s="983">
        <f t="shared" si="183"/>
        <v>-315</v>
      </c>
      <c r="K430" s="983">
        <f t="shared" si="183"/>
        <v>-415</v>
      </c>
      <c r="L430" s="983">
        <f t="shared" si="183"/>
        <v>-415</v>
      </c>
      <c r="M430" s="983">
        <f t="shared" si="183"/>
        <v>-315</v>
      </c>
      <c r="N430" s="983">
        <f t="shared" si="183"/>
        <v>-415</v>
      </c>
      <c r="O430" s="983">
        <f t="shared" si="183"/>
        <v>-3648</v>
      </c>
      <c r="P430" s="983"/>
      <c r="Q430" s="912"/>
      <c r="R430" s="1009"/>
      <c r="S430" s="912"/>
      <c r="T430" s="983"/>
      <c r="U430" s="983">
        <f>SUM(U425:U428)</f>
        <v>-764</v>
      </c>
      <c r="V430" s="983">
        <f>SUM(V425:V428)</f>
        <v>-594</v>
      </c>
      <c r="W430" s="983">
        <f>SUM(W425:W428)</f>
        <v>-1145</v>
      </c>
      <c r="X430" s="983">
        <f>SUM(X425:X428)</f>
        <v>-1145</v>
      </c>
      <c r="Y430" s="983">
        <f>SUM(Y425:Y428)</f>
        <v>-3648</v>
      </c>
      <c r="Z430" s="915"/>
    </row>
    <row r="431" spans="1:26" ht="6" customHeight="1" x14ac:dyDescent="0.25">
      <c r="A431" s="930"/>
      <c r="B431" s="931"/>
      <c r="C431" s="983"/>
      <c r="D431" s="983"/>
      <c r="E431" s="983"/>
      <c r="F431" s="983"/>
      <c r="G431" s="983"/>
      <c r="H431" s="983"/>
      <c r="I431" s="983"/>
      <c r="J431" s="983"/>
      <c r="K431" s="983"/>
      <c r="L431" s="983"/>
      <c r="M431" s="983"/>
      <c r="N431" s="983"/>
      <c r="O431" s="983"/>
      <c r="P431" s="983"/>
      <c r="Q431" s="912"/>
      <c r="R431" s="1009"/>
      <c r="S431" s="912"/>
      <c r="T431" s="983"/>
      <c r="U431" s="983"/>
      <c r="V431" s="983"/>
      <c r="W431" s="983"/>
      <c r="X431" s="983"/>
      <c r="Y431" s="983"/>
      <c r="Z431" s="915"/>
    </row>
    <row r="432" spans="1:26" x14ac:dyDescent="0.25">
      <c r="A432" s="930" t="s">
        <v>1030</v>
      </c>
      <c r="B432" s="931"/>
      <c r="C432" s="983"/>
      <c r="D432" s="983"/>
      <c r="E432" s="983"/>
      <c r="F432" s="983"/>
      <c r="G432" s="983"/>
      <c r="H432" s="983"/>
      <c r="I432" s="983"/>
      <c r="J432" s="983"/>
      <c r="K432" s="983"/>
      <c r="L432" s="983"/>
      <c r="M432" s="983"/>
      <c r="N432" s="983"/>
      <c r="O432" s="983"/>
      <c r="P432" s="983"/>
      <c r="Q432" s="912"/>
      <c r="R432" s="1009"/>
      <c r="S432" s="912"/>
      <c r="T432" s="983"/>
      <c r="U432" s="983"/>
      <c r="V432" s="983"/>
      <c r="W432" s="983"/>
      <c r="X432" s="983"/>
      <c r="Y432" s="983"/>
      <c r="Z432" s="915"/>
    </row>
    <row r="433" spans="1:26" x14ac:dyDescent="0.25">
      <c r="A433" s="925" t="s">
        <v>250</v>
      </c>
      <c r="B433" s="931"/>
      <c r="C433" s="937">
        <f t="shared" ref="C433:N433" si="184">+C302</f>
        <v>-60</v>
      </c>
      <c r="D433" s="937">
        <f t="shared" si="184"/>
        <v>-84</v>
      </c>
      <c r="E433" s="937">
        <f t="shared" si="184"/>
        <v>-75</v>
      </c>
      <c r="F433" s="937">
        <f t="shared" si="184"/>
        <v>-81</v>
      </c>
      <c r="G433" s="937">
        <f t="shared" si="184"/>
        <v>-67</v>
      </c>
      <c r="H433" s="937">
        <f t="shared" si="184"/>
        <v>-70</v>
      </c>
      <c r="I433" s="937">
        <f t="shared" si="184"/>
        <v>-100</v>
      </c>
      <c r="J433" s="937">
        <f t="shared" si="184"/>
        <v>-100</v>
      </c>
      <c r="K433" s="937">
        <f t="shared" si="184"/>
        <v>-200</v>
      </c>
      <c r="L433" s="937">
        <f t="shared" si="184"/>
        <v>-100</v>
      </c>
      <c r="M433" s="937">
        <f t="shared" si="184"/>
        <v>-100</v>
      </c>
      <c r="N433" s="937">
        <f t="shared" si="184"/>
        <v>-200</v>
      </c>
      <c r="O433" s="1012">
        <f>SUM(C433:N433)</f>
        <v>-1237</v>
      </c>
      <c r="P433" s="1012"/>
      <c r="Q433" s="912"/>
      <c r="R433" s="1009"/>
      <c r="S433" s="912"/>
      <c r="T433" s="1012"/>
      <c r="U433" s="935">
        <f>C433+D433+E433</f>
        <v>-219</v>
      </c>
      <c r="V433" s="935">
        <f>F433+G433+H433</f>
        <v>-218</v>
      </c>
      <c r="W433" s="935">
        <f>I433+J433+K433</f>
        <v>-400</v>
      </c>
      <c r="X433" s="935">
        <f>L433+M433+N433</f>
        <v>-400</v>
      </c>
      <c r="Y433" s="937">
        <f>SUM(U433:X433)</f>
        <v>-1237</v>
      </c>
      <c r="Z433" s="915"/>
    </row>
    <row r="434" spans="1:26" x14ac:dyDescent="0.25">
      <c r="A434" s="925" t="s">
        <v>255</v>
      </c>
      <c r="B434" s="931"/>
      <c r="C434" s="920">
        <f t="shared" ref="C434:N434" si="185">+C304</f>
        <v>-4</v>
      </c>
      <c r="D434" s="920">
        <f t="shared" si="185"/>
        <v>-12</v>
      </c>
      <c r="E434" s="920">
        <f t="shared" si="185"/>
        <v>-3</v>
      </c>
      <c r="F434" s="920">
        <f t="shared" si="185"/>
        <v>-2</v>
      </c>
      <c r="G434" s="920">
        <f t="shared" si="185"/>
        <v>-2</v>
      </c>
      <c r="H434" s="920">
        <f t="shared" si="185"/>
        <v>-2</v>
      </c>
      <c r="I434" s="920">
        <f t="shared" si="185"/>
        <v>-2</v>
      </c>
      <c r="J434" s="920">
        <f t="shared" si="185"/>
        <v>-2</v>
      </c>
      <c r="K434" s="920">
        <f t="shared" si="185"/>
        <v>-2</v>
      </c>
      <c r="L434" s="920">
        <f t="shared" si="185"/>
        <v>-2</v>
      </c>
      <c r="M434" s="920">
        <f t="shared" si="185"/>
        <v>-2</v>
      </c>
      <c r="N434" s="920">
        <f t="shared" si="185"/>
        <v>-2</v>
      </c>
      <c r="O434" s="1013">
        <f>SUM(C434:N434)</f>
        <v>-37</v>
      </c>
      <c r="P434" s="1013"/>
      <c r="Q434" s="912"/>
      <c r="R434" s="1009"/>
      <c r="S434" s="912"/>
      <c r="T434" s="1013"/>
      <c r="U434" s="979">
        <f>C434+D434+E434</f>
        <v>-19</v>
      </c>
      <c r="V434" s="979">
        <f>F434+G434+H434</f>
        <v>-6</v>
      </c>
      <c r="W434" s="979">
        <f>I434+J434+K434</f>
        <v>-6</v>
      </c>
      <c r="X434" s="979">
        <f>L434+M434+N434</f>
        <v>-6</v>
      </c>
      <c r="Y434" s="920">
        <f>SUM(U434:X434)</f>
        <v>-37</v>
      </c>
      <c r="Z434" s="915"/>
    </row>
    <row r="435" spans="1:26" ht="3.9" customHeight="1" x14ac:dyDescent="0.25">
      <c r="A435" s="930"/>
      <c r="B435" s="931"/>
      <c r="C435" s="983"/>
      <c r="D435" s="983"/>
      <c r="E435" s="983"/>
      <c r="F435" s="983"/>
      <c r="G435" s="983"/>
      <c r="H435" s="983"/>
      <c r="I435" s="983"/>
      <c r="J435" s="983"/>
      <c r="K435" s="983"/>
      <c r="L435" s="983"/>
      <c r="M435" s="983"/>
      <c r="N435" s="983"/>
      <c r="O435" s="983"/>
      <c r="P435" s="983"/>
      <c r="Q435" s="912"/>
      <c r="R435" s="1009"/>
      <c r="S435" s="912"/>
      <c r="T435" s="983"/>
      <c r="U435" s="983"/>
      <c r="V435" s="983"/>
      <c r="W435" s="983"/>
      <c r="X435" s="983"/>
      <c r="Y435" s="983"/>
      <c r="Z435" s="915"/>
    </row>
    <row r="436" spans="1:26" x14ac:dyDescent="0.25">
      <c r="A436" s="930" t="s">
        <v>303</v>
      </c>
      <c r="B436" s="931"/>
      <c r="C436" s="983">
        <f t="shared" ref="C436:O436" si="186">SUM(C432:C434)</f>
        <v>-64</v>
      </c>
      <c r="D436" s="983">
        <f t="shared" si="186"/>
        <v>-96</v>
      </c>
      <c r="E436" s="983">
        <f t="shared" si="186"/>
        <v>-78</v>
      </c>
      <c r="F436" s="983">
        <f t="shared" si="186"/>
        <v>-83</v>
      </c>
      <c r="G436" s="983">
        <f t="shared" si="186"/>
        <v>-69</v>
      </c>
      <c r="H436" s="983">
        <f t="shared" si="186"/>
        <v>-72</v>
      </c>
      <c r="I436" s="983">
        <f t="shared" si="186"/>
        <v>-102</v>
      </c>
      <c r="J436" s="983">
        <f t="shared" si="186"/>
        <v>-102</v>
      </c>
      <c r="K436" s="983">
        <f t="shared" si="186"/>
        <v>-202</v>
      </c>
      <c r="L436" s="983">
        <f t="shared" si="186"/>
        <v>-102</v>
      </c>
      <c r="M436" s="983">
        <f t="shared" si="186"/>
        <v>-102</v>
      </c>
      <c r="N436" s="983">
        <f t="shared" si="186"/>
        <v>-202</v>
      </c>
      <c r="O436" s="983">
        <f t="shared" si="186"/>
        <v>-1274</v>
      </c>
      <c r="P436" s="983"/>
      <c r="Q436" s="912"/>
      <c r="R436" s="1009"/>
      <c r="S436" s="912"/>
      <c r="T436" s="983"/>
      <c r="U436" s="983">
        <f>SUM(U432:U434)</f>
        <v>-238</v>
      </c>
      <c r="V436" s="983">
        <f>SUM(V432:V434)</f>
        <v>-224</v>
      </c>
      <c r="W436" s="983">
        <f>SUM(W432:W434)</f>
        <v>-406</v>
      </c>
      <c r="X436" s="983">
        <f>SUM(X432:X434)</f>
        <v>-406</v>
      </c>
      <c r="Y436" s="983">
        <f>SUM(Y432:Y434)</f>
        <v>-1274</v>
      </c>
      <c r="Z436" s="915"/>
    </row>
    <row r="437" spans="1:26" ht="6" customHeight="1" x14ac:dyDescent="0.25">
      <c r="A437" s="930"/>
      <c r="B437" s="931"/>
      <c r="C437" s="983"/>
      <c r="D437" s="983"/>
      <c r="E437" s="983"/>
      <c r="F437" s="983"/>
      <c r="G437" s="983"/>
      <c r="H437" s="983"/>
      <c r="I437" s="983"/>
      <c r="J437" s="983"/>
      <c r="K437" s="983"/>
      <c r="L437" s="983"/>
      <c r="M437" s="983"/>
      <c r="N437" s="983"/>
      <c r="O437" s="983"/>
      <c r="P437" s="983"/>
      <c r="Q437" s="912"/>
      <c r="R437" s="1009"/>
      <c r="S437" s="912"/>
      <c r="T437" s="983"/>
      <c r="U437" s="983"/>
      <c r="V437" s="983"/>
      <c r="W437" s="983"/>
      <c r="X437" s="983"/>
      <c r="Y437" s="983"/>
      <c r="Z437" s="915"/>
    </row>
    <row r="438" spans="1:26" x14ac:dyDescent="0.25">
      <c r="A438" s="930" t="s">
        <v>1031</v>
      </c>
      <c r="B438" s="931"/>
      <c r="C438" s="983"/>
      <c r="D438" s="983"/>
      <c r="E438" s="983"/>
      <c r="F438" s="983"/>
      <c r="G438" s="983"/>
      <c r="H438" s="983"/>
      <c r="I438" s="983"/>
      <c r="J438" s="983"/>
      <c r="K438" s="983"/>
      <c r="L438" s="983"/>
      <c r="M438" s="983"/>
      <c r="N438" s="983"/>
      <c r="O438" s="983"/>
      <c r="P438" s="983"/>
      <c r="Q438" s="912"/>
      <c r="R438" s="1009"/>
      <c r="S438" s="912"/>
      <c r="T438" s="983"/>
      <c r="U438" s="983"/>
      <c r="V438" s="983"/>
      <c r="W438" s="983"/>
      <c r="X438" s="983"/>
      <c r="Y438" s="983"/>
      <c r="Z438" s="915"/>
    </row>
    <row r="439" spans="1:26" x14ac:dyDescent="0.25">
      <c r="A439" s="925" t="s">
        <v>250</v>
      </c>
      <c r="B439" s="931"/>
      <c r="C439" s="937">
        <f t="shared" ref="C439:N439" si="187">+C313</f>
        <v>-21</v>
      </c>
      <c r="D439" s="937">
        <f t="shared" si="187"/>
        <v>-29</v>
      </c>
      <c r="E439" s="937">
        <f t="shared" si="187"/>
        <v>-30</v>
      </c>
      <c r="F439" s="937">
        <f t="shared" si="187"/>
        <v>-24</v>
      </c>
      <c r="G439" s="937">
        <f t="shared" si="187"/>
        <v>-22</v>
      </c>
      <c r="H439" s="937">
        <f t="shared" si="187"/>
        <v>-25</v>
      </c>
      <c r="I439" s="937">
        <f t="shared" si="187"/>
        <v>0</v>
      </c>
      <c r="J439" s="937">
        <f t="shared" si="187"/>
        <v>0</v>
      </c>
      <c r="K439" s="937">
        <f t="shared" si="187"/>
        <v>0</v>
      </c>
      <c r="L439" s="937">
        <f t="shared" si="187"/>
        <v>0</v>
      </c>
      <c r="M439" s="937">
        <f t="shared" si="187"/>
        <v>0</v>
      </c>
      <c r="N439" s="937">
        <f t="shared" si="187"/>
        <v>0</v>
      </c>
      <c r="O439" s="1012">
        <f>SUM(C439:N439)</f>
        <v>-151</v>
      </c>
      <c r="P439" s="1012"/>
      <c r="Q439" s="912"/>
      <c r="R439" s="1009"/>
      <c r="S439" s="912"/>
      <c r="T439" s="1012"/>
      <c r="U439" s="935">
        <f>C439+D439+E439</f>
        <v>-80</v>
      </c>
      <c r="V439" s="935">
        <f>F439+G439+H439</f>
        <v>-71</v>
      </c>
      <c r="W439" s="935">
        <f>I439+J439+K439</f>
        <v>0</v>
      </c>
      <c r="X439" s="935">
        <f>L439+M439+N439</f>
        <v>0</v>
      </c>
      <c r="Y439" s="937">
        <f>SUM(U439:X439)</f>
        <v>-151</v>
      </c>
      <c r="Z439" s="915"/>
    </row>
    <row r="440" spans="1:26" x14ac:dyDescent="0.25">
      <c r="A440" s="925" t="s">
        <v>255</v>
      </c>
      <c r="B440" s="931"/>
      <c r="C440" s="920">
        <f t="shared" ref="C440:N440" si="188">+C315</f>
        <v>-3</v>
      </c>
      <c r="D440" s="920">
        <f t="shared" si="188"/>
        <v>-3</v>
      </c>
      <c r="E440" s="920">
        <f t="shared" si="188"/>
        <v>-2</v>
      </c>
      <c r="F440" s="920">
        <f t="shared" si="188"/>
        <v>-1</v>
      </c>
      <c r="G440" s="920">
        <f t="shared" si="188"/>
        <v>-1</v>
      </c>
      <c r="H440" s="920">
        <f t="shared" si="188"/>
        <v>-1</v>
      </c>
      <c r="I440" s="920">
        <f t="shared" si="188"/>
        <v>-1</v>
      </c>
      <c r="J440" s="920">
        <f t="shared" si="188"/>
        <v>-1</v>
      </c>
      <c r="K440" s="920">
        <f t="shared" si="188"/>
        <v>-1</v>
      </c>
      <c r="L440" s="920">
        <f t="shared" si="188"/>
        <v>-1</v>
      </c>
      <c r="M440" s="920">
        <f t="shared" si="188"/>
        <v>-1</v>
      </c>
      <c r="N440" s="920">
        <f t="shared" si="188"/>
        <v>-1</v>
      </c>
      <c r="O440" s="1013">
        <f>SUM(C440:N440)</f>
        <v>-17</v>
      </c>
      <c r="P440" s="1013"/>
      <c r="Q440" s="912"/>
      <c r="R440" s="1009"/>
      <c r="S440" s="912"/>
      <c r="T440" s="1013"/>
      <c r="U440" s="979">
        <f>C440+D440+E440</f>
        <v>-8</v>
      </c>
      <c r="V440" s="979">
        <f>F440+G440+H440</f>
        <v>-3</v>
      </c>
      <c r="W440" s="979">
        <f>I440+J440+K440</f>
        <v>-3</v>
      </c>
      <c r="X440" s="979">
        <f>L440+M440+N440</f>
        <v>-3</v>
      </c>
      <c r="Y440" s="920">
        <f>SUM(U440:X440)</f>
        <v>-17</v>
      </c>
      <c r="Z440" s="915"/>
    </row>
    <row r="441" spans="1:26" ht="3.9" customHeight="1" x14ac:dyDescent="0.25">
      <c r="A441" s="930"/>
      <c r="B441" s="931"/>
      <c r="C441" s="983"/>
      <c r="D441" s="983"/>
      <c r="E441" s="983"/>
      <c r="F441" s="983"/>
      <c r="G441" s="983"/>
      <c r="H441" s="983"/>
      <c r="I441" s="983"/>
      <c r="J441" s="983"/>
      <c r="K441" s="983"/>
      <c r="L441" s="983"/>
      <c r="M441" s="983"/>
      <c r="N441" s="983"/>
      <c r="O441" s="983"/>
      <c r="P441" s="983"/>
      <c r="Q441" s="912"/>
      <c r="R441" s="1009"/>
      <c r="S441" s="912"/>
      <c r="T441" s="983"/>
      <c r="U441" s="983"/>
      <c r="V441" s="983"/>
      <c r="W441" s="983"/>
      <c r="X441" s="983"/>
      <c r="Y441" s="983"/>
      <c r="Z441" s="915"/>
    </row>
    <row r="442" spans="1:26" x14ac:dyDescent="0.25">
      <c r="A442" s="930" t="s">
        <v>304</v>
      </c>
      <c r="B442" s="931"/>
      <c r="C442" s="983">
        <f t="shared" ref="C442:O442" si="189">SUM(C438:C440)</f>
        <v>-24</v>
      </c>
      <c r="D442" s="983">
        <f t="shared" si="189"/>
        <v>-32</v>
      </c>
      <c r="E442" s="983">
        <f t="shared" si="189"/>
        <v>-32</v>
      </c>
      <c r="F442" s="983">
        <f t="shared" si="189"/>
        <v>-25</v>
      </c>
      <c r="G442" s="983">
        <f t="shared" si="189"/>
        <v>-23</v>
      </c>
      <c r="H442" s="983">
        <f t="shared" si="189"/>
        <v>-26</v>
      </c>
      <c r="I442" s="983">
        <f t="shared" si="189"/>
        <v>-1</v>
      </c>
      <c r="J442" s="983">
        <f t="shared" si="189"/>
        <v>-1</v>
      </c>
      <c r="K442" s="983">
        <f t="shared" si="189"/>
        <v>-1</v>
      </c>
      <c r="L442" s="983">
        <f t="shared" si="189"/>
        <v>-1</v>
      </c>
      <c r="M442" s="983">
        <f t="shared" si="189"/>
        <v>-1</v>
      </c>
      <c r="N442" s="983">
        <f t="shared" si="189"/>
        <v>-1</v>
      </c>
      <c r="O442" s="983">
        <f t="shared" si="189"/>
        <v>-168</v>
      </c>
      <c r="P442" s="983"/>
      <c r="Q442" s="912"/>
      <c r="R442" s="1009"/>
      <c r="S442" s="912"/>
      <c r="T442" s="983"/>
      <c r="U442" s="983">
        <f>SUM(U438:U440)</f>
        <v>-88</v>
      </c>
      <c r="V442" s="983">
        <f>SUM(V438:V440)</f>
        <v>-74</v>
      </c>
      <c r="W442" s="983">
        <f>SUM(W438:W440)</f>
        <v>-3</v>
      </c>
      <c r="X442" s="983">
        <f>SUM(X438:X440)</f>
        <v>-3</v>
      </c>
      <c r="Y442" s="983">
        <f>SUM(Y438:Y440)</f>
        <v>-168</v>
      </c>
      <c r="Z442" s="915"/>
    </row>
    <row r="443" spans="1:26" ht="6" customHeight="1" x14ac:dyDescent="0.25">
      <c r="A443" s="930"/>
      <c r="B443" s="931"/>
      <c r="C443" s="983"/>
      <c r="D443" s="983"/>
      <c r="E443" s="983"/>
      <c r="F443" s="983"/>
      <c r="G443" s="983"/>
      <c r="H443" s="983"/>
      <c r="I443" s="983"/>
      <c r="J443" s="983"/>
      <c r="K443" s="983"/>
      <c r="L443" s="983"/>
      <c r="M443" s="983"/>
      <c r="N443" s="983"/>
      <c r="O443" s="983"/>
      <c r="P443" s="983"/>
      <c r="Q443" s="912"/>
      <c r="R443" s="1009"/>
      <c r="S443" s="912"/>
      <c r="T443" s="983"/>
      <c r="U443" s="983"/>
      <c r="V443" s="983"/>
      <c r="W443" s="983"/>
      <c r="X443" s="983"/>
      <c r="Y443" s="983"/>
      <c r="Z443" s="915"/>
    </row>
    <row r="444" spans="1:26" x14ac:dyDescent="0.25">
      <c r="A444" s="930" t="s">
        <v>305</v>
      </c>
      <c r="B444" s="931"/>
      <c r="C444" s="983"/>
      <c r="D444" s="983"/>
      <c r="E444" s="983"/>
      <c r="F444" s="983"/>
      <c r="G444" s="983"/>
      <c r="H444" s="983"/>
      <c r="I444" s="983"/>
      <c r="J444" s="983"/>
      <c r="K444" s="983"/>
      <c r="L444" s="983"/>
      <c r="M444" s="983"/>
      <c r="N444" s="983"/>
      <c r="O444" s="983"/>
      <c r="P444" s="983"/>
      <c r="Q444" s="912"/>
      <c r="R444" s="1009"/>
      <c r="S444" s="912"/>
      <c r="T444" s="983"/>
      <c r="U444" s="983"/>
      <c r="V444" s="983"/>
      <c r="W444" s="983"/>
      <c r="X444" s="983"/>
      <c r="Y444" s="983"/>
      <c r="Z444" s="915"/>
    </row>
    <row r="445" spans="1:26" x14ac:dyDescent="0.25">
      <c r="A445" s="925" t="s">
        <v>250</v>
      </c>
      <c r="B445" s="931"/>
      <c r="C445" s="937">
        <f t="shared" ref="C445:N445" si="190">+C327</f>
        <v>-193</v>
      </c>
      <c r="D445" s="937">
        <f t="shared" si="190"/>
        <v>-155</v>
      </c>
      <c r="E445" s="937">
        <f t="shared" si="190"/>
        <v>-163</v>
      </c>
      <c r="F445" s="937">
        <f t="shared" si="190"/>
        <v>-108</v>
      </c>
      <c r="G445" s="937">
        <f t="shared" si="190"/>
        <v>-127</v>
      </c>
      <c r="H445" s="937">
        <f t="shared" si="190"/>
        <v>-225</v>
      </c>
      <c r="I445" s="937">
        <f t="shared" si="190"/>
        <v>0</v>
      </c>
      <c r="J445" s="937">
        <f t="shared" si="190"/>
        <v>0</v>
      </c>
      <c r="K445" s="937">
        <f t="shared" si="190"/>
        <v>100</v>
      </c>
      <c r="L445" s="937">
        <f t="shared" si="190"/>
        <v>0</v>
      </c>
      <c r="M445" s="937">
        <f t="shared" si="190"/>
        <v>0</v>
      </c>
      <c r="N445" s="937">
        <f t="shared" si="190"/>
        <v>-100</v>
      </c>
      <c r="O445" s="1012">
        <f>SUM(C445:N445)</f>
        <v>-971</v>
      </c>
      <c r="P445" s="1012"/>
      <c r="Q445" s="912"/>
      <c r="R445" s="1009"/>
      <c r="S445" s="912"/>
      <c r="T445" s="1012"/>
      <c r="U445" s="935">
        <f>C445+D445+E445</f>
        <v>-511</v>
      </c>
      <c r="V445" s="935">
        <f>F445+G445+H445</f>
        <v>-460</v>
      </c>
      <c r="W445" s="935">
        <f>I445+J445+K445</f>
        <v>100</v>
      </c>
      <c r="X445" s="935">
        <f>L445+M445+N445</f>
        <v>-100</v>
      </c>
      <c r="Y445" s="937">
        <f>SUM(U445:X445)</f>
        <v>-971</v>
      </c>
      <c r="Z445" s="915"/>
    </row>
    <row r="446" spans="1:26" x14ac:dyDescent="0.25">
      <c r="A446" s="925" t="s">
        <v>255</v>
      </c>
      <c r="B446" s="931"/>
      <c r="C446" s="920">
        <f t="shared" ref="C446:N446" si="191">+C329</f>
        <v>-2</v>
      </c>
      <c r="D446" s="920">
        <f t="shared" si="191"/>
        <v>-3</v>
      </c>
      <c r="E446" s="920">
        <f t="shared" si="191"/>
        <v>-3</v>
      </c>
      <c r="F446" s="920">
        <f t="shared" si="191"/>
        <v>-2</v>
      </c>
      <c r="G446" s="920">
        <f t="shared" si="191"/>
        <v>-2</v>
      </c>
      <c r="H446" s="920">
        <f t="shared" si="191"/>
        <v>-2</v>
      </c>
      <c r="I446" s="920">
        <f t="shared" si="191"/>
        <v>-2</v>
      </c>
      <c r="J446" s="920">
        <f t="shared" si="191"/>
        <v>-2</v>
      </c>
      <c r="K446" s="920">
        <f t="shared" si="191"/>
        <v>-2</v>
      </c>
      <c r="L446" s="920">
        <f t="shared" si="191"/>
        <v>-2</v>
      </c>
      <c r="M446" s="920">
        <f t="shared" si="191"/>
        <v>-2</v>
      </c>
      <c r="N446" s="920">
        <f t="shared" si="191"/>
        <v>-2</v>
      </c>
      <c r="O446" s="1013">
        <f>SUM(C446:N446)</f>
        <v>-26</v>
      </c>
      <c r="P446" s="1013"/>
      <c r="Q446" s="912"/>
      <c r="R446" s="1009"/>
      <c r="S446" s="912"/>
      <c r="T446" s="1013"/>
      <c r="U446" s="979">
        <f>C446+D446+E446</f>
        <v>-8</v>
      </c>
      <c r="V446" s="979">
        <f>F446+G446+H446</f>
        <v>-6</v>
      </c>
      <c r="W446" s="979">
        <f>I446+J446+K446</f>
        <v>-6</v>
      </c>
      <c r="X446" s="979">
        <f>L446+M446+N446</f>
        <v>-6</v>
      </c>
      <c r="Y446" s="920">
        <f>SUM(U446:X446)</f>
        <v>-26</v>
      </c>
      <c r="Z446" s="915"/>
    </row>
    <row r="447" spans="1:26" ht="3.9" customHeight="1" x14ac:dyDescent="0.25">
      <c r="A447" s="930"/>
      <c r="B447" s="931"/>
      <c r="C447" s="983"/>
      <c r="D447" s="983"/>
      <c r="E447" s="983"/>
      <c r="F447" s="983"/>
      <c r="G447" s="983"/>
      <c r="H447" s="983"/>
      <c r="I447" s="983"/>
      <c r="J447" s="983"/>
      <c r="K447" s="983"/>
      <c r="L447" s="983"/>
      <c r="M447" s="983"/>
      <c r="N447" s="983"/>
      <c r="O447" s="983"/>
      <c r="P447" s="983"/>
      <c r="Q447" s="912"/>
      <c r="R447" s="1009"/>
      <c r="S447" s="912"/>
      <c r="T447" s="983"/>
      <c r="U447" s="983"/>
      <c r="V447" s="983"/>
      <c r="W447" s="983"/>
      <c r="X447" s="983"/>
      <c r="Y447" s="983"/>
      <c r="Z447" s="915"/>
    </row>
    <row r="448" spans="1:26" x14ac:dyDescent="0.25">
      <c r="A448" s="930" t="s">
        <v>306</v>
      </c>
      <c r="B448" s="931"/>
      <c r="C448" s="983">
        <f t="shared" ref="C448:O448" si="192">SUM(C444:C446)</f>
        <v>-195</v>
      </c>
      <c r="D448" s="983">
        <f t="shared" si="192"/>
        <v>-158</v>
      </c>
      <c r="E448" s="983">
        <f t="shared" si="192"/>
        <v>-166</v>
      </c>
      <c r="F448" s="983">
        <f t="shared" si="192"/>
        <v>-110</v>
      </c>
      <c r="G448" s="983">
        <f t="shared" si="192"/>
        <v>-129</v>
      </c>
      <c r="H448" s="983">
        <f t="shared" si="192"/>
        <v>-227</v>
      </c>
      <c r="I448" s="983">
        <f t="shared" si="192"/>
        <v>-2</v>
      </c>
      <c r="J448" s="983">
        <f t="shared" si="192"/>
        <v>-2</v>
      </c>
      <c r="K448" s="983">
        <f t="shared" si="192"/>
        <v>98</v>
      </c>
      <c r="L448" s="983">
        <f t="shared" si="192"/>
        <v>-2</v>
      </c>
      <c r="M448" s="983">
        <f t="shared" si="192"/>
        <v>-2</v>
      </c>
      <c r="N448" s="983">
        <f t="shared" si="192"/>
        <v>-102</v>
      </c>
      <c r="O448" s="983">
        <f t="shared" si="192"/>
        <v>-997</v>
      </c>
      <c r="P448" s="983"/>
      <c r="Q448" s="912"/>
      <c r="R448" s="1009"/>
      <c r="S448" s="912"/>
      <c r="T448" s="983"/>
      <c r="U448" s="983">
        <f>SUM(U444:U446)</f>
        <v>-519</v>
      </c>
      <c r="V448" s="983">
        <f>SUM(V444:V446)</f>
        <v>-466</v>
      </c>
      <c r="W448" s="983">
        <f>SUM(W444:W446)</f>
        <v>94</v>
      </c>
      <c r="X448" s="983">
        <f>SUM(X444:X446)</f>
        <v>-106</v>
      </c>
      <c r="Y448" s="983">
        <f>SUM(Y444:Y446)</f>
        <v>-997</v>
      </c>
      <c r="Z448" s="915"/>
    </row>
    <row r="449" spans="1:26" ht="6" customHeight="1" x14ac:dyDescent="0.25">
      <c r="A449" s="930"/>
      <c r="B449" s="931"/>
      <c r="C449" s="983"/>
      <c r="D449" s="983"/>
      <c r="E449" s="983"/>
      <c r="F449" s="983"/>
      <c r="G449" s="983"/>
      <c r="H449" s="983"/>
      <c r="I449" s="983"/>
      <c r="J449" s="983"/>
      <c r="K449" s="983"/>
      <c r="L449" s="983"/>
      <c r="M449" s="983"/>
      <c r="N449" s="983"/>
      <c r="O449" s="983"/>
      <c r="P449" s="983"/>
      <c r="Q449" s="912"/>
      <c r="R449" s="1009"/>
      <c r="S449" s="912"/>
      <c r="T449" s="983"/>
      <c r="U449" s="983"/>
      <c r="V449" s="983"/>
      <c r="W449" s="983"/>
      <c r="X449" s="983"/>
      <c r="Y449" s="983"/>
      <c r="Z449" s="915"/>
    </row>
    <row r="450" spans="1:26" x14ac:dyDescent="0.25">
      <c r="A450" s="930" t="s">
        <v>167</v>
      </c>
      <c r="B450" s="931"/>
      <c r="C450" s="951">
        <f t="shared" ref="C450:O450" si="193">+C395+C402+C409+C422+C430+C436+C442+C448</f>
        <v>11959.029</v>
      </c>
      <c r="D450" s="952">
        <f t="shared" si="193"/>
        <v>15034.098</v>
      </c>
      <c r="E450" s="952">
        <f t="shared" si="193"/>
        <v>1338</v>
      </c>
      <c r="F450" s="952">
        <f t="shared" si="193"/>
        <v>12359</v>
      </c>
      <c r="G450" s="952">
        <f t="shared" si="193"/>
        <v>11795</v>
      </c>
      <c r="H450" s="952">
        <f t="shared" si="193"/>
        <v>9740</v>
      </c>
      <c r="I450" s="952">
        <f t="shared" si="193"/>
        <v>10626</v>
      </c>
      <c r="J450" s="952">
        <f t="shared" si="193"/>
        <v>9579</v>
      </c>
      <c r="K450" s="952">
        <f t="shared" si="193"/>
        <v>18871</v>
      </c>
      <c r="L450" s="952">
        <f t="shared" si="193"/>
        <v>9600</v>
      </c>
      <c r="M450" s="952">
        <f t="shared" si="193"/>
        <v>9168</v>
      </c>
      <c r="N450" s="952">
        <f t="shared" si="193"/>
        <v>9729</v>
      </c>
      <c r="O450" s="953">
        <f t="shared" si="193"/>
        <v>129798.12700000001</v>
      </c>
      <c r="P450" s="954"/>
      <c r="Q450" s="912"/>
      <c r="R450" s="1009"/>
      <c r="S450" s="912"/>
      <c r="T450" s="954"/>
      <c r="U450" s="951">
        <f>+U395+U402+U409+U422+U430+U436+U442+U448</f>
        <v>28331.127</v>
      </c>
      <c r="V450" s="952">
        <f>+V395+V402+V409+V422+V430+V436+V442+V448</f>
        <v>33894</v>
      </c>
      <c r="W450" s="952">
        <f>+W395+W402+W409+W422+W430+W436+W442+W448</f>
        <v>39076</v>
      </c>
      <c r="X450" s="952">
        <f>+X395+X402+X409+X422+X430+X436+X442+X448</f>
        <v>28497</v>
      </c>
      <c r="Y450" s="953">
        <f>+Y395+Y402+Y409+Y422+Y430+Y436+Y442+Y448</f>
        <v>129798.12700000001</v>
      </c>
      <c r="Z450" s="915"/>
    </row>
    <row r="451" spans="1:26" x14ac:dyDescent="0.25">
      <c r="A451" s="930"/>
      <c r="B451" s="931"/>
      <c r="C451" s="983"/>
      <c r="D451" s="983"/>
      <c r="E451" s="983"/>
      <c r="F451" s="983"/>
      <c r="G451" s="983"/>
      <c r="H451" s="983"/>
      <c r="I451" s="983"/>
      <c r="J451" s="983"/>
      <c r="K451" s="983"/>
      <c r="L451" s="983"/>
      <c r="M451" s="983"/>
      <c r="N451" s="983"/>
      <c r="O451" s="983"/>
      <c r="P451" s="983"/>
      <c r="Q451" s="912"/>
      <c r="R451" s="1009"/>
      <c r="S451" s="912"/>
      <c r="T451" s="983"/>
      <c r="U451" s="983"/>
      <c r="V451" s="983"/>
      <c r="W451" s="983"/>
      <c r="X451" s="983"/>
      <c r="Y451" s="983"/>
      <c r="Z451" s="915"/>
    </row>
    <row r="452" spans="1:26" x14ac:dyDescent="0.25">
      <c r="A452" s="965"/>
      <c r="B452" s="931"/>
      <c r="C452" s="983"/>
      <c r="D452" s="983"/>
      <c r="E452" s="983"/>
      <c r="F452" s="983"/>
      <c r="G452" s="983"/>
      <c r="H452" s="983"/>
      <c r="I452" s="983"/>
      <c r="J452" s="983"/>
      <c r="K452" s="983"/>
      <c r="L452" s="983"/>
      <c r="M452" s="983"/>
      <c r="N452" s="983"/>
      <c r="O452" s="983"/>
      <c r="P452" s="983"/>
      <c r="Q452" s="912"/>
      <c r="R452" s="1009"/>
      <c r="S452" s="912"/>
      <c r="T452" s="983"/>
      <c r="U452" s="983"/>
      <c r="V452" s="983"/>
      <c r="W452" s="983"/>
      <c r="X452" s="983"/>
      <c r="Y452" s="983"/>
      <c r="Z452" s="915"/>
    </row>
    <row r="453" spans="1:26" x14ac:dyDescent="0.25">
      <c r="A453" s="1011"/>
      <c r="B453" s="931"/>
      <c r="C453" s="859"/>
      <c r="D453" s="859"/>
      <c r="E453" s="859"/>
      <c r="F453" s="859"/>
      <c r="G453" s="859"/>
      <c r="H453" s="859"/>
      <c r="I453" s="859"/>
      <c r="J453" s="859"/>
      <c r="K453" s="859"/>
      <c r="L453" s="859"/>
      <c r="M453" s="859"/>
      <c r="N453" s="859"/>
      <c r="O453" s="1012"/>
      <c r="P453" s="1012"/>
      <c r="Q453" s="912"/>
      <c r="R453" s="1009"/>
      <c r="S453" s="912"/>
      <c r="T453" s="1012"/>
      <c r="U453" s="935"/>
      <c r="V453" s="935"/>
      <c r="W453" s="935"/>
      <c r="X453" s="935"/>
      <c r="Y453" s="937"/>
      <c r="Z453" s="915"/>
    </row>
    <row r="454" spans="1:26" x14ac:dyDescent="0.25">
      <c r="A454" s="1011"/>
      <c r="B454" s="931"/>
      <c r="C454" s="1014"/>
      <c r="D454" s="1014"/>
      <c r="E454" s="1014"/>
      <c r="F454" s="1014"/>
      <c r="G454" s="1014"/>
      <c r="H454" s="1014"/>
      <c r="I454" s="1014"/>
      <c r="J454" s="1014"/>
      <c r="K454" s="1014"/>
      <c r="L454" s="1014"/>
      <c r="M454" s="1014"/>
      <c r="N454" s="1014"/>
      <c r="O454" s="1013"/>
      <c r="P454" s="1013"/>
      <c r="Q454" s="912"/>
      <c r="R454" s="1009"/>
      <c r="S454" s="912"/>
      <c r="T454" s="1013"/>
      <c r="U454" s="979"/>
      <c r="V454" s="979"/>
      <c r="W454" s="979"/>
      <c r="X454" s="979"/>
      <c r="Y454" s="920"/>
      <c r="Z454" s="915"/>
    </row>
    <row r="455" spans="1:26" ht="3.9" customHeight="1" x14ac:dyDescent="0.25">
      <c r="A455" s="925"/>
      <c r="B455" s="931"/>
      <c r="C455" s="983"/>
      <c r="D455" s="983"/>
      <c r="E455" s="983"/>
      <c r="F455" s="983"/>
      <c r="G455" s="983"/>
      <c r="H455" s="983"/>
      <c r="I455" s="983"/>
      <c r="J455" s="983"/>
      <c r="K455" s="983"/>
      <c r="L455" s="983"/>
      <c r="M455" s="983"/>
      <c r="N455" s="983"/>
      <c r="O455" s="983"/>
      <c r="P455" s="983"/>
      <c r="Q455" s="912"/>
      <c r="R455" s="1009"/>
      <c r="S455" s="912"/>
      <c r="T455" s="983"/>
      <c r="U455" s="983"/>
      <c r="V455" s="983"/>
      <c r="W455" s="983"/>
      <c r="X455" s="983"/>
      <c r="Y455" s="983"/>
      <c r="Z455" s="915"/>
    </row>
    <row r="456" spans="1:26" x14ac:dyDescent="0.25">
      <c r="A456" s="930"/>
      <c r="B456" s="931"/>
      <c r="C456" s="954"/>
      <c r="D456" s="954"/>
      <c r="E456" s="954"/>
      <c r="F456" s="954"/>
      <c r="G456" s="954"/>
      <c r="H456" s="954"/>
      <c r="I456" s="954"/>
      <c r="J456" s="954"/>
      <c r="K456" s="954"/>
      <c r="L456" s="954"/>
      <c r="M456" s="954"/>
      <c r="N456" s="954"/>
      <c r="O456" s="954"/>
      <c r="P456" s="954"/>
      <c r="Q456" s="912"/>
      <c r="R456" s="1009"/>
      <c r="S456" s="912"/>
      <c r="T456" s="954"/>
      <c r="U456" s="954"/>
      <c r="V456" s="954"/>
      <c r="W456" s="954"/>
      <c r="X456" s="954"/>
      <c r="Y456" s="954"/>
      <c r="Z456" s="915"/>
    </row>
    <row r="457" spans="1:26" x14ac:dyDescent="0.25">
      <c r="A457" s="947"/>
      <c r="B457" s="931"/>
      <c r="C457" s="937"/>
      <c r="D457" s="937"/>
      <c r="E457" s="937"/>
      <c r="F457" s="937"/>
      <c r="G457" s="937"/>
      <c r="H457" s="937"/>
      <c r="I457" s="937"/>
      <c r="J457" s="937"/>
      <c r="K457" s="937"/>
      <c r="L457" s="937"/>
      <c r="M457" s="937"/>
      <c r="N457" s="937"/>
      <c r="O457" s="935"/>
      <c r="P457" s="935"/>
      <c r="Q457" s="912"/>
      <c r="R457" s="1009"/>
      <c r="S457" s="912"/>
      <c r="T457" s="935"/>
      <c r="U457" s="935"/>
      <c r="V457" s="935"/>
      <c r="W457" s="935"/>
      <c r="X457" s="935"/>
      <c r="Y457" s="937"/>
      <c r="Z457" s="915"/>
    </row>
    <row r="458" spans="1:26" x14ac:dyDescent="0.25">
      <c r="A458" s="930"/>
      <c r="B458" s="931"/>
      <c r="C458" s="708"/>
      <c r="D458" s="708"/>
      <c r="E458" s="708"/>
      <c r="F458" s="708"/>
      <c r="G458" s="708"/>
      <c r="H458" s="708"/>
      <c r="I458" s="708"/>
      <c r="J458" s="708"/>
      <c r="K458" s="708"/>
      <c r="L458" s="708"/>
      <c r="M458" s="708"/>
      <c r="N458" s="708"/>
      <c r="O458" s="708"/>
      <c r="P458" s="708"/>
      <c r="Q458" s="912"/>
      <c r="R458" s="1009"/>
      <c r="S458" s="912"/>
      <c r="T458" s="708"/>
      <c r="U458" s="708"/>
      <c r="V458" s="708"/>
      <c r="W458" s="708"/>
      <c r="X458" s="708"/>
      <c r="Y458" s="708"/>
      <c r="Z458" s="915"/>
    </row>
    <row r="459" spans="1:26" x14ac:dyDescent="0.25">
      <c r="A459" s="947"/>
      <c r="B459" s="931"/>
      <c r="C459" s="937"/>
      <c r="D459" s="937"/>
      <c r="E459" s="937"/>
      <c r="F459" s="937"/>
      <c r="G459" s="937"/>
      <c r="H459" s="937"/>
      <c r="I459" s="937"/>
      <c r="J459" s="937"/>
      <c r="K459" s="937"/>
      <c r="L459" s="937"/>
      <c r="M459" s="937"/>
      <c r="N459" s="937"/>
      <c r="O459" s="935"/>
      <c r="P459" s="935"/>
      <c r="Q459" s="912"/>
      <c r="R459" s="1009"/>
      <c r="S459" s="912"/>
      <c r="T459" s="935"/>
      <c r="U459" s="935"/>
      <c r="V459" s="935"/>
      <c r="W459" s="935"/>
      <c r="X459" s="935"/>
      <c r="Y459" s="937"/>
      <c r="Z459" s="915"/>
    </row>
    <row r="460" spans="1:26" x14ac:dyDescent="0.25">
      <c r="A460" s="925" t="s">
        <v>307</v>
      </c>
      <c r="C460" s="937">
        <f>+C343-C450</f>
        <v>0</v>
      </c>
      <c r="D460" s="937">
        <f t="shared" ref="D460:O460" si="194">+D343-D450</f>
        <v>0</v>
      </c>
      <c r="E460" s="937">
        <f t="shared" si="194"/>
        <v>0</v>
      </c>
      <c r="F460" s="937">
        <f t="shared" si="194"/>
        <v>0</v>
      </c>
      <c r="G460" s="937">
        <f t="shared" si="194"/>
        <v>0</v>
      </c>
      <c r="H460" s="937">
        <f t="shared" si="194"/>
        <v>0</v>
      </c>
      <c r="I460" s="937">
        <f t="shared" si="194"/>
        <v>0</v>
      </c>
      <c r="J460" s="937">
        <f t="shared" si="194"/>
        <v>0</v>
      </c>
      <c r="K460" s="937">
        <f t="shared" si="194"/>
        <v>0</v>
      </c>
      <c r="L460" s="937">
        <f t="shared" si="194"/>
        <v>0</v>
      </c>
      <c r="M460" s="937">
        <f t="shared" si="194"/>
        <v>0</v>
      </c>
      <c r="N460" s="937">
        <f t="shared" si="194"/>
        <v>0</v>
      </c>
      <c r="O460" s="937">
        <f t="shared" si="194"/>
        <v>0</v>
      </c>
      <c r="P460" s="937"/>
      <c r="Q460" s="912"/>
      <c r="R460" s="1009"/>
      <c r="S460" s="912"/>
      <c r="T460" s="937"/>
      <c r="U460" s="937">
        <f>+U343-U450</f>
        <v>0</v>
      </c>
      <c r="V460" s="937">
        <f>+V343-V450</f>
        <v>0</v>
      </c>
      <c r="W460" s="937">
        <f>+W343-W450</f>
        <v>0</v>
      </c>
      <c r="X460" s="937">
        <f>+X343-X450</f>
        <v>0</v>
      </c>
      <c r="Y460" s="937">
        <f>+Y343-Y450</f>
        <v>0</v>
      </c>
      <c r="Z460" s="915"/>
    </row>
    <row r="461" spans="1:26" x14ac:dyDescent="0.25">
      <c r="Q461" s="912"/>
      <c r="S461" s="912"/>
      <c r="U461" s="908"/>
      <c r="V461" s="908"/>
    </row>
    <row r="462" spans="1:26" x14ac:dyDescent="0.25">
      <c r="A462" s="930" t="s">
        <v>168</v>
      </c>
      <c r="C462" s="999"/>
      <c r="D462" s="999"/>
      <c r="E462" s="999"/>
      <c r="F462" s="999"/>
      <c r="G462" s="999"/>
      <c r="H462" s="999"/>
      <c r="I462" s="999"/>
      <c r="J462" s="999"/>
      <c r="K462" s="999"/>
      <c r="L462" s="999"/>
      <c r="M462" s="999"/>
      <c r="N462" s="999"/>
      <c r="O462" s="999"/>
      <c r="P462" s="999"/>
      <c r="Q462" s="912"/>
      <c r="R462" s="1007"/>
      <c r="S462" s="912"/>
      <c r="T462" s="999"/>
      <c r="U462" s="999"/>
      <c r="V462" s="999"/>
      <c r="W462" s="999"/>
      <c r="X462" s="999"/>
      <c r="Y462" s="999"/>
    </row>
    <row r="463" spans="1:26" x14ac:dyDescent="0.25">
      <c r="A463" s="930" t="s">
        <v>262</v>
      </c>
      <c r="C463" s="999"/>
      <c r="D463" s="999"/>
      <c r="E463" s="999"/>
      <c r="F463" s="999"/>
      <c r="G463" s="999"/>
      <c r="H463" s="999"/>
      <c r="I463" s="999"/>
      <c r="J463" s="999"/>
      <c r="K463" s="999"/>
      <c r="L463" s="999"/>
      <c r="M463" s="999"/>
      <c r="N463" s="999"/>
      <c r="O463" s="999"/>
      <c r="P463" s="999"/>
      <c r="Q463" s="912"/>
      <c r="R463" s="1007"/>
      <c r="S463" s="912"/>
      <c r="T463" s="999"/>
      <c r="U463" s="999"/>
      <c r="V463" s="999"/>
      <c r="W463" s="999"/>
      <c r="X463" s="999"/>
      <c r="Y463" s="999"/>
    </row>
    <row r="464" spans="1:26" x14ac:dyDescent="0.25">
      <c r="A464" s="930" t="s">
        <v>246</v>
      </c>
      <c r="B464" s="931"/>
      <c r="C464" s="935"/>
      <c r="D464" s="935"/>
      <c r="E464" s="935"/>
      <c r="F464" s="935"/>
      <c r="G464" s="935"/>
      <c r="H464" s="935"/>
      <c r="I464" s="935"/>
      <c r="J464" s="935"/>
      <c r="K464" s="935"/>
      <c r="L464" s="935"/>
      <c r="M464" s="935"/>
      <c r="N464" s="935"/>
      <c r="O464" s="935"/>
      <c r="P464" s="935"/>
      <c r="Q464" s="912"/>
      <c r="R464" s="1008"/>
      <c r="S464" s="912"/>
      <c r="T464" s="935"/>
      <c r="U464" s="914"/>
      <c r="V464" s="914"/>
      <c r="W464" s="914"/>
      <c r="X464" s="914"/>
      <c r="Y464" s="937"/>
    </row>
    <row r="465" spans="1:25" x14ac:dyDescent="0.25">
      <c r="A465" s="925" t="s">
        <v>263</v>
      </c>
      <c r="B465" s="931"/>
      <c r="C465" s="937"/>
      <c r="D465" s="937"/>
      <c r="E465" s="937"/>
      <c r="F465" s="937"/>
      <c r="G465" s="937"/>
      <c r="H465" s="937"/>
      <c r="I465" s="937"/>
      <c r="J465" s="937"/>
      <c r="K465" s="937"/>
      <c r="L465" s="937"/>
      <c r="M465" s="937"/>
      <c r="N465" s="937"/>
      <c r="O465" s="142"/>
      <c r="P465" s="142"/>
      <c r="Q465" s="912"/>
      <c r="R465" s="1009"/>
      <c r="S465" s="912"/>
      <c r="T465" s="142"/>
      <c r="U465" s="935"/>
      <c r="V465" s="935"/>
      <c r="W465" s="935"/>
      <c r="X465" s="935"/>
      <c r="Y465" s="915"/>
    </row>
    <row r="466" spans="1:25" x14ac:dyDescent="0.25">
      <c r="A466" s="925" t="s">
        <v>288</v>
      </c>
      <c r="B466" s="931"/>
      <c r="C466" s="868">
        <f>1955+2918+242</f>
        <v>5115</v>
      </c>
      <c r="D466" s="868">
        <f>2556+4569</f>
        <v>7125</v>
      </c>
      <c r="E466" s="868">
        <f>3390+1878+240</f>
        <v>5508</v>
      </c>
      <c r="F466" s="868">
        <f>2388+816+1562</f>
        <v>4766</v>
      </c>
      <c r="G466" s="868">
        <f>2654+793</f>
        <v>3447</v>
      </c>
      <c r="H466" s="868">
        <f>2290+762</f>
        <v>3052</v>
      </c>
      <c r="I466" s="868">
        <f>574+2728</f>
        <v>3302</v>
      </c>
      <c r="J466" s="868">
        <f>3207+498</f>
        <v>3705</v>
      </c>
      <c r="K466" s="868">
        <v>2600</v>
      </c>
      <c r="L466" s="868">
        <v>2600</v>
      </c>
      <c r="M466" s="868">
        <v>2600</v>
      </c>
      <c r="N466" s="868">
        <v>2600</v>
      </c>
      <c r="O466" s="142">
        <f t="shared" ref="O466:O474" si="195">SUM(C466:N466)</f>
        <v>46420</v>
      </c>
      <c r="P466" s="142"/>
      <c r="Q466" s="912"/>
      <c r="R466" s="1009"/>
      <c r="S466" s="912"/>
      <c r="T466" s="142"/>
      <c r="U466" s="935">
        <f t="shared" ref="U466:U474" si="196">C466+D466+E466</f>
        <v>17748</v>
      </c>
      <c r="V466" s="935">
        <f t="shared" ref="V466:V474" si="197">F466+G466+H466</f>
        <v>11265</v>
      </c>
      <c r="W466" s="935">
        <f t="shared" ref="W466:W474" si="198">I466+J466+K466</f>
        <v>9607</v>
      </c>
      <c r="X466" s="935">
        <f t="shared" ref="X466:X474" si="199">L466+M466+N466</f>
        <v>7800</v>
      </c>
      <c r="Y466" s="937">
        <f t="shared" ref="Y466:Y474" si="200">SUM(U466:X466)</f>
        <v>46420</v>
      </c>
    </row>
    <row r="467" spans="1:25" x14ac:dyDescent="0.25">
      <c r="A467" s="925" t="s">
        <v>264</v>
      </c>
      <c r="B467" s="931"/>
      <c r="C467" s="128">
        <v>687</v>
      </c>
      <c r="D467" s="128">
        <v>38</v>
      </c>
      <c r="E467" s="128">
        <v>40</v>
      </c>
      <c r="F467" s="128">
        <v>351</v>
      </c>
      <c r="G467" s="128">
        <v>146</v>
      </c>
      <c r="H467" s="128">
        <v>0</v>
      </c>
      <c r="I467" s="128">
        <v>295</v>
      </c>
      <c r="J467" s="128">
        <v>900</v>
      </c>
      <c r="K467" s="128">
        <v>0</v>
      </c>
      <c r="L467" s="128">
        <v>0</v>
      </c>
      <c r="M467" s="128">
        <v>0</v>
      </c>
      <c r="N467" s="128">
        <v>0</v>
      </c>
      <c r="O467" s="142">
        <f t="shared" si="195"/>
        <v>2457</v>
      </c>
      <c r="P467" s="142"/>
      <c r="Q467" s="912"/>
      <c r="R467" s="1009"/>
      <c r="S467" s="912"/>
      <c r="T467" s="142"/>
      <c r="U467" s="935">
        <f t="shared" si="196"/>
        <v>765</v>
      </c>
      <c r="V467" s="935">
        <f t="shared" si="197"/>
        <v>497</v>
      </c>
      <c r="W467" s="935">
        <f t="shared" si="198"/>
        <v>1195</v>
      </c>
      <c r="X467" s="935">
        <f t="shared" si="199"/>
        <v>0</v>
      </c>
      <c r="Y467" s="937">
        <f t="shared" si="200"/>
        <v>2457</v>
      </c>
    </row>
    <row r="468" spans="1:25" x14ac:dyDescent="0.25">
      <c r="A468" s="925" t="s">
        <v>285</v>
      </c>
      <c r="B468" s="931"/>
      <c r="C468" s="128">
        <v>0</v>
      </c>
      <c r="D468" s="128">
        <v>0</v>
      </c>
      <c r="E468" s="128">
        <v>0</v>
      </c>
      <c r="F468" s="128">
        <v>0</v>
      </c>
      <c r="G468" s="128">
        <v>0</v>
      </c>
      <c r="H468" s="128">
        <v>0</v>
      </c>
      <c r="I468" s="128">
        <v>0</v>
      </c>
      <c r="J468" s="128">
        <v>0</v>
      </c>
      <c r="K468" s="128">
        <v>0</v>
      </c>
      <c r="L468" s="128">
        <v>0</v>
      </c>
      <c r="M468" s="128">
        <v>0</v>
      </c>
      <c r="N468" s="128">
        <v>0</v>
      </c>
      <c r="O468" s="142">
        <f t="shared" si="195"/>
        <v>0</v>
      </c>
      <c r="P468" s="142"/>
      <c r="Q468" s="912"/>
      <c r="R468" s="1009"/>
      <c r="S468" s="912"/>
      <c r="T468" s="142"/>
      <c r="U468" s="935">
        <f t="shared" si="196"/>
        <v>0</v>
      </c>
      <c r="V468" s="935">
        <f t="shared" si="197"/>
        <v>0</v>
      </c>
      <c r="W468" s="935">
        <f t="shared" si="198"/>
        <v>0</v>
      </c>
      <c r="X468" s="935">
        <f t="shared" si="199"/>
        <v>0</v>
      </c>
      <c r="Y468" s="937">
        <f t="shared" si="200"/>
        <v>0</v>
      </c>
    </row>
    <row r="469" spans="1:25" x14ac:dyDescent="0.25">
      <c r="A469" s="925" t="s">
        <v>286</v>
      </c>
      <c r="B469" s="931"/>
      <c r="C469" s="128">
        <v>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195"/>
        <v>0</v>
      </c>
      <c r="P469" s="142"/>
      <c r="Q469" s="942"/>
      <c r="R469" s="1010"/>
      <c r="S469" s="942"/>
      <c r="T469" s="142"/>
      <c r="U469" s="935">
        <f t="shared" si="196"/>
        <v>0</v>
      </c>
      <c r="V469" s="935">
        <f t="shared" si="197"/>
        <v>0</v>
      </c>
      <c r="W469" s="935">
        <f t="shared" si="198"/>
        <v>0</v>
      </c>
      <c r="X469" s="935">
        <f t="shared" si="199"/>
        <v>0</v>
      </c>
      <c r="Y469" s="937">
        <f t="shared" si="200"/>
        <v>0</v>
      </c>
    </row>
    <row r="470" spans="1:25" x14ac:dyDescent="0.25">
      <c r="A470" s="925" t="s">
        <v>287</v>
      </c>
      <c r="B470" s="931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195"/>
        <v>0</v>
      </c>
      <c r="P470" s="142"/>
      <c r="Q470" s="912"/>
      <c r="R470" s="1009"/>
      <c r="S470" s="912"/>
      <c r="T470" s="142"/>
      <c r="U470" s="935">
        <f t="shared" si="196"/>
        <v>0</v>
      </c>
      <c r="V470" s="935">
        <f t="shared" si="197"/>
        <v>0</v>
      </c>
      <c r="W470" s="935">
        <f t="shared" si="198"/>
        <v>0</v>
      </c>
      <c r="X470" s="935">
        <f t="shared" si="199"/>
        <v>0</v>
      </c>
      <c r="Y470" s="937">
        <f t="shared" si="200"/>
        <v>0</v>
      </c>
    </row>
    <row r="471" spans="1:25" x14ac:dyDescent="0.25">
      <c r="A471" s="925" t="s">
        <v>292</v>
      </c>
      <c r="B471" s="931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208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195"/>
        <v>208</v>
      </c>
      <c r="P471" s="142"/>
      <c r="Q471" s="912"/>
      <c r="R471" s="1009"/>
      <c r="S471" s="912"/>
      <c r="T471" s="142"/>
      <c r="U471" s="935">
        <f t="shared" si="196"/>
        <v>0</v>
      </c>
      <c r="V471" s="935">
        <f t="shared" si="197"/>
        <v>0</v>
      </c>
      <c r="W471" s="935">
        <f t="shared" si="198"/>
        <v>208</v>
      </c>
      <c r="X471" s="935">
        <f t="shared" si="199"/>
        <v>0</v>
      </c>
      <c r="Y471" s="937">
        <f t="shared" si="200"/>
        <v>208</v>
      </c>
    </row>
    <row r="472" spans="1:25" x14ac:dyDescent="0.25">
      <c r="A472" s="925" t="s">
        <v>265</v>
      </c>
      <c r="B472" s="931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195"/>
        <v>0</v>
      </c>
      <c r="P472" s="142"/>
      <c r="Q472" s="912"/>
      <c r="R472" s="1009"/>
      <c r="S472" s="912"/>
      <c r="T472" s="142"/>
      <c r="U472" s="935">
        <f t="shared" si="196"/>
        <v>0</v>
      </c>
      <c r="V472" s="935">
        <f t="shared" si="197"/>
        <v>0</v>
      </c>
      <c r="W472" s="935">
        <f t="shared" si="198"/>
        <v>0</v>
      </c>
      <c r="X472" s="935">
        <f t="shared" si="199"/>
        <v>0</v>
      </c>
      <c r="Y472" s="937">
        <f t="shared" si="200"/>
        <v>0</v>
      </c>
    </row>
    <row r="473" spans="1:25" x14ac:dyDescent="0.25">
      <c r="A473" s="925" t="s">
        <v>266</v>
      </c>
      <c r="B473" s="931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0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195"/>
        <v>0</v>
      </c>
      <c r="P473" s="142"/>
      <c r="Q473" s="912"/>
      <c r="R473" s="1009"/>
      <c r="S473" s="912"/>
      <c r="T473" s="142"/>
      <c r="U473" s="935">
        <f t="shared" si="196"/>
        <v>0</v>
      </c>
      <c r="V473" s="935">
        <f t="shared" si="197"/>
        <v>0</v>
      </c>
      <c r="W473" s="935">
        <f t="shared" si="198"/>
        <v>0</v>
      </c>
      <c r="X473" s="935">
        <f t="shared" si="199"/>
        <v>0</v>
      </c>
      <c r="Y473" s="937">
        <f t="shared" si="200"/>
        <v>0</v>
      </c>
    </row>
    <row r="474" spans="1:25" x14ac:dyDescent="0.25">
      <c r="A474" s="925" t="s">
        <v>272</v>
      </c>
      <c r="B474" s="931"/>
      <c r="C474" s="260">
        <v>0</v>
      </c>
      <c r="D474" s="260">
        <v>0</v>
      </c>
      <c r="E474" s="260">
        <v>0</v>
      </c>
      <c r="F474" s="260">
        <v>0</v>
      </c>
      <c r="G474" s="260">
        <v>0</v>
      </c>
      <c r="H474" s="260">
        <v>0</v>
      </c>
      <c r="I474" s="260">
        <v>0</v>
      </c>
      <c r="J474" s="260">
        <v>0</v>
      </c>
      <c r="K474" s="260">
        <v>0</v>
      </c>
      <c r="L474" s="260">
        <v>0</v>
      </c>
      <c r="M474" s="260">
        <v>0</v>
      </c>
      <c r="N474" s="260">
        <v>0</v>
      </c>
      <c r="O474" s="1013">
        <f t="shared" si="195"/>
        <v>0</v>
      </c>
      <c r="P474" s="1013"/>
      <c r="Q474" s="912"/>
      <c r="R474" s="1009"/>
      <c r="S474" s="912"/>
      <c r="T474" s="1013"/>
      <c r="U474" s="979">
        <f t="shared" si="196"/>
        <v>0</v>
      </c>
      <c r="V474" s="979">
        <f t="shared" si="197"/>
        <v>0</v>
      </c>
      <c r="W474" s="979">
        <f t="shared" si="198"/>
        <v>0</v>
      </c>
      <c r="X474" s="979">
        <f t="shared" si="199"/>
        <v>0</v>
      </c>
      <c r="Y474" s="920">
        <f t="shared" si="200"/>
        <v>0</v>
      </c>
    </row>
    <row r="475" spans="1:25" x14ac:dyDescent="0.25">
      <c r="A475" s="925" t="s">
        <v>267</v>
      </c>
      <c r="B475" s="931"/>
      <c r="C475" s="920">
        <f>SUM(C466:C474)</f>
        <v>5802</v>
      </c>
      <c r="D475" s="920">
        <f t="shared" ref="D475:O475" si="201">SUM(D466:D474)</f>
        <v>7163</v>
      </c>
      <c r="E475" s="920">
        <f t="shared" si="201"/>
        <v>5548</v>
      </c>
      <c r="F475" s="920">
        <f t="shared" si="201"/>
        <v>5117</v>
      </c>
      <c r="G475" s="920">
        <f t="shared" si="201"/>
        <v>3593</v>
      </c>
      <c r="H475" s="920">
        <f t="shared" si="201"/>
        <v>3052</v>
      </c>
      <c r="I475" s="920">
        <f t="shared" si="201"/>
        <v>3805</v>
      </c>
      <c r="J475" s="920">
        <f t="shared" si="201"/>
        <v>4605</v>
      </c>
      <c r="K475" s="920">
        <f t="shared" si="201"/>
        <v>2600</v>
      </c>
      <c r="L475" s="920">
        <f t="shared" si="201"/>
        <v>2600</v>
      </c>
      <c r="M475" s="920">
        <f t="shared" si="201"/>
        <v>2600</v>
      </c>
      <c r="N475" s="920">
        <f t="shared" si="201"/>
        <v>2600</v>
      </c>
      <c r="O475" s="920">
        <f t="shared" si="201"/>
        <v>49085</v>
      </c>
      <c r="P475" s="935"/>
      <c r="Q475" s="912"/>
      <c r="R475" s="1009"/>
      <c r="S475" s="912"/>
      <c r="T475" s="935"/>
      <c r="U475" s="920">
        <f>SUM(U466:U474)</f>
        <v>18513</v>
      </c>
      <c r="V475" s="920">
        <f>SUM(V466:V474)</f>
        <v>11762</v>
      </c>
      <c r="W475" s="920">
        <f>SUM(W466:W474)</f>
        <v>11010</v>
      </c>
      <c r="X475" s="920">
        <f>SUM(X466:X474)</f>
        <v>7800</v>
      </c>
      <c r="Y475" s="920">
        <f>SUM(Y466:Y474)</f>
        <v>49085</v>
      </c>
    </row>
    <row r="476" spans="1:25" x14ac:dyDescent="0.25">
      <c r="A476" s="947"/>
      <c r="B476" s="931"/>
      <c r="C476" s="937"/>
      <c r="D476" s="937"/>
      <c r="E476" s="937"/>
      <c r="F476" s="937"/>
      <c r="G476" s="937"/>
      <c r="H476" s="937"/>
      <c r="I476" s="937"/>
      <c r="J476" s="937"/>
      <c r="K476" s="937"/>
      <c r="L476" s="937"/>
      <c r="M476" s="937"/>
      <c r="N476" s="937"/>
      <c r="O476" s="935"/>
      <c r="P476" s="935"/>
      <c r="Q476" s="912"/>
      <c r="R476" s="1009"/>
      <c r="S476" s="912"/>
      <c r="T476" s="935"/>
      <c r="U476" s="935"/>
      <c r="V476" s="935"/>
      <c r="W476" s="935"/>
      <c r="X476" s="935"/>
      <c r="Y476" s="937"/>
    </row>
    <row r="477" spans="1:25" x14ac:dyDescent="0.25">
      <c r="A477" s="925" t="s">
        <v>268</v>
      </c>
      <c r="B477" s="931"/>
      <c r="C477" s="937"/>
      <c r="D477" s="937"/>
      <c r="E477" s="937"/>
      <c r="F477" s="937"/>
      <c r="G477" s="937"/>
      <c r="H477" s="937"/>
      <c r="I477" s="937"/>
      <c r="J477" s="937"/>
      <c r="K477" s="937"/>
      <c r="L477" s="937"/>
      <c r="M477" s="937"/>
      <c r="N477" s="937"/>
      <c r="O477" s="142"/>
      <c r="P477" s="142"/>
      <c r="Q477" s="912"/>
      <c r="R477" s="1009"/>
      <c r="S477" s="912"/>
      <c r="T477" s="142"/>
      <c r="U477" s="935"/>
      <c r="V477" s="935"/>
      <c r="W477" s="935"/>
      <c r="X477" s="935"/>
      <c r="Y477" s="915"/>
    </row>
    <row r="478" spans="1:25" x14ac:dyDescent="0.25">
      <c r="A478" s="925" t="s">
        <v>291</v>
      </c>
      <c r="B478" s="931"/>
      <c r="C478" s="128">
        <v>0</v>
      </c>
      <c r="D478" s="128">
        <v>0</v>
      </c>
      <c r="E478" s="128">
        <v>0</v>
      </c>
      <c r="F478" s="128">
        <v>0</v>
      </c>
      <c r="G478" s="128">
        <v>0</v>
      </c>
      <c r="H478" s="128">
        <v>0</v>
      </c>
      <c r="I478" s="128">
        <v>0</v>
      </c>
      <c r="J478" s="128">
        <v>0</v>
      </c>
      <c r="K478" s="128">
        <v>0</v>
      </c>
      <c r="L478" s="128">
        <v>0</v>
      </c>
      <c r="M478" s="128">
        <v>0</v>
      </c>
      <c r="N478" s="128">
        <v>0</v>
      </c>
      <c r="O478" s="142">
        <f t="shared" ref="O478:O487" si="202">SUM(C478:N478)</f>
        <v>0</v>
      </c>
      <c r="P478" s="142"/>
      <c r="Q478" s="912"/>
      <c r="R478" s="1009"/>
      <c r="S478" s="912"/>
      <c r="T478" s="142"/>
      <c r="U478" s="935">
        <f t="shared" ref="U478:U487" si="203">C478+D478+E478</f>
        <v>0</v>
      </c>
      <c r="V478" s="935">
        <f t="shared" ref="V478:V487" si="204">F478+G478+H478</f>
        <v>0</v>
      </c>
      <c r="W478" s="935">
        <f t="shared" ref="W478:W487" si="205">I478+J478+K478</f>
        <v>0</v>
      </c>
      <c r="X478" s="935">
        <f t="shared" ref="X478:X487" si="206">L478+M478+N478</f>
        <v>0</v>
      </c>
      <c r="Y478" s="937">
        <f t="shared" ref="Y478:Y487" si="207">SUM(U478:X478)</f>
        <v>0</v>
      </c>
    </row>
    <row r="479" spans="1:25" x14ac:dyDescent="0.25">
      <c r="A479" s="925" t="s">
        <v>264</v>
      </c>
      <c r="B479" s="931"/>
      <c r="C479" s="128">
        <v>0</v>
      </c>
      <c r="D479" s="128">
        <v>0</v>
      </c>
      <c r="E479" s="128">
        <v>0</v>
      </c>
      <c r="F479" s="128">
        <v>0</v>
      </c>
      <c r="G479" s="128">
        <v>0</v>
      </c>
      <c r="H479" s="128">
        <v>0</v>
      </c>
      <c r="I479" s="128">
        <v>-212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42">
        <f t="shared" si="202"/>
        <v>-212</v>
      </c>
      <c r="P479" s="142"/>
      <c r="Q479" s="912"/>
      <c r="R479" s="1009"/>
      <c r="S479" s="912"/>
      <c r="T479" s="142"/>
      <c r="U479" s="935">
        <f t="shared" si="203"/>
        <v>0</v>
      </c>
      <c r="V479" s="935">
        <f t="shared" si="204"/>
        <v>0</v>
      </c>
      <c r="W479" s="935">
        <f t="shared" si="205"/>
        <v>-212</v>
      </c>
      <c r="X479" s="935">
        <f t="shared" si="206"/>
        <v>0</v>
      </c>
      <c r="Y479" s="937">
        <f t="shared" si="207"/>
        <v>-212</v>
      </c>
    </row>
    <row r="480" spans="1:25" x14ac:dyDescent="0.25">
      <c r="A480" s="925" t="s">
        <v>292</v>
      </c>
      <c r="B480" s="931"/>
      <c r="C480" s="128">
        <v>-1816</v>
      </c>
      <c r="D480" s="128">
        <v>-3884</v>
      </c>
      <c r="E480" s="128">
        <v>-1738</v>
      </c>
      <c r="F480" s="128">
        <v>-976</v>
      </c>
      <c r="G480" s="128">
        <v>-711</v>
      </c>
      <c r="H480" s="128">
        <v>-846</v>
      </c>
      <c r="I480" s="128">
        <v>-164</v>
      </c>
      <c r="J480" s="128">
        <v>0</v>
      </c>
      <c r="K480" s="128">
        <v>-500</v>
      </c>
      <c r="L480" s="128">
        <v>-700</v>
      </c>
      <c r="M480" s="128">
        <v>-700</v>
      </c>
      <c r="N480" s="128">
        <v>-700</v>
      </c>
      <c r="O480" s="142">
        <f>SUM(C480:N480)</f>
        <v>-12735</v>
      </c>
      <c r="P480" s="142"/>
      <c r="Q480" s="912"/>
      <c r="R480" s="1009"/>
      <c r="S480" s="912"/>
      <c r="T480" s="142"/>
      <c r="U480" s="935">
        <f>C480+D480+E480</f>
        <v>-7438</v>
      </c>
      <c r="V480" s="935">
        <f>F480+G480+H480</f>
        <v>-2533</v>
      </c>
      <c r="W480" s="935">
        <f>I480+J480+K480</f>
        <v>-664</v>
      </c>
      <c r="X480" s="935">
        <f>L480+M480+N480</f>
        <v>-2100</v>
      </c>
      <c r="Y480" s="937">
        <f>SUM(U480:X480)</f>
        <v>-12735</v>
      </c>
    </row>
    <row r="481" spans="1:25" x14ac:dyDescent="0.25">
      <c r="A481" s="925" t="s">
        <v>269</v>
      </c>
      <c r="B481" s="931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-1200</v>
      </c>
      <c r="L481" s="128">
        <v>0</v>
      </c>
      <c r="M481" s="128">
        <v>0</v>
      </c>
      <c r="N481" s="128">
        <v>0</v>
      </c>
      <c r="O481" s="142">
        <f t="shared" si="202"/>
        <v>-1200</v>
      </c>
      <c r="P481" s="142"/>
      <c r="Q481" s="912"/>
      <c r="R481" s="1009"/>
      <c r="S481" s="912"/>
      <c r="T481" s="142"/>
      <c r="U481" s="935">
        <f t="shared" si="203"/>
        <v>0</v>
      </c>
      <c r="V481" s="935">
        <f t="shared" si="204"/>
        <v>0</v>
      </c>
      <c r="W481" s="935">
        <f t="shared" si="205"/>
        <v>-1200</v>
      </c>
      <c r="X481" s="935">
        <f t="shared" si="206"/>
        <v>0</v>
      </c>
      <c r="Y481" s="937">
        <f t="shared" si="207"/>
        <v>-1200</v>
      </c>
    </row>
    <row r="482" spans="1:25" x14ac:dyDescent="0.25">
      <c r="A482" s="925" t="s">
        <v>289</v>
      </c>
      <c r="B482" s="931"/>
      <c r="C482" s="128">
        <v>0</v>
      </c>
      <c r="D482" s="128">
        <v>0</v>
      </c>
      <c r="E482" s="128">
        <v>0</v>
      </c>
      <c r="F482" s="128">
        <v>0</v>
      </c>
      <c r="G482" s="128">
        <v>-15000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128">
        <v>0</v>
      </c>
      <c r="O482" s="142">
        <f t="shared" si="202"/>
        <v>-15000</v>
      </c>
      <c r="P482" s="142"/>
      <c r="Q482" s="912"/>
      <c r="R482" s="1009"/>
      <c r="S482" s="912"/>
      <c r="T482" s="142"/>
      <c r="U482" s="935">
        <f t="shared" si="203"/>
        <v>0</v>
      </c>
      <c r="V482" s="935">
        <f t="shared" si="204"/>
        <v>-15000</v>
      </c>
      <c r="W482" s="935">
        <f t="shared" si="205"/>
        <v>0</v>
      </c>
      <c r="X482" s="935">
        <f t="shared" si="206"/>
        <v>0</v>
      </c>
      <c r="Y482" s="937">
        <f t="shared" si="207"/>
        <v>-15000</v>
      </c>
    </row>
    <row r="483" spans="1:25" x14ac:dyDescent="0.25">
      <c r="A483" s="925" t="s">
        <v>290</v>
      </c>
      <c r="B483" s="931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0</v>
      </c>
      <c r="L483" s="128">
        <v>0</v>
      </c>
      <c r="M483" s="128">
        <v>-10000</v>
      </c>
      <c r="N483" s="128">
        <v>0</v>
      </c>
      <c r="O483" s="142">
        <f t="shared" si="202"/>
        <v>-10000</v>
      </c>
      <c r="P483" s="142"/>
      <c r="Q483" s="912"/>
      <c r="R483" s="1009"/>
      <c r="S483" s="912"/>
      <c r="T483" s="142"/>
      <c r="U483" s="935">
        <f t="shared" si="203"/>
        <v>0</v>
      </c>
      <c r="V483" s="935">
        <f t="shared" si="204"/>
        <v>0</v>
      </c>
      <c r="W483" s="935">
        <f t="shared" si="205"/>
        <v>0</v>
      </c>
      <c r="X483" s="935">
        <f t="shared" si="206"/>
        <v>-10000</v>
      </c>
      <c r="Y483" s="937">
        <f t="shared" si="207"/>
        <v>-10000</v>
      </c>
    </row>
    <row r="484" spans="1:25" x14ac:dyDescent="0.25">
      <c r="A484" s="925" t="s">
        <v>270</v>
      </c>
      <c r="B484" s="931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02"/>
        <v>0</v>
      </c>
      <c r="P484" s="142"/>
      <c r="Q484" s="912"/>
      <c r="R484" s="1009"/>
      <c r="S484" s="912"/>
      <c r="T484" s="142"/>
      <c r="U484" s="935">
        <f t="shared" si="203"/>
        <v>0</v>
      </c>
      <c r="V484" s="935">
        <f t="shared" si="204"/>
        <v>0</v>
      </c>
      <c r="W484" s="935">
        <f t="shared" si="205"/>
        <v>0</v>
      </c>
      <c r="X484" s="935">
        <f t="shared" si="206"/>
        <v>0</v>
      </c>
      <c r="Y484" s="937">
        <f t="shared" si="207"/>
        <v>0</v>
      </c>
    </row>
    <row r="485" spans="1:25" x14ac:dyDescent="0.25">
      <c r="A485" s="925" t="s">
        <v>271</v>
      </c>
      <c r="B485" s="931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2">
        <f t="shared" si="202"/>
        <v>0</v>
      </c>
      <c r="P485" s="142"/>
      <c r="Q485" s="912"/>
      <c r="R485" s="1009"/>
      <c r="S485" s="912"/>
      <c r="T485" s="142"/>
      <c r="U485" s="935">
        <f t="shared" si="203"/>
        <v>0</v>
      </c>
      <c r="V485" s="935">
        <f t="shared" si="204"/>
        <v>0</v>
      </c>
      <c r="W485" s="935">
        <f t="shared" si="205"/>
        <v>0</v>
      </c>
      <c r="X485" s="935">
        <f t="shared" si="206"/>
        <v>0</v>
      </c>
      <c r="Y485" s="937">
        <f t="shared" si="207"/>
        <v>0</v>
      </c>
    </row>
    <row r="486" spans="1:25" x14ac:dyDescent="0.25">
      <c r="A486" s="925" t="s">
        <v>266</v>
      </c>
      <c r="B486" s="931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02"/>
        <v>0</v>
      </c>
      <c r="P486" s="142"/>
      <c r="Q486" s="912"/>
      <c r="R486" s="1009"/>
      <c r="S486" s="912"/>
      <c r="T486" s="142"/>
      <c r="U486" s="935">
        <f t="shared" si="203"/>
        <v>0</v>
      </c>
      <c r="V486" s="935">
        <f t="shared" si="204"/>
        <v>0</v>
      </c>
      <c r="W486" s="935">
        <f t="shared" si="205"/>
        <v>0</v>
      </c>
      <c r="X486" s="935">
        <f t="shared" si="206"/>
        <v>0</v>
      </c>
      <c r="Y486" s="937">
        <f t="shared" si="207"/>
        <v>0</v>
      </c>
    </row>
    <row r="487" spans="1:25" x14ac:dyDescent="0.25">
      <c r="A487" s="925" t="s">
        <v>272</v>
      </c>
      <c r="B487" s="931"/>
      <c r="C487" s="260">
        <v>0</v>
      </c>
      <c r="D487" s="260">
        <v>0</v>
      </c>
      <c r="E487" s="260">
        <v>0</v>
      </c>
      <c r="F487" s="260">
        <v>0</v>
      </c>
      <c r="G487" s="260">
        <v>0</v>
      </c>
      <c r="H487" s="260">
        <v>0</v>
      </c>
      <c r="I487" s="260">
        <v>0</v>
      </c>
      <c r="J487" s="260">
        <v>0</v>
      </c>
      <c r="K487" s="260">
        <v>0</v>
      </c>
      <c r="L487" s="260">
        <v>0</v>
      </c>
      <c r="M487" s="260">
        <v>0</v>
      </c>
      <c r="N487" s="260">
        <v>0</v>
      </c>
      <c r="O487" s="1013">
        <f t="shared" si="202"/>
        <v>0</v>
      </c>
      <c r="P487" s="1013"/>
      <c r="Q487" s="912"/>
      <c r="R487" s="1009"/>
      <c r="S487" s="912"/>
      <c r="T487" s="1013"/>
      <c r="U487" s="979">
        <f t="shared" si="203"/>
        <v>0</v>
      </c>
      <c r="V487" s="979">
        <f t="shared" si="204"/>
        <v>0</v>
      </c>
      <c r="W487" s="979">
        <f t="shared" si="205"/>
        <v>0</v>
      </c>
      <c r="X487" s="979">
        <f t="shared" si="206"/>
        <v>0</v>
      </c>
      <c r="Y487" s="920">
        <f t="shared" si="207"/>
        <v>0</v>
      </c>
    </row>
    <row r="488" spans="1:25" x14ac:dyDescent="0.25">
      <c r="A488" s="925" t="s">
        <v>273</v>
      </c>
      <c r="B488" s="931"/>
      <c r="C488" s="920">
        <f>SUM(C478:C487)</f>
        <v>-1816</v>
      </c>
      <c r="D488" s="920">
        <f t="shared" ref="D488:O488" si="208">SUM(D478:D487)</f>
        <v>-3884</v>
      </c>
      <c r="E488" s="920">
        <f t="shared" si="208"/>
        <v>-1738</v>
      </c>
      <c r="F488" s="920">
        <f t="shared" si="208"/>
        <v>-976</v>
      </c>
      <c r="G488" s="920">
        <f t="shared" si="208"/>
        <v>-15711</v>
      </c>
      <c r="H488" s="920">
        <f t="shared" si="208"/>
        <v>-846</v>
      </c>
      <c r="I488" s="920">
        <f t="shared" si="208"/>
        <v>-376</v>
      </c>
      <c r="J488" s="920">
        <f t="shared" si="208"/>
        <v>0</v>
      </c>
      <c r="K488" s="920">
        <f t="shared" si="208"/>
        <v>-1700</v>
      </c>
      <c r="L488" s="920">
        <f t="shared" si="208"/>
        <v>-700</v>
      </c>
      <c r="M488" s="920">
        <f t="shared" si="208"/>
        <v>-10700</v>
      </c>
      <c r="N488" s="920">
        <f t="shared" si="208"/>
        <v>-700</v>
      </c>
      <c r="O488" s="920">
        <f t="shared" si="208"/>
        <v>-39147</v>
      </c>
      <c r="P488" s="935"/>
      <c r="Q488" s="912"/>
      <c r="R488" s="1009"/>
      <c r="S488" s="912"/>
      <c r="T488" s="935"/>
      <c r="U488" s="920">
        <f>SUM(U478:U487)</f>
        <v>-7438</v>
      </c>
      <c r="V488" s="920">
        <f>SUM(V478:V487)</f>
        <v>-17533</v>
      </c>
      <c r="W488" s="920">
        <f>SUM(W478:W487)</f>
        <v>-2076</v>
      </c>
      <c r="X488" s="920">
        <f>SUM(X478:X487)</f>
        <v>-12100</v>
      </c>
      <c r="Y488" s="920">
        <f>SUM(Y478:Y487)</f>
        <v>-39147</v>
      </c>
    </row>
    <row r="489" spans="1:25" x14ac:dyDescent="0.25">
      <c r="A489" s="947"/>
      <c r="B489" s="931"/>
      <c r="C489" s="937"/>
      <c r="D489" s="937"/>
      <c r="E489" s="937"/>
      <c r="F489" s="937"/>
      <c r="G489" s="937"/>
      <c r="H489" s="937"/>
      <c r="I489" s="937"/>
      <c r="J489" s="937"/>
      <c r="K489" s="937"/>
      <c r="L489" s="937"/>
      <c r="M489" s="937"/>
      <c r="N489" s="937"/>
      <c r="O489" s="935"/>
      <c r="P489" s="935"/>
      <c r="Q489" s="912"/>
      <c r="R489" s="1009"/>
      <c r="S489" s="912"/>
      <c r="T489" s="935"/>
      <c r="U489" s="935"/>
      <c r="V489" s="935"/>
      <c r="W489" s="935"/>
      <c r="X489" s="935"/>
      <c r="Y489" s="937"/>
    </row>
    <row r="490" spans="1:25" x14ac:dyDescent="0.25">
      <c r="A490" s="930" t="s">
        <v>274</v>
      </c>
      <c r="B490" s="931"/>
      <c r="C490" s="983">
        <f t="shared" ref="C490:O490" si="209">+C475+C488</f>
        <v>3986</v>
      </c>
      <c r="D490" s="983">
        <f t="shared" si="209"/>
        <v>3279</v>
      </c>
      <c r="E490" s="983">
        <f t="shared" si="209"/>
        <v>3810</v>
      </c>
      <c r="F490" s="983">
        <f t="shared" si="209"/>
        <v>4141</v>
      </c>
      <c r="G490" s="983">
        <f t="shared" si="209"/>
        <v>-12118</v>
      </c>
      <c r="H490" s="983">
        <f t="shared" si="209"/>
        <v>2206</v>
      </c>
      <c r="I490" s="983">
        <f t="shared" si="209"/>
        <v>3429</v>
      </c>
      <c r="J490" s="983">
        <f t="shared" si="209"/>
        <v>4605</v>
      </c>
      <c r="K490" s="983">
        <f t="shared" si="209"/>
        <v>900</v>
      </c>
      <c r="L490" s="983">
        <f t="shared" si="209"/>
        <v>1900</v>
      </c>
      <c r="M490" s="983">
        <f t="shared" si="209"/>
        <v>-8100</v>
      </c>
      <c r="N490" s="983">
        <f t="shared" si="209"/>
        <v>1900</v>
      </c>
      <c r="O490" s="983">
        <f t="shared" si="209"/>
        <v>9938</v>
      </c>
      <c r="P490" s="983"/>
      <c r="Q490" s="912"/>
      <c r="R490" s="1009"/>
      <c r="S490" s="912"/>
      <c r="T490" s="983"/>
      <c r="U490" s="983">
        <f>+U475+U488</f>
        <v>11075</v>
      </c>
      <c r="V490" s="983">
        <f>+V475+V488</f>
        <v>-5771</v>
      </c>
      <c r="W490" s="983">
        <f>+W475+W488</f>
        <v>8934</v>
      </c>
      <c r="X490" s="983">
        <f>+X475+X488</f>
        <v>-4300</v>
      </c>
      <c r="Y490" s="983">
        <f>+Y475+Y488</f>
        <v>9938</v>
      </c>
    </row>
    <row r="491" spans="1:25" x14ac:dyDescent="0.25">
      <c r="A491" s="930"/>
      <c r="B491" s="931"/>
      <c r="C491" s="983"/>
      <c r="D491" s="983"/>
      <c r="E491" s="983"/>
      <c r="F491" s="983"/>
      <c r="G491" s="983"/>
      <c r="H491" s="983"/>
      <c r="I491" s="983"/>
      <c r="J491" s="983"/>
      <c r="K491" s="983"/>
      <c r="L491" s="983"/>
      <c r="M491" s="983"/>
      <c r="N491" s="983"/>
      <c r="O491" s="983"/>
      <c r="P491" s="983"/>
      <c r="Q491" s="912"/>
      <c r="R491" s="1009"/>
      <c r="S491" s="912"/>
      <c r="T491" s="983"/>
      <c r="U491" s="983"/>
      <c r="V491" s="983"/>
      <c r="W491" s="983"/>
      <c r="X491" s="983"/>
      <c r="Y491" s="983"/>
    </row>
    <row r="492" spans="1:25" x14ac:dyDescent="0.25">
      <c r="A492" s="930" t="s">
        <v>260</v>
      </c>
      <c r="B492" s="931"/>
      <c r="C492" s="983"/>
      <c r="D492" s="983"/>
      <c r="E492" s="983"/>
      <c r="F492" s="983"/>
      <c r="G492" s="983"/>
      <c r="H492" s="983"/>
      <c r="I492" s="983"/>
      <c r="J492" s="983"/>
      <c r="K492" s="983"/>
      <c r="L492" s="983"/>
      <c r="M492" s="983"/>
      <c r="N492" s="983"/>
      <c r="O492" s="983"/>
      <c r="P492" s="983"/>
      <c r="Q492" s="912"/>
      <c r="R492" s="1009"/>
      <c r="S492" s="912"/>
      <c r="T492" s="983"/>
      <c r="U492" s="983"/>
      <c r="V492" s="983"/>
      <c r="W492" s="983"/>
      <c r="X492" s="983"/>
      <c r="Y492" s="983"/>
    </row>
    <row r="493" spans="1:25" x14ac:dyDescent="0.25">
      <c r="A493" s="925" t="s">
        <v>275</v>
      </c>
      <c r="B493" s="931"/>
      <c r="C493" s="128">
        <v>0</v>
      </c>
      <c r="D493" s="128">
        <v>0</v>
      </c>
      <c r="E493" s="128">
        <v>0</v>
      </c>
      <c r="F493" s="128">
        <v>0</v>
      </c>
      <c r="G493" s="128">
        <v>0</v>
      </c>
      <c r="H493" s="128">
        <v>0</v>
      </c>
      <c r="I493" s="128">
        <v>0</v>
      </c>
      <c r="J493" s="128">
        <v>0</v>
      </c>
      <c r="K493" s="128">
        <v>0</v>
      </c>
      <c r="L493" s="128">
        <v>0</v>
      </c>
      <c r="M493" s="128">
        <v>0</v>
      </c>
      <c r="N493" s="128">
        <v>0</v>
      </c>
      <c r="O493" s="142">
        <f>SUM(C493:N493)</f>
        <v>0</v>
      </c>
      <c r="P493" s="142"/>
      <c r="Q493" s="912"/>
      <c r="R493" s="1009"/>
      <c r="S493" s="912"/>
      <c r="T493" s="142"/>
      <c r="U493" s="935">
        <f>C493+D493+E493</f>
        <v>0</v>
      </c>
      <c r="V493" s="935">
        <f>F493+G493+H493</f>
        <v>0</v>
      </c>
      <c r="W493" s="935">
        <f>I493+J493+K493</f>
        <v>0</v>
      </c>
      <c r="X493" s="935">
        <f>L493+M493+N493</f>
        <v>0</v>
      </c>
      <c r="Y493" s="937">
        <f>SUM(U493:X493)</f>
        <v>0</v>
      </c>
    </row>
    <row r="494" spans="1:25" x14ac:dyDescent="0.25">
      <c r="A494" s="925" t="s">
        <v>272</v>
      </c>
      <c r="B494" s="931"/>
      <c r="C494" s="260">
        <v>0</v>
      </c>
      <c r="D494" s="260">
        <v>0</v>
      </c>
      <c r="E494" s="260">
        <v>0</v>
      </c>
      <c r="F494" s="260">
        <v>0</v>
      </c>
      <c r="G494" s="260">
        <v>0</v>
      </c>
      <c r="H494" s="260">
        <v>0</v>
      </c>
      <c r="I494" s="260">
        <v>0</v>
      </c>
      <c r="J494" s="260">
        <v>0</v>
      </c>
      <c r="K494" s="260">
        <v>0</v>
      </c>
      <c r="L494" s="260">
        <v>0</v>
      </c>
      <c r="M494" s="260">
        <v>0</v>
      </c>
      <c r="N494" s="260">
        <v>0</v>
      </c>
      <c r="O494" s="1013">
        <f>SUM(C494:N494)</f>
        <v>0</v>
      </c>
      <c r="P494" s="1013"/>
      <c r="Q494" s="912"/>
      <c r="R494" s="1009"/>
      <c r="S494" s="912"/>
      <c r="T494" s="1013"/>
      <c r="U494" s="979">
        <f>C494+D494+E494</f>
        <v>0</v>
      </c>
      <c r="V494" s="979">
        <f>F494+G494+H494</f>
        <v>0</v>
      </c>
      <c r="W494" s="979">
        <f>I494+J494+K494</f>
        <v>0</v>
      </c>
      <c r="X494" s="979">
        <f>L494+M494+N494</f>
        <v>0</v>
      </c>
      <c r="Y494" s="920">
        <f>SUM(U494:X494)</f>
        <v>0</v>
      </c>
    </row>
    <row r="495" spans="1:25" x14ac:dyDescent="0.25">
      <c r="A495" s="925" t="s">
        <v>273</v>
      </c>
      <c r="B495" s="931"/>
      <c r="C495" s="920">
        <f>SUM(C493:C494)</f>
        <v>0</v>
      </c>
      <c r="D495" s="920">
        <f t="shared" ref="D495:O495" si="210">SUM(D493:D494)</f>
        <v>0</v>
      </c>
      <c r="E495" s="920">
        <f t="shared" si="210"/>
        <v>0</v>
      </c>
      <c r="F495" s="920">
        <f t="shared" si="210"/>
        <v>0</v>
      </c>
      <c r="G495" s="920">
        <f t="shared" si="210"/>
        <v>0</v>
      </c>
      <c r="H495" s="920">
        <f t="shared" si="210"/>
        <v>0</v>
      </c>
      <c r="I495" s="920">
        <f t="shared" si="210"/>
        <v>0</v>
      </c>
      <c r="J495" s="920">
        <f t="shared" si="210"/>
        <v>0</v>
      </c>
      <c r="K495" s="920">
        <f t="shared" si="210"/>
        <v>0</v>
      </c>
      <c r="L495" s="920">
        <f t="shared" si="210"/>
        <v>0</v>
      </c>
      <c r="M495" s="920">
        <f t="shared" si="210"/>
        <v>0</v>
      </c>
      <c r="N495" s="920">
        <f t="shared" si="210"/>
        <v>0</v>
      </c>
      <c r="O495" s="920">
        <f t="shared" si="210"/>
        <v>0</v>
      </c>
      <c r="P495" s="920"/>
      <c r="Q495" s="912"/>
      <c r="R495" s="1009"/>
      <c r="S495" s="912"/>
      <c r="T495" s="935"/>
      <c r="U495" s="920">
        <f>SUM(U493:U494)</f>
        <v>0</v>
      </c>
      <c r="V495" s="920">
        <f>SUM(V493:V494)</f>
        <v>0</v>
      </c>
      <c r="W495" s="920">
        <f>SUM(W493:W494)</f>
        <v>0</v>
      </c>
      <c r="X495" s="920">
        <f>SUM(X493:X494)</f>
        <v>0</v>
      </c>
      <c r="Y495" s="920">
        <f>SUM(Y493:Y494)</f>
        <v>0</v>
      </c>
    </row>
    <row r="496" spans="1:25" x14ac:dyDescent="0.25">
      <c r="A496" s="930"/>
      <c r="B496" s="931"/>
      <c r="C496" s="983"/>
      <c r="D496" s="983"/>
      <c r="E496" s="983"/>
      <c r="F496" s="983"/>
      <c r="G496" s="983"/>
      <c r="H496" s="983"/>
      <c r="I496" s="983"/>
      <c r="J496" s="983"/>
      <c r="K496" s="983"/>
      <c r="L496" s="983"/>
      <c r="M496" s="983"/>
      <c r="N496" s="983"/>
      <c r="O496" s="983"/>
      <c r="P496" s="983"/>
      <c r="Q496" s="912"/>
      <c r="R496" s="1009"/>
      <c r="S496" s="912"/>
      <c r="T496" s="983"/>
      <c r="U496" s="983"/>
      <c r="V496" s="983"/>
      <c r="W496" s="983"/>
      <c r="X496" s="983"/>
      <c r="Y496" s="983"/>
    </row>
    <row r="497" spans="1:25" x14ac:dyDescent="0.25">
      <c r="A497" s="930" t="s">
        <v>276</v>
      </c>
      <c r="B497" s="931"/>
      <c r="C497" s="983">
        <f>+C495</f>
        <v>0</v>
      </c>
      <c r="D497" s="983">
        <f t="shared" ref="D497:O497" si="211">+D495</f>
        <v>0</v>
      </c>
      <c r="E497" s="983">
        <f t="shared" si="211"/>
        <v>0</v>
      </c>
      <c r="F497" s="983">
        <f t="shared" si="211"/>
        <v>0</v>
      </c>
      <c r="G497" s="983">
        <f t="shared" si="211"/>
        <v>0</v>
      </c>
      <c r="H497" s="983">
        <f t="shared" si="211"/>
        <v>0</v>
      </c>
      <c r="I497" s="983">
        <f t="shared" si="211"/>
        <v>0</v>
      </c>
      <c r="J497" s="983">
        <f t="shared" si="211"/>
        <v>0</v>
      </c>
      <c r="K497" s="983">
        <f t="shared" si="211"/>
        <v>0</v>
      </c>
      <c r="L497" s="983">
        <f t="shared" si="211"/>
        <v>0</v>
      </c>
      <c r="M497" s="983">
        <f t="shared" si="211"/>
        <v>0</v>
      </c>
      <c r="N497" s="983">
        <f t="shared" si="211"/>
        <v>0</v>
      </c>
      <c r="O497" s="983">
        <f t="shared" si="211"/>
        <v>0</v>
      </c>
      <c r="P497" s="983"/>
      <c r="Q497" s="912"/>
      <c r="R497" s="1009"/>
      <c r="S497" s="912"/>
      <c r="T497" s="983"/>
      <c r="U497" s="983">
        <f>+U495</f>
        <v>0</v>
      </c>
      <c r="V497" s="983">
        <f>+V495</f>
        <v>0</v>
      </c>
      <c r="W497" s="983">
        <f>+W495</f>
        <v>0</v>
      </c>
      <c r="X497" s="983">
        <f>+X495</f>
        <v>0</v>
      </c>
      <c r="Y497" s="983">
        <f>+Y495</f>
        <v>0</v>
      </c>
    </row>
    <row r="498" spans="1:25" x14ac:dyDescent="0.25">
      <c r="A498" s="930"/>
      <c r="B498" s="931"/>
      <c r="C498" s="983"/>
      <c r="D498" s="983"/>
      <c r="E498" s="983"/>
      <c r="F498" s="983"/>
      <c r="G498" s="983"/>
      <c r="H498" s="983"/>
      <c r="I498" s="983"/>
      <c r="J498" s="983"/>
      <c r="K498" s="983"/>
      <c r="L498" s="983"/>
      <c r="M498" s="983"/>
      <c r="N498" s="983"/>
      <c r="O498" s="983"/>
      <c r="P498" s="983"/>
      <c r="Q498" s="912"/>
      <c r="R498" s="1009"/>
      <c r="S498" s="912"/>
      <c r="T498" s="983"/>
      <c r="U498" s="983"/>
      <c r="V498" s="983"/>
      <c r="W498" s="983"/>
      <c r="X498" s="983"/>
      <c r="Y498" s="983"/>
    </row>
    <row r="499" spans="1:25" x14ac:dyDescent="0.25">
      <c r="A499" s="930" t="s">
        <v>294</v>
      </c>
      <c r="B499" s="931"/>
      <c r="C499" s="983"/>
      <c r="D499" s="983"/>
      <c r="E499" s="983"/>
      <c r="F499" s="983"/>
      <c r="G499" s="983"/>
      <c r="H499" s="983"/>
      <c r="I499" s="983"/>
      <c r="J499" s="983"/>
      <c r="K499" s="983"/>
      <c r="L499" s="983"/>
      <c r="M499" s="983"/>
      <c r="N499" s="983"/>
      <c r="O499" s="983"/>
      <c r="P499" s="983"/>
      <c r="Q499" s="912"/>
      <c r="R499" s="1009"/>
      <c r="S499" s="912"/>
      <c r="T499" s="983"/>
      <c r="U499" s="983"/>
      <c r="V499" s="983"/>
      <c r="W499" s="983"/>
      <c r="X499" s="983"/>
      <c r="Y499" s="983"/>
    </row>
    <row r="500" spans="1:25" x14ac:dyDescent="0.25">
      <c r="A500" s="925" t="s">
        <v>277</v>
      </c>
      <c r="B500" s="931"/>
      <c r="C500" s="128">
        <v>550</v>
      </c>
      <c r="D500" s="128">
        <v>828</v>
      </c>
      <c r="E500" s="128">
        <v>0</v>
      </c>
      <c r="F500" s="128">
        <v>0</v>
      </c>
      <c r="G500" s="128">
        <v>0</v>
      </c>
      <c r="H500" s="128">
        <v>0</v>
      </c>
      <c r="I500" s="128">
        <v>0</v>
      </c>
      <c r="J500" s="128">
        <v>0</v>
      </c>
      <c r="K500" s="128">
        <v>0</v>
      </c>
      <c r="L500" s="128">
        <v>0</v>
      </c>
      <c r="M500" s="128">
        <v>0</v>
      </c>
      <c r="N500" s="128">
        <v>0</v>
      </c>
      <c r="O500" s="142">
        <f>SUM(C500:N500)</f>
        <v>1378</v>
      </c>
      <c r="P500" s="142"/>
      <c r="Q500" s="912"/>
      <c r="R500" s="1009"/>
      <c r="S500" s="912"/>
      <c r="T500" s="142"/>
      <c r="U500" s="935">
        <f>C500+D500+E500</f>
        <v>1378</v>
      </c>
      <c r="V500" s="935">
        <f>F500+G500+H500</f>
        <v>0</v>
      </c>
      <c r="W500" s="935">
        <f>I500+J500+K500</f>
        <v>0</v>
      </c>
      <c r="X500" s="935">
        <f>L500+M500+N500</f>
        <v>0</v>
      </c>
      <c r="Y500" s="937">
        <f>SUM(U500:X500)</f>
        <v>1378</v>
      </c>
    </row>
    <row r="501" spans="1:25" x14ac:dyDescent="0.25">
      <c r="A501" s="925" t="s">
        <v>272</v>
      </c>
      <c r="B501" s="931"/>
      <c r="C501" s="260">
        <v>0</v>
      </c>
      <c r="D501" s="260">
        <v>0</v>
      </c>
      <c r="E501" s="260">
        <v>0</v>
      </c>
      <c r="F501" s="260">
        <v>0</v>
      </c>
      <c r="G501" s="260">
        <v>0</v>
      </c>
      <c r="H501" s="260">
        <v>0</v>
      </c>
      <c r="I501" s="260">
        <v>0</v>
      </c>
      <c r="J501" s="260">
        <v>0</v>
      </c>
      <c r="K501" s="260">
        <v>0</v>
      </c>
      <c r="L501" s="260">
        <v>0</v>
      </c>
      <c r="M501" s="260">
        <v>0</v>
      </c>
      <c r="N501" s="260">
        <v>0</v>
      </c>
      <c r="O501" s="1013">
        <f>SUM(C501:N501)</f>
        <v>0</v>
      </c>
      <c r="P501" s="1013"/>
      <c r="Q501" s="912"/>
      <c r="R501" s="1009"/>
      <c r="S501" s="912"/>
      <c r="T501" s="1013"/>
      <c r="U501" s="979">
        <f>C501+D501+E501</f>
        <v>0</v>
      </c>
      <c r="V501" s="979">
        <f>F501+G501+H501</f>
        <v>0</v>
      </c>
      <c r="W501" s="979">
        <f>I501+J501+K501</f>
        <v>0</v>
      </c>
      <c r="X501" s="979">
        <f>L501+M501+N501</f>
        <v>0</v>
      </c>
      <c r="Y501" s="920">
        <f>SUM(U501:X501)</f>
        <v>0</v>
      </c>
    </row>
    <row r="502" spans="1:25" x14ac:dyDescent="0.25">
      <c r="A502" s="925" t="s">
        <v>267</v>
      </c>
      <c r="B502" s="931"/>
      <c r="C502" s="920">
        <f>SUM(C500:C501)</f>
        <v>550</v>
      </c>
      <c r="D502" s="920">
        <f t="shared" ref="D502:O502" si="212">SUM(D500:D501)</f>
        <v>828</v>
      </c>
      <c r="E502" s="920">
        <f t="shared" si="212"/>
        <v>0</v>
      </c>
      <c r="F502" s="920">
        <f t="shared" si="212"/>
        <v>0</v>
      </c>
      <c r="G502" s="920">
        <f t="shared" si="212"/>
        <v>0</v>
      </c>
      <c r="H502" s="920">
        <f t="shared" si="212"/>
        <v>0</v>
      </c>
      <c r="I502" s="920">
        <f t="shared" si="212"/>
        <v>0</v>
      </c>
      <c r="J502" s="920">
        <f t="shared" si="212"/>
        <v>0</v>
      </c>
      <c r="K502" s="920">
        <f t="shared" si="212"/>
        <v>0</v>
      </c>
      <c r="L502" s="920">
        <f t="shared" si="212"/>
        <v>0</v>
      </c>
      <c r="M502" s="920">
        <f t="shared" si="212"/>
        <v>0</v>
      </c>
      <c r="N502" s="920">
        <f t="shared" si="212"/>
        <v>0</v>
      </c>
      <c r="O502" s="920">
        <f t="shared" si="212"/>
        <v>1378</v>
      </c>
      <c r="P502" s="920"/>
      <c r="Q502" s="912"/>
      <c r="R502" s="1009"/>
      <c r="S502" s="912"/>
      <c r="T502" s="935"/>
      <c r="U502" s="920">
        <f>SUM(U500:U501)</f>
        <v>1378</v>
      </c>
      <c r="V502" s="920">
        <f>SUM(V500:V501)</f>
        <v>0</v>
      </c>
      <c r="W502" s="920">
        <f>SUM(W500:W501)</f>
        <v>0</v>
      </c>
      <c r="X502" s="920">
        <f>SUM(X500:X501)</f>
        <v>0</v>
      </c>
      <c r="Y502" s="920">
        <f>SUM(Y500:Y501)</f>
        <v>1378</v>
      </c>
    </row>
    <row r="503" spans="1:25" x14ac:dyDescent="0.25">
      <c r="A503" s="930"/>
      <c r="B503" s="931"/>
      <c r="C503" s="983"/>
      <c r="D503" s="983"/>
      <c r="E503" s="983"/>
      <c r="F503" s="983"/>
      <c r="G503" s="983"/>
      <c r="H503" s="983"/>
      <c r="I503" s="983"/>
      <c r="J503" s="983"/>
      <c r="K503" s="983"/>
      <c r="L503" s="983"/>
      <c r="M503" s="983"/>
      <c r="N503" s="983"/>
      <c r="O503" s="983"/>
      <c r="P503" s="983"/>
      <c r="Q503" s="912"/>
      <c r="R503" s="1009"/>
      <c r="S503" s="912"/>
      <c r="T503" s="983"/>
      <c r="U503" s="983"/>
      <c r="V503" s="983"/>
      <c r="W503" s="983"/>
      <c r="X503" s="983"/>
      <c r="Y503" s="983"/>
    </row>
    <row r="504" spans="1:25" x14ac:dyDescent="0.25">
      <c r="A504" s="925" t="s">
        <v>275</v>
      </c>
      <c r="B504" s="931"/>
      <c r="C504" s="128">
        <f>-400-400-200</f>
        <v>-1000</v>
      </c>
      <c r="D504" s="128">
        <f>-300-200</f>
        <v>-500</v>
      </c>
      <c r="E504" s="128">
        <f>-800-100-200</f>
        <v>-1100</v>
      </c>
      <c r="F504" s="128">
        <f>-900-100-200</f>
        <v>-1200</v>
      </c>
      <c r="G504" s="128">
        <f>-2500-100-200</f>
        <v>-2800</v>
      </c>
      <c r="H504" s="128">
        <f>-1600-0-200</f>
        <v>-1800</v>
      </c>
      <c r="I504" s="128">
        <f>-2300-2600-200</f>
        <v>-5100</v>
      </c>
      <c r="J504" s="128">
        <f>-2200-10800-200</f>
        <v>-13200</v>
      </c>
      <c r="K504" s="128">
        <f>-2500-10000-200</f>
        <v>-12700</v>
      </c>
      <c r="L504" s="128">
        <f>-2400-3300-200</f>
        <v>-5900</v>
      </c>
      <c r="M504" s="128">
        <f>-2300-9300-200</f>
        <v>-11800</v>
      </c>
      <c r="N504" s="128">
        <f>-1400-4400-200</f>
        <v>-6000</v>
      </c>
      <c r="O504" s="142">
        <f>SUM(C504:N504)</f>
        <v>-63100</v>
      </c>
      <c r="P504" s="142"/>
      <c r="Q504" s="912"/>
      <c r="R504" s="1009"/>
      <c r="S504" s="912"/>
      <c r="T504" s="142"/>
      <c r="U504" s="935">
        <f>C504+D504+E504</f>
        <v>-2600</v>
      </c>
      <c r="V504" s="935">
        <f>F504+G504+H504</f>
        <v>-5800</v>
      </c>
      <c r="W504" s="935">
        <f>I504+J504+K504</f>
        <v>-31000</v>
      </c>
      <c r="X504" s="935">
        <f>L504+M504+N504</f>
        <v>-23700</v>
      </c>
      <c r="Y504" s="937">
        <f>SUM(U504:X504)</f>
        <v>-63100</v>
      </c>
    </row>
    <row r="505" spans="1:25" x14ac:dyDescent="0.25">
      <c r="A505" s="925" t="s">
        <v>272</v>
      </c>
      <c r="B505" s="931"/>
      <c r="C505" s="260">
        <v>0</v>
      </c>
      <c r="D505" s="260">
        <v>0</v>
      </c>
      <c r="E505" s="260">
        <v>0</v>
      </c>
      <c r="F505" s="260">
        <v>0</v>
      </c>
      <c r="G505" s="260">
        <v>0</v>
      </c>
      <c r="H505" s="260">
        <v>0</v>
      </c>
      <c r="I505" s="260">
        <v>0</v>
      </c>
      <c r="J505" s="260">
        <v>0</v>
      </c>
      <c r="K505" s="260">
        <v>0</v>
      </c>
      <c r="L505" s="260">
        <v>0</v>
      </c>
      <c r="M505" s="260">
        <v>0</v>
      </c>
      <c r="N505" s="260">
        <v>0</v>
      </c>
      <c r="O505" s="1013">
        <f>SUM(C505:N505)</f>
        <v>0</v>
      </c>
      <c r="P505" s="1013"/>
      <c r="Q505" s="912"/>
      <c r="R505" s="1009"/>
      <c r="S505" s="912"/>
      <c r="T505" s="1013"/>
      <c r="U505" s="979">
        <f>C505+D505+E505</f>
        <v>0</v>
      </c>
      <c r="V505" s="979">
        <f>F505+G505+H505</f>
        <v>0</v>
      </c>
      <c r="W505" s="979">
        <f>I505+J505+K505</f>
        <v>0</v>
      </c>
      <c r="X505" s="979">
        <f>L505+M505+N505</f>
        <v>0</v>
      </c>
      <c r="Y505" s="920">
        <f>SUM(U505:X505)</f>
        <v>0</v>
      </c>
    </row>
    <row r="506" spans="1:25" x14ac:dyDescent="0.25">
      <c r="A506" s="925" t="s">
        <v>273</v>
      </c>
      <c r="B506" s="931"/>
      <c r="C506" s="920">
        <f>SUM(C504:C505)</f>
        <v>-1000</v>
      </c>
      <c r="D506" s="920">
        <f t="shared" ref="D506:O506" si="213">SUM(D504:D505)</f>
        <v>-500</v>
      </c>
      <c r="E506" s="920">
        <f t="shared" si="213"/>
        <v>-1100</v>
      </c>
      <c r="F506" s="920">
        <f t="shared" si="213"/>
        <v>-1200</v>
      </c>
      <c r="G506" s="920">
        <f t="shared" si="213"/>
        <v>-2800</v>
      </c>
      <c r="H506" s="920">
        <f t="shared" si="213"/>
        <v>-1800</v>
      </c>
      <c r="I506" s="920">
        <f t="shared" si="213"/>
        <v>-5100</v>
      </c>
      <c r="J506" s="920">
        <f t="shared" si="213"/>
        <v>-13200</v>
      </c>
      <c r="K506" s="920">
        <f t="shared" si="213"/>
        <v>-12700</v>
      </c>
      <c r="L506" s="920">
        <f t="shared" si="213"/>
        <v>-5900</v>
      </c>
      <c r="M506" s="920">
        <f t="shared" si="213"/>
        <v>-11800</v>
      </c>
      <c r="N506" s="920">
        <f t="shared" si="213"/>
        <v>-6000</v>
      </c>
      <c r="O506" s="920">
        <f t="shared" si="213"/>
        <v>-63100</v>
      </c>
      <c r="P506" s="920"/>
      <c r="Q506" s="912"/>
      <c r="R506" s="1009"/>
      <c r="S506" s="912"/>
      <c r="T506" s="935"/>
      <c r="U506" s="920">
        <f>SUM(U504:U505)</f>
        <v>-2600</v>
      </c>
      <c r="V506" s="920">
        <f>SUM(V504:V505)</f>
        <v>-5800</v>
      </c>
      <c r="W506" s="920">
        <f>SUM(W504:W505)</f>
        <v>-31000</v>
      </c>
      <c r="X506" s="920">
        <f>SUM(X504:X505)</f>
        <v>-23700</v>
      </c>
      <c r="Y506" s="920">
        <f>SUM(Y504:Y505)</f>
        <v>-63100</v>
      </c>
    </row>
    <row r="507" spans="1:25" x14ac:dyDescent="0.25">
      <c r="A507" s="930"/>
      <c r="B507" s="931"/>
      <c r="C507" s="983"/>
      <c r="D507" s="983"/>
      <c r="E507" s="983"/>
      <c r="F507" s="983"/>
      <c r="G507" s="983"/>
      <c r="H507" s="983"/>
      <c r="I507" s="983"/>
      <c r="J507" s="983"/>
      <c r="K507" s="983"/>
      <c r="L507" s="983"/>
      <c r="M507" s="983"/>
      <c r="N507" s="983"/>
      <c r="O507" s="983"/>
      <c r="P507" s="983"/>
      <c r="Q507" s="912"/>
      <c r="R507" s="1009"/>
      <c r="S507" s="912"/>
      <c r="T507" s="983"/>
      <c r="U507" s="983"/>
      <c r="V507" s="983"/>
      <c r="W507" s="983"/>
      <c r="X507" s="983"/>
      <c r="Y507" s="983"/>
    </row>
    <row r="508" spans="1:25" x14ac:dyDescent="0.25">
      <c r="A508" s="930" t="s">
        <v>278</v>
      </c>
      <c r="B508" s="931"/>
      <c r="C508" s="983">
        <f>+C502+C506</f>
        <v>-450</v>
      </c>
      <c r="D508" s="983">
        <f t="shared" ref="D508:O508" si="214">+D502+D506</f>
        <v>328</v>
      </c>
      <c r="E508" s="983">
        <f t="shared" si="214"/>
        <v>-1100</v>
      </c>
      <c r="F508" s="983">
        <f t="shared" si="214"/>
        <v>-1200</v>
      </c>
      <c r="G508" s="983">
        <f t="shared" si="214"/>
        <v>-2800</v>
      </c>
      <c r="H508" s="983">
        <f t="shared" si="214"/>
        <v>-1800</v>
      </c>
      <c r="I508" s="983">
        <f t="shared" si="214"/>
        <v>-5100</v>
      </c>
      <c r="J508" s="983">
        <f t="shared" si="214"/>
        <v>-13200</v>
      </c>
      <c r="K508" s="983">
        <f t="shared" si="214"/>
        <v>-12700</v>
      </c>
      <c r="L508" s="983">
        <f t="shared" si="214"/>
        <v>-5900</v>
      </c>
      <c r="M508" s="983">
        <f t="shared" si="214"/>
        <v>-11800</v>
      </c>
      <c r="N508" s="983">
        <f t="shared" si="214"/>
        <v>-6000</v>
      </c>
      <c r="O508" s="983">
        <f t="shared" si="214"/>
        <v>-61722</v>
      </c>
      <c r="P508" s="983"/>
      <c r="Q508" s="912"/>
      <c r="R508" s="1009"/>
      <c r="S508" s="912"/>
      <c r="T508" s="983"/>
      <c r="U508" s="983">
        <f>+U502+U506</f>
        <v>-1222</v>
      </c>
      <c r="V508" s="983">
        <f>+V502+V506</f>
        <v>-5800</v>
      </c>
      <c r="W508" s="983">
        <f>+W502+W506</f>
        <v>-31000</v>
      </c>
      <c r="X508" s="983">
        <f>+X502+X506</f>
        <v>-23700</v>
      </c>
      <c r="Y508" s="983">
        <f>+Y502+Y506</f>
        <v>-61722</v>
      </c>
    </row>
    <row r="509" spans="1:25" x14ac:dyDescent="0.25">
      <c r="A509" s="930"/>
      <c r="B509" s="931"/>
      <c r="C509" s="983"/>
      <c r="D509" s="983"/>
      <c r="E509" s="983"/>
      <c r="F509" s="983"/>
      <c r="G509" s="983"/>
      <c r="H509" s="983"/>
      <c r="I509" s="983"/>
      <c r="J509" s="983"/>
      <c r="K509" s="983"/>
      <c r="L509" s="983"/>
      <c r="M509" s="983"/>
      <c r="N509" s="983"/>
      <c r="O509" s="983"/>
      <c r="P509" s="983"/>
      <c r="Q509" s="912"/>
      <c r="R509" s="1009"/>
      <c r="S509" s="912"/>
      <c r="T509" s="983"/>
      <c r="U509" s="983"/>
      <c r="V509" s="983"/>
      <c r="W509" s="983"/>
      <c r="X509" s="983"/>
      <c r="Y509" s="983"/>
    </row>
    <row r="510" spans="1:25" x14ac:dyDescent="0.25">
      <c r="A510" s="930" t="s">
        <v>279</v>
      </c>
      <c r="B510" s="931"/>
      <c r="C510" s="983"/>
      <c r="D510" s="983"/>
      <c r="E510" s="983"/>
      <c r="F510" s="983"/>
      <c r="G510" s="983"/>
      <c r="H510" s="983"/>
      <c r="I510" s="983"/>
      <c r="J510" s="983"/>
      <c r="K510" s="983"/>
      <c r="L510" s="983"/>
      <c r="M510" s="983"/>
      <c r="N510" s="983"/>
      <c r="O510" s="983"/>
      <c r="P510" s="983"/>
      <c r="Q510" s="912"/>
      <c r="R510" s="1009"/>
      <c r="S510" s="912"/>
      <c r="T510" s="983"/>
      <c r="U510" s="983"/>
      <c r="V510" s="983"/>
      <c r="W510" s="983"/>
      <c r="X510" s="983"/>
      <c r="Y510" s="983"/>
    </row>
    <row r="511" spans="1:25" x14ac:dyDescent="0.25">
      <c r="A511" s="925" t="s">
        <v>275</v>
      </c>
      <c r="B511" s="93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2">
        <f>SUM(C511:N511)</f>
        <v>0</v>
      </c>
      <c r="P511" s="142"/>
      <c r="Q511" s="912"/>
      <c r="R511" s="1009"/>
      <c r="S511" s="912"/>
      <c r="T511" s="142"/>
      <c r="U511" s="935">
        <f>C511+D511+E511</f>
        <v>0</v>
      </c>
      <c r="V511" s="935">
        <f>F511+G511+H511</f>
        <v>0</v>
      </c>
      <c r="W511" s="935">
        <f>I511+J511+K511</f>
        <v>0</v>
      </c>
      <c r="X511" s="935">
        <f>L511+M511+N511</f>
        <v>0</v>
      </c>
      <c r="Y511" s="937">
        <f>SUM(U511:X511)</f>
        <v>0</v>
      </c>
    </row>
    <row r="512" spans="1:25" x14ac:dyDescent="0.25">
      <c r="A512" s="925" t="s">
        <v>272</v>
      </c>
      <c r="B512" s="931"/>
      <c r="C512" s="260">
        <v>0</v>
      </c>
      <c r="D512" s="260">
        <v>0</v>
      </c>
      <c r="E512" s="260">
        <v>0</v>
      </c>
      <c r="F512" s="260">
        <v>0</v>
      </c>
      <c r="G512" s="260">
        <v>0</v>
      </c>
      <c r="H512" s="260">
        <v>0</v>
      </c>
      <c r="I512" s="260">
        <v>0</v>
      </c>
      <c r="J512" s="260">
        <v>0</v>
      </c>
      <c r="K512" s="260">
        <v>0</v>
      </c>
      <c r="L512" s="260">
        <v>0</v>
      </c>
      <c r="M512" s="260">
        <v>0</v>
      </c>
      <c r="N512" s="260">
        <v>0</v>
      </c>
      <c r="O512" s="1013">
        <f>SUM(C512:N512)</f>
        <v>0</v>
      </c>
      <c r="P512" s="1013"/>
      <c r="Q512" s="912"/>
      <c r="R512" s="1009"/>
      <c r="S512" s="912"/>
      <c r="T512" s="1013"/>
      <c r="U512" s="979">
        <f>C512+D512+E512</f>
        <v>0</v>
      </c>
      <c r="V512" s="979">
        <f>F512+G512+H512</f>
        <v>0</v>
      </c>
      <c r="W512" s="979">
        <f>I512+J512+K512</f>
        <v>0</v>
      </c>
      <c r="X512" s="979">
        <f>L512+M512+N512</f>
        <v>0</v>
      </c>
      <c r="Y512" s="920">
        <f>SUM(U512:X512)</f>
        <v>0</v>
      </c>
    </row>
    <row r="513" spans="1:25" x14ac:dyDescent="0.25">
      <c r="A513" s="925" t="s">
        <v>273</v>
      </c>
      <c r="B513" s="931"/>
      <c r="C513" s="920">
        <f>SUM(C511:C512)</f>
        <v>0</v>
      </c>
      <c r="D513" s="920">
        <f t="shared" ref="D513:O513" si="215">SUM(D511:D512)</f>
        <v>0</v>
      </c>
      <c r="E513" s="920">
        <f t="shared" si="215"/>
        <v>0</v>
      </c>
      <c r="F513" s="920">
        <f t="shared" si="215"/>
        <v>0</v>
      </c>
      <c r="G513" s="920">
        <f t="shared" si="215"/>
        <v>0</v>
      </c>
      <c r="H513" s="920">
        <f t="shared" si="215"/>
        <v>0</v>
      </c>
      <c r="I513" s="920">
        <f t="shared" si="215"/>
        <v>0</v>
      </c>
      <c r="J513" s="920">
        <f t="shared" si="215"/>
        <v>0</v>
      </c>
      <c r="K513" s="920">
        <f t="shared" si="215"/>
        <v>0</v>
      </c>
      <c r="L513" s="920">
        <f t="shared" si="215"/>
        <v>0</v>
      </c>
      <c r="M513" s="920">
        <f t="shared" si="215"/>
        <v>0</v>
      </c>
      <c r="N513" s="920">
        <f t="shared" si="215"/>
        <v>0</v>
      </c>
      <c r="O513" s="920">
        <f t="shared" si="215"/>
        <v>0</v>
      </c>
      <c r="P513" s="920"/>
      <c r="Q513" s="912"/>
      <c r="R513" s="1009"/>
      <c r="S513" s="912"/>
      <c r="T513" s="935"/>
      <c r="U513" s="920">
        <f>SUM(U511:U512)</f>
        <v>0</v>
      </c>
      <c r="V513" s="920">
        <f>SUM(V511:V512)</f>
        <v>0</v>
      </c>
      <c r="W513" s="920">
        <f>SUM(W511:W512)</f>
        <v>0</v>
      </c>
      <c r="X513" s="920">
        <f>SUM(X511:X512)</f>
        <v>0</v>
      </c>
      <c r="Y513" s="920">
        <f>SUM(Y511:Y512)</f>
        <v>0</v>
      </c>
    </row>
    <row r="514" spans="1:25" x14ac:dyDescent="0.25">
      <c r="A514" s="930"/>
      <c r="B514" s="931"/>
      <c r="C514" s="983"/>
      <c r="D514" s="983"/>
      <c r="E514" s="983"/>
      <c r="F514" s="983"/>
      <c r="G514" s="983"/>
      <c r="H514" s="983"/>
      <c r="I514" s="983"/>
      <c r="J514" s="983"/>
      <c r="K514" s="983"/>
      <c r="L514" s="983"/>
      <c r="M514" s="983"/>
      <c r="N514" s="983"/>
      <c r="O514" s="983"/>
      <c r="P514" s="983"/>
      <c r="Q514" s="912"/>
      <c r="R514" s="1009"/>
      <c r="S514" s="912"/>
      <c r="T514" s="983"/>
      <c r="U514" s="983"/>
      <c r="V514" s="983"/>
      <c r="W514" s="983"/>
      <c r="X514" s="983"/>
      <c r="Y514" s="983"/>
    </row>
    <row r="515" spans="1:25" x14ac:dyDescent="0.25">
      <c r="A515" s="930" t="s">
        <v>280</v>
      </c>
      <c r="B515" s="931"/>
      <c r="C515" s="983">
        <f>+C513</f>
        <v>0</v>
      </c>
      <c r="D515" s="983">
        <f t="shared" ref="D515:O515" si="216">+D513</f>
        <v>0</v>
      </c>
      <c r="E515" s="983">
        <f t="shared" si="216"/>
        <v>0</v>
      </c>
      <c r="F515" s="983">
        <f t="shared" si="216"/>
        <v>0</v>
      </c>
      <c r="G515" s="983">
        <f t="shared" si="216"/>
        <v>0</v>
      </c>
      <c r="H515" s="983">
        <f t="shared" si="216"/>
        <v>0</v>
      </c>
      <c r="I515" s="983">
        <f t="shared" si="216"/>
        <v>0</v>
      </c>
      <c r="J515" s="983">
        <f t="shared" si="216"/>
        <v>0</v>
      </c>
      <c r="K515" s="983">
        <f t="shared" si="216"/>
        <v>0</v>
      </c>
      <c r="L515" s="983">
        <f t="shared" si="216"/>
        <v>0</v>
      </c>
      <c r="M515" s="983">
        <f t="shared" si="216"/>
        <v>0</v>
      </c>
      <c r="N515" s="983">
        <f t="shared" si="216"/>
        <v>0</v>
      </c>
      <c r="O515" s="983">
        <f t="shared" si="216"/>
        <v>0</v>
      </c>
      <c r="P515" s="983"/>
      <c r="Q515" s="912"/>
      <c r="R515" s="1009"/>
      <c r="S515" s="912"/>
      <c r="T515" s="983"/>
      <c r="U515" s="983">
        <f>+U513</f>
        <v>0</v>
      </c>
      <c r="V515" s="983">
        <f>+V513</f>
        <v>0</v>
      </c>
      <c r="W515" s="983">
        <f>+W513</f>
        <v>0</v>
      </c>
      <c r="X515" s="983">
        <f>+X513</f>
        <v>0</v>
      </c>
      <c r="Y515" s="983">
        <f>+Y513</f>
        <v>0</v>
      </c>
    </row>
    <row r="516" spans="1:25" x14ac:dyDescent="0.25">
      <c r="A516" s="930"/>
      <c r="B516" s="931"/>
      <c r="C516" s="983"/>
      <c r="D516" s="983"/>
      <c r="E516" s="983"/>
      <c r="F516" s="983"/>
      <c r="G516" s="983"/>
      <c r="H516" s="983"/>
      <c r="I516" s="983"/>
      <c r="J516" s="983"/>
      <c r="K516" s="983"/>
      <c r="L516" s="983"/>
      <c r="M516" s="983"/>
      <c r="N516" s="983"/>
      <c r="O516" s="983"/>
      <c r="P516" s="983"/>
      <c r="Q516" s="912"/>
      <c r="R516" s="1009"/>
      <c r="S516" s="912"/>
      <c r="T516" s="983"/>
      <c r="U516" s="983"/>
      <c r="V516" s="983"/>
      <c r="W516" s="983"/>
      <c r="X516" s="983"/>
      <c r="Y516" s="983"/>
    </row>
    <row r="517" spans="1:25" x14ac:dyDescent="0.25">
      <c r="A517" s="930" t="s">
        <v>301</v>
      </c>
      <c r="B517" s="931"/>
      <c r="C517" s="983"/>
      <c r="D517" s="983"/>
      <c r="E517" s="983"/>
      <c r="F517" s="983"/>
      <c r="G517" s="983"/>
      <c r="H517" s="983"/>
      <c r="I517" s="983"/>
      <c r="J517" s="983"/>
      <c r="K517" s="983"/>
      <c r="L517" s="983"/>
      <c r="M517" s="983"/>
      <c r="N517" s="983"/>
      <c r="O517" s="983"/>
      <c r="P517" s="983"/>
      <c r="Q517" s="912"/>
      <c r="R517" s="1009"/>
      <c r="S517" s="912"/>
      <c r="T517" s="983"/>
      <c r="U517" s="983"/>
      <c r="V517" s="983"/>
      <c r="W517" s="983"/>
      <c r="X517" s="983"/>
      <c r="Y517" s="983"/>
    </row>
    <row r="518" spans="1:25" x14ac:dyDescent="0.25">
      <c r="A518" s="925" t="s">
        <v>275</v>
      </c>
      <c r="B518" s="93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2">
        <f>SUM(C518:N518)</f>
        <v>0</v>
      </c>
      <c r="P518" s="142"/>
      <c r="Q518" s="912"/>
      <c r="R518" s="1009"/>
      <c r="S518" s="912"/>
      <c r="T518" s="142"/>
      <c r="U518" s="935">
        <f>C518+D518+E518</f>
        <v>0</v>
      </c>
      <c r="V518" s="935">
        <f>F518+G518+H518</f>
        <v>0</v>
      </c>
      <c r="W518" s="935">
        <f>I518+J518+K518</f>
        <v>0</v>
      </c>
      <c r="X518" s="935">
        <f>L518+M518+N518</f>
        <v>0</v>
      </c>
      <c r="Y518" s="937">
        <f>SUM(U518:X518)</f>
        <v>0</v>
      </c>
    </row>
    <row r="519" spans="1:25" x14ac:dyDescent="0.25">
      <c r="A519" s="925" t="s">
        <v>272</v>
      </c>
      <c r="B519" s="931"/>
      <c r="C519" s="260">
        <v>0</v>
      </c>
      <c r="D519" s="260">
        <v>0</v>
      </c>
      <c r="E519" s="260">
        <v>0</v>
      </c>
      <c r="F519" s="260">
        <v>0</v>
      </c>
      <c r="G519" s="260">
        <v>0</v>
      </c>
      <c r="H519" s="260">
        <v>0</v>
      </c>
      <c r="I519" s="260">
        <v>0</v>
      </c>
      <c r="J519" s="260">
        <v>0</v>
      </c>
      <c r="K519" s="260">
        <v>0</v>
      </c>
      <c r="L519" s="260">
        <v>0</v>
      </c>
      <c r="M519" s="260">
        <v>0</v>
      </c>
      <c r="N519" s="260">
        <v>0</v>
      </c>
      <c r="O519" s="1013">
        <f>SUM(C519:N519)</f>
        <v>0</v>
      </c>
      <c r="P519" s="1013"/>
      <c r="Q519" s="912"/>
      <c r="R519" s="1009"/>
      <c r="S519" s="912"/>
      <c r="T519" s="1013"/>
      <c r="U519" s="979">
        <f>C519+D519+E519</f>
        <v>0</v>
      </c>
      <c r="V519" s="979">
        <f>F519+G519+H519</f>
        <v>0</v>
      </c>
      <c r="W519" s="979">
        <f>I519+J519+K519</f>
        <v>0</v>
      </c>
      <c r="X519" s="979">
        <f>L519+M519+N519</f>
        <v>0</v>
      </c>
      <c r="Y519" s="920">
        <f>SUM(U519:X519)</f>
        <v>0</v>
      </c>
    </row>
    <row r="520" spans="1:25" x14ac:dyDescent="0.25">
      <c r="A520" s="925" t="s">
        <v>273</v>
      </c>
      <c r="B520" s="931"/>
      <c r="C520" s="920">
        <f>SUM(C518:C519)</f>
        <v>0</v>
      </c>
      <c r="D520" s="920">
        <f t="shared" ref="D520:O520" si="217">SUM(D518:D519)</f>
        <v>0</v>
      </c>
      <c r="E520" s="920">
        <f t="shared" si="217"/>
        <v>0</v>
      </c>
      <c r="F520" s="920">
        <f t="shared" si="217"/>
        <v>0</v>
      </c>
      <c r="G520" s="920">
        <f t="shared" si="217"/>
        <v>0</v>
      </c>
      <c r="H520" s="920">
        <f t="shared" si="217"/>
        <v>0</v>
      </c>
      <c r="I520" s="920">
        <f t="shared" si="217"/>
        <v>0</v>
      </c>
      <c r="J520" s="920">
        <f t="shared" si="217"/>
        <v>0</v>
      </c>
      <c r="K520" s="920">
        <f t="shared" si="217"/>
        <v>0</v>
      </c>
      <c r="L520" s="920">
        <f t="shared" si="217"/>
        <v>0</v>
      </c>
      <c r="M520" s="920">
        <f t="shared" si="217"/>
        <v>0</v>
      </c>
      <c r="N520" s="920">
        <f t="shared" si="217"/>
        <v>0</v>
      </c>
      <c r="O520" s="920">
        <f t="shared" si="217"/>
        <v>0</v>
      </c>
      <c r="P520" s="920"/>
      <c r="Q520" s="912"/>
      <c r="R520" s="1009"/>
      <c r="S520" s="912"/>
      <c r="T520" s="935"/>
      <c r="U520" s="920">
        <f>SUM(U518:U519)</f>
        <v>0</v>
      </c>
      <c r="V520" s="920">
        <f>SUM(V518:V519)</f>
        <v>0</v>
      </c>
      <c r="W520" s="920">
        <f>SUM(W518:W519)</f>
        <v>0</v>
      </c>
      <c r="X520" s="920">
        <f>SUM(X518:X519)</f>
        <v>0</v>
      </c>
      <c r="Y520" s="920">
        <f>SUM(Y518:Y519)</f>
        <v>0</v>
      </c>
    </row>
    <row r="521" spans="1:25" x14ac:dyDescent="0.25">
      <c r="A521" s="930"/>
      <c r="B521" s="931"/>
      <c r="C521" s="983"/>
      <c r="D521" s="983"/>
      <c r="E521" s="983"/>
      <c r="F521" s="983"/>
      <c r="G521" s="983"/>
      <c r="H521" s="983"/>
      <c r="I521" s="983"/>
      <c r="J521" s="983"/>
      <c r="K521" s="983"/>
      <c r="L521" s="983"/>
      <c r="M521" s="983"/>
      <c r="N521" s="983"/>
      <c r="O521" s="983"/>
      <c r="P521" s="983"/>
      <c r="Q521" s="912"/>
      <c r="R521" s="1009"/>
      <c r="S521" s="912"/>
      <c r="T521" s="983"/>
      <c r="U521" s="983"/>
      <c r="V521" s="983"/>
      <c r="W521" s="983"/>
      <c r="X521" s="983"/>
      <c r="Y521" s="983"/>
    </row>
    <row r="522" spans="1:25" x14ac:dyDescent="0.25">
      <c r="A522" s="930" t="s">
        <v>281</v>
      </c>
      <c r="B522" s="931"/>
      <c r="C522" s="983">
        <f>+C520</f>
        <v>0</v>
      </c>
      <c r="D522" s="983">
        <f t="shared" ref="D522:O522" si="218">+D520</f>
        <v>0</v>
      </c>
      <c r="E522" s="983">
        <f t="shared" si="218"/>
        <v>0</v>
      </c>
      <c r="F522" s="983">
        <f t="shared" si="218"/>
        <v>0</v>
      </c>
      <c r="G522" s="983">
        <f t="shared" si="218"/>
        <v>0</v>
      </c>
      <c r="H522" s="983">
        <f t="shared" si="218"/>
        <v>0</v>
      </c>
      <c r="I522" s="983">
        <f t="shared" si="218"/>
        <v>0</v>
      </c>
      <c r="J522" s="983">
        <f t="shared" si="218"/>
        <v>0</v>
      </c>
      <c r="K522" s="983">
        <f t="shared" si="218"/>
        <v>0</v>
      </c>
      <c r="L522" s="983">
        <f t="shared" si="218"/>
        <v>0</v>
      </c>
      <c r="M522" s="983">
        <f t="shared" si="218"/>
        <v>0</v>
      </c>
      <c r="N522" s="983">
        <f t="shared" si="218"/>
        <v>0</v>
      </c>
      <c r="O522" s="983">
        <f t="shared" si="218"/>
        <v>0</v>
      </c>
      <c r="P522" s="983"/>
      <c r="Q522" s="912"/>
      <c r="R522" s="1009"/>
      <c r="S522" s="912"/>
      <c r="T522" s="983"/>
      <c r="U522" s="983">
        <f>+U520</f>
        <v>0</v>
      </c>
      <c r="V522" s="983">
        <f>+V520</f>
        <v>0</v>
      </c>
      <c r="W522" s="983">
        <f>+W520</f>
        <v>0</v>
      </c>
      <c r="X522" s="983">
        <f>+X520</f>
        <v>0</v>
      </c>
      <c r="Y522" s="983">
        <f>+Y520</f>
        <v>0</v>
      </c>
    </row>
    <row r="523" spans="1:25" x14ac:dyDescent="0.25">
      <c r="A523" s="930"/>
      <c r="B523" s="931"/>
      <c r="C523" s="983"/>
      <c r="D523" s="983"/>
      <c r="E523" s="983"/>
      <c r="F523" s="983"/>
      <c r="G523" s="983"/>
      <c r="H523" s="983"/>
      <c r="I523" s="983"/>
      <c r="J523" s="983"/>
      <c r="K523" s="983"/>
      <c r="L523" s="983"/>
      <c r="M523" s="983"/>
      <c r="N523" s="983"/>
      <c r="O523" s="983"/>
      <c r="P523" s="983"/>
      <c r="Q523" s="912"/>
      <c r="R523" s="1009"/>
      <c r="S523" s="912"/>
      <c r="T523" s="983"/>
      <c r="U523" s="983"/>
      <c r="V523" s="983"/>
      <c r="W523" s="983"/>
      <c r="X523" s="983"/>
      <c r="Y523" s="983"/>
    </row>
    <row r="524" spans="1:25" x14ac:dyDescent="0.25">
      <c r="A524" s="930" t="s">
        <v>282</v>
      </c>
      <c r="B524" s="931"/>
      <c r="C524" s="983"/>
      <c r="D524" s="983"/>
      <c r="E524" s="983"/>
      <c r="F524" s="983"/>
      <c r="G524" s="983"/>
      <c r="H524" s="983"/>
      <c r="I524" s="983"/>
      <c r="J524" s="983"/>
      <c r="K524" s="983"/>
      <c r="L524" s="983"/>
      <c r="M524" s="983"/>
      <c r="N524" s="983"/>
      <c r="O524" s="983"/>
      <c r="P524" s="983"/>
      <c r="Q524" s="912"/>
      <c r="R524" s="1009"/>
      <c r="S524" s="912"/>
      <c r="T524" s="983"/>
      <c r="U524" s="983"/>
      <c r="V524" s="983"/>
      <c r="W524" s="983"/>
      <c r="X524" s="983"/>
      <c r="Y524" s="983"/>
    </row>
    <row r="525" spans="1:25" x14ac:dyDescent="0.25">
      <c r="A525" s="925" t="s">
        <v>275</v>
      </c>
      <c r="B525" s="93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2">
        <f>SUM(C525:N525)</f>
        <v>0</v>
      </c>
      <c r="P525" s="142"/>
      <c r="Q525" s="912"/>
      <c r="R525" s="1009"/>
      <c r="S525" s="912"/>
      <c r="T525" s="142"/>
      <c r="U525" s="935">
        <f>C525+D525+E525</f>
        <v>0</v>
      </c>
      <c r="V525" s="935">
        <f>F525+G525+H525</f>
        <v>0</v>
      </c>
      <c r="W525" s="935">
        <f>I525+J525+K525</f>
        <v>0</v>
      </c>
      <c r="X525" s="935">
        <f>L525+M525+N525</f>
        <v>0</v>
      </c>
      <c r="Y525" s="937">
        <f>SUM(U525:X525)</f>
        <v>0</v>
      </c>
    </row>
    <row r="526" spans="1:25" x14ac:dyDescent="0.25">
      <c r="A526" s="925" t="s">
        <v>272</v>
      </c>
      <c r="B526" s="931"/>
      <c r="C526" s="260">
        <v>0</v>
      </c>
      <c r="D526" s="260">
        <v>0</v>
      </c>
      <c r="E526" s="260">
        <v>0</v>
      </c>
      <c r="F526" s="260">
        <v>0</v>
      </c>
      <c r="G526" s="260">
        <v>0</v>
      </c>
      <c r="H526" s="260">
        <v>0</v>
      </c>
      <c r="I526" s="260">
        <v>0</v>
      </c>
      <c r="J526" s="260">
        <v>0</v>
      </c>
      <c r="K526" s="260">
        <v>0</v>
      </c>
      <c r="L526" s="260">
        <v>0</v>
      </c>
      <c r="M526" s="260">
        <v>0</v>
      </c>
      <c r="N526" s="260">
        <v>0</v>
      </c>
      <c r="O526" s="1013">
        <f>SUM(C526:N526)</f>
        <v>0</v>
      </c>
      <c r="P526" s="1013"/>
      <c r="Q526" s="912"/>
      <c r="R526" s="1009"/>
      <c r="S526" s="912"/>
      <c r="T526" s="1013"/>
      <c r="U526" s="979">
        <f>C526+D526+E526</f>
        <v>0</v>
      </c>
      <c r="V526" s="979">
        <f>F526+G526+H526</f>
        <v>0</v>
      </c>
      <c r="W526" s="979">
        <f>I526+J526+K526</f>
        <v>0</v>
      </c>
      <c r="X526" s="979">
        <f>L526+M526+N526</f>
        <v>0</v>
      </c>
      <c r="Y526" s="920">
        <f>SUM(U526:X526)</f>
        <v>0</v>
      </c>
    </row>
    <row r="527" spans="1:25" x14ac:dyDescent="0.25">
      <c r="A527" s="925" t="s">
        <v>273</v>
      </c>
      <c r="B527" s="931"/>
      <c r="C527" s="920">
        <f>SUM(C525:C526)</f>
        <v>0</v>
      </c>
      <c r="D527" s="920">
        <f t="shared" ref="D527:O527" si="219">SUM(D525:D526)</f>
        <v>0</v>
      </c>
      <c r="E527" s="920">
        <f t="shared" si="219"/>
        <v>0</v>
      </c>
      <c r="F527" s="920">
        <f t="shared" si="219"/>
        <v>0</v>
      </c>
      <c r="G527" s="920">
        <f t="shared" si="219"/>
        <v>0</v>
      </c>
      <c r="H527" s="920">
        <f t="shared" si="219"/>
        <v>0</v>
      </c>
      <c r="I527" s="920">
        <f t="shared" si="219"/>
        <v>0</v>
      </c>
      <c r="J527" s="920">
        <f t="shared" si="219"/>
        <v>0</v>
      </c>
      <c r="K527" s="920">
        <f t="shared" si="219"/>
        <v>0</v>
      </c>
      <c r="L527" s="920">
        <f t="shared" si="219"/>
        <v>0</v>
      </c>
      <c r="M527" s="920">
        <f t="shared" si="219"/>
        <v>0</v>
      </c>
      <c r="N527" s="920">
        <f t="shared" si="219"/>
        <v>0</v>
      </c>
      <c r="O527" s="920">
        <f t="shared" si="219"/>
        <v>0</v>
      </c>
      <c r="P527" s="920"/>
      <c r="Q527" s="912"/>
      <c r="R527" s="1009"/>
      <c r="S527" s="912"/>
      <c r="T527" s="935"/>
      <c r="U527" s="920">
        <f>SUM(U525:U526)</f>
        <v>0</v>
      </c>
      <c r="V527" s="920">
        <f>SUM(V525:V526)</f>
        <v>0</v>
      </c>
      <c r="W527" s="920">
        <f>SUM(W525:W526)</f>
        <v>0</v>
      </c>
      <c r="X527" s="920">
        <f>SUM(X525:X526)</f>
        <v>0</v>
      </c>
      <c r="Y527" s="920">
        <f>SUM(Y525:Y526)</f>
        <v>0</v>
      </c>
    </row>
    <row r="528" spans="1:25" x14ac:dyDescent="0.25">
      <c r="A528" s="930"/>
      <c r="B528" s="931"/>
      <c r="C528" s="983"/>
      <c r="D528" s="983"/>
      <c r="E528" s="983"/>
      <c r="F528" s="983"/>
      <c r="G528" s="983"/>
      <c r="H528" s="983"/>
      <c r="I528" s="983"/>
      <c r="J528" s="983"/>
      <c r="K528" s="983"/>
      <c r="L528" s="983"/>
      <c r="M528" s="983"/>
      <c r="N528" s="983"/>
      <c r="O528" s="983"/>
      <c r="P528" s="983"/>
      <c r="Q528" s="912"/>
      <c r="R528" s="1009"/>
      <c r="S528" s="912"/>
      <c r="T528" s="983"/>
      <c r="U528" s="983"/>
      <c r="V528" s="983"/>
      <c r="W528" s="983"/>
      <c r="X528" s="983"/>
      <c r="Y528" s="983"/>
    </row>
    <row r="529" spans="1:25" x14ac:dyDescent="0.25">
      <c r="A529" s="930" t="s">
        <v>283</v>
      </c>
      <c r="B529" s="931"/>
      <c r="C529" s="983">
        <f>+C527</f>
        <v>0</v>
      </c>
      <c r="D529" s="983">
        <f t="shared" ref="D529:O529" si="220">+D527</f>
        <v>0</v>
      </c>
      <c r="E529" s="983">
        <f t="shared" si="220"/>
        <v>0</v>
      </c>
      <c r="F529" s="983">
        <f t="shared" si="220"/>
        <v>0</v>
      </c>
      <c r="G529" s="983">
        <f t="shared" si="220"/>
        <v>0</v>
      </c>
      <c r="H529" s="983">
        <f t="shared" si="220"/>
        <v>0</v>
      </c>
      <c r="I529" s="983">
        <f t="shared" si="220"/>
        <v>0</v>
      </c>
      <c r="J529" s="983">
        <f t="shared" si="220"/>
        <v>0</v>
      </c>
      <c r="K529" s="983">
        <f t="shared" si="220"/>
        <v>0</v>
      </c>
      <c r="L529" s="983">
        <f t="shared" si="220"/>
        <v>0</v>
      </c>
      <c r="M529" s="983">
        <f t="shared" si="220"/>
        <v>0</v>
      </c>
      <c r="N529" s="983">
        <f t="shared" si="220"/>
        <v>0</v>
      </c>
      <c r="O529" s="983">
        <f t="shared" si="220"/>
        <v>0</v>
      </c>
      <c r="P529" s="983"/>
      <c r="Q529" s="912"/>
      <c r="R529" s="1009"/>
      <c r="S529" s="912"/>
      <c r="T529" s="983"/>
      <c r="U529" s="983">
        <f>+U527</f>
        <v>0</v>
      </c>
      <c r="V529" s="983">
        <f>+V527</f>
        <v>0</v>
      </c>
      <c r="W529" s="983">
        <f>+W527</f>
        <v>0</v>
      </c>
      <c r="X529" s="983">
        <f>+X527</f>
        <v>0</v>
      </c>
      <c r="Y529" s="983">
        <f>+Y527</f>
        <v>0</v>
      </c>
    </row>
    <row r="530" spans="1:25" x14ac:dyDescent="0.25">
      <c r="A530" s="930"/>
      <c r="B530" s="931"/>
      <c r="C530" s="983"/>
      <c r="D530" s="983"/>
      <c r="E530" s="983"/>
      <c r="F530" s="983"/>
      <c r="G530" s="983"/>
      <c r="H530" s="983"/>
      <c r="I530" s="983"/>
      <c r="J530" s="983"/>
      <c r="K530" s="983"/>
      <c r="L530" s="983"/>
      <c r="M530" s="983"/>
      <c r="N530" s="983"/>
      <c r="O530" s="983"/>
      <c r="P530" s="983"/>
      <c r="Q530" s="912"/>
      <c r="R530" s="1009"/>
      <c r="S530" s="912"/>
      <c r="T530" s="983"/>
      <c r="U530" s="983"/>
      <c r="V530" s="983"/>
      <c r="W530" s="983"/>
      <c r="X530" s="983"/>
      <c r="Y530" s="983"/>
    </row>
    <row r="531" spans="1:25" x14ac:dyDescent="0.25">
      <c r="A531" s="930" t="s">
        <v>284</v>
      </c>
      <c r="B531" s="931"/>
      <c r="C531" s="983">
        <f t="shared" ref="C531:O531" si="221">+C472+C485+C493+C500+C504+C511+C518+C525</f>
        <v>-450</v>
      </c>
      <c r="D531" s="983">
        <f t="shared" si="221"/>
        <v>328</v>
      </c>
      <c r="E531" s="983">
        <f t="shared" si="221"/>
        <v>-1100</v>
      </c>
      <c r="F531" s="983">
        <f t="shared" si="221"/>
        <v>-1200</v>
      </c>
      <c r="G531" s="983">
        <f t="shared" si="221"/>
        <v>-2800</v>
      </c>
      <c r="H531" s="983">
        <f t="shared" si="221"/>
        <v>-1800</v>
      </c>
      <c r="I531" s="983">
        <f t="shared" si="221"/>
        <v>-5100</v>
      </c>
      <c r="J531" s="983">
        <f t="shared" si="221"/>
        <v>-13200</v>
      </c>
      <c r="K531" s="983">
        <f t="shared" si="221"/>
        <v>-12700</v>
      </c>
      <c r="L531" s="983">
        <f t="shared" si="221"/>
        <v>-5900</v>
      </c>
      <c r="M531" s="983">
        <f t="shared" si="221"/>
        <v>-11800</v>
      </c>
      <c r="N531" s="983">
        <f t="shared" si="221"/>
        <v>-6000</v>
      </c>
      <c r="O531" s="983">
        <f t="shared" si="221"/>
        <v>-61722</v>
      </c>
      <c r="P531" s="983"/>
      <c r="Q531" s="912"/>
      <c r="R531" s="1009"/>
      <c r="S531" s="912"/>
      <c r="T531" s="983"/>
      <c r="U531" s="983">
        <f>+U472+U485+U493+U500+U504+U511+U518+U525</f>
        <v>-1222</v>
      </c>
      <c r="V531" s="983">
        <f>+V472+V485+V493+V500+V504+V511+V518+V525</f>
        <v>-5800</v>
      </c>
      <c r="W531" s="983">
        <f>+W472+W485+W493+W500+W504+W511+W518+W525</f>
        <v>-31000</v>
      </c>
      <c r="X531" s="983">
        <f>+X472+X485+X493+X500+X504+X511+X518+X525</f>
        <v>-23700</v>
      </c>
      <c r="Y531" s="983">
        <f>+Y472+Y485+Y493+Y500+Y504+Y511+Y518+Y525</f>
        <v>-61722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0" max="16383" man="1"/>
    <brk id="192" max="16383" man="1"/>
    <brk id="306" max="16383" man="1"/>
    <brk id="377" max="16383" man="1"/>
    <brk id="460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F5" activePane="bottomRight" state="frozen"/>
      <selection activeCell="D3" sqref="D3"/>
      <selection pane="topRight" activeCell="D3" sqref="D3"/>
      <selection pane="bottomLeft" activeCell="D3" sqref="D3"/>
      <selection pane="bottomRight" activeCell="I23" sqref="I23"/>
    </sheetView>
  </sheetViews>
  <sheetFormatPr defaultColWidth="10.6640625" defaultRowHeight="13.2" x14ac:dyDescent="0.25"/>
  <cols>
    <col min="1" max="1" width="42.6640625" style="150" customWidth="1"/>
    <col min="2" max="2" width="8.6640625" style="802" customWidth="1"/>
    <col min="3" max="14" width="8.6640625" style="150" customWidth="1"/>
    <col min="15" max="17" width="9.6640625" style="150" customWidth="1"/>
    <col min="18" max="16384" width="10.6640625" style="150"/>
  </cols>
  <sheetData>
    <row r="1" spans="1:21" x14ac:dyDescent="0.25">
      <c r="A1" s="552" t="str">
        <f ca="1">CELL("FILENAME")</f>
        <v>P:\Finance\2001CE\[EMTW01CE.XLS]DataBase</v>
      </c>
      <c r="R1" s="151"/>
    </row>
    <row r="2" spans="1:21" x14ac:dyDescent="0.25">
      <c r="A2" s="392" t="s">
        <v>862</v>
      </c>
      <c r="C2" s="152" t="s">
        <v>590</v>
      </c>
      <c r="D2" s="152" t="s">
        <v>590</v>
      </c>
      <c r="E2" s="152" t="s">
        <v>590</v>
      </c>
      <c r="F2" s="152" t="s">
        <v>590</v>
      </c>
      <c r="G2" s="491"/>
      <c r="H2" s="152" t="s">
        <v>590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5">
      <c r="A3" s="555" t="str">
        <f>IncomeState!A3</f>
        <v>2001 CURRENT ESTIMATE</v>
      </c>
      <c r="B3" s="803">
        <f ca="1">NOW()</f>
        <v>37109.471773495374</v>
      </c>
      <c r="C3" s="570" t="str">
        <f>IncomeState!C6</f>
        <v>ACT.</v>
      </c>
      <c r="D3" s="570" t="str">
        <f>IncomeState!D6</f>
        <v>ACT.</v>
      </c>
      <c r="E3" s="570" t="str">
        <f>IncomeState!E6</f>
        <v>ACT.</v>
      </c>
      <c r="F3" s="570" t="str">
        <f>IncomeState!F6</f>
        <v>ACT.</v>
      </c>
      <c r="G3" s="570" t="str">
        <f>IncomeState!G6</f>
        <v>ACT.</v>
      </c>
      <c r="H3" s="570" t="str">
        <f>IncomeState!H6</f>
        <v>ACT.</v>
      </c>
      <c r="I3" s="570" t="str">
        <f>IncomeState!I6</f>
        <v>FLASH</v>
      </c>
      <c r="J3" s="570">
        <f>IncomeState!J6</f>
        <v>0</v>
      </c>
      <c r="K3" s="570">
        <f>IncomeState!K6</f>
        <v>0</v>
      </c>
      <c r="L3" s="570">
        <f>IncomeState!L6</f>
        <v>0</v>
      </c>
      <c r="M3" s="570">
        <f>IncomeState!M6</f>
        <v>0</v>
      </c>
      <c r="N3" s="570">
        <f>IncomeState!N6</f>
        <v>0</v>
      </c>
      <c r="O3" s="570" t="str">
        <f>IncomeState!O6</f>
        <v>TOTAL</v>
      </c>
      <c r="P3" s="570" t="str">
        <f>IncomeState!P6</f>
        <v>JUNE</v>
      </c>
      <c r="Q3" s="570" t="str">
        <f>IncomeState!Q6</f>
        <v>ESTIMATE</v>
      </c>
    </row>
    <row r="4" spans="1:21" x14ac:dyDescent="0.25">
      <c r="A4" s="393"/>
      <c r="B4" s="804">
        <f ca="1">NOW()</f>
        <v>37109.471773495374</v>
      </c>
      <c r="C4" s="396" t="s">
        <v>591</v>
      </c>
      <c r="D4" s="396" t="s">
        <v>592</v>
      </c>
      <c r="E4" s="396" t="s">
        <v>593</v>
      </c>
      <c r="F4" s="396" t="s">
        <v>594</v>
      </c>
      <c r="G4" s="396" t="s">
        <v>595</v>
      </c>
      <c r="H4" s="396" t="s">
        <v>596</v>
      </c>
      <c r="I4" s="396" t="s">
        <v>597</v>
      </c>
      <c r="J4" s="396" t="s">
        <v>598</v>
      </c>
      <c r="K4" s="396" t="s">
        <v>599</v>
      </c>
      <c r="L4" s="396" t="s">
        <v>600</v>
      </c>
      <c r="M4" s="396" t="s">
        <v>601</v>
      </c>
      <c r="N4" s="396" t="s">
        <v>602</v>
      </c>
      <c r="O4" s="571">
        <f>IncomeState!O7</f>
        <v>2001</v>
      </c>
      <c r="P4" s="571" t="str">
        <f>IncomeState!P7</f>
        <v>Y-T-D</v>
      </c>
      <c r="Q4" s="571" t="str">
        <f>IncomeState!Q7</f>
        <v>R.M.</v>
      </c>
    </row>
    <row r="5" spans="1:21" ht="3.9" customHeight="1" x14ac:dyDescent="0.25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5">
      <c r="A6" s="397" t="s">
        <v>951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5">
      <c r="A7" s="157" t="s">
        <v>1007</v>
      </c>
      <c r="B7" s="856" t="s">
        <v>996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5" si="0">SUM(C7:N7)</f>
        <v>0</v>
      </c>
      <c r="P7" s="158">
        <f>SUM(C7:E7)</f>
        <v>0</v>
      </c>
      <c r="Q7" s="156">
        <f t="shared" ref="Q7:Q15" si="1">(O7-P7)</f>
        <v>0</v>
      </c>
      <c r="R7" s="156"/>
      <c r="S7" s="156"/>
      <c r="T7" s="156"/>
      <c r="U7" s="156"/>
    </row>
    <row r="8" spans="1:21" x14ac:dyDescent="0.25">
      <c r="A8" s="157" t="s">
        <v>1008</v>
      </c>
      <c r="B8" s="856" t="s">
        <v>996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5" si="2">SUM(C8:E8)</f>
        <v>0</v>
      </c>
      <c r="Q8" s="156">
        <f t="shared" si="1"/>
        <v>0</v>
      </c>
      <c r="R8" s="156"/>
    </row>
    <row r="9" spans="1:21" x14ac:dyDescent="0.25">
      <c r="A9" s="157" t="s">
        <v>1009</v>
      </c>
      <c r="B9" s="856" t="s">
        <v>996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5">
      <c r="A10" s="157" t="s">
        <v>1010</v>
      </c>
      <c r="B10" s="856" t="s">
        <v>996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5">
      <c r="A11" s="157" t="s">
        <v>1011</v>
      </c>
      <c r="B11" s="805" t="s">
        <v>612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5">
      <c r="A12" s="157" t="s">
        <v>952</v>
      </c>
      <c r="B12" s="858" t="s">
        <v>974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-1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-22</v>
      </c>
      <c r="P12" s="158">
        <f t="shared" si="2"/>
        <v>-3</v>
      </c>
      <c r="Q12" s="156">
        <f t="shared" si="1"/>
        <v>-19</v>
      </c>
      <c r="R12" s="156"/>
      <c r="S12" s="156"/>
      <c r="T12" s="156"/>
      <c r="U12" s="156"/>
    </row>
    <row r="13" spans="1:21" x14ac:dyDescent="0.25">
      <c r="A13" s="157" t="s">
        <v>958</v>
      </c>
      <c r="B13" s="806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5">
      <c r="A14" s="157" t="s">
        <v>605</v>
      </c>
      <c r="B14" s="807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-1</v>
      </c>
      <c r="Q14" s="156">
        <f t="shared" si="1"/>
        <v>-1</v>
      </c>
      <c r="R14" s="156"/>
      <c r="S14" s="156"/>
      <c r="T14" s="156"/>
      <c r="U14" s="156"/>
    </row>
    <row r="15" spans="1:21" x14ac:dyDescent="0.25">
      <c r="A15" s="157" t="s">
        <v>604</v>
      </c>
      <c r="C15" s="262">
        <v>0</v>
      </c>
      <c r="D15" s="262">
        <v>0</v>
      </c>
      <c r="E15" s="262">
        <v>0</v>
      </c>
      <c r="F15" s="262">
        <v>0</v>
      </c>
      <c r="G15" s="262">
        <v>0</v>
      </c>
      <c r="H15" s="262">
        <v>0</v>
      </c>
      <c r="I15" s="262">
        <v>0</v>
      </c>
      <c r="J15" s="262">
        <v>0</v>
      </c>
      <c r="K15" s="262">
        <v>0</v>
      </c>
      <c r="L15" s="262">
        <v>0</v>
      </c>
      <c r="M15" s="262">
        <v>0</v>
      </c>
      <c r="N15" s="262">
        <f>0</f>
        <v>0</v>
      </c>
      <c r="O15" s="160">
        <f t="shared" si="0"/>
        <v>0</v>
      </c>
      <c r="P15" s="262">
        <f t="shared" si="2"/>
        <v>0</v>
      </c>
      <c r="Q15" s="160">
        <f t="shared" si="1"/>
        <v>0</v>
      </c>
      <c r="R15" s="156"/>
      <c r="S15" s="156"/>
      <c r="T15" s="156"/>
      <c r="U15" s="156"/>
    </row>
    <row r="16" spans="1:21" ht="3.9" customHeight="1" x14ac:dyDescent="0.25">
      <c r="A16" s="394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6"/>
      <c r="P16" s="158"/>
      <c r="Q16" s="156"/>
      <c r="R16" s="156"/>
      <c r="S16" s="156"/>
      <c r="T16" s="156"/>
      <c r="U16" s="156"/>
    </row>
    <row r="17" spans="1:21" x14ac:dyDescent="0.25">
      <c r="A17" s="395" t="s">
        <v>875</v>
      </c>
      <c r="B17" s="808"/>
      <c r="C17" s="161">
        <f>SUM(C7:C16)</f>
        <v>-1</v>
      </c>
      <c r="D17" s="161">
        <f t="shared" ref="D17:Q17" si="3">SUM(D7:D16)</f>
        <v>-2</v>
      </c>
      <c r="E17" s="161">
        <f t="shared" si="3"/>
        <v>-1</v>
      </c>
      <c r="F17" s="161">
        <f t="shared" si="3"/>
        <v>-2</v>
      </c>
      <c r="G17" s="161">
        <f t="shared" si="3"/>
        <v>-1</v>
      </c>
      <c r="H17" s="161">
        <f t="shared" si="3"/>
        <v>-1</v>
      </c>
      <c r="I17" s="161">
        <f t="shared" si="3"/>
        <v>-1</v>
      </c>
      <c r="J17" s="161">
        <f t="shared" si="3"/>
        <v>-4</v>
      </c>
      <c r="K17" s="161">
        <f t="shared" si="3"/>
        <v>-3</v>
      </c>
      <c r="L17" s="161">
        <f t="shared" si="3"/>
        <v>-2</v>
      </c>
      <c r="M17" s="161">
        <f t="shared" si="3"/>
        <v>-3</v>
      </c>
      <c r="N17" s="161">
        <f t="shared" si="3"/>
        <v>-3</v>
      </c>
      <c r="O17" s="161">
        <f t="shared" si="3"/>
        <v>-24</v>
      </c>
      <c r="P17" s="161">
        <f t="shared" si="3"/>
        <v>-4</v>
      </c>
      <c r="Q17" s="161">
        <f t="shared" si="3"/>
        <v>-20</v>
      </c>
      <c r="R17" s="162"/>
      <c r="S17" s="162"/>
      <c r="T17" s="162"/>
      <c r="U17" s="156"/>
    </row>
    <row r="18" spans="1:21" ht="6" customHeight="1" x14ac:dyDescent="0.25">
      <c r="A18" s="395"/>
      <c r="B18" s="808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2"/>
      <c r="S18" s="162"/>
      <c r="T18" s="162"/>
      <c r="U18" s="156"/>
    </row>
    <row r="19" spans="1:21" x14ac:dyDescent="0.25">
      <c r="A19" s="397" t="s">
        <v>949</v>
      </c>
      <c r="B19" s="808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5">
      <c r="A20" s="157" t="s">
        <v>1053</v>
      </c>
      <c r="B20" s="808"/>
      <c r="C20" s="158">
        <v>118</v>
      </c>
      <c r="D20" s="158">
        <v>118</v>
      </c>
      <c r="E20" s="158">
        <v>119</v>
      </c>
      <c r="F20" s="158">
        <v>118</v>
      </c>
      <c r="G20" s="158">
        <v>118</v>
      </c>
      <c r="H20" s="158">
        <v>118</v>
      </c>
      <c r="I20" s="158">
        <v>118</v>
      </c>
      <c r="J20" s="158">
        <v>118</v>
      </c>
      <c r="K20" s="158">
        <v>119</v>
      </c>
      <c r="L20" s="158">
        <v>118</v>
      </c>
      <c r="M20" s="158">
        <v>89</v>
      </c>
      <c r="N20" s="158">
        <v>89</v>
      </c>
      <c r="O20" s="156">
        <f t="shared" ref="O20:O25" si="4">SUM(C20:N20)</f>
        <v>1360</v>
      </c>
      <c r="P20" s="158">
        <f t="shared" ref="P20:P25" si="5">SUM(C20:E20)</f>
        <v>355</v>
      </c>
      <c r="Q20" s="156">
        <f t="shared" ref="Q20:Q25" si="6">(O20-P20)</f>
        <v>1005</v>
      </c>
      <c r="R20" s="162"/>
      <c r="S20" s="162"/>
      <c r="T20" s="162"/>
      <c r="U20" s="156"/>
    </row>
    <row r="21" spans="1:21" x14ac:dyDescent="0.25">
      <c r="A21" s="157" t="s">
        <v>1055</v>
      </c>
      <c r="B21" s="808"/>
      <c r="C21" s="158">
        <v>1</v>
      </c>
      <c r="D21" s="158">
        <v>1</v>
      </c>
      <c r="E21" s="158">
        <v>1</v>
      </c>
      <c r="F21" s="158">
        <v>1</v>
      </c>
      <c r="G21" s="158">
        <v>1</v>
      </c>
      <c r="H21" s="158">
        <v>1</v>
      </c>
      <c r="I21" s="158">
        <v>1</v>
      </c>
      <c r="J21" s="158">
        <v>1</v>
      </c>
      <c r="K21" s="158">
        <v>1</v>
      </c>
      <c r="L21" s="158">
        <v>1</v>
      </c>
      <c r="M21" s="158">
        <v>1</v>
      </c>
      <c r="N21" s="158">
        <v>1</v>
      </c>
      <c r="O21" s="156">
        <f t="shared" si="4"/>
        <v>12</v>
      </c>
      <c r="P21" s="158">
        <f t="shared" si="5"/>
        <v>3</v>
      </c>
      <c r="Q21" s="156">
        <f t="shared" si="6"/>
        <v>9</v>
      </c>
      <c r="R21" s="162"/>
      <c r="S21" s="162"/>
      <c r="T21" s="162"/>
      <c r="U21" s="156"/>
    </row>
    <row r="22" spans="1:21" x14ac:dyDescent="0.25">
      <c r="A22" s="157" t="s">
        <v>1054</v>
      </c>
      <c r="B22" s="808"/>
      <c r="C22" s="158">
        <v>925</v>
      </c>
      <c r="D22" s="158">
        <v>925</v>
      </c>
      <c r="E22" s="158">
        <v>925</v>
      </c>
      <c r="F22" s="158">
        <v>657</v>
      </c>
      <c r="G22" s="158">
        <v>678</v>
      </c>
      <c r="H22" s="158">
        <v>613</v>
      </c>
      <c r="I22" s="865">
        <f>678-678</f>
        <v>0</v>
      </c>
      <c r="J22" s="865">
        <f>678-678</f>
        <v>0</v>
      </c>
      <c r="K22" s="865">
        <f>657-657</f>
        <v>0</v>
      </c>
      <c r="L22" s="865">
        <f>678-678</f>
        <v>0</v>
      </c>
      <c r="M22" s="865">
        <f>657-657</f>
        <v>0</v>
      </c>
      <c r="N22" s="865">
        <f>678-678</f>
        <v>0</v>
      </c>
      <c r="O22" s="156">
        <f t="shared" si="4"/>
        <v>4723</v>
      </c>
      <c r="P22" s="158">
        <f t="shared" si="5"/>
        <v>2775</v>
      </c>
      <c r="Q22" s="156">
        <f t="shared" si="6"/>
        <v>1948</v>
      </c>
      <c r="R22" s="162"/>
      <c r="S22" s="162"/>
      <c r="T22" s="162"/>
      <c r="U22" s="156"/>
    </row>
    <row r="23" spans="1:21" x14ac:dyDescent="0.25">
      <c r="A23" s="157" t="s">
        <v>1056</v>
      </c>
      <c r="B23" s="806"/>
      <c r="C23" s="865">
        <f>-1251+1251</f>
        <v>0</v>
      </c>
      <c r="D23" s="865">
        <f>-1134+1134</f>
        <v>0</v>
      </c>
      <c r="E23" s="865">
        <v>-5198</v>
      </c>
      <c r="F23" s="158">
        <v>-1785</v>
      </c>
      <c r="G23" s="158">
        <v>-1429</v>
      </c>
      <c r="H23" s="158">
        <v>-1319</v>
      </c>
      <c r="I23" s="158">
        <v>-825</v>
      </c>
      <c r="J23" s="158">
        <v>-884</v>
      </c>
      <c r="K23" s="158">
        <v>-844</v>
      </c>
      <c r="L23" s="158">
        <v>-869</v>
      </c>
      <c r="M23" s="158">
        <v>-822</v>
      </c>
      <c r="N23" s="158">
        <v>-820</v>
      </c>
      <c r="O23" s="156">
        <f t="shared" si="4"/>
        <v>-14795</v>
      </c>
      <c r="P23" s="158">
        <f t="shared" si="5"/>
        <v>-5198</v>
      </c>
      <c r="Q23" s="156">
        <f t="shared" si="6"/>
        <v>-9597</v>
      </c>
      <c r="R23" s="162"/>
      <c r="S23" s="162"/>
      <c r="T23" s="162"/>
      <c r="U23" s="156"/>
    </row>
    <row r="24" spans="1:21" x14ac:dyDescent="0.25">
      <c r="A24" s="157" t="s">
        <v>605</v>
      </c>
      <c r="B24" s="807"/>
      <c r="C24" s="158">
        <v>0</v>
      </c>
      <c r="D24" s="158">
        <v>0</v>
      </c>
      <c r="E24" s="158">
        <v>0</v>
      </c>
      <c r="F24" s="158">
        <v>0</v>
      </c>
      <c r="G24" s="158">
        <v>0</v>
      </c>
      <c r="H24" s="158">
        <v>0</v>
      </c>
      <c r="I24" s="158">
        <v>0</v>
      </c>
      <c r="J24" s="158">
        <v>0</v>
      </c>
      <c r="K24" s="158">
        <v>0</v>
      </c>
      <c r="L24" s="158">
        <v>0</v>
      </c>
      <c r="M24" s="158">
        <v>0</v>
      </c>
      <c r="N24" s="158">
        <v>0</v>
      </c>
      <c r="O24" s="156">
        <f t="shared" si="4"/>
        <v>0</v>
      </c>
      <c r="P24" s="158">
        <f t="shared" si="5"/>
        <v>0</v>
      </c>
      <c r="Q24" s="156">
        <f t="shared" si="6"/>
        <v>0</v>
      </c>
      <c r="R24" s="162"/>
      <c r="S24" s="162"/>
      <c r="T24" s="162"/>
      <c r="U24" s="156"/>
    </row>
    <row r="25" spans="1:21" x14ac:dyDescent="0.25">
      <c r="A25" s="157" t="s">
        <v>604</v>
      </c>
      <c r="C25" s="262">
        <v>0</v>
      </c>
      <c r="D25" s="262">
        <v>0</v>
      </c>
      <c r="E25" s="262">
        <v>0</v>
      </c>
      <c r="F25" s="262">
        <v>0</v>
      </c>
      <c r="G25" s="262">
        <v>0</v>
      </c>
      <c r="H25" s="262">
        <v>0</v>
      </c>
      <c r="I25" s="262">
        <v>0</v>
      </c>
      <c r="J25" s="262">
        <v>0</v>
      </c>
      <c r="K25" s="262">
        <v>0</v>
      </c>
      <c r="L25" s="262">
        <v>0</v>
      </c>
      <c r="M25" s="262">
        <v>0</v>
      </c>
      <c r="N25" s="262">
        <f>0</f>
        <v>0</v>
      </c>
      <c r="O25" s="160">
        <f t="shared" si="4"/>
        <v>0</v>
      </c>
      <c r="P25" s="262">
        <f t="shared" si="5"/>
        <v>0</v>
      </c>
      <c r="Q25" s="160">
        <f t="shared" si="6"/>
        <v>0</v>
      </c>
      <c r="R25" s="162"/>
      <c r="S25" s="162"/>
      <c r="T25" s="162"/>
      <c r="U25" s="156"/>
    </row>
    <row r="26" spans="1:21" ht="3.9" customHeight="1" x14ac:dyDescent="0.25">
      <c r="A26" s="394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6"/>
      <c r="P26" s="158"/>
      <c r="Q26" s="156"/>
      <c r="R26" s="162"/>
      <c r="S26" s="162"/>
      <c r="T26" s="162"/>
      <c r="U26" s="156"/>
    </row>
    <row r="27" spans="1:21" x14ac:dyDescent="0.25">
      <c r="A27" s="397" t="s">
        <v>950</v>
      </c>
      <c r="B27" s="808"/>
      <c r="C27" s="161">
        <f>SUM(C20:C26)</f>
        <v>1044</v>
      </c>
      <c r="D27" s="161">
        <f t="shared" ref="D27:N27" si="7">SUM(D20:D26)</f>
        <v>1044</v>
      </c>
      <c r="E27" s="161">
        <f t="shared" si="7"/>
        <v>-4153</v>
      </c>
      <c r="F27" s="161">
        <f t="shared" si="7"/>
        <v>-1009</v>
      </c>
      <c r="G27" s="161">
        <f t="shared" si="7"/>
        <v>-632</v>
      </c>
      <c r="H27" s="161">
        <f t="shared" si="7"/>
        <v>-587</v>
      </c>
      <c r="I27" s="161">
        <f t="shared" si="7"/>
        <v>-706</v>
      </c>
      <c r="J27" s="161">
        <f t="shared" si="7"/>
        <v>-765</v>
      </c>
      <c r="K27" s="161">
        <f t="shared" si="7"/>
        <v>-724</v>
      </c>
      <c r="L27" s="161">
        <f t="shared" si="7"/>
        <v>-750</v>
      </c>
      <c r="M27" s="161">
        <f t="shared" si="7"/>
        <v>-732</v>
      </c>
      <c r="N27" s="161">
        <f t="shared" si="7"/>
        <v>-730</v>
      </c>
      <c r="O27" s="161">
        <f>SUM(O20:O26)</f>
        <v>-8700</v>
      </c>
      <c r="P27" s="161">
        <f>SUM(P20:P26)</f>
        <v>-2065</v>
      </c>
      <c r="Q27" s="161">
        <f>SUM(Q20:Q26)</f>
        <v>-6635</v>
      </c>
      <c r="R27" s="162"/>
      <c r="S27" s="162"/>
      <c r="T27" s="162"/>
      <c r="U27" s="156"/>
    </row>
    <row r="28" spans="1:21" ht="6" customHeight="1" x14ac:dyDescent="0.25">
      <c r="A28" s="394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6"/>
      <c r="P28" s="158"/>
      <c r="Q28" s="156"/>
      <c r="R28" s="156"/>
      <c r="S28" s="156"/>
      <c r="T28" s="156"/>
      <c r="U28" s="156"/>
    </row>
    <row r="29" spans="1:21" x14ac:dyDescent="0.25">
      <c r="A29" s="395" t="s">
        <v>876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</row>
    <row r="30" spans="1:21" x14ac:dyDescent="0.25">
      <c r="A30" s="157" t="s">
        <v>982</v>
      </c>
      <c r="B30" s="806"/>
      <c r="C30" s="158">
        <v>-11</v>
      </c>
      <c r="D30" s="158">
        <v>-10</v>
      </c>
      <c r="E30" s="158">
        <v>-9</v>
      </c>
      <c r="F30" s="158">
        <v>-7</v>
      </c>
      <c r="G30" s="158">
        <v>-8</v>
      </c>
      <c r="H30" s="158">
        <v>-11</v>
      </c>
      <c r="I30" s="158">
        <v>-8</v>
      </c>
      <c r="J30" s="158">
        <v>-31</v>
      </c>
      <c r="K30" s="158">
        <v>-25</v>
      </c>
      <c r="L30" s="158">
        <v>-15</v>
      </c>
      <c r="M30" s="158">
        <v>-27</v>
      </c>
      <c r="N30" s="158">
        <v>-22</v>
      </c>
      <c r="O30" s="156">
        <f>SUM(C30:N30)</f>
        <v>-184</v>
      </c>
      <c r="P30" s="158">
        <f>SUM(C30:E30)</f>
        <v>-30</v>
      </c>
      <c r="Q30" s="156">
        <f>(O30-P30)</f>
        <v>-154</v>
      </c>
      <c r="R30" s="156"/>
      <c r="S30" s="156"/>
      <c r="T30" s="156"/>
      <c r="U30" s="156"/>
    </row>
    <row r="31" spans="1:21" x14ac:dyDescent="0.25">
      <c r="A31" s="157" t="s">
        <v>605</v>
      </c>
      <c r="C31" s="158">
        <v>0</v>
      </c>
      <c r="D31" s="158">
        <v>0</v>
      </c>
      <c r="E31" s="158">
        <v>0</v>
      </c>
      <c r="F31" s="545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545">
        <v>0</v>
      </c>
      <c r="N31" s="158">
        <v>0</v>
      </c>
      <c r="O31" s="156">
        <f>SUM(C31:N31)</f>
        <v>0</v>
      </c>
      <c r="P31" s="158">
        <f>SUM(C31:E31)</f>
        <v>0</v>
      </c>
      <c r="Q31" s="156">
        <f>(O31-P31)</f>
        <v>0</v>
      </c>
      <c r="R31" s="156"/>
      <c r="S31" s="156"/>
      <c r="T31" s="156"/>
      <c r="U31" s="156"/>
    </row>
    <row r="32" spans="1:21" x14ac:dyDescent="0.25">
      <c r="A32" s="157" t="s">
        <v>604</v>
      </c>
      <c r="C32" s="262">
        <v>0</v>
      </c>
      <c r="D32" s="262">
        <v>0</v>
      </c>
      <c r="E32" s="262">
        <v>0</v>
      </c>
      <c r="F32" s="262">
        <v>0</v>
      </c>
      <c r="G32" s="262">
        <v>0</v>
      </c>
      <c r="H32" s="262">
        <v>0</v>
      </c>
      <c r="I32" s="262">
        <v>0</v>
      </c>
      <c r="J32" s="262">
        <v>0</v>
      </c>
      <c r="K32" s="262">
        <v>0</v>
      </c>
      <c r="L32" s="262">
        <v>0</v>
      </c>
      <c r="M32" s="262">
        <v>0</v>
      </c>
      <c r="N32" s="262">
        <v>0</v>
      </c>
      <c r="O32" s="160">
        <f>SUM(C32:N32)</f>
        <v>0</v>
      </c>
      <c r="P32" s="262">
        <f>SUM(C32:E32)</f>
        <v>0</v>
      </c>
      <c r="Q32" s="160">
        <f>(O32-P32)</f>
        <v>0</v>
      </c>
      <c r="R32" s="156"/>
      <c r="S32" s="156"/>
      <c r="T32" s="156"/>
      <c r="U32" s="156"/>
    </row>
    <row r="33" spans="1:21" ht="3.9" customHeight="1" x14ac:dyDescent="0.25">
      <c r="A33" s="155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6"/>
      <c r="P33" s="158"/>
      <c r="Q33" s="156"/>
      <c r="R33" s="156"/>
      <c r="S33" s="156"/>
      <c r="T33" s="156"/>
      <c r="U33" s="156"/>
    </row>
    <row r="34" spans="1:21" x14ac:dyDescent="0.25">
      <c r="A34" s="395" t="s">
        <v>878</v>
      </c>
      <c r="B34" s="152"/>
      <c r="C34" s="161">
        <f t="shared" ref="C34:Q34" si="8">SUM(C30:C32)</f>
        <v>-11</v>
      </c>
      <c r="D34" s="161">
        <f t="shared" si="8"/>
        <v>-10</v>
      </c>
      <c r="E34" s="161">
        <f t="shared" si="8"/>
        <v>-9</v>
      </c>
      <c r="F34" s="161">
        <f t="shared" si="8"/>
        <v>-7</v>
      </c>
      <c r="G34" s="161">
        <f t="shared" si="8"/>
        <v>-8</v>
      </c>
      <c r="H34" s="161">
        <f t="shared" si="8"/>
        <v>-11</v>
      </c>
      <c r="I34" s="161">
        <f t="shared" si="8"/>
        <v>-8</v>
      </c>
      <c r="J34" s="161">
        <f t="shared" si="8"/>
        <v>-31</v>
      </c>
      <c r="K34" s="161">
        <f t="shared" si="8"/>
        <v>-25</v>
      </c>
      <c r="L34" s="161">
        <f t="shared" si="8"/>
        <v>-15</v>
      </c>
      <c r="M34" s="161">
        <f t="shared" si="8"/>
        <v>-27</v>
      </c>
      <c r="N34" s="161">
        <f t="shared" si="8"/>
        <v>-22</v>
      </c>
      <c r="O34" s="161">
        <f t="shared" si="8"/>
        <v>-184</v>
      </c>
      <c r="P34" s="161">
        <f t="shared" si="8"/>
        <v>-30</v>
      </c>
      <c r="Q34" s="161">
        <f t="shared" si="8"/>
        <v>-154</v>
      </c>
      <c r="R34" s="162"/>
      <c r="S34" s="162"/>
      <c r="T34" s="156"/>
      <c r="U34" s="156"/>
    </row>
    <row r="35" spans="1:21" ht="6" customHeight="1" x14ac:dyDescent="0.25">
      <c r="A35" s="155"/>
      <c r="B35" s="805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6"/>
      <c r="P35" s="158"/>
      <c r="Q35" s="156"/>
      <c r="R35" s="156"/>
      <c r="S35" s="156"/>
      <c r="T35" s="156"/>
      <c r="U35" s="156"/>
    </row>
    <row r="36" spans="1:21" x14ac:dyDescent="0.25">
      <c r="A36" s="397" t="s">
        <v>953</v>
      </c>
      <c r="B36" s="80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</row>
    <row r="37" spans="1:21" x14ac:dyDescent="0.25">
      <c r="A37" s="157" t="s">
        <v>879</v>
      </c>
      <c r="B37" s="858" t="s">
        <v>974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0</v>
      </c>
      <c r="M37" s="158">
        <v>0</v>
      </c>
      <c r="N37" s="158">
        <v>0</v>
      </c>
      <c r="O37" s="156">
        <f t="shared" ref="O37:O49" si="9">SUM(C37:N37)</f>
        <v>0</v>
      </c>
      <c r="P37" s="158">
        <f t="shared" ref="P37:P49" si="10">SUM(C37:E37)</f>
        <v>0</v>
      </c>
      <c r="Q37" s="156">
        <f t="shared" ref="Q37:Q49" si="11">(O37-P37)</f>
        <v>0</v>
      </c>
      <c r="R37" s="156"/>
      <c r="S37" s="156"/>
      <c r="T37" s="156"/>
      <c r="U37" s="156"/>
    </row>
    <row r="38" spans="1:21" x14ac:dyDescent="0.25">
      <c r="A38" s="157" t="s">
        <v>880</v>
      </c>
      <c r="B38" s="858" t="s">
        <v>974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6">
        <f t="shared" si="9"/>
        <v>0</v>
      </c>
      <c r="P38" s="158">
        <f t="shared" si="10"/>
        <v>0</v>
      </c>
      <c r="Q38" s="156">
        <f t="shared" si="11"/>
        <v>0</v>
      </c>
      <c r="R38" s="156"/>
      <c r="S38" s="156"/>
      <c r="T38" s="156"/>
      <c r="U38" s="156"/>
    </row>
    <row r="39" spans="1:21" x14ac:dyDescent="0.25">
      <c r="A39" s="157" t="s">
        <v>668</v>
      </c>
      <c r="B39" s="806"/>
      <c r="C39" s="158">
        <v>0</v>
      </c>
      <c r="D39" s="158">
        <v>0</v>
      </c>
      <c r="E39" s="158">
        <v>0</v>
      </c>
      <c r="F39" s="158">
        <v>0</v>
      </c>
      <c r="G39" s="158">
        <v>0</v>
      </c>
      <c r="H39" s="158">
        <v>0</v>
      </c>
      <c r="I39" s="158">
        <v>0</v>
      </c>
      <c r="J39" s="158">
        <v>0</v>
      </c>
      <c r="K39" s="158">
        <v>0</v>
      </c>
      <c r="L39" s="158">
        <v>0</v>
      </c>
      <c r="M39" s="158">
        <v>0</v>
      </c>
      <c r="N39" s="158"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5">
      <c r="A40" s="157" t="s">
        <v>881</v>
      </c>
      <c r="B40" s="858" t="s">
        <v>974</v>
      </c>
      <c r="C40" s="158">
        <v>0</v>
      </c>
      <c r="D40" s="158">
        <v>0</v>
      </c>
      <c r="E40" s="158">
        <f>0</f>
        <v>0</v>
      </c>
      <c r="F40" s="158">
        <v>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8">
        <v>0</v>
      </c>
      <c r="M40" s="158">
        <v>0</v>
      </c>
      <c r="N40" s="158"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5">
      <c r="A41" s="157" t="s">
        <v>882</v>
      </c>
      <c r="B41" s="858" t="s">
        <v>974</v>
      </c>
      <c r="C41" s="158">
        <v>0</v>
      </c>
      <c r="D41" s="158">
        <v>0</v>
      </c>
      <c r="E41" s="158">
        <f>0</f>
        <v>0</v>
      </c>
      <c r="F41" s="158">
        <v>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8"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5">
      <c r="A42" s="157" t="s">
        <v>882</v>
      </c>
      <c r="B42" s="858" t="s">
        <v>974</v>
      </c>
      <c r="C42" s="158">
        <v>0</v>
      </c>
      <c r="D42" s="158">
        <v>0</v>
      </c>
      <c r="E42" s="158">
        <v>0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8"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5">
      <c r="A43" s="157" t="s">
        <v>882</v>
      </c>
      <c r="B43" s="858" t="s">
        <v>974</v>
      </c>
      <c r="C43" s="158">
        <v>0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8"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5">
      <c r="A44" s="157" t="s">
        <v>877</v>
      </c>
      <c r="B44" s="806"/>
      <c r="C44" s="158">
        <v>0</v>
      </c>
      <c r="D44" s="158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8">
        <v>0</v>
      </c>
      <c r="M44" s="158">
        <v>0</v>
      </c>
      <c r="N44" s="158">
        <v>0</v>
      </c>
      <c r="O44" s="156">
        <f t="shared" si="9"/>
        <v>0</v>
      </c>
      <c r="P44" s="158">
        <f t="shared" si="10"/>
        <v>0</v>
      </c>
      <c r="Q44" s="156">
        <f t="shared" si="11"/>
        <v>0</v>
      </c>
      <c r="R44" s="156"/>
      <c r="S44" s="156"/>
      <c r="T44" s="156"/>
      <c r="U44" s="156"/>
    </row>
    <row r="45" spans="1:21" x14ac:dyDescent="0.25">
      <c r="A45" s="157" t="s">
        <v>956</v>
      </c>
      <c r="B45" s="806"/>
      <c r="C45" s="158">
        <v>0</v>
      </c>
      <c r="D45" s="158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0</v>
      </c>
      <c r="M45" s="158">
        <v>0</v>
      </c>
      <c r="N45" s="158"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5">
      <c r="A46" s="157" t="s">
        <v>956</v>
      </c>
      <c r="B46" s="806"/>
      <c r="C46" s="158">
        <v>0</v>
      </c>
      <c r="D46" s="158">
        <v>0</v>
      </c>
      <c r="E46" s="545">
        <v>0</v>
      </c>
      <c r="F46" s="158">
        <v>0</v>
      </c>
      <c r="G46" s="545">
        <v>0</v>
      </c>
      <c r="H46" s="545">
        <v>0</v>
      </c>
      <c r="I46" s="545">
        <v>0</v>
      </c>
      <c r="J46" s="158">
        <v>0</v>
      </c>
      <c r="K46" s="158">
        <v>0</v>
      </c>
      <c r="L46" s="545">
        <v>0</v>
      </c>
      <c r="M46" s="158">
        <v>0</v>
      </c>
      <c r="N46" s="158">
        <v>0</v>
      </c>
      <c r="O46" s="156">
        <f t="shared" si="9"/>
        <v>0</v>
      </c>
      <c r="P46" s="158">
        <f t="shared" si="10"/>
        <v>0</v>
      </c>
      <c r="Q46" s="156">
        <f t="shared" si="11"/>
        <v>0</v>
      </c>
      <c r="R46" s="156"/>
      <c r="S46" s="156"/>
      <c r="T46" s="156"/>
      <c r="U46" s="156"/>
    </row>
    <row r="47" spans="1:21" x14ac:dyDescent="0.25">
      <c r="A47" s="157" t="s">
        <v>1026</v>
      </c>
      <c r="B47" s="806"/>
      <c r="C47" s="158">
        <v>3</v>
      </c>
      <c r="D47" s="158">
        <v>3</v>
      </c>
      <c r="E47" s="158">
        <v>3</v>
      </c>
      <c r="F47" s="158">
        <v>3</v>
      </c>
      <c r="G47" s="158">
        <v>3</v>
      </c>
      <c r="H47" s="158">
        <v>3</v>
      </c>
      <c r="I47" s="158">
        <v>3</v>
      </c>
      <c r="J47" s="158">
        <v>3</v>
      </c>
      <c r="K47" s="158">
        <v>3</v>
      </c>
      <c r="L47" s="158">
        <v>3</v>
      </c>
      <c r="M47" s="158">
        <v>3</v>
      </c>
      <c r="N47" s="158">
        <v>3</v>
      </c>
      <c r="O47" s="156">
        <f>SUM(C47:N47)</f>
        <v>36</v>
      </c>
      <c r="P47" s="158">
        <f t="shared" si="10"/>
        <v>9</v>
      </c>
      <c r="Q47" s="156">
        <f>(O47-P47)</f>
        <v>27</v>
      </c>
      <c r="R47" s="156"/>
      <c r="S47" s="156"/>
      <c r="T47" s="156"/>
      <c r="U47" s="156"/>
    </row>
    <row r="48" spans="1:21" x14ac:dyDescent="0.25">
      <c r="A48" s="157" t="s">
        <v>1052</v>
      </c>
      <c r="B48" s="806"/>
      <c r="C48" s="158">
        <v>0</v>
      </c>
      <c r="D48" s="158">
        <v>0</v>
      </c>
      <c r="E48" s="158">
        <v>0</v>
      </c>
      <c r="F48" s="865">
        <f>2-2</f>
        <v>0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8"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5">
      <c r="A49" s="157" t="s">
        <v>604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" customHeight="1" x14ac:dyDescent="0.25">
      <c r="A50" s="155"/>
      <c r="B50" s="805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5">
      <c r="A51" s="395" t="s">
        <v>883</v>
      </c>
      <c r="B51" s="152"/>
      <c r="C51" s="161">
        <f t="shared" ref="C51:Q51" si="12">SUM(C37:C49)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9</v>
      </c>
      <c r="Q51" s="161">
        <f t="shared" si="12"/>
        <v>27</v>
      </c>
      <c r="R51" s="162"/>
      <c r="S51" s="162"/>
      <c r="T51" s="156"/>
      <c r="U51" s="156"/>
    </row>
    <row r="52" spans="1:23" ht="12.75" customHeight="1" x14ac:dyDescent="0.25">
      <c r="A52" s="155"/>
      <c r="B52" s="80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5">
      <c r="A53" s="395" t="s">
        <v>884</v>
      </c>
      <c r="B53" s="152"/>
      <c r="C53" s="161">
        <f t="shared" ref="C53:Q53" si="13">(C17+C27+C34+C51)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-712</v>
      </c>
      <c r="J53" s="161">
        <f t="shared" si="13"/>
        <v>-797</v>
      </c>
      <c r="K53" s="161">
        <f t="shared" si="13"/>
        <v>-749</v>
      </c>
      <c r="L53" s="161">
        <f t="shared" si="13"/>
        <v>-764</v>
      </c>
      <c r="M53" s="161">
        <f t="shared" si="13"/>
        <v>-759</v>
      </c>
      <c r="N53" s="161">
        <f t="shared" si="13"/>
        <v>-752</v>
      </c>
      <c r="O53" s="161">
        <f t="shared" si="13"/>
        <v>-8872</v>
      </c>
      <c r="P53" s="161">
        <f t="shared" si="13"/>
        <v>-2090</v>
      </c>
      <c r="Q53" s="161">
        <f t="shared" si="13"/>
        <v>-6782</v>
      </c>
      <c r="R53" s="162"/>
      <c r="S53" s="162"/>
      <c r="T53" s="162"/>
      <c r="U53" s="162"/>
      <c r="V53" s="154"/>
      <c r="W53" s="154"/>
    </row>
    <row r="54" spans="1:23" x14ac:dyDescent="0.25">
      <c r="A54" s="155"/>
      <c r="B54" s="805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5"/>
    <row r="56" spans="1:23" x14ac:dyDescent="0.25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5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5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5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5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5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5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5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5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5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5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5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5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5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5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10.6640625" defaultRowHeight="13.2" x14ac:dyDescent="0.25"/>
  <cols>
    <col min="1" max="1" width="5.6640625" style="196" customWidth="1"/>
    <col min="2" max="2" width="45.6640625" style="196" customWidth="1"/>
    <col min="3" max="3" width="8.6640625" style="447" customWidth="1"/>
    <col min="4" max="4" width="2.6640625" style="196" customWidth="1"/>
    <col min="5" max="5" width="11.6640625" style="196" customWidth="1"/>
    <col min="6" max="10" width="10.6640625" style="196" customWidth="1"/>
    <col min="11" max="12" width="10.6640625" style="196"/>
    <col min="13" max="13" width="5.6640625" style="196" customWidth="1"/>
    <col min="14" max="14" width="45.6640625" style="196" customWidth="1"/>
    <col min="15" max="15" width="8.6640625" style="447" customWidth="1"/>
    <col min="16" max="16" width="2.6640625" style="196" customWidth="1"/>
    <col min="17" max="17" width="11.5546875" style="196" customWidth="1"/>
    <col min="18" max="29" width="9.6640625" style="196" customWidth="1"/>
    <col min="30" max="32" width="10.6640625" style="196" customWidth="1"/>
    <col min="33" max="34" width="10.6640625" style="196"/>
    <col min="35" max="35" width="5.6640625" style="196" customWidth="1"/>
    <col min="36" max="36" width="55.6640625" style="196" customWidth="1"/>
    <col min="37" max="37" width="8.6640625" style="447" customWidth="1"/>
    <col min="38" max="38" width="2.6640625" style="196" customWidth="1"/>
    <col min="39" max="49" width="10.6640625" style="196" customWidth="1"/>
    <col min="50" max="51" width="10.6640625" style="196"/>
    <col min="52" max="52" width="5.6640625" style="196" customWidth="1"/>
    <col min="53" max="53" width="45.6640625" style="196" customWidth="1"/>
    <col min="54" max="54" width="1.6640625" style="196" customWidth="1"/>
    <col min="55" max="55" width="6.6640625" style="196" customWidth="1"/>
    <col min="56" max="60" width="9.6640625" style="196" customWidth="1"/>
    <col min="61" max="16384" width="10.6640625" style="196"/>
  </cols>
  <sheetData>
    <row r="1" spans="1:68" ht="12" customHeight="1" x14ac:dyDescent="0.25">
      <c r="A1" s="550" t="str">
        <f ca="1">CELL("FILENAME")</f>
        <v>P:\Finance\2001CE\[EMTW01CE.XLS]DataBase</v>
      </c>
      <c r="B1" s="195"/>
      <c r="C1" s="824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P:\Finance\2001CE\[EMTW01CE.XLS]DataBase</v>
      </c>
      <c r="N1" s="195"/>
      <c r="O1" s="824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P:\Finance\2001CE\[EMTW01CE.XLS]DataBase</v>
      </c>
      <c r="AJ1" s="195"/>
      <c r="AK1" s="824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5">
      <c r="A2" s="419" t="s">
        <v>616</v>
      </c>
      <c r="B2" s="195"/>
      <c r="C2" s="824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354</v>
      </c>
      <c r="N2" s="195"/>
      <c r="O2" s="824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355</v>
      </c>
      <c r="AJ2" s="195"/>
      <c r="AK2" s="824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5">
      <c r="B3"/>
      <c r="C3" s="825">
        <f ca="1">NOW()</f>
        <v>37109.471773379628</v>
      </c>
      <c r="E3" s="511" t="s">
        <v>356</v>
      </c>
      <c r="F3" s="512"/>
      <c r="G3" s="512"/>
      <c r="H3" s="513"/>
      <c r="I3" s="422"/>
      <c r="J3" s="422"/>
      <c r="N3"/>
      <c r="O3" s="825">
        <f ca="1">NOW()</f>
        <v>37109.471773379628</v>
      </c>
      <c r="U3" s="514" t="str">
        <f>E3</f>
        <v>DEFERRED TAX ITEMS</v>
      </c>
      <c r="V3" s="516"/>
      <c r="W3" s="516"/>
      <c r="X3" s="516"/>
      <c r="AJ3"/>
      <c r="AK3" s="825">
        <f ca="1">NOW()</f>
        <v>37109.471773379628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5">
      <c r="B4"/>
      <c r="C4" s="826">
        <f ca="1">NOW()</f>
        <v>37109.471773379628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6">
        <f ca="1">NOW()</f>
        <v>37109.471773379628</v>
      </c>
      <c r="U4" s="514" t="str">
        <f>E4</f>
        <v>(Thousands of Dollars)</v>
      </c>
      <c r="V4" s="516"/>
      <c r="W4" s="516"/>
      <c r="X4" s="517"/>
      <c r="AJ4"/>
      <c r="AK4" s="826">
        <f ca="1">NOW()</f>
        <v>37109.471773379628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5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3">
      <c r="A6" s="198"/>
      <c r="B6" s="198"/>
      <c r="C6" s="203"/>
      <c r="D6" s="198"/>
      <c r="E6" s="423"/>
      <c r="F6" s="424" t="s">
        <v>357</v>
      </c>
      <c r="G6" s="425"/>
      <c r="H6" s="426" t="s">
        <v>358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523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5">
      <c r="A7" s="198"/>
      <c r="B7" s="198"/>
      <c r="C7" s="203"/>
      <c r="D7" s="198"/>
      <c r="E7" s="426" t="s">
        <v>359</v>
      </c>
      <c r="F7" s="423"/>
      <c r="G7" s="423"/>
      <c r="H7" s="426" t="s">
        <v>360</v>
      </c>
      <c r="I7" s="435" t="s">
        <v>361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IncomeState!C6</f>
        <v>ACT.</v>
      </c>
      <c r="S7" s="205" t="str">
        <f>IncomeState!D6</f>
        <v>ACT.</v>
      </c>
      <c r="T7" s="205" t="str">
        <f>IncomeState!E6</f>
        <v>ACT.</v>
      </c>
      <c r="U7" s="205" t="str">
        <f>IncomeState!F6</f>
        <v>ACT.</v>
      </c>
      <c r="V7" s="205" t="str">
        <f>IncomeState!G6</f>
        <v>ACT.</v>
      </c>
      <c r="W7" s="205" t="str">
        <f>IncomeState!H6</f>
        <v>ACT.</v>
      </c>
      <c r="X7" s="205" t="str">
        <f>IncomeState!I6</f>
        <v>FLASH</v>
      </c>
      <c r="Y7" s="205">
        <f>IncomeState!J6</f>
        <v>0</v>
      </c>
      <c r="Z7" s="205">
        <f>IncomeState!K6</f>
        <v>0</v>
      </c>
      <c r="AA7" s="205">
        <f>IncomeState!L6</f>
        <v>0</v>
      </c>
      <c r="AB7" s="205">
        <f>IncomeState!M6</f>
        <v>0</v>
      </c>
      <c r="AC7" s="205">
        <f>IncomeState!N6</f>
        <v>0</v>
      </c>
      <c r="AD7" s="205" t="str">
        <f>IncomeState!O6</f>
        <v>TOTAL</v>
      </c>
      <c r="AE7" s="205" t="str">
        <f>IncomeState!P6</f>
        <v>JUNE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4" t="s">
        <v>984</v>
      </c>
      <c r="AN7" s="664" t="s">
        <v>894</v>
      </c>
      <c r="AO7" s="664" t="s">
        <v>983</v>
      </c>
      <c r="AP7" s="449" t="s">
        <v>362</v>
      </c>
      <c r="AQ7" s="450"/>
      <c r="AR7" s="198"/>
      <c r="AS7" s="480"/>
      <c r="AT7" s="480" t="s">
        <v>363</v>
      </c>
      <c r="AU7" s="435" t="s">
        <v>896</v>
      </c>
      <c r="AV7" s="449" t="s">
        <v>362</v>
      </c>
      <c r="AW7" s="450"/>
      <c r="AX7" s="198"/>
      <c r="BO7" s="204"/>
      <c r="BP7" s="204"/>
    </row>
    <row r="8" spans="1:68" ht="12" customHeight="1" x14ac:dyDescent="0.25">
      <c r="A8" s="420" t="s">
        <v>364</v>
      </c>
      <c r="B8" s="429" t="s">
        <v>365</v>
      </c>
      <c r="C8" s="833"/>
      <c r="D8" s="208"/>
      <c r="E8" s="420" t="s">
        <v>366</v>
      </c>
      <c r="F8" s="681" t="s">
        <v>1067</v>
      </c>
      <c r="G8" s="681" t="s">
        <v>1064</v>
      </c>
      <c r="H8" s="420" t="s">
        <v>367</v>
      </c>
      <c r="I8" s="427" t="s">
        <v>368</v>
      </c>
      <c r="J8" s="434" t="s">
        <v>369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7"/>
      <c r="P8" s="210"/>
      <c r="Q8" s="207" t="str">
        <f t="shared" si="0"/>
        <v>CODE</v>
      </c>
      <c r="R8" s="438" t="s">
        <v>591</v>
      </c>
      <c r="S8" s="438" t="s">
        <v>592</v>
      </c>
      <c r="T8" s="438" t="s">
        <v>593</v>
      </c>
      <c r="U8" s="438" t="s">
        <v>594</v>
      </c>
      <c r="V8" s="438" t="s">
        <v>595</v>
      </c>
      <c r="W8" s="438" t="s">
        <v>596</v>
      </c>
      <c r="X8" s="438" t="s">
        <v>597</v>
      </c>
      <c r="Y8" s="438" t="s">
        <v>598</v>
      </c>
      <c r="Z8" s="438" t="s">
        <v>599</v>
      </c>
      <c r="AA8" s="438" t="s">
        <v>600</v>
      </c>
      <c r="AB8" s="438" t="s">
        <v>601</v>
      </c>
      <c r="AC8" s="438" t="s">
        <v>602</v>
      </c>
      <c r="AD8" s="682">
        <f>IncomeState!O7</f>
        <v>2001</v>
      </c>
      <c r="AE8" s="682" t="str">
        <f>IncomeState!P7</f>
        <v>Y-T-D</v>
      </c>
      <c r="AF8" s="682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81" t="s">
        <v>985</v>
      </c>
      <c r="AN8" s="681" t="s">
        <v>371</v>
      </c>
      <c r="AO8" s="499" t="s">
        <v>370</v>
      </c>
      <c r="AP8" s="499" t="s">
        <v>986</v>
      </c>
      <c r="AQ8" s="681" t="s">
        <v>370</v>
      </c>
      <c r="AR8" s="210"/>
      <c r="AS8" s="428" t="s">
        <v>372</v>
      </c>
      <c r="AT8" s="428" t="s">
        <v>373</v>
      </c>
      <c r="AU8" s="427" t="s">
        <v>371</v>
      </c>
      <c r="AV8" s="428" t="s">
        <v>373</v>
      </c>
      <c r="AW8" s="427" t="s">
        <v>374</v>
      </c>
      <c r="AX8" s="198"/>
      <c r="BO8" s="204"/>
      <c r="BP8" s="204"/>
    </row>
    <row r="9" spans="1:68" ht="12" customHeight="1" x14ac:dyDescent="0.25">
      <c r="A9" s="212" t="s">
        <v>375</v>
      </c>
      <c r="B9" s="430" t="s">
        <v>869</v>
      </c>
      <c r="C9" s="218"/>
      <c r="D9" s="200"/>
      <c r="E9" s="212" t="s">
        <v>376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SUM(R9:W9)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5">
      <c r="A10" s="212" t="s">
        <v>375</v>
      </c>
      <c r="B10" s="430" t="s">
        <v>377</v>
      </c>
      <c r="C10" s="218"/>
      <c r="D10" s="218"/>
      <c r="E10" s="212" t="s">
        <v>376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SUM(R10:W10)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5">
      <c r="A11" s="212" t="s">
        <v>378</v>
      </c>
      <c r="B11" s="430" t="s">
        <v>379</v>
      </c>
      <c r="C11" s="218"/>
      <c r="D11" s="218" t="s">
        <v>380</v>
      </c>
      <c r="E11" s="467" t="s">
        <v>758</v>
      </c>
      <c r="F11" s="214">
        <v>-6850</v>
      </c>
      <c r="G11" s="214">
        <v>-5647</v>
      </c>
      <c r="H11" s="215">
        <f t="shared" si="3"/>
        <v>-1203</v>
      </c>
      <c r="I11" s="214">
        <v>0</v>
      </c>
      <c r="J11" s="215">
        <f t="shared" si="4"/>
        <v>-1203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-'Fuel-Depr-OtherTax'!C28+'Fuel-Depr-OtherTax'!C23+'Fuel-Depr-OtherTax'!C17+'Fuel-Depr-OtherTax'!C19+91</f>
        <v>-1002</v>
      </c>
      <c r="S11" s="264">
        <f>-'Fuel-Depr-OtherTax'!D28+'Fuel-Depr-OtherTax'!D23+'Fuel-Depr-OtherTax'!D17+'Fuel-Depr-OtherTax'!D19-2</f>
        <v>-1096</v>
      </c>
      <c r="T11" s="264">
        <f>-'Fuel-Depr-OtherTax'!E28+'Fuel-Depr-OtherTax'!E23+'Fuel-Depr-OtherTax'!E17+'Fuel-Depr-OtherTax'!E19-98</f>
        <v>-1166</v>
      </c>
      <c r="U11" s="264">
        <f>-'Fuel-Depr-OtherTax'!F28+'Fuel-Depr-OtherTax'!F23+'Fuel-Depr-OtherTax'!F17+'Fuel-Depr-OtherTax'!F19-2</f>
        <v>-1118</v>
      </c>
      <c r="V11" s="264">
        <f>-'Fuel-Depr-OtherTax'!G28+'Fuel-Depr-OtherTax'!G23+'Fuel-Depr-OtherTax'!G17+'Fuel-Depr-OtherTax'!G19-193</f>
        <v>-1265</v>
      </c>
      <c r="W11" s="264">
        <f>-'Fuel-Depr-OtherTax'!H28+'Fuel-Depr-OtherTax'!H23+'Fuel-Depr-OtherTax'!H17+'Fuel-Depr-OtherTax'!H19-22</f>
        <v>-1203</v>
      </c>
      <c r="X11" s="215">
        <f>-'Fuel-Depr-OtherTax'!I28+'Fuel-Depr-OtherTax'!I23+'Fuel-Depr-OtherTax'!I17+'Fuel-Depr-OtherTax'!I19</f>
        <v>-1173</v>
      </c>
      <c r="Y11" s="215">
        <f>-'Fuel-Depr-OtherTax'!J28+'Fuel-Depr-OtherTax'!J23+'Fuel-Depr-OtherTax'!J17+'Fuel-Depr-OtherTax'!J19</f>
        <v>-1221</v>
      </c>
      <c r="Z11" s="215">
        <f>-'Fuel-Depr-OtherTax'!K28+'Fuel-Depr-OtherTax'!K23+'Fuel-Depr-OtherTax'!K17+'Fuel-Depr-OtherTax'!K19</f>
        <v>-1222</v>
      </c>
      <c r="AA11" s="215">
        <f>-'Fuel-Depr-OtherTax'!L28+'Fuel-Depr-OtherTax'!L23+'Fuel-Depr-OtherTax'!L17+'Fuel-Depr-OtherTax'!L19</f>
        <v>-1323</v>
      </c>
      <c r="AB11" s="215">
        <f>-'Fuel-Depr-OtherTax'!M28+'Fuel-Depr-OtherTax'!M23+'Fuel-Depr-OtherTax'!M17+'Fuel-Depr-OtherTax'!M19</f>
        <v>-1321</v>
      </c>
      <c r="AC11" s="215">
        <f>-'Fuel-Depr-OtherTax'!N28+'Fuel-Depr-OtherTax'!N23+'Fuel-Depr-OtherTax'!N17+'Fuel-Depr-OtherTax'!N19</f>
        <v>-1322</v>
      </c>
      <c r="AD11" s="215">
        <f t="shared" si="5"/>
        <v>-14432</v>
      </c>
      <c r="AE11" s="214">
        <f t="shared" si="14"/>
        <v>-6850</v>
      </c>
      <c r="AF11" s="215">
        <f t="shared" si="6"/>
        <v>-7582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-14432</v>
      </c>
      <c r="AN11" s="264">
        <v>-15612</v>
      </c>
      <c r="AO11" s="264">
        <v>-15660</v>
      </c>
      <c r="AP11" s="215">
        <f t="shared" si="10"/>
        <v>1180</v>
      </c>
      <c r="AQ11" s="215">
        <f t="shared" si="11"/>
        <v>1228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5">
      <c r="A12" s="212" t="s">
        <v>378</v>
      </c>
      <c r="B12" s="430" t="s">
        <v>381</v>
      </c>
      <c r="C12" s="218"/>
      <c r="D12" s="200"/>
      <c r="E12" s="467" t="s">
        <v>759</v>
      </c>
      <c r="F12" s="214">
        <v>13956</v>
      </c>
      <c r="G12" s="214">
        <v>11630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13956</v>
      </c>
      <c r="AF12" s="215">
        <f t="shared" si="6"/>
        <v>13960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5">
      <c r="A13" s="212" t="s">
        <v>378</v>
      </c>
      <c r="B13" s="430" t="s">
        <v>382</v>
      </c>
      <c r="C13" s="218"/>
      <c r="D13" s="200"/>
      <c r="E13" s="212">
        <v>111006</v>
      </c>
      <c r="F13" s="214">
        <v>-64</v>
      </c>
      <c r="G13" s="214">
        <v>-53</v>
      </c>
      <c r="H13" s="215">
        <f t="shared" si="3"/>
        <v>-11</v>
      </c>
      <c r="I13" s="214">
        <v>0</v>
      </c>
      <c r="J13" s="215">
        <f t="shared" si="4"/>
        <v>-11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-'Fuel-Depr-OtherTax'!C17</f>
        <v>-11</v>
      </c>
      <c r="S13" s="215">
        <f>-'Fuel-Depr-OtherTax'!D17</f>
        <v>-10</v>
      </c>
      <c r="T13" s="215">
        <f>-'Fuel-Depr-OtherTax'!E17</f>
        <v>-11</v>
      </c>
      <c r="U13" s="215">
        <f>-'Fuel-Depr-OtherTax'!F17</f>
        <v>-10</v>
      </c>
      <c r="V13" s="215">
        <f>-'Fuel-Depr-OtherTax'!G17</f>
        <v>-11</v>
      </c>
      <c r="W13" s="215">
        <f>-'Fuel-Depr-OtherTax'!H17</f>
        <v>-11</v>
      </c>
      <c r="X13" s="215">
        <f>-'Fuel-Depr-OtherTax'!I17</f>
        <v>-10</v>
      </c>
      <c r="Y13" s="215">
        <f>-'Fuel-Depr-OtherTax'!J17</f>
        <v>-11</v>
      </c>
      <c r="Z13" s="215">
        <f>-'Fuel-Depr-OtherTax'!K17</f>
        <v>-11</v>
      </c>
      <c r="AA13" s="215">
        <f>-'Fuel-Depr-OtherTax'!L17</f>
        <v>-10</v>
      </c>
      <c r="AB13" s="215">
        <f>-'Fuel-Depr-OtherTax'!M17</f>
        <v>-11</v>
      </c>
      <c r="AC13" s="215">
        <f>-'Fuel-Depr-OtherTax'!N17</f>
        <v>-10</v>
      </c>
      <c r="AD13" s="215">
        <f t="shared" si="5"/>
        <v>-127</v>
      </c>
      <c r="AE13" s="214">
        <f t="shared" si="14"/>
        <v>-64</v>
      </c>
      <c r="AF13" s="215">
        <f t="shared" si="6"/>
        <v>-63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-127</v>
      </c>
      <c r="AN13" s="264">
        <v>-127</v>
      </c>
      <c r="AO13" s="264">
        <v>-127</v>
      </c>
      <c r="AP13" s="215">
        <f t="shared" si="10"/>
        <v>0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5">
      <c r="A14" s="219" t="s">
        <v>378</v>
      </c>
      <c r="B14" s="220" t="s">
        <v>383</v>
      </c>
      <c r="C14" s="219"/>
      <c r="D14" s="215"/>
      <c r="E14" s="212">
        <v>113003</v>
      </c>
      <c r="F14" s="214">
        <v>450</v>
      </c>
      <c r="G14" s="214">
        <v>375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450</v>
      </c>
      <c r="AF14" s="215">
        <f t="shared" si="6"/>
        <v>450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5">
      <c r="A15" s="212" t="s">
        <v>378</v>
      </c>
      <c r="B15" s="213" t="s">
        <v>384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5">
      <c r="A16" s="212" t="s">
        <v>378</v>
      </c>
      <c r="B16" s="221" t="s">
        <v>385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5">
      <c r="A17" s="212" t="s">
        <v>378</v>
      </c>
      <c r="B17" s="221" t="s">
        <v>386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5">
      <c r="A18" s="212" t="s">
        <v>378</v>
      </c>
      <c r="B18" s="221" t="s">
        <v>387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0</v>
      </c>
      <c r="AO18" s="264">
        <v>0</v>
      </c>
      <c r="AP18" s="215">
        <f t="shared" si="10"/>
        <v>2416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5">
      <c r="A19" s="212" t="s">
        <v>378</v>
      </c>
      <c r="B19" s="430" t="s">
        <v>388</v>
      </c>
      <c r="C19" s="218"/>
      <c r="D19" s="218" t="s">
        <v>380</v>
      </c>
      <c r="E19" s="212" t="s">
        <v>389</v>
      </c>
      <c r="F19" s="214">
        <v>91</v>
      </c>
      <c r="G19" s="214">
        <v>73</v>
      </c>
      <c r="H19" s="215">
        <f t="shared" si="3"/>
        <v>18</v>
      </c>
      <c r="I19" s="214">
        <v>0</v>
      </c>
      <c r="J19" s="215">
        <f t="shared" si="4"/>
        <v>18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-IntDeduct!C30+OtherInc!C27</f>
        <v>18</v>
      </c>
      <c r="S19" s="495">
        <f>-IntDeduct!D30+OtherInc!D27</f>
        <v>17</v>
      </c>
      <c r="T19" s="495">
        <f>-IntDeduct!E30+OtherInc!E27</f>
        <v>14</v>
      </c>
      <c r="U19" s="495">
        <f>-IntDeduct!F30+OtherInc!F27</f>
        <v>12</v>
      </c>
      <c r="V19" s="495">
        <f>-IntDeduct!G30+OtherInc!G27</f>
        <v>12</v>
      </c>
      <c r="W19" s="495">
        <f>-IntDeduct!H30+OtherInc!H27</f>
        <v>18</v>
      </c>
      <c r="X19" s="495">
        <f>-IntDeduct!I30+OtherInc!I27</f>
        <v>11</v>
      </c>
      <c r="Y19" s="495">
        <f>-IntDeduct!J30+OtherInc!J27</f>
        <v>41</v>
      </c>
      <c r="Z19" s="495">
        <f>-IntDeduct!K30+OtherInc!K27</f>
        <v>33</v>
      </c>
      <c r="AA19" s="495">
        <f>-IntDeduct!L30+OtherInc!L27</f>
        <v>20</v>
      </c>
      <c r="AB19" s="495">
        <f>-IntDeduct!M30+OtherInc!M27</f>
        <v>35</v>
      </c>
      <c r="AC19" s="495">
        <f>-IntDeduct!N30+OtherInc!N27</f>
        <v>30</v>
      </c>
      <c r="AD19" s="215">
        <f t="shared" si="5"/>
        <v>261</v>
      </c>
      <c r="AE19" s="214">
        <f t="shared" si="14"/>
        <v>91</v>
      </c>
      <c r="AF19" s="215">
        <f t="shared" si="6"/>
        <v>170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261</v>
      </c>
      <c r="AN19" s="264">
        <v>131</v>
      </c>
      <c r="AO19" s="264">
        <v>180</v>
      </c>
      <c r="AP19" s="215">
        <f t="shared" si="10"/>
        <v>130</v>
      </c>
      <c r="AQ19" s="215">
        <f t="shared" si="11"/>
        <v>81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5">
      <c r="A20" s="212" t="s">
        <v>378</v>
      </c>
      <c r="B20" s="430" t="s">
        <v>390</v>
      </c>
      <c r="C20" s="218"/>
      <c r="D20" s="218"/>
      <c r="E20" s="467" t="s">
        <v>391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5">
      <c r="A21" s="212" t="s">
        <v>378</v>
      </c>
      <c r="B21" s="431" t="s">
        <v>392</v>
      </c>
      <c r="C21" s="212"/>
      <c r="D21" s="218" t="s">
        <v>380</v>
      </c>
      <c r="E21" s="212" t="s">
        <v>393</v>
      </c>
      <c r="F21" s="214">
        <v>-43</v>
      </c>
      <c r="G21" s="214">
        <v>-36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OtherInc!C28</f>
        <v>-7</v>
      </c>
      <c r="S21" s="495">
        <f>OtherInc!D28</f>
        <v>-7</v>
      </c>
      <c r="T21" s="495">
        <f>OtherInc!E28</f>
        <v>-7</v>
      </c>
      <c r="U21" s="495">
        <f>OtherInc!F28</f>
        <v>-8</v>
      </c>
      <c r="V21" s="495">
        <f>OtherInc!G28</f>
        <v>-7</v>
      </c>
      <c r="W21" s="495">
        <f>OtherInc!H28</f>
        <v>-7</v>
      </c>
      <c r="X21" s="495">
        <f>OtherInc!I28</f>
        <v>-7</v>
      </c>
      <c r="Y21" s="495">
        <f>OtherInc!J28</f>
        <v>-7</v>
      </c>
      <c r="Z21" s="495">
        <f>OtherInc!K28</f>
        <v>-7</v>
      </c>
      <c r="AA21" s="495">
        <f>OtherInc!L28</f>
        <v>-7</v>
      </c>
      <c r="AB21" s="495">
        <f>OtherInc!M28</f>
        <v>-7</v>
      </c>
      <c r="AC21" s="495">
        <f>OtherInc!N28</f>
        <v>-7</v>
      </c>
      <c r="AD21" s="215">
        <f t="shared" si="5"/>
        <v>-85</v>
      </c>
      <c r="AE21" s="214">
        <f t="shared" si="14"/>
        <v>-43</v>
      </c>
      <c r="AF21" s="215">
        <f t="shared" si="6"/>
        <v>-42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-84</v>
      </c>
      <c r="AO21" s="264">
        <v>-24</v>
      </c>
      <c r="AP21" s="215">
        <f t="shared" si="10"/>
        <v>-1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5">
      <c r="A22" s="212" t="s">
        <v>378</v>
      </c>
      <c r="B22" s="431" t="s">
        <v>522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5">
      <c r="A23" s="212" t="s">
        <v>378</v>
      </c>
      <c r="B23" s="431" t="s">
        <v>394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5">
      <c r="A24" s="212" t="s">
        <v>378</v>
      </c>
      <c r="B24" s="431" t="s">
        <v>395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5">
      <c r="A25" s="212" t="s">
        <v>378</v>
      </c>
      <c r="B25" s="431" t="s">
        <v>396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5">
      <c r="A26" s="212" t="s">
        <v>378</v>
      </c>
      <c r="B26" s="431" t="s">
        <v>397</v>
      </c>
      <c r="C26" s="218"/>
      <c r="D26" s="218"/>
      <c r="E26" s="467">
        <v>115005</v>
      </c>
      <c r="F26" s="214">
        <v>-645</v>
      </c>
      <c r="G26" s="214">
        <v>-538</v>
      </c>
      <c r="H26" s="215">
        <f t="shared" si="3"/>
        <v>-107</v>
      </c>
      <c r="I26" s="214">
        <v>0</v>
      </c>
      <c r="J26" s="215">
        <f t="shared" si="4"/>
        <v>-107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-107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-1287</v>
      </c>
      <c r="AE26" s="214">
        <f t="shared" si="14"/>
        <v>-645</v>
      </c>
      <c r="AF26" s="215">
        <f t="shared" si="6"/>
        <v>-642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-1287</v>
      </c>
      <c r="AN26" s="264">
        <v>-1286</v>
      </c>
      <c r="AO26" s="264">
        <v>-1284</v>
      </c>
      <c r="AP26" s="215">
        <f t="shared" si="16"/>
        <v>-1</v>
      </c>
      <c r="AQ26" s="215">
        <f t="shared" si="17"/>
        <v>-3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5">
      <c r="A27" s="212" t="s">
        <v>378</v>
      </c>
      <c r="B27" s="430" t="s">
        <v>398</v>
      </c>
      <c r="C27" s="218"/>
      <c r="D27" s="200"/>
      <c r="E27" s="212">
        <v>143002</v>
      </c>
      <c r="F27" s="214">
        <v>-75</v>
      </c>
      <c r="G27" s="214">
        <v>-62</v>
      </c>
      <c r="H27" s="215">
        <f t="shared" si="3"/>
        <v>-13</v>
      </c>
      <c r="I27" s="214">
        <v>0</v>
      </c>
      <c r="J27" s="215">
        <f t="shared" si="4"/>
        <v>-13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-75</v>
      </c>
      <c r="AF27" s="215">
        <f t="shared" si="6"/>
        <v>-75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5">
      <c r="A28" s="212" t="s">
        <v>378</v>
      </c>
      <c r="B28" s="431" t="s">
        <v>622</v>
      </c>
      <c r="C28" s="212"/>
      <c r="E28" s="467" t="s">
        <v>621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5">
      <c r="A29" s="212" t="s">
        <v>378</v>
      </c>
      <c r="B29" s="430" t="s">
        <v>399</v>
      </c>
      <c r="C29" s="218"/>
      <c r="D29" s="218" t="s">
        <v>380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-100</v>
      </c>
      <c r="AB29" s="215">
        <f t="shared" si="25"/>
        <v>-100</v>
      </c>
      <c r="AC29" s="215">
        <f t="shared" si="25"/>
        <v>-100</v>
      </c>
      <c r="AD29" s="215">
        <f t="shared" si="21"/>
        <v>-1172</v>
      </c>
      <c r="AE29" s="214">
        <f t="shared" si="14"/>
        <v>-872</v>
      </c>
      <c r="AF29" s="215">
        <f t="shared" si="24"/>
        <v>-300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-1172</v>
      </c>
      <c r="AN29" s="264">
        <v>-1172</v>
      </c>
      <c r="AO29" s="264">
        <v>-1171</v>
      </c>
      <c r="AP29" s="215">
        <f t="shared" si="16"/>
        <v>0</v>
      </c>
      <c r="AQ29" s="215">
        <f t="shared" si="17"/>
        <v>-1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5">
      <c r="A30" s="212" t="s">
        <v>378</v>
      </c>
      <c r="B30" s="213" t="s">
        <v>400</v>
      </c>
      <c r="C30" s="218"/>
      <c r="D30" s="218"/>
      <c r="E30" s="467" t="s">
        <v>401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1200</v>
      </c>
      <c r="AA30" s="214">
        <v>0</v>
      </c>
      <c r="AB30" s="214">
        <v>0</v>
      </c>
      <c r="AC30" s="214">
        <v>0</v>
      </c>
      <c r="AD30" s="215">
        <f t="shared" si="21"/>
        <v>1200</v>
      </c>
      <c r="AE30" s="214">
        <f t="shared" si="14"/>
        <v>0</v>
      </c>
      <c r="AF30" s="215">
        <f t="shared" si="24"/>
        <v>1200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1200</v>
      </c>
      <c r="AN30" s="264">
        <v>1200</v>
      </c>
      <c r="AO30" s="264">
        <v>1200</v>
      </c>
      <c r="AP30" s="215">
        <f t="shared" si="16"/>
        <v>0</v>
      </c>
      <c r="AQ30" s="215">
        <f t="shared" si="17"/>
        <v>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5">
      <c r="A31" s="212" t="s">
        <v>378</v>
      </c>
      <c r="B31" s="430" t="s">
        <v>402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5">
      <c r="A32" s="212" t="s">
        <v>378</v>
      </c>
      <c r="B32" s="430" t="s">
        <v>403</v>
      </c>
      <c r="C32" s="218"/>
      <c r="D32" s="218" t="s">
        <v>380</v>
      </c>
      <c r="E32" s="467" t="s">
        <v>669</v>
      </c>
      <c r="F32" s="214">
        <v>-24</v>
      </c>
      <c r="G32" s="214">
        <v>-20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-24</v>
      </c>
      <c r="AF32" s="215">
        <f>AD32-AE32</f>
        <v>-24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5">
      <c r="A33" s="212" t="s">
        <v>378</v>
      </c>
      <c r="B33" s="213" t="s">
        <v>404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5">
      <c r="A34" s="212" t="s">
        <v>378</v>
      </c>
      <c r="B34" s="430" t="s">
        <v>405</v>
      </c>
      <c r="C34" s="218"/>
      <c r="D34" s="200"/>
      <c r="E34" s="212" t="s">
        <v>406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5">
      <c r="A35" s="212" t="s">
        <v>378</v>
      </c>
      <c r="B35" s="430" t="s">
        <v>407</v>
      </c>
      <c r="C35" s="218"/>
      <c r="D35" s="218" t="s">
        <v>380</v>
      </c>
      <c r="E35" s="467" t="s">
        <v>408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5">
      <c r="A36" s="212" t="s">
        <v>378</v>
      </c>
      <c r="B36" s="430" t="s">
        <v>409</v>
      </c>
      <c r="C36" s="218"/>
      <c r="D36" s="218" t="s">
        <v>380</v>
      </c>
      <c r="E36" s="212" t="s">
        <v>410</v>
      </c>
      <c r="F36" s="214">
        <v>-12580</v>
      </c>
      <c r="G36" s="214">
        <v>-12254</v>
      </c>
      <c r="H36" s="215">
        <f>F36-G36</f>
        <v>-326</v>
      </c>
      <c r="I36" s="214">
        <v>0</v>
      </c>
      <c r="J36" s="215">
        <f>H36-I36</f>
        <v>-326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0</v>
      </c>
      <c r="Y36" s="215">
        <f t="shared" si="28"/>
        <v>0</v>
      </c>
      <c r="Z36" s="215">
        <f t="shared" si="28"/>
        <v>12280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-300</v>
      </c>
      <c r="AE36" s="214">
        <f t="shared" si="14"/>
        <v>-12580</v>
      </c>
      <c r="AF36" s="215">
        <f>AD36-AE36</f>
        <v>12280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-300</v>
      </c>
      <c r="AN36" s="264">
        <v>-284</v>
      </c>
      <c r="AO36" s="264">
        <v>0</v>
      </c>
      <c r="AP36" s="215">
        <f t="shared" si="16"/>
        <v>-16</v>
      </c>
      <c r="AQ36" s="215">
        <f t="shared" si="17"/>
        <v>-300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5">
      <c r="A37" s="212" t="s">
        <v>378</v>
      </c>
      <c r="B37" s="430" t="s">
        <v>411</v>
      </c>
      <c r="C37" s="218"/>
      <c r="D37" s="218" t="s">
        <v>380</v>
      </c>
      <c r="E37" s="212">
        <v>144024</v>
      </c>
      <c r="F37" s="214">
        <v>-58</v>
      </c>
      <c r="G37" s="214">
        <v>-48</v>
      </c>
      <c r="H37" s="215">
        <f>F37-G37</f>
        <v>-10</v>
      </c>
      <c r="I37" s="214">
        <v>0</v>
      </c>
      <c r="J37" s="215">
        <f>H37-I37</f>
        <v>-10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-10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-118</v>
      </c>
      <c r="AE37" s="214">
        <f t="shared" si="14"/>
        <v>-58</v>
      </c>
      <c r="AF37" s="215">
        <f>AD37-AE37</f>
        <v>-60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-118</v>
      </c>
      <c r="AN37" s="264">
        <v>-119</v>
      </c>
      <c r="AO37" s="264">
        <v>0</v>
      </c>
      <c r="AP37" s="215">
        <f t="shared" si="16"/>
        <v>1</v>
      </c>
      <c r="AQ37" s="215">
        <f t="shared" si="17"/>
        <v>-118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5">
      <c r="A38" s="212" t="s">
        <v>378</v>
      </c>
      <c r="B38" s="221" t="s">
        <v>412</v>
      </c>
      <c r="C38" s="212"/>
      <c r="D38" s="200"/>
      <c r="E38" s="467">
        <v>144042</v>
      </c>
      <c r="F38" s="214">
        <v>-181</v>
      </c>
      <c r="G38" s="214">
        <v>-151</v>
      </c>
      <c r="H38" s="215">
        <f t="shared" ref="H38:H46" si="30">F38-G38</f>
        <v>-30</v>
      </c>
      <c r="I38" s="214">
        <v>0</v>
      </c>
      <c r="J38" s="215">
        <f t="shared" ref="J38:J46" si="31">H38-I38</f>
        <v>-30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-181</v>
      </c>
      <c r="AF38" s="215">
        <f t="shared" ref="AF38:AF46" si="35">AD38-AE38</f>
        <v>-180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-361</v>
      </c>
      <c r="AN38" s="264">
        <v>-361</v>
      </c>
      <c r="AO38" s="264">
        <v>-360</v>
      </c>
      <c r="AP38" s="215">
        <f>AM38-AN38</f>
        <v>0</v>
      </c>
      <c r="AQ38" s="215">
        <f>AM38-AO38</f>
        <v>-1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5">
      <c r="A39" s="212" t="s">
        <v>378</v>
      </c>
      <c r="B39" s="221" t="s">
        <v>413</v>
      </c>
      <c r="C39" s="212"/>
      <c r="D39" s="200"/>
      <c r="E39" s="467">
        <v>144043</v>
      </c>
      <c r="F39" s="214">
        <v>-252</v>
      </c>
      <c r="G39" s="214">
        <v>-210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-252</v>
      </c>
      <c r="AF39" s="215">
        <f t="shared" si="35"/>
        <v>-256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-508</v>
      </c>
      <c r="AN39" s="264">
        <v>-508</v>
      </c>
      <c r="AO39" s="264">
        <v>-508</v>
      </c>
      <c r="AP39" s="215">
        <f>AM39-AN39</f>
        <v>0</v>
      </c>
      <c r="AQ39" s="215">
        <f>AM39-AO39</f>
        <v>0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5">
      <c r="A40" s="212" t="s">
        <v>378</v>
      </c>
      <c r="B40" s="431" t="s">
        <v>414</v>
      </c>
      <c r="C40" s="212"/>
      <c r="D40" s="200"/>
      <c r="E40" s="467">
        <v>144044</v>
      </c>
      <c r="F40" s="214">
        <v>-63</v>
      </c>
      <c r="G40" s="214">
        <v>-52</v>
      </c>
      <c r="H40" s="215">
        <f t="shared" si="30"/>
        <v>-11</v>
      </c>
      <c r="I40" s="214">
        <v>0</v>
      </c>
      <c r="J40" s="215">
        <f t="shared" si="31"/>
        <v>-11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-125</v>
      </c>
      <c r="AE40" s="214">
        <f t="shared" si="14"/>
        <v>-63</v>
      </c>
      <c r="AF40" s="215">
        <f t="shared" si="35"/>
        <v>-62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-125</v>
      </c>
      <c r="AN40" s="264">
        <v>-124</v>
      </c>
      <c r="AO40" s="264">
        <v>-122</v>
      </c>
      <c r="AP40" s="215">
        <f t="shared" ref="AP40:AP58" si="43">AM40-AN40</f>
        <v>-1</v>
      </c>
      <c r="AQ40" s="215">
        <f t="shared" ref="AQ40:AQ58" si="44">AM40-AO40</f>
        <v>-3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5">
      <c r="A41" s="212" t="s">
        <v>378</v>
      </c>
      <c r="B41" s="431" t="s">
        <v>415</v>
      </c>
      <c r="C41" s="212"/>
      <c r="D41" s="200"/>
      <c r="E41" s="467">
        <v>144045</v>
      </c>
      <c r="F41" s="214">
        <v>-189</v>
      </c>
      <c r="G41" s="214">
        <v>-158</v>
      </c>
      <c r="H41" s="215">
        <f t="shared" si="30"/>
        <v>-31</v>
      </c>
      <c r="I41" s="214">
        <v>0</v>
      </c>
      <c r="J41" s="215">
        <f t="shared" si="31"/>
        <v>-31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-189</v>
      </c>
      <c r="AF41" s="215">
        <f t="shared" si="35"/>
        <v>-189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-377</v>
      </c>
      <c r="AO41" s="264">
        <v>-375</v>
      </c>
      <c r="AP41" s="215">
        <f t="shared" si="43"/>
        <v>-1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5">
      <c r="A42" s="212" t="s">
        <v>378</v>
      </c>
      <c r="B42" s="431" t="s">
        <v>416</v>
      </c>
      <c r="C42" s="212"/>
      <c r="D42" s="200"/>
      <c r="E42" s="467">
        <v>144046</v>
      </c>
      <c r="F42" s="214">
        <v>-268</v>
      </c>
      <c r="G42" s="214">
        <v>-224</v>
      </c>
      <c r="H42" s="215">
        <f t="shared" si="30"/>
        <v>-44</v>
      </c>
      <c r="I42" s="214">
        <v>0</v>
      </c>
      <c r="J42" s="215">
        <f t="shared" si="31"/>
        <v>-44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-268</v>
      </c>
      <c r="AF42" s="215">
        <f t="shared" si="35"/>
        <v>-269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-538</v>
      </c>
      <c r="AO42" s="264">
        <v>-539</v>
      </c>
      <c r="AP42" s="215">
        <f t="shared" si="43"/>
        <v>1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5">
      <c r="A43" s="212" t="s">
        <v>378</v>
      </c>
      <c r="B43" s="431" t="s">
        <v>417</v>
      </c>
      <c r="C43" s="212"/>
      <c r="D43" s="200"/>
      <c r="E43" s="467">
        <v>144047</v>
      </c>
      <c r="F43" s="214">
        <v>-316</v>
      </c>
      <c r="G43" s="214">
        <v>-263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-632</v>
      </c>
      <c r="AE43" s="214">
        <f t="shared" si="14"/>
        <v>-316</v>
      </c>
      <c r="AF43" s="215">
        <f t="shared" si="35"/>
        <v>-316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-632</v>
      </c>
      <c r="AN43" s="264">
        <v>-633</v>
      </c>
      <c r="AO43" s="264">
        <v>-634</v>
      </c>
      <c r="AP43" s="215">
        <f t="shared" si="43"/>
        <v>1</v>
      </c>
      <c r="AQ43" s="215">
        <f t="shared" si="44"/>
        <v>2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5">
      <c r="A44" s="212" t="s">
        <v>378</v>
      </c>
      <c r="B44" s="431" t="s">
        <v>418</v>
      </c>
      <c r="C44" s="212"/>
      <c r="D44" s="200"/>
      <c r="E44" s="467">
        <v>144048</v>
      </c>
      <c r="F44" s="214">
        <v>-64</v>
      </c>
      <c r="G44" s="214">
        <v>-53</v>
      </c>
      <c r="H44" s="215">
        <f t="shared" si="30"/>
        <v>-11</v>
      </c>
      <c r="I44" s="214">
        <v>0</v>
      </c>
      <c r="J44" s="215">
        <f t="shared" si="31"/>
        <v>-11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-128</v>
      </c>
      <c r="AE44" s="214">
        <f t="shared" si="14"/>
        <v>-64</v>
      </c>
      <c r="AF44" s="215">
        <f t="shared" si="35"/>
        <v>-64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-128</v>
      </c>
      <c r="AN44" s="264">
        <v>-129</v>
      </c>
      <c r="AO44" s="264">
        <v>-130</v>
      </c>
      <c r="AP44" s="215">
        <f t="shared" si="43"/>
        <v>1</v>
      </c>
      <c r="AQ44" s="215">
        <f t="shared" si="44"/>
        <v>2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5">
      <c r="A45" s="212" t="s">
        <v>378</v>
      </c>
      <c r="B45" s="431" t="s">
        <v>419</v>
      </c>
      <c r="C45" s="212"/>
      <c r="D45" s="200"/>
      <c r="E45" s="467" t="s">
        <v>420</v>
      </c>
      <c r="F45" s="214">
        <v>-42</v>
      </c>
      <c r="G45" s="214">
        <v>-35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-42</v>
      </c>
      <c r="AF45" s="215">
        <f t="shared" si="35"/>
        <v>-42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5">
      <c r="A46" s="212" t="s">
        <v>378</v>
      </c>
      <c r="B46" s="430" t="s">
        <v>509</v>
      </c>
      <c r="C46" s="218"/>
      <c r="D46" s="218" t="s">
        <v>380</v>
      </c>
      <c r="E46" s="467" t="s">
        <v>510</v>
      </c>
      <c r="F46" s="214">
        <v>-106</v>
      </c>
      <c r="G46" s="214">
        <v>-106</v>
      </c>
      <c r="H46" s="215">
        <f t="shared" si="30"/>
        <v>0</v>
      </c>
      <c r="I46" s="214">
        <v>0</v>
      </c>
      <c r="J46" s="215">
        <f t="shared" si="31"/>
        <v>0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SUM(OtherInc!C29:C30)</f>
        <v>0</v>
      </c>
      <c r="S46" s="439">
        <f>SUM(OtherInc!D29:D30)</f>
        <v>0</v>
      </c>
      <c r="T46" s="665">
        <f>SUM(OtherInc!E29:E30)+106</f>
        <v>0</v>
      </c>
      <c r="U46" s="439">
        <f>SUM(OtherInc!F29:F30)</f>
        <v>0</v>
      </c>
      <c r="V46" s="665">
        <f>SUM(OtherInc!G29:G30)-106</f>
        <v>-106</v>
      </c>
      <c r="W46" s="439">
        <f>SUM(OtherInc!H29:H30)</f>
        <v>0</v>
      </c>
      <c r="X46" s="439">
        <f>SUM(OtherInc!I29:I30)</f>
        <v>0</v>
      </c>
      <c r="Y46" s="439">
        <f>SUM(OtherInc!J29:J30)</f>
        <v>0</v>
      </c>
      <c r="Z46" s="439">
        <f>SUM(OtherInc!K29:K30)</f>
        <v>0</v>
      </c>
      <c r="AA46" s="439">
        <f>SUM(OtherInc!L29:L30)</f>
        <v>0</v>
      </c>
      <c r="AB46" s="439">
        <f>SUM(OtherInc!M29:M30)</f>
        <v>0</v>
      </c>
      <c r="AC46" s="439">
        <f>SUM(OtherInc!N29:N30)</f>
        <v>0</v>
      </c>
      <c r="AD46" s="215">
        <f t="shared" si="34"/>
        <v>-106</v>
      </c>
      <c r="AE46" s="214">
        <f t="shared" si="14"/>
        <v>-106</v>
      </c>
      <c r="AF46" s="215">
        <f t="shared" si="35"/>
        <v>0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-106</v>
      </c>
      <c r="AN46" s="264">
        <v>0</v>
      </c>
      <c r="AO46" s="264">
        <v>0</v>
      </c>
      <c r="AP46" s="215">
        <f>AM46-AN46</f>
        <v>-106</v>
      </c>
      <c r="AQ46" s="215">
        <f>AM46-AO46</f>
        <v>-106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5">
      <c r="A47" s="212" t="s">
        <v>378</v>
      </c>
      <c r="B47" s="430" t="s">
        <v>631</v>
      </c>
      <c r="C47" s="218"/>
      <c r="D47" s="218" t="s">
        <v>380</v>
      </c>
      <c r="E47" s="467" t="s">
        <v>511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5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5">
      <c r="A48" s="212" t="s">
        <v>378</v>
      </c>
      <c r="B48" s="430" t="s">
        <v>421</v>
      </c>
      <c r="C48" s="212"/>
      <c r="E48" s="212">
        <v>156005</v>
      </c>
      <c r="F48" s="214">
        <v>-45</v>
      </c>
      <c r="G48" s="214">
        <v>-37</v>
      </c>
      <c r="H48" s="215">
        <f t="shared" si="52"/>
        <v>-8</v>
      </c>
      <c r="I48" s="214">
        <v>0</v>
      </c>
      <c r="J48" s="215">
        <f t="shared" si="53"/>
        <v>-8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-90</v>
      </c>
      <c r="AE48" s="214">
        <f t="shared" si="14"/>
        <v>-45</v>
      </c>
      <c r="AF48" s="215">
        <f t="shared" si="55"/>
        <v>-45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-90</v>
      </c>
      <c r="AN48" s="264">
        <v>-88</v>
      </c>
      <c r="AO48" s="264">
        <v>-87</v>
      </c>
      <c r="AP48" s="215">
        <f t="shared" si="43"/>
        <v>-2</v>
      </c>
      <c r="AQ48" s="215">
        <f t="shared" si="44"/>
        <v>-3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5">
      <c r="A49" s="212" t="s">
        <v>378</v>
      </c>
      <c r="B49" s="213" t="s">
        <v>422</v>
      </c>
      <c r="C49" s="212"/>
      <c r="D49" s="218" t="s">
        <v>380</v>
      </c>
      <c r="E49" s="212">
        <v>161007</v>
      </c>
      <c r="F49" s="214">
        <v>-227</v>
      </c>
      <c r="G49" s="214">
        <v>-189</v>
      </c>
      <c r="H49" s="215">
        <f t="shared" si="52"/>
        <v>-38</v>
      </c>
      <c r="I49" s="214">
        <v>0</v>
      </c>
      <c r="J49" s="215">
        <f t="shared" si="53"/>
        <v>-38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-454</v>
      </c>
      <c r="AE49" s="214">
        <f t="shared" si="14"/>
        <v>-227</v>
      </c>
      <c r="AF49" s="215">
        <f t="shared" si="55"/>
        <v>-227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-454</v>
      </c>
      <c r="AN49" s="264">
        <v>-454</v>
      </c>
      <c r="AO49" s="264">
        <v>-455</v>
      </c>
      <c r="AP49" s="215">
        <f t="shared" si="43"/>
        <v>0</v>
      </c>
      <c r="AQ49" s="215">
        <f t="shared" si="44"/>
        <v>1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5">
      <c r="A50" s="212" t="s">
        <v>378</v>
      </c>
      <c r="B50" s="213" t="s">
        <v>423</v>
      </c>
      <c r="C50" s="218"/>
      <c r="D50" s="218" t="s">
        <v>380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5">
      <c r="A51" s="212" t="s">
        <v>378</v>
      </c>
      <c r="B51" s="430" t="s">
        <v>521</v>
      </c>
      <c r="C51" s="218"/>
      <c r="D51" s="218" t="s">
        <v>380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5">
      <c r="A52" s="212" t="s">
        <v>378</v>
      </c>
      <c r="B52" s="431" t="s">
        <v>837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5">
      <c r="A53" s="212" t="s">
        <v>378</v>
      </c>
      <c r="B53" s="431" t="s">
        <v>424</v>
      </c>
      <c r="C53" s="212"/>
      <c r="D53" s="218" t="s">
        <v>380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5">
      <c r="A54" s="212" t="s">
        <v>378</v>
      </c>
      <c r="B54" s="213" t="s">
        <v>425</v>
      </c>
      <c r="C54" s="218"/>
      <c r="D54" s="218" t="s">
        <v>380</v>
      </c>
      <c r="E54" s="467">
        <v>174011</v>
      </c>
      <c r="F54" s="214">
        <v>104</v>
      </c>
      <c r="G54" s="214">
        <v>104</v>
      </c>
      <c r="H54" s="215">
        <f t="shared" si="52"/>
        <v>0</v>
      </c>
      <c r="I54" s="214">
        <v>0</v>
      </c>
      <c r="J54" s="215">
        <f t="shared" si="53"/>
        <v>0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-'Fuel-Depr-OtherTax'!C19</f>
        <v>-17</v>
      </c>
      <c r="S54" s="439">
        <f>-'Fuel-Depr-OtherTax'!D19</f>
        <v>17</v>
      </c>
      <c r="T54" s="439">
        <f>-'Fuel-Depr-OtherTax'!E19</f>
        <v>-52</v>
      </c>
      <c r="U54" s="439">
        <f>-'Fuel-Depr-OtherTax'!F19</f>
        <v>-17</v>
      </c>
      <c r="V54" s="665">
        <f>-'Fuel-Depr-OtherTax'!G19+190</f>
        <v>173</v>
      </c>
      <c r="W54" s="665">
        <f>-'Fuel-Depr-OtherTax'!H19+18</f>
        <v>0</v>
      </c>
      <c r="X54" s="439">
        <f>-'Fuel-Depr-OtherTax'!I19</f>
        <v>-17</v>
      </c>
      <c r="Y54" s="439">
        <f>-'Fuel-Depr-OtherTax'!J19</f>
        <v>-18</v>
      </c>
      <c r="Z54" s="439">
        <f>-'Fuel-Depr-OtherTax'!K19</f>
        <v>-17</v>
      </c>
      <c r="AA54" s="439">
        <f>-'Fuel-Depr-OtherTax'!L19</f>
        <v>-17</v>
      </c>
      <c r="AB54" s="439">
        <f>-'Fuel-Depr-OtherTax'!M19</f>
        <v>-18</v>
      </c>
      <c r="AC54" s="439">
        <f>-'Fuel-Depr-OtherTax'!N19</f>
        <v>-18</v>
      </c>
      <c r="AD54" s="215">
        <f t="shared" si="54"/>
        <v>-1</v>
      </c>
      <c r="AE54" s="214">
        <f t="shared" si="14"/>
        <v>104</v>
      </c>
      <c r="AF54" s="215">
        <f t="shared" si="55"/>
        <v>-105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-1</v>
      </c>
      <c r="AN54" s="264">
        <v>-209</v>
      </c>
      <c r="AO54" s="264">
        <v>-209</v>
      </c>
      <c r="AP54" s="215">
        <f t="shared" si="43"/>
        <v>208</v>
      </c>
      <c r="AQ54" s="215">
        <f t="shared" si="44"/>
        <v>208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5">
      <c r="A55" s="212" t="s">
        <v>378</v>
      </c>
      <c r="B55" s="213" t="s">
        <v>426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5">
      <c r="A56" s="212" t="s">
        <v>378</v>
      </c>
      <c r="B56" s="430" t="s">
        <v>1021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64">
        <v>42</v>
      </c>
      <c r="S56" s="864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5">
      <c r="A57" s="212" t="s">
        <v>378</v>
      </c>
      <c r="B57" s="213" t="s">
        <v>427</v>
      </c>
      <c r="C57" s="218"/>
      <c r="D57"/>
      <c r="E57" s="212">
        <v>177038</v>
      </c>
      <c r="F57" s="214">
        <v>-58</v>
      </c>
      <c r="G57" s="214">
        <v>-58</v>
      </c>
      <c r="H57" s="215">
        <f t="shared" si="52"/>
        <v>0</v>
      </c>
      <c r="I57" s="214">
        <v>0</v>
      </c>
      <c r="J57" s="215">
        <f t="shared" si="53"/>
        <v>0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0</v>
      </c>
      <c r="Y57" s="495">
        <f t="shared" si="58"/>
        <v>0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-58</v>
      </c>
      <c r="AE57" s="214">
        <f t="shared" si="14"/>
        <v>-58</v>
      </c>
      <c r="AF57" s="215">
        <f t="shared" si="55"/>
        <v>0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-58</v>
      </c>
      <c r="AN57" s="264">
        <v>-58</v>
      </c>
      <c r="AO57" s="264">
        <v>-60</v>
      </c>
      <c r="AP57" s="215">
        <f t="shared" si="43"/>
        <v>0</v>
      </c>
      <c r="AQ57" s="215">
        <f t="shared" si="44"/>
        <v>2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5">
      <c r="A58" s="212" t="s">
        <v>378</v>
      </c>
      <c r="B58" s="430" t="s">
        <v>428</v>
      </c>
      <c r="C58" s="212"/>
      <c r="E58" s="212" t="s">
        <v>376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" customHeight="1" x14ac:dyDescent="0.25">
      <c r="AE59" s="214"/>
      <c r="AR59"/>
      <c r="BO59" s="204"/>
      <c r="BP59" s="204"/>
    </row>
    <row r="60" spans="1:68" ht="12" customHeight="1" x14ac:dyDescent="0.25">
      <c r="B60" s="430" t="s">
        <v>429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5">
      <c r="B61" s="430" t="s">
        <v>430</v>
      </c>
      <c r="C61" s="218"/>
      <c r="D61" s="200"/>
      <c r="F61" s="223">
        <f>SUM(F11:F58)</f>
        <v>-6005</v>
      </c>
      <c r="G61" s="223">
        <f>SUM(G11:G58)</f>
        <v>-6468</v>
      </c>
      <c r="H61" s="223">
        <f>SUM(H11:H58)</f>
        <v>463</v>
      </c>
      <c r="I61" s="223">
        <f>SUM(I11:I58)</f>
        <v>0</v>
      </c>
      <c r="J61" s="223">
        <f>SUM(J11:J58)</f>
        <v>463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797</v>
      </c>
      <c r="Y61" s="223">
        <f t="shared" si="60"/>
        <v>776</v>
      </c>
      <c r="Z61" s="223">
        <f t="shared" si="60"/>
        <v>14250</v>
      </c>
      <c r="AA61" s="223">
        <f t="shared" si="60"/>
        <v>555</v>
      </c>
      <c r="AB61" s="223">
        <f t="shared" si="60"/>
        <v>-1428</v>
      </c>
      <c r="AC61" s="223">
        <f t="shared" si="60"/>
        <v>567</v>
      </c>
      <c r="AD61" s="223">
        <f t="shared" si="60"/>
        <v>9512</v>
      </c>
      <c r="AE61" s="223">
        <f t="shared" si="60"/>
        <v>-6005</v>
      </c>
      <c r="AF61" s="223">
        <f t="shared" si="60"/>
        <v>15517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9512</v>
      </c>
      <c r="AN61" s="223">
        <f>SUM(AN11:AN58)</f>
        <v>5702</v>
      </c>
      <c r="AO61" s="223">
        <f>SUM(AO11:AO58)</f>
        <v>6169</v>
      </c>
      <c r="AP61" s="223">
        <f>SUM(AP11:AP58)</f>
        <v>3810</v>
      </c>
      <c r="AQ61" s="223">
        <f>SUM(AQ11:AQ58)</f>
        <v>3343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" customHeight="1" x14ac:dyDescent="0.25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5">
      <c r="B63" s="430" t="s">
        <v>431</v>
      </c>
      <c r="C63" s="218"/>
      <c r="D63" s="200"/>
      <c r="F63" s="223">
        <f>F60+F61</f>
        <v>-6005</v>
      </c>
      <c r="G63" s="223">
        <f>G60+G61</f>
        <v>-6468</v>
      </c>
      <c r="H63" s="223">
        <f>H60+H61</f>
        <v>463</v>
      </c>
      <c r="I63" s="223">
        <f>I60+I61</f>
        <v>0</v>
      </c>
      <c r="J63" s="223">
        <f>J60+J61</f>
        <v>463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797</v>
      </c>
      <c r="Y63" s="223">
        <f t="shared" si="61"/>
        <v>776</v>
      </c>
      <c r="Z63" s="223">
        <f t="shared" si="61"/>
        <v>14250</v>
      </c>
      <c r="AA63" s="223">
        <f t="shared" si="61"/>
        <v>555</v>
      </c>
      <c r="AB63" s="223">
        <f t="shared" si="61"/>
        <v>-1428</v>
      </c>
      <c r="AC63" s="223">
        <f t="shared" si="61"/>
        <v>567</v>
      </c>
      <c r="AD63" s="223">
        <f t="shared" si="61"/>
        <v>9512</v>
      </c>
      <c r="AE63" s="223">
        <f t="shared" si="61"/>
        <v>-6005</v>
      </c>
      <c r="AF63" s="223">
        <f t="shared" si="61"/>
        <v>15517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9512</v>
      </c>
      <c r="AN63" s="223">
        <f>AN60+AN61</f>
        <v>5702</v>
      </c>
      <c r="AO63" s="223">
        <f>AO60+AO61</f>
        <v>6169</v>
      </c>
      <c r="AP63" s="223">
        <f>AP60+AP61</f>
        <v>3810</v>
      </c>
      <c r="AQ63" s="223">
        <f>AQ60+AQ61</f>
        <v>3343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5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5">
      <c r="B65" s="431" t="s">
        <v>432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SUM(R65:W65)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5">
      <c r="B66" s="431" t="s">
        <v>433</v>
      </c>
      <c r="C66" s="212"/>
      <c r="F66" s="518">
        <f>ROUND(F61*0.3888,0)</f>
        <v>-2335</v>
      </c>
      <c r="G66" s="518">
        <f>ROUND(G61*0.3888,0)</f>
        <v>-2515</v>
      </c>
      <c r="H66" s="223">
        <f>F66-G66</f>
        <v>180</v>
      </c>
      <c r="I66" s="518">
        <f>ROUND(I61*0.3888,0)</f>
        <v>0</v>
      </c>
      <c r="J66" s="223">
        <f>H66-I66</f>
        <v>180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310</v>
      </c>
      <c r="Y66" s="223">
        <f t="shared" si="62"/>
        <v>302</v>
      </c>
      <c r="Z66" s="223">
        <f t="shared" si="62"/>
        <v>5540</v>
      </c>
      <c r="AA66" s="223">
        <f t="shared" si="62"/>
        <v>216</v>
      </c>
      <c r="AB66" s="223">
        <f t="shared" si="62"/>
        <v>-555</v>
      </c>
      <c r="AC66" s="223">
        <f t="shared" si="62"/>
        <v>220</v>
      </c>
      <c r="AD66" s="223">
        <f>SUM(R66:AC66)</f>
        <v>3698</v>
      </c>
      <c r="AE66" s="265">
        <f>SUM(R66:W66)</f>
        <v>-2335</v>
      </c>
      <c r="AF66" s="223">
        <f>AD66-AE66</f>
        <v>6033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3698</v>
      </c>
      <c r="AN66" s="223">
        <f>ROUND(AN61*0.3888,0)-1</f>
        <v>2216</v>
      </c>
      <c r="AO66" s="266">
        <f>ROUND(AO61*0.3888,0)-1</f>
        <v>2398</v>
      </c>
      <c r="AP66" s="223">
        <f>AM66-AN66</f>
        <v>1482</v>
      </c>
      <c r="AQ66" s="223">
        <f>AM66-AO66</f>
        <v>1300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" customHeight="1" x14ac:dyDescent="0.25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5">
      <c r="B68" s="430" t="s">
        <v>434</v>
      </c>
      <c r="C68" s="218"/>
      <c r="D68" s="200"/>
      <c r="F68" s="215">
        <f>F65+F66</f>
        <v>-2335</v>
      </c>
      <c r="G68" s="215">
        <f>G65+G66</f>
        <v>-2515</v>
      </c>
      <c r="H68" s="215">
        <f>H65+H66</f>
        <v>180</v>
      </c>
      <c r="I68" s="215">
        <f>I65+I66</f>
        <v>0</v>
      </c>
      <c r="J68" s="215">
        <f>J65+J66</f>
        <v>180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310</v>
      </c>
      <c r="Y68" s="215">
        <f t="shared" si="63"/>
        <v>302</v>
      </c>
      <c r="Z68" s="215">
        <f t="shared" si="63"/>
        <v>5540</v>
      </c>
      <c r="AA68" s="215">
        <f t="shared" si="63"/>
        <v>216</v>
      </c>
      <c r="AB68" s="215">
        <f t="shared" si="63"/>
        <v>-555</v>
      </c>
      <c r="AC68" s="215">
        <f t="shared" si="63"/>
        <v>220</v>
      </c>
      <c r="AD68" s="215">
        <f t="shared" si="63"/>
        <v>3698</v>
      </c>
      <c r="AE68" s="215">
        <f>AE65+AE66</f>
        <v>-2335</v>
      </c>
      <c r="AF68" s="215">
        <f>AF65+AF66</f>
        <v>6033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3698</v>
      </c>
      <c r="AN68" s="215">
        <f>+AN65+AN66</f>
        <v>2216</v>
      </c>
      <c r="AO68" s="215">
        <f>+AO65+AO66</f>
        <v>2398</v>
      </c>
      <c r="AP68" s="215">
        <f>+AP65+AP66</f>
        <v>1482</v>
      </c>
      <c r="AQ68" s="215">
        <f>+AQ65+AQ66</f>
        <v>1300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5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5">
      <c r="B70" s="432" t="s">
        <v>435</v>
      </c>
      <c r="C70" s="834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8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8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5">
      <c r="A71" s="212" t="s">
        <v>378</v>
      </c>
      <c r="B71" s="221" t="s">
        <v>436</v>
      </c>
      <c r="C71" s="218"/>
      <c r="F71" s="214">
        <v>1</v>
      </c>
      <c r="G71" s="214">
        <v>0</v>
      </c>
      <c r="H71" s="215">
        <f t="shared" ref="H71:H79" si="66">F71-G71</f>
        <v>1</v>
      </c>
      <c r="I71" s="214">
        <v>0</v>
      </c>
      <c r="J71" s="215">
        <f t="shared" ref="J71:J79" si="67">H71-I71</f>
        <v>1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0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1</v>
      </c>
      <c r="AE71" s="214">
        <f t="shared" ref="AE71:AE79" si="70">SUM(R71:W71)</f>
        <v>1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1</v>
      </c>
      <c r="AN71" s="264">
        <v>-1</v>
      </c>
      <c r="AO71" s="264">
        <v>0</v>
      </c>
      <c r="AP71" s="215">
        <f t="shared" ref="AP71:AP79" si="74">AM71-AN71</f>
        <v>2</v>
      </c>
      <c r="AQ71" s="215">
        <f t="shared" ref="AQ71:AQ79" si="75">AM71-AO71</f>
        <v>1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5">
      <c r="A72" s="212" t="s">
        <v>378</v>
      </c>
      <c r="B72" s="430" t="s">
        <v>437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5">
      <c r="A73" s="212" t="s">
        <v>378</v>
      </c>
      <c r="B73" s="430" t="s">
        <v>438</v>
      </c>
      <c r="C73" s="218"/>
      <c r="D73" s="200"/>
      <c r="F73" s="214">
        <v>-1050</v>
      </c>
      <c r="G73" s="214">
        <v>-875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ROUND(-'Fuel-Depr-OtherTax'!C23*0.35,0)</f>
        <v>-175</v>
      </c>
      <c r="S73" s="495">
        <f>ROUND(-'Fuel-Depr-OtherTax'!D23*0.35,0)</f>
        <v>-175</v>
      </c>
      <c r="T73" s="495">
        <f>ROUND(-'Fuel-Depr-OtherTax'!E23*0.35,0)</f>
        <v>-175</v>
      </c>
      <c r="U73" s="495">
        <f>ROUND(-'Fuel-Depr-OtherTax'!F23*0.35,0)</f>
        <v>-175</v>
      </c>
      <c r="V73" s="495">
        <f>ROUND(-'Fuel-Depr-OtherTax'!G23*0.35,0)</f>
        <v>-175</v>
      </c>
      <c r="W73" s="495">
        <f>ROUND(-'Fuel-Depr-OtherTax'!H23*0.35,0)</f>
        <v>-175</v>
      </c>
      <c r="X73" s="495">
        <f>ROUND(-'Fuel-Depr-OtherTax'!I23*0.35,0)</f>
        <v>-175</v>
      </c>
      <c r="Y73" s="495">
        <f>ROUND(-'Fuel-Depr-OtherTax'!J23*0.35,0)</f>
        <v>-175</v>
      </c>
      <c r="Z73" s="495">
        <f>ROUND(-'Fuel-Depr-OtherTax'!K23*0.35,0)</f>
        <v>-175</v>
      </c>
      <c r="AA73" s="495">
        <f>ROUND(-'Fuel-Depr-OtherTax'!L23*0.35,0)</f>
        <v>-175</v>
      </c>
      <c r="AB73" s="495">
        <f>ROUND(-'Fuel-Depr-OtherTax'!M23*0.35,0)</f>
        <v>-175</v>
      </c>
      <c r="AC73" s="495">
        <f>ROUND(-'Fuel-Depr-OtherTax'!N23*0.35,0)</f>
        <v>-175</v>
      </c>
      <c r="AD73" s="215">
        <f t="shared" si="69"/>
        <v>-2100</v>
      </c>
      <c r="AE73" s="214">
        <f t="shared" si="70"/>
        <v>-1050</v>
      </c>
      <c r="AF73" s="215">
        <f t="shared" si="71"/>
        <v>-1050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5">
      <c r="A74" s="212" t="s">
        <v>378</v>
      </c>
      <c r="B74" s="430" t="s">
        <v>630</v>
      </c>
      <c r="C74" s="218"/>
      <c r="D74" s="503" t="s">
        <v>439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5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5">
      <c r="A75" s="212" t="s">
        <v>378</v>
      </c>
      <c r="B75" s="431" t="s">
        <v>441</v>
      </c>
      <c r="C75" s="218"/>
      <c r="D75" s="503" t="s">
        <v>439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5">
      <c r="A76" s="212" t="s">
        <v>378</v>
      </c>
      <c r="B76" s="430" t="s">
        <v>629</v>
      </c>
      <c r="C76" s="218"/>
      <c r="D76" s="503" t="s">
        <v>439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0</v>
      </c>
      <c r="AO76" s="264">
        <v>0</v>
      </c>
      <c r="AP76" s="215">
        <f t="shared" si="74"/>
        <v>3200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5">
      <c r="A77" s="212" t="s">
        <v>378</v>
      </c>
      <c r="B77" s="430" t="s">
        <v>440</v>
      </c>
      <c r="C77" s="218"/>
      <c r="D77" s="503" t="s">
        <v>439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5">
      <c r="A78" s="212" t="s">
        <v>378</v>
      </c>
      <c r="B78" s="430" t="s">
        <v>428</v>
      </c>
      <c r="C78" s="218"/>
      <c r="D78" s="666" t="s">
        <v>442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5">
      <c r="A79" s="212" t="s">
        <v>378</v>
      </c>
      <c r="B79" s="430" t="s">
        <v>443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" customHeight="1" x14ac:dyDescent="0.25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5">
      <c r="B81" s="421" t="s">
        <v>444</v>
      </c>
      <c r="C81" s="824"/>
      <c r="D81" s="195"/>
      <c r="E81" s="198"/>
      <c r="F81" s="227">
        <f>F68+SUM(F71:F79)</f>
        <v>-3384</v>
      </c>
      <c r="G81" s="227">
        <f>G68+SUM(G71:G79)</f>
        <v>-3390</v>
      </c>
      <c r="H81" s="227">
        <f>H68+SUM(H71:H79)</f>
        <v>6</v>
      </c>
      <c r="I81" s="227">
        <f>I68+SUM(I71:I79)</f>
        <v>0</v>
      </c>
      <c r="J81" s="227">
        <f>J68+SUM(J71:J79)</f>
        <v>6</v>
      </c>
      <c r="K81" s="228"/>
      <c r="L81" s="228"/>
      <c r="M81" s="228"/>
      <c r="N81" s="197" t="str">
        <f>B81</f>
        <v xml:space="preserve">      TOTAL DEFERRED TAXES</v>
      </c>
      <c r="O81" s="829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135</v>
      </c>
      <c r="Y81" s="227">
        <f t="shared" si="78"/>
        <v>127</v>
      </c>
      <c r="Z81" s="227">
        <f t="shared" si="78"/>
        <v>5365</v>
      </c>
      <c r="AA81" s="227">
        <f t="shared" si="78"/>
        <v>3241</v>
      </c>
      <c r="AB81" s="227">
        <f t="shared" si="78"/>
        <v>-730</v>
      </c>
      <c r="AC81" s="227">
        <f t="shared" si="78"/>
        <v>45</v>
      </c>
      <c r="AD81" s="227">
        <f t="shared" si="78"/>
        <v>4799</v>
      </c>
      <c r="AE81" s="227">
        <f t="shared" si="78"/>
        <v>-3384</v>
      </c>
      <c r="AF81" s="227">
        <f t="shared" si="78"/>
        <v>8183</v>
      </c>
      <c r="AG81" s="230"/>
      <c r="AH81" s="230"/>
      <c r="AI81" s="228"/>
      <c r="AJ81" s="197" t="str">
        <f>B81</f>
        <v xml:space="preserve">      TOTAL DEFERRED TAXES</v>
      </c>
      <c r="AK81" s="829"/>
      <c r="AL81" s="197"/>
      <c r="AM81" s="227">
        <f>AM68+SUM(AM71:AM79)</f>
        <v>4799</v>
      </c>
      <c r="AN81" s="227">
        <f>AN68+SUM(AN71:AN79)</f>
        <v>115</v>
      </c>
      <c r="AO81" s="227">
        <f>AO68+SUM(AO71:AO79)</f>
        <v>298</v>
      </c>
      <c r="AP81" s="227">
        <f>AP68+SUM(AP71:AP79)</f>
        <v>4684</v>
      </c>
      <c r="AQ81" s="227">
        <f>AQ68+SUM(AQ71:AQ79)</f>
        <v>4501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5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9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24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5">
      <c r="B83" s="433" t="s">
        <v>445</v>
      </c>
      <c r="C83" s="835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9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9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5">
      <c r="B84" s="433" t="s">
        <v>446</v>
      </c>
      <c r="C84" s="835"/>
      <c r="D84" s="198"/>
      <c r="E84" s="198"/>
      <c r="F84" s="231">
        <f>F66+SUM(F71:F79)</f>
        <v>-3384</v>
      </c>
      <c r="G84" s="231">
        <f>G66+SUM(G71:G79)</f>
        <v>-3390</v>
      </c>
      <c r="H84" s="231">
        <f>H66+SUM(H71:H79)</f>
        <v>6</v>
      </c>
      <c r="I84" s="231">
        <f>I66+SUM(I71:I79)</f>
        <v>0</v>
      </c>
      <c r="J84" s="231">
        <f>J66+SUM(J71:J79)</f>
        <v>6</v>
      </c>
      <c r="K84" s="228"/>
      <c r="L84" s="228"/>
      <c r="M84" s="228"/>
      <c r="N84" s="197" t="str">
        <f>B84</f>
        <v xml:space="preserve">                                    -  NON-CURRENT</v>
      </c>
      <c r="O84" s="829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135</v>
      </c>
      <c r="Y84" s="231">
        <f t="shared" si="80"/>
        <v>127</v>
      </c>
      <c r="Z84" s="231">
        <f t="shared" si="80"/>
        <v>5365</v>
      </c>
      <c r="AA84" s="231">
        <f t="shared" si="80"/>
        <v>3241</v>
      </c>
      <c r="AB84" s="231">
        <f t="shared" si="80"/>
        <v>-730</v>
      </c>
      <c r="AC84" s="231">
        <f t="shared" si="80"/>
        <v>45</v>
      </c>
      <c r="AD84" s="231">
        <f t="shared" si="80"/>
        <v>4799</v>
      </c>
      <c r="AE84" s="231">
        <f t="shared" si="80"/>
        <v>-3384</v>
      </c>
      <c r="AF84" s="231">
        <f t="shared" si="80"/>
        <v>8183</v>
      </c>
      <c r="AG84" s="230"/>
      <c r="AH84" s="230"/>
      <c r="AI84" s="228"/>
      <c r="AJ84" s="197" t="str">
        <f>B84</f>
        <v xml:space="preserve">                                    -  NON-CURRENT</v>
      </c>
      <c r="AK84" s="829"/>
      <c r="AL84" s="197"/>
      <c r="AM84" s="231">
        <f>AM66+SUM(AM71:AM79)</f>
        <v>4799</v>
      </c>
      <c r="AN84" s="231">
        <f>AN66+SUM(AN71:AN79)</f>
        <v>115</v>
      </c>
      <c r="AO84" s="231">
        <f>AO66+SUM(AO71:AO79)</f>
        <v>298</v>
      </c>
      <c r="AP84" s="231">
        <f>AP66+SUM(AP71:AP79)</f>
        <v>4684</v>
      </c>
      <c r="AQ84" s="231">
        <f>AQ66+SUM(AQ71:AQ79)</f>
        <v>4501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5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5">
      <c r="A86" s="204"/>
      <c r="B86" s="204"/>
      <c r="C86" s="830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8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30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5">
      <c r="A87" s="204"/>
      <c r="B87" s="204"/>
      <c r="C87" s="830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FLASH</v>
      </c>
      <c r="Y87" s="205">
        <f t="shared" si="81"/>
        <v>0</v>
      </c>
      <c r="Z87" s="205">
        <f t="shared" si="81"/>
        <v>0</v>
      </c>
      <c r="AA87" s="205">
        <f t="shared" si="81"/>
        <v>0</v>
      </c>
      <c r="AB87" s="205">
        <f t="shared" si="81"/>
        <v>0</v>
      </c>
      <c r="AC87" s="205">
        <f t="shared" si="81"/>
        <v>0</v>
      </c>
      <c r="AD87" s="205" t="str">
        <f t="shared" si="81"/>
        <v>TOTAL</v>
      </c>
      <c r="AE87" s="205" t="str">
        <f t="shared" si="81"/>
        <v>JUNE</v>
      </c>
      <c r="AF87" s="205" t="str">
        <f t="shared" si="81"/>
        <v>ESTIMATE</v>
      </c>
      <c r="AI87" s="204"/>
      <c r="AJ87" s="204"/>
      <c r="AK87" s="830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5">
      <c r="A88" s="204"/>
      <c r="B88" s="204"/>
      <c r="C88" s="830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447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30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5">
      <c r="A89" s="204"/>
      <c r="B89" s="204"/>
      <c r="C89" s="830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448</v>
      </c>
      <c r="N89" s="422"/>
      <c r="AI89" s="204"/>
      <c r="AJ89" s="204"/>
      <c r="AK89" s="830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5">
      <c r="A90" s="204"/>
      <c r="B90" s="204"/>
      <c r="C90" s="830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449</v>
      </c>
      <c r="R90" s="215">
        <f>-RegAmort!C41</f>
        <v>-30</v>
      </c>
      <c r="S90" s="215">
        <f>-RegAmort!D41</f>
        <v>-30</v>
      </c>
      <c r="T90" s="215">
        <f>-RegAmort!E41</f>
        <v>-31</v>
      </c>
      <c r="U90" s="215">
        <f>-RegAmort!F41</f>
        <v>-30</v>
      </c>
      <c r="V90" s="215">
        <f>-RegAmort!G41</f>
        <v>-30</v>
      </c>
      <c r="W90" s="215">
        <f>-RegAmort!H41</f>
        <v>-30</v>
      </c>
      <c r="X90" s="215">
        <f>-RegAmort!I41</f>
        <v>-30</v>
      </c>
      <c r="Y90" s="215">
        <f>-RegAmort!J41</f>
        <v>-30</v>
      </c>
      <c r="Z90" s="215">
        <f>-RegAmort!K41</f>
        <v>-30</v>
      </c>
      <c r="AA90" s="215">
        <f>-RegAmort!L41</f>
        <v>-30</v>
      </c>
      <c r="AB90" s="215">
        <f>-RegAmort!M41</f>
        <v>-30</v>
      </c>
      <c r="AC90" s="215">
        <f>-RegAmort!N41</f>
        <v>-30</v>
      </c>
      <c r="AD90" s="215">
        <f>SUM(R90:AC90)</f>
        <v>-361</v>
      </c>
      <c r="AE90" s="215"/>
      <c r="AF90" s="215"/>
      <c r="AI90" s="204"/>
      <c r="AJ90" s="204"/>
      <c r="AK90" s="830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5">
      <c r="A91" s="204"/>
      <c r="B91" s="204"/>
      <c r="C91" s="830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450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30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5">
      <c r="A92" s="204"/>
      <c r="B92" s="204"/>
      <c r="C92" s="830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451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30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5">
      <c r="A93" s="204"/>
      <c r="B93" s="204"/>
      <c r="C93" s="830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30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5">
      <c r="A94" s="204"/>
      <c r="B94" s="204"/>
      <c r="C94" s="830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452</v>
      </c>
      <c r="R94" s="215">
        <f>-RegAmort!C42</f>
        <v>-42</v>
      </c>
      <c r="S94" s="215">
        <f>-RegAmort!D42</f>
        <v>-42</v>
      </c>
      <c r="T94" s="215">
        <f>-RegAmort!E42</f>
        <v>-42</v>
      </c>
      <c r="U94" s="215">
        <f>-RegAmort!F42</f>
        <v>-42</v>
      </c>
      <c r="V94" s="215">
        <f>-RegAmort!G42</f>
        <v>-42</v>
      </c>
      <c r="W94" s="215">
        <f>-RegAmort!H42</f>
        <v>-42</v>
      </c>
      <c r="X94" s="215">
        <f>-RegAmort!I42</f>
        <v>-42</v>
      </c>
      <c r="Y94" s="215">
        <f>-RegAmort!J42</f>
        <v>-43</v>
      </c>
      <c r="Z94" s="215">
        <f>-RegAmort!K42</f>
        <v>-42</v>
      </c>
      <c r="AA94" s="215">
        <f>-RegAmort!L42</f>
        <v>-43</v>
      </c>
      <c r="AB94" s="215">
        <f>-RegAmort!M42</f>
        <v>-43</v>
      </c>
      <c r="AC94" s="215">
        <f>-RegAmort!N42</f>
        <v>-43</v>
      </c>
      <c r="AD94" s="215">
        <f>SUM(R94:AC94)</f>
        <v>-508</v>
      </c>
      <c r="AI94" s="204"/>
      <c r="AJ94" s="204"/>
      <c r="AK94" s="830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5">
      <c r="A95" s="204"/>
      <c r="B95" s="204"/>
      <c r="C95" s="830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453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30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5">
      <c r="A96" s="204"/>
      <c r="B96" s="204"/>
      <c r="C96" s="830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454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30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5">
      <c r="A97" s="204"/>
      <c r="B97" s="204"/>
      <c r="C97" s="830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30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5">
      <c r="A98" s="204"/>
      <c r="B98" s="204"/>
      <c r="C98" s="830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455</v>
      </c>
      <c r="R98" s="215">
        <f>-RegAmort!C43</f>
        <v>-10</v>
      </c>
      <c r="S98" s="215">
        <f>-RegAmort!D43</f>
        <v>-10</v>
      </c>
      <c r="T98" s="215">
        <f>-RegAmort!E43</f>
        <v>-10</v>
      </c>
      <c r="U98" s="215">
        <f>-RegAmort!F43</f>
        <v>-10</v>
      </c>
      <c r="V98" s="215">
        <f>-RegAmort!G43</f>
        <v>-10</v>
      </c>
      <c r="W98" s="215">
        <f>-RegAmort!H43</f>
        <v>-10</v>
      </c>
      <c r="X98" s="215">
        <f>-RegAmort!I43</f>
        <v>-10</v>
      </c>
      <c r="Y98" s="215">
        <f>-RegAmort!J43</f>
        <v>-10</v>
      </c>
      <c r="Z98" s="215">
        <f>-RegAmort!K43</f>
        <v>-11</v>
      </c>
      <c r="AA98" s="215">
        <f>-RegAmort!L43</f>
        <v>-10</v>
      </c>
      <c r="AB98" s="215">
        <f>-RegAmort!M43</f>
        <v>-11</v>
      </c>
      <c r="AC98" s="215">
        <f>-RegAmort!N43</f>
        <v>-10</v>
      </c>
      <c r="AD98" s="215">
        <f>SUM(R98:AC98)</f>
        <v>-122</v>
      </c>
      <c r="AI98" s="204"/>
      <c r="AJ98" s="204"/>
      <c r="AK98" s="830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5">
      <c r="A99" s="204"/>
      <c r="B99" s="204"/>
      <c r="C99" s="830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456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-3</v>
      </c>
      <c r="AI99" s="204"/>
      <c r="AJ99" s="204"/>
      <c r="AK99" s="830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5">
      <c r="A100" s="204"/>
      <c r="B100" s="204"/>
      <c r="C100" s="830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457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-125</v>
      </c>
      <c r="AI100" s="204"/>
      <c r="AJ100" s="204"/>
      <c r="AK100" s="830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5">
      <c r="A101" s="204"/>
      <c r="B101" s="204"/>
      <c r="C101" s="830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30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5">
      <c r="A102" s="204"/>
      <c r="B102" s="204"/>
      <c r="C102" s="830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458</v>
      </c>
      <c r="R102" s="215">
        <f>-RegAmort!C44</f>
        <v>-31</v>
      </c>
      <c r="S102" s="215">
        <f>-RegAmort!D44</f>
        <v>-31</v>
      </c>
      <c r="T102" s="215">
        <f>-RegAmort!E44</f>
        <v>-31</v>
      </c>
      <c r="U102" s="215">
        <f>-RegAmort!F44</f>
        <v>-31</v>
      </c>
      <c r="V102" s="215">
        <f>-RegAmort!G44</f>
        <v>-31</v>
      </c>
      <c r="W102" s="215">
        <f>-RegAmort!H44</f>
        <v>-31</v>
      </c>
      <c r="X102" s="215">
        <f>-RegAmort!I44</f>
        <v>-31</v>
      </c>
      <c r="Y102" s="215">
        <f>-RegAmort!J44</f>
        <v>-32</v>
      </c>
      <c r="Z102" s="215">
        <f>-RegAmort!K44</f>
        <v>-31</v>
      </c>
      <c r="AA102" s="215">
        <f>-RegAmort!L44</f>
        <v>-32</v>
      </c>
      <c r="AB102" s="215">
        <f>-RegAmort!M44</f>
        <v>-31</v>
      </c>
      <c r="AC102" s="215">
        <f>-RegAmort!N44</f>
        <v>-32</v>
      </c>
      <c r="AD102" s="215">
        <f>SUM(R102:AC102)</f>
        <v>-375</v>
      </c>
      <c r="AE102" s="215"/>
      <c r="AF102" s="215"/>
      <c r="AI102" s="204"/>
      <c r="AJ102" s="204"/>
      <c r="AK102" s="830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5">
      <c r="A103" s="204"/>
      <c r="B103" s="204"/>
      <c r="C103" s="830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459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30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5">
      <c r="A104" s="204"/>
      <c r="B104" s="204"/>
      <c r="C104" s="830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460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30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5">
      <c r="A105" s="204"/>
      <c r="B105" s="204"/>
      <c r="C105" s="830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30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5">
      <c r="A106" s="204"/>
      <c r="B106" s="204"/>
      <c r="C106" s="830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461</v>
      </c>
      <c r="R106" s="215">
        <f>-RegAmort!C45</f>
        <v>-45</v>
      </c>
      <c r="S106" s="215">
        <f>-RegAmort!D45</f>
        <v>-45</v>
      </c>
      <c r="T106" s="215">
        <f>-RegAmort!E45</f>
        <v>-45</v>
      </c>
      <c r="U106" s="215">
        <f>-RegAmort!F45</f>
        <v>-45</v>
      </c>
      <c r="V106" s="215">
        <f>-RegAmort!G45</f>
        <v>-45</v>
      </c>
      <c r="W106" s="215">
        <f>-RegAmort!H45</f>
        <v>-45</v>
      </c>
      <c r="X106" s="215">
        <f>-RegAmort!I45</f>
        <v>-45</v>
      </c>
      <c r="Y106" s="215">
        <f>-RegAmort!J45</f>
        <v>-45</v>
      </c>
      <c r="Z106" s="215">
        <f>-RegAmort!K45</f>
        <v>-45</v>
      </c>
      <c r="AA106" s="215">
        <f>-RegAmort!L45</f>
        <v>-45</v>
      </c>
      <c r="AB106" s="215">
        <f>-RegAmort!M45</f>
        <v>-44</v>
      </c>
      <c r="AC106" s="215">
        <f>-RegAmort!N45</f>
        <v>-45</v>
      </c>
      <c r="AD106" s="215">
        <f>SUM(R106:AC106)</f>
        <v>-539</v>
      </c>
      <c r="AE106" s="215"/>
      <c r="AF106" s="215"/>
      <c r="AI106" s="204"/>
      <c r="AJ106" s="204"/>
      <c r="AK106" s="830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5">
      <c r="A107" s="204"/>
      <c r="B107" s="204"/>
      <c r="C107" s="830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462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30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5">
      <c r="A108" s="204"/>
      <c r="B108" s="204"/>
      <c r="C108" s="830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463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30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5">
      <c r="A109" s="204"/>
      <c r="B109" s="204"/>
      <c r="C109" s="830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30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5">
      <c r="A110" s="204"/>
      <c r="B110" s="204"/>
      <c r="C110" s="830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464</v>
      </c>
      <c r="R110" s="215">
        <f>-RegAmort!C46</f>
        <v>-53</v>
      </c>
      <c r="S110" s="215">
        <f>-RegAmort!D46</f>
        <v>-53</v>
      </c>
      <c r="T110" s="215">
        <f>-RegAmort!E46</f>
        <v>-53</v>
      </c>
      <c r="U110" s="215">
        <f>-RegAmort!F46</f>
        <v>-53</v>
      </c>
      <c r="V110" s="215">
        <f>-RegAmort!G46</f>
        <v>-53</v>
      </c>
      <c r="W110" s="215">
        <f>-RegAmort!H46</f>
        <v>-53</v>
      </c>
      <c r="X110" s="215">
        <f>-RegAmort!I46</f>
        <v>-53</v>
      </c>
      <c r="Y110" s="215">
        <f>-RegAmort!J46</f>
        <v>-52</v>
      </c>
      <c r="Z110" s="215">
        <f>-RegAmort!K46</f>
        <v>-53</v>
      </c>
      <c r="AA110" s="215">
        <f>-RegAmort!L46</f>
        <v>-53</v>
      </c>
      <c r="AB110" s="215">
        <f>-RegAmort!M46</f>
        <v>-52</v>
      </c>
      <c r="AC110" s="215">
        <f>-RegAmort!N46</f>
        <v>-53</v>
      </c>
      <c r="AD110" s="215">
        <f>SUM(R110:AC110)</f>
        <v>-634</v>
      </c>
      <c r="AI110" s="204"/>
      <c r="AJ110" s="204"/>
      <c r="AK110" s="830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5">
      <c r="A111" s="204"/>
      <c r="B111" s="204"/>
      <c r="C111" s="830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465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2</v>
      </c>
      <c r="AI111" s="204"/>
      <c r="AJ111" s="204"/>
      <c r="AK111" s="830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5">
      <c r="A112" s="204"/>
      <c r="B112" s="204"/>
      <c r="C112" s="830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466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-632</v>
      </c>
      <c r="AI112" s="204"/>
      <c r="AJ112" s="204"/>
      <c r="AK112" s="830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5">
      <c r="A113" s="204"/>
      <c r="B113" s="204"/>
      <c r="C113" s="830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30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5">
      <c r="A114" s="204"/>
      <c r="B114" s="204"/>
      <c r="C114" s="830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467</v>
      </c>
      <c r="R114" s="215">
        <f>-RegAmort!C47</f>
        <v>-11</v>
      </c>
      <c r="S114" s="215">
        <f>-RegAmort!D47</f>
        <v>-11</v>
      </c>
      <c r="T114" s="215">
        <f>-RegAmort!E47</f>
        <v>-11</v>
      </c>
      <c r="U114" s="215">
        <f>-RegAmort!F47</f>
        <v>-11</v>
      </c>
      <c r="V114" s="215">
        <f>-RegAmort!G47</f>
        <v>-11</v>
      </c>
      <c r="W114" s="215">
        <f>-RegAmort!H47</f>
        <v>-11</v>
      </c>
      <c r="X114" s="215">
        <f>-RegAmort!I47</f>
        <v>-11</v>
      </c>
      <c r="Y114" s="215">
        <f>-RegAmort!J47</f>
        <v>-11</v>
      </c>
      <c r="Z114" s="215">
        <f>-RegAmort!K47</f>
        <v>-10</v>
      </c>
      <c r="AA114" s="215">
        <f>-RegAmort!L47</f>
        <v>-11</v>
      </c>
      <c r="AB114" s="215">
        <f>-RegAmort!M47</f>
        <v>-11</v>
      </c>
      <c r="AC114" s="215">
        <f>-RegAmort!N47</f>
        <v>-10</v>
      </c>
      <c r="AD114" s="215">
        <f>SUM(R114:AC114)</f>
        <v>-130</v>
      </c>
      <c r="AE114" s="215"/>
      <c r="AF114" s="215"/>
      <c r="AI114" s="204"/>
      <c r="AJ114" s="204"/>
      <c r="AK114" s="830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5">
      <c r="A115" s="204"/>
      <c r="B115" s="204"/>
      <c r="C115" s="830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468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2</v>
      </c>
      <c r="AI115" s="204"/>
      <c r="AJ115" s="204"/>
      <c r="AK115" s="830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5">
      <c r="A116" s="204"/>
      <c r="B116" s="204"/>
      <c r="C116" s="830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469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-128</v>
      </c>
      <c r="AI116" s="204"/>
      <c r="AJ116" s="204"/>
      <c r="AK116" s="830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5">
      <c r="A117" s="204"/>
      <c r="B117" s="204"/>
      <c r="C117" s="830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30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5">
      <c r="A118" s="204"/>
      <c r="B118" s="204"/>
      <c r="C118" s="830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470</v>
      </c>
      <c r="P118" s="267"/>
      <c r="R118" s="215">
        <f>-RegAmort!C48</f>
        <v>-7</v>
      </c>
      <c r="S118" s="215">
        <f>-RegAmort!D48</f>
        <v>-7</v>
      </c>
      <c r="T118" s="215">
        <f>-RegAmort!E48</f>
        <v>-7</v>
      </c>
      <c r="U118" s="215">
        <f>-RegAmort!F48</f>
        <v>-7</v>
      </c>
      <c r="V118" s="215">
        <f>-RegAmort!G48</f>
        <v>-7</v>
      </c>
      <c r="W118" s="215">
        <f>-RegAmort!H48</f>
        <v>-7</v>
      </c>
      <c r="X118" s="215">
        <f>-RegAmort!I48</f>
        <v>-7</v>
      </c>
      <c r="Y118" s="215">
        <f>-RegAmort!J48</f>
        <v>-7</v>
      </c>
      <c r="Z118" s="215">
        <f>-RegAmort!K48</f>
        <v>-7</v>
      </c>
      <c r="AA118" s="215">
        <f>-RegAmort!L48</f>
        <v>-7</v>
      </c>
      <c r="AB118" s="215">
        <f>-RegAmort!M48</f>
        <v>-7</v>
      </c>
      <c r="AC118" s="215">
        <f>-RegAmort!N48</f>
        <v>-7</v>
      </c>
      <c r="AD118" s="215">
        <f>SUM(R118:AC118)</f>
        <v>-84</v>
      </c>
      <c r="AI118" s="204"/>
      <c r="AJ118" s="204"/>
      <c r="AK118" s="830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5">
      <c r="A119" s="204"/>
      <c r="B119" s="204"/>
      <c r="C119" s="830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874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30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5">
      <c r="A120" s="204"/>
      <c r="B120" s="204"/>
      <c r="C120" s="830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471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30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5">
      <c r="A121" s="204"/>
      <c r="B121" s="204"/>
      <c r="C121" s="830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30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5">
      <c r="A122" s="204"/>
      <c r="B122" s="204"/>
      <c r="C122" s="830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472</v>
      </c>
      <c r="N122" s="422"/>
      <c r="AI122" s="204"/>
      <c r="AJ122" s="204"/>
      <c r="AK122" s="830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5">
      <c r="A123" s="235"/>
      <c r="B123" s="204"/>
      <c r="C123" s="830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473</v>
      </c>
      <c r="P123" s="267"/>
      <c r="R123" s="215">
        <f>'Transport-OtherRev'!C27</f>
        <v>0</v>
      </c>
      <c r="S123" s="215">
        <f>'Transport-OtherRev'!D27</f>
        <v>0</v>
      </c>
      <c r="T123" s="215">
        <f>'Transport-OtherRev'!E27</f>
        <v>0</v>
      </c>
      <c r="U123" s="887">
        <f>'Transport-OtherRev'!F27</f>
        <v>0</v>
      </c>
      <c r="V123" s="887">
        <f>'Transport-OtherRev'!G27</f>
        <v>0</v>
      </c>
      <c r="W123" s="215">
        <f>'Transport-OtherRev'!H27</f>
        <v>0</v>
      </c>
      <c r="X123" s="215">
        <f>'Transport-OtherRev'!I27</f>
        <v>0</v>
      </c>
      <c r="Y123" s="215">
        <f>'Transport-OtherRev'!J27</f>
        <v>0</v>
      </c>
      <c r="Z123" s="215">
        <f>'Transport-OtherRev'!K27</f>
        <v>0</v>
      </c>
      <c r="AA123" s="215">
        <f>'Transport-OtherRev'!L27</f>
        <v>0</v>
      </c>
      <c r="AB123" s="215">
        <f>'Transport-OtherRev'!M27</f>
        <v>0</v>
      </c>
      <c r="AC123" s="215">
        <f>'Transport-OtherRev'!N27</f>
        <v>0</v>
      </c>
      <c r="AD123" s="215">
        <f t="shared" ref="AD123:AD131" si="91">SUM(R123:AC123)</f>
        <v>0</v>
      </c>
      <c r="AI123" s="204"/>
      <c r="AJ123" s="204"/>
      <c r="AK123" s="830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5">
      <c r="A124" s="235"/>
      <c r="B124" s="204"/>
      <c r="C124" s="830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30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5">
      <c r="A125" s="235"/>
      <c r="B125" s="204"/>
      <c r="C125" s="830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475</v>
      </c>
      <c r="P125" s="267"/>
      <c r="R125" s="837">
        <f>'Transport-OtherRev'!C28+'Transport-OtherRev'!C29</f>
        <v>0</v>
      </c>
      <c r="S125" s="837">
        <f>'Transport-OtherRev'!D28+'Transport-OtherRev'!D29</f>
        <v>0</v>
      </c>
      <c r="T125" s="837">
        <f>'Transport-OtherRev'!E28+'Transport-OtherRev'!E29</f>
        <v>-11540</v>
      </c>
      <c r="U125" s="888">
        <f>'Transport-OtherRev'!F28+'Transport-OtherRev'!F29</f>
        <v>-415</v>
      </c>
      <c r="V125" s="888">
        <f>'Transport-OtherRev'!G28+'Transport-OtherRev'!G29</f>
        <v>0</v>
      </c>
      <c r="W125" s="837">
        <f>'Transport-OtherRev'!H28+'Transport-OtherRev'!H29</f>
        <v>-325</v>
      </c>
      <c r="X125" s="837">
        <f>'Transport-OtherRev'!I28+'Transport-OtherRev'!I29</f>
        <v>0</v>
      </c>
      <c r="Y125" s="837">
        <f>'Transport-OtherRev'!J28+'Transport-OtherRev'!J29</f>
        <v>0</v>
      </c>
      <c r="Z125" s="837">
        <f>'Transport-OtherRev'!K28+'Transport-OtherRev'!K29</f>
        <v>12280</v>
      </c>
      <c r="AA125" s="837">
        <f>'Transport-OtherRev'!L28+'Transport-OtherRev'!L29</f>
        <v>0</v>
      </c>
      <c r="AB125" s="837">
        <f>'Transport-OtherRev'!M28+'Transport-OtherRev'!M29</f>
        <v>0</v>
      </c>
      <c r="AC125" s="837">
        <f>'Transport-OtherRev'!N28+'Transport-OtherRev'!N29</f>
        <v>0</v>
      </c>
      <c r="AD125" s="215">
        <f t="shared" si="91"/>
        <v>0</v>
      </c>
      <c r="AI125" s="204"/>
      <c r="AJ125" s="204"/>
      <c r="AK125" s="830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5">
      <c r="A126" s="235"/>
      <c r="B126" s="204"/>
      <c r="C126" s="830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30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5">
      <c r="A127" s="204"/>
      <c r="B127" s="204"/>
      <c r="C127" s="830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476</v>
      </c>
      <c r="R127" s="215">
        <f>-IntDeduct!C40</f>
        <v>0</v>
      </c>
      <c r="S127" s="215">
        <f>-IntDeduct!D40</f>
        <v>0</v>
      </c>
      <c r="T127" s="215">
        <f>-IntDeduct!E40</f>
        <v>0</v>
      </c>
      <c r="U127" s="215">
        <f>-IntDeduct!F40</f>
        <v>0</v>
      </c>
      <c r="V127" s="215">
        <f>-IntDeduct!G40</f>
        <v>0</v>
      </c>
      <c r="W127" s="215">
        <f>-IntDeduct!H40</f>
        <v>0</v>
      </c>
      <c r="X127" s="215">
        <f>-IntDeduct!I40</f>
        <v>0</v>
      </c>
      <c r="Y127" s="215">
        <f>-IntDeduct!J40</f>
        <v>0</v>
      </c>
      <c r="Z127" s="215">
        <f>-IntDeduct!K40</f>
        <v>0</v>
      </c>
      <c r="AA127" s="215">
        <f>-IntDeduct!L40</f>
        <v>0</v>
      </c>
      <c r="AB127" s="215">
        <f>-IntDeduct!M40</f>
        <v>0</v>
      </c>
      <c r="AC127" s="215">
        <f>-IntDeduct!N40</f>
        <v>0</v>
      </c>
      <c r="AD127" s="215">
        <f t="shared" si="91"/>
        <v>0</v>
      </c>
      <c r="AI127" s="204"/>
      <c r="AJ127" s="204"/>
      <c r="AK127" s="830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5">
      <c r="A128" s="235"/>
      <c r="B128" s="204"/>
      <c r="C128" s="830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976</v>
      </c>
      <c r="R128" s="215">
        <f>-SUM(IntDeduct!C41:C43)</f>
        <v>0</v>
      </c>
      <c r="S128" s="215">
        <f>-SUM(IntDeduct!D41:D43)</f>
        <v>0</v>
      </c>
      <c r="T128" s="215">
        <f>-SUM(IntDeduct!E41:E43)</f>
        <v>0</v>
      </c>
      <c r="U128" s="215">
        <f>-SUM(IntDeduct!F41:F43)</f>
        <v>0</v>
      </c>
      <c r="V128" s="215">
        <f>-SUM(IntDeduct!G41:G43)</f>
        <v>0</v>
      </c>
      <c r="W128" s="215">
        <f>-SUM(IntDeduct!H41:H43)</f>
        <v>0</v>
      </c>
      <c r="X128" s="215">
        <f>-SUM(IntDeduct!I41:I43)</f>
        <v>0</v>
      </c>
      <c r="Y128" s="215">
        <f>-SUM(IntDeduct!J41:J43)</f>
        <v>0</v>
      </c>
      <c r="Z128" s="215">
        <f>-SUM(IntDeduct!K41:K43)</f>
        <v>0</v>
      </c>
      <c r="AA128" s="215">
        <f>-SUM(IntDeduct!L41:L43)</f>
        <v>0</v>
      </c>
      <c r="AB128" s="215">
        <f>-SUM(IntDeduct!M41:M43)</f>
        <v>0</v>
      </c>
      <c r="AC128" s="215">
        <f>-SUM(IntDeduct!N41:N43)</f>
        <v>0</v>
      </c>
      <c r="AD128" s="215">
        <f t="shared" si="91"/>
        <v>0</v>
      </c>
      <c r="AE128" s="215"/>
      <c r="AI128" s="204"/>
      <c r="AJ128" s="204"/>
      <c r="AK128" s="830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5">
      <c r="B129" s="204"/>
      <c r="C129" s="830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1048</v>
      </c>
      <c r="P129" s="267" t="s">
        <v>474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30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5">
      <c r="B130" s="204"/>
      <c r="C130" s="830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978</v>
      </c>
      <c r="P130" s="267" t="s">
        <v>474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30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5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979</v>
      </c>
      <c r="O131" s="212"/>
      <c r="P131" s="267" t="s">
        <v>474</v>
      </c>
      <c r="R131" s="883">
        <f>-9+9</f>
        <v>0</v>
      </c>
      <c r="S131" s="883">
        <f>-200+200</f>
        <v>0</v>
      </c>
      <c r="T131" s="883">
        <f>-200-84</f>
        <v>-284</v>
      </c>
      <c r="U131" s="265">
        <v>-340</v>
      </c>
      <c r="V131" s="265">
        <v>325</v>
      </c>
      <c r="W131" s="265">
        <v>-1</v>
      </c>
      <c r="X131" s="265">
        <v>0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-300</v>
      </c>
      <c r="AI131" s="204"/>
      <c r="AJ131" s="204"/>
      <c r="AK131" s="830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5">
      <c r="A132" s="204"/>
      <c r="B132" s="204"/>
      <c r="C132" s="830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0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-300</v>
      </c>
      <c r="AI132" s="204"/>
      <c r="AJ132" s="204"/>
      <c r="AK132" s="830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5">
      <c r="A133" s="204"/>
      <c r="B133" s="204"/>
      <c r="C133" s="830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30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5">
      <c r="A134" s="204"/>
      <c r="B134" s="204"/>
      <c r="C134" s="830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477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31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5">
      <c r="A135" s="204"/>
      <c r="B135" s="204"/>
      <c r="C135" s="830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478</v>
      </c>
      <c r="O135" s="218"/>
      <c r="P135" s="267"/>
      <c r="R135" s="214">
        <f>-RegAmort!C32+1</f>
        <v>-9</v>
      </c>
      <c r="S135" s="665">
        <f>-RegAmort!D32</f>
        <v>-10</v>
      </c>
      <c r="T135" s="665">
        <f>-RegAmort!E32</f>
        <v>-10</v>
      </c>
      <c r="U135" s="665">
        <f>-RegAmort!F32</f>
        <v>-10</v>
      </c>
      <c r="V135" s="665">
        <f>-RegAmort!G32+1</f>
        <v>-9</v>
      </c>
      <c r="W135" s="665">
        <f>-RegAmort!H32</f>
        <v>-10</v>
      </c>
      <c r="X135" s="665">
        <f>-RegAmort!I32</f>
        <v>-10</v>
      </c>
      <c r="Y135" s="665">
        <f>-RegAmort!J32</f>
        <v>-10</v>
      </c>
      <c r="Z135" s="665">
        <f>-RegAmort!K32</f>
        <v>-10</v>
      </c>
      <c r="AA135" s="665">
        <f>-RegAmort!L32</f>
        <v>-10</v>
      </c>
      <c r="AB135" s="665">
        <f>-RegAmort!M32</f>
        <v>-10</v>
      </c>
      <c r="AC135" s="665">
        <f>-RegAmort!N32</f>
        <v>-10</v>
      </c>
      <c r="AD135" s="215">
        <f t="shared" ref="AD135:AD142" si="93">SUM(R135:AC135)</f>
        <v>-118</v>
      </c>
      <c r="AG135" s="236"/>
      <c r="AI135" s="204"/>
      <c r="AJ135" s="233"/>
      <c r="AK135" s="831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5">
      <c r="A136" s="204"/>
      <c r="B136" s="204"/>
      <c r="C136" s="830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479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-100</v>
      </c>
      <c r="AB136" s="215">
        <f>-RegAmort!M33</f>
        <v>-100</v>
      </c>
      <c r="AC136" s="215">
        <f>-RegAmort!N33</f>
        <v>-100</v>
      </c>
      <c r="AD136" s="215">
        <f t="shared" si="93"/>
        <v>-1172</v>
      </c>
      <c r="AI136" s="204"/>
      <c r="AJ136" s="204"/>
      <c r="AK136" s="830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5">
      <c r="A137" s="204"/>
      <c r="B137" s="204"/>
      <c r="C137" s="830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520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-1287</v>
      </c>
      <c r="AG137" s="217"/>
      <c r="AI137" s="204"/>
      <c r="AJ137" s="204"/>
      <c r="AK137" s="830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5">
      <c r="A138" s="204"/>
      <c r="B138" s="204"/>
      <c r="C138" s="830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480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30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5">
      <c r="A139" s="204"/>
      <c r="B139" s="204"/>
      <c r="C139" s="830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481</v>
      </c>
      <c r="P139" s="267"/>
      <c r="Q139" s="202"/>
      <c r="R139" s="497">
        <f>-RegAmort!C51</f>
        <v>-7</v>
      </c>
      <c r="S139" s="264">
        <f>-RegAmort!D51-1</f>
        <v>-8</v>
      </c>
      <c r="T139" s="497">
        <f>-RegAmort!E51</f>
        <v>-7</v>
      </c>
      <c r="U139" s="264">
        <f>-RegAmort!F51-1</f>
        <v>-8</v>
      </c>
      <c r="V139" s="497">
        <f>-RegAmort!G51</f>
        <v>-7</v>
      </c>
      <c r="W139" s="264">
        <f>-RegAmort!H51-1</f>
        <v>-8</v>
      </c>
      <c r="X139" s="497">
        <f>-RegAmort!I51</f>
        <v>-7</v>
      </c>
      <c r="Y139" s="497">
        <f>-RegAmort!J51</f>
        <v>-8</v>
      </c>
      <c r="Z139" s="497">
        <f>-RegAmort!K51</f>
        <v>-7</v>
      </c>
      <c r="AA139" s="497">
        <f>-RegAmort!L51</f>
        <v>-8</v>
      </c>
      <c r="AB139" s="497">
        <f>-RegAmort!M51</f>
        <v>-7</v>
      </c>
      <c r="AC139" s="497">
        <f>-RegAmort!N51</f>
        <v>-8</v>
      </c>
      <c r="AD139" s="215">
        <f t="shared" si="93"/>
        <v>-90</v>
      </c>
      <c r="AI139" s="204"/>
      <c r="AJ139" s="204"/>
      <c r="AK139" s="830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5">
      <c r="A140" s="204"/>
      <c r="B140" s="204"/>
      <c r="C140" s="830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482</v>
      </c>
      <c r="P140" s="267"/>
      <c r="Q140" s="202"/>
      <c r="R140" s="497">
        <f>-RegAmort!C53</f>
        <v>-38</v>
      </c>
      <c r="S140" s="497">
        <f>-RegAmort!D53</f>
        <v>-38</v>
      </c>
      <c r="T140" s="264">
        <f>-RegAmort!E53+1</f>
        <v>-37</v>
      </c>
      <c r="U140" s="497">
        <f>-RegAmort!F53</f>
        <v>-38</v>
      </c>
      <c r="V140" s="497">
        <f>-RegAmort!G53</f>
        <v>-38</v>
      </c>
      <c r="W140" s="497">
        <f>-RegAmort!H53</f>
        <v>-38</v>
      </c>
      <c r="X140" s="497">
        <f>-RegAmort!I53</f>
        <v>-38</v>
      </c>
      <c r="Y140" s="497">
        <f>-RegAmort!J53</f>
        <v>-38</v>
      </c>
      <c r="Z140" s="497">
        <f>-RegAmort!K53</f>
        <v>-38</v>
      </c>
      <c r="AA140" s="497">
        <f>-RegAmort!L53</f>
        <v>-38</v>
      </c>
      <c r="AB140" s="497">
        <f>-RegAmort!M53</f>
        <v>-38</v>
      </c>
      <c r="AC140" s="497">
        <f>-RegAmort!N53</f>
        <v>-37</v>
      </c>
      <c r="AD140" s="215">
        <f t="shared" si="93"/>
        <v>-454</v>
      </c>
      <c r="AI140" s="204"/>
      <c r="AJ140" s="204"/>
      <c r="AK140" s="830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5">
      <c r="A141" s="204"/>
      <c r="B141" s="204"/>
      <c r="C141" s="830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483</v>
      </c>
      <c r="P141" s="267"/>
      <c r="R141" s="497">
        <f>-'O&amp;M'!C16</f>
        <v>-10</v>
      </c>
      <c r="S141" s="497">
        <f>-'O&amp;M'!D16</f>
        <v>-10</v>
      </c>
      <c r="T141" s="264">
        <f>-'O&amp;M'!E16+1</f>
        <v>-38</v>
      </c>
      <c r="U141" s="497">
        <f>-'O&amp;M'!F16</f>
        <v>0</v>
      </c>
      <c r="V141" s="497">
        <f>-'O&amp;M'!G16</f>
        <v>0</v>
      </c>
      <c r="W141" s="497">
        <f>-'O&amp;M'!H16</f>
        <v>0</v>
      </c>
      <c r="X141" s="497">
        <f>-'O&amp;M'!I16</f>
        <v>0</v>
      </c>
      <c r="Y141" s="497">
        <f>-'O&amp;M'!J16</f>
        <v>0</v>
      </c>
      <c r="Z141" s="497">
        <f>-'O&amp;M'!K16</f>
        <v>0</v>
      </c>
      <c r="AA141" s="497">
        <f>-'O&amp;M'!L16</f>
        <v>0</v>
      </c>
      <c r="AB141" s="497">
        <f>-'O&amp;M'!M16</f>
        <v>0</v>
      </c>
      <c r="AC141" s="497">
        <f>-'O&amp;M'!N16</f>
        <v>0</v>
      </c>
      <c r="AD141" s="215">
        <f t="shared" si="93"/>
        <v>-58</v>
      </c>
      <c r="AE141" s="215"/>
      <c r="AF141" s="215"/>
      <c r="AG141" s="215"/>
      <c r="AH141" s="215"/>
      <c r="AI141" s="234"/>
      <c r="AJ141" s="234"/>
      <c r="AK141" s="832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5">
      <c r="A142" s="204"/>
      <c r="B142" s="204"/>
      <c r="C142" s="830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484</v>
      </c>
      <c r="O142" s="768"/>
      <c r="P142" s="267" t="s">
        <v>474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30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5">
      <c r="A143" s="204"/>
      <c r="B143" s="204"/>
      <c r="C143" s="830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30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5">
      <c r="A144" s="204"/>
      <c r="B144" s="204"/>
      <c r="C144" s="830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485</v>
      </c>
      <c r="N144" s="422"/>
      <c r="AI144" s="204"/>
      <c r="AJ144" s="204"/>
      <c r="AK144" s="830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5">
      <c r="A145" s="204"/>
      <c r="B145" s="204"/>
      <c r="C145" s="830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486</v>
      </c>
      <c r="R145" s="215">
        <f>(-IntDeduct!C37)</f>
        <v>0</v>
      </c>
      <c r="S145" s="215">
        <f>(-IntDeduct!D37)</f>
        <v>0</v>
      </c>
      <c r="T145" s="215">
        <f>(-IntDeduct!E37)</f>
        <v>0</v>
      </c>
      <c r="U145" s="215">
        <f>(-IntDeduct!F37)</f>
        <v>0</v>
      </c>
      <c r="V145" s="215">
        <f>(-IntDeduct!G37)</f>
        <v>0</v>
      </c>
      <c r="W145" s="215">
        <f>(-IntDeduct!H37)</f>
        <v>0</v>
      </c>
      <c r="X145" s="215">
        <f>(-IntDeduct!I37)</f>
        <v>0</v>
      </c>
      <c r="Y145" s="215">
        <f>(-IntDeduct!J37)</f>
        <v>0</v>
      </c>
      <c r="Z145" s="215">
        <f>(-IntDeduct!K37)</f>
        <v>0</v>
      </c>
      <c r="AA145" s="215">
        <f>(-IntDeduct!L37)</f>
        <v>0</v>
      </c>
      <c r="AB145" s="215">
        <f>(-IntDeduct!M37)</f>
        <v>0</v>
      </c>
      <c r="AC145" s="215">
        <f>(-IntDeduct!N37)</f>
        <v>0</v>
      </c>
      <c r="AD145" s="215">
        <f>SUM(R145:AC145)</f>
        <v>0</v>
      </c>
      <c r="AI145" s="204"/>
      <c r="AJ145" s="204"/>
      <c r="AK145" s="830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5">
      <c r="A146" s="204"/>
      <c r="B146" s="204"/>
      <c r="C146" s="830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488</v>
      </c>
      <c r="R146" s="215">
        <f>(-IntDeduct!C38)</f>
        <v>0</v>
      </c>
      <c r="S146" s="215">
        <f>(-IntDeduct!D38)</f>
        <v>0</v>
      </c>
      <c r="T146" s="215">
        <f>(-IntDeduct!E38)</f>
        <v>0</v>
      </c>
      <c r="U146" s="215">
        <f>(-IntDeduct!F38)</f>
        <v>0</v>
      </c>
      <c r="V146" s="215">
        <f>(-IntDeduct!G38)</f>
        <v>0</v>
      </c>
      <c r="W146" s="215">
        <f>(-IntDeduct!H38)</f>
        <v>0</v>
      </c>
      <c r="X146" s="215">
        <f>(-IntDeduct!I38)</f>
        <v>0</v>
      </c>
      <c r="Y146" s="215">
        <f>(-IntDeduct!J38)</f>
        <v>0</v>
      </c>
      <c r="Z146" s="215">
        <f>(-IntDeduct!K38)</f>
        <v>0</v>
      </c>
      <c r="AA146" s="215">
        <f>(-IntDeduct!L38)</f>
        <v>0</v>
      </c>
      <c r="AB146" s="215">
        <f>(-IntDeduct!M38)</f>
        <v>0</v>
      </c>
      <c r="AC146" s="215">
        <f>(-IntDeduct!N38)</f>
        <v>0</v>
      </c>
      <c r="AD146" s="215">
        <f>SUM(R146:AC146)</f>
        <v>0</v>
      </c>
      <c r="AI146" s="204"/>
      <c r="AJ146" s="204"/>
      <c r="AK146" s="830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5">
      <c r="A147" s="204"/>
      <c r="B147" s="204"/>
      <c r="C147" s="830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874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30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5">
      <c r="A148" s="204"/>
      <c r="B148" s="204"/>
      <c r="C148" s="830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489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30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5">
      <c r="A149" s="204"/>
      <c r="B149" s="204"/>
      <c r="C149" s="830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30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5">
      <c r="A150" s="204"/>
      <c r="B150" s="204"/>
      <c r="C150" s="830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30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5">
      <c r="A151" s="204"/>
      <c r="B151" s="204"/>
      <c r="C151" s="830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328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11045</v>
      </c>
      <c r="Y151" s="215">
        <f>IncomeState!J49</f>
        <v>10379</v>
      </c>
      <c r="Z151" s="215">
        <f>IncomeState!K49</f>
        <v>19523</v>
      </c>
      <c r="AA151" s="215">
        <f>IncomeState!L49</f>
        <v>10367</v>
      </c>
      <c r="AB151" s="215">
        <f>IncomeState!M49</f>
        <v>9930</v>
      </c>
      <c r="AC151" s="215">
        <f>IncomeState!N49</f>
        <v>10484</v>
      </c>
      <c r="AD151" s="215">
        <f>SUM(R151:AC151)</f>
        <v>138310</v>
      </c>
      <c r="AE151" s="214">
        <f>SUM(R151:W151)</f>
        <v>66582</v>
      </c>
      <c r="AF151" s="215">
        <f>AD151-AE151</f>
        <v>71728</v>
      </c>
      <c r="AI151" s="204"/>
      <c r="AJ151" s="204"/>
      <c r="AK151" s="830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5">
      <c r="A152" s="204"/>
      <c r="B152" s="204"/>
      <c r="C152" s="830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650</v>
      </c>
      <c r="AI152" s="204"/>
      <c r="AJ152" s="204"/>
      <c r="AK152" s="830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5">
      <c r="A153" s="204"/>
      <c r="B153" s="204"/>
      <c r="C153" s="830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490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30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5">
      <c r="A154" s="204"/>
      <c r="B154" s="204"/>
      <c r="C154" s="830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491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4181</v>
      </c>
      <c r="Y154" s="215">
        <f t="shared" si="95"/>
        <v>3930</v>
      </c>
      <c r="Z154" s="215">
        <f t="shared" si="95"/>
        <v>2247</v>
      </c>
      <c r="AA154" s="215">
        <f t="shared" si="95"/>
        <v>812</v>
      </c>
      <c r="AB154" s="215">
        <f t="shared" si="95"/>
        <v>4613</v>
      </c>
      <c r="AC154" s="215">
        <f t="shared" si="95"/>
        <v>4053</v>
      </c>
      <c r="AD154" s="215">
        <f t="shared" si="95"/>
        <v>49235</v>
      </c>
      <c r="AE154" s="215">
        <f>AE157-AE155</f>
        <v>29399</v>
      </c>
      <c r="AF154" s="215">
        <f>AD154-AE154</f>
        <v>19836</v>
      </c>
      <c r="AI154" s="204"/>
      <c r="AJ154" s="204"/>
      <c r="AK154" s="830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5">
      <c r="A155" s="204"/>
      <c r="B155" s="204"/>
      <c r="C155" s="830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492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135</v>
      </c>
      <c r="Y155" s="223">
        <f t="shared" si="96"/>
        <v>127</v>
      </c>
      <c r="Z155" s="223">
        <f t="shared" si="96"/>
        <v>5365</v>
      </c>
      <c r="AA155" s="223">
        <f t="shared" si="96"/>
        <v>3241</v>
      </c>
      <c r="AB155" s="223">
        <f t="shared" si="96"/>
        <v>-730</v>
      </c>
      <c r="AC155" s="223">
        <f t="shared" si="96"/>
        <v>45</v>
      </c>
      <c r="AD155" s="223">
        <f t="shared" si="96"/>
        <v>4799</v>
      </c>
      <c r="AE155" s="223">
        <f t="shared" si="96"/>
        <v>-3384</v>
      </c>
      <c r="AF155" s="223">
        <f>AD155-AE155</f>
        <v>8183</v>
      </c>
      <c r="AI155" s="204"/>
      <c r="AJ155" s="204"/>
      <c r="AK155" s="830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" customHeight="1" x14ac:dyDescent="0.25">
      <c r="A156" s="204"/>
      <c r="B156" s="204"/>
      <c r="C156" s="830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30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5">
      <c r="A157" s="204"/>
      <c r="B157" s="204"/>
      <c r="C157" s="830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493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4316</v>
      </c>
      <c r="Y157" s="223">
        <f>IncomeState!J54</f>
        <v>4057</v>
      </c>
      <c r="Z157" s="223">
        <f>IncomeState!K54</f>
        <v>7612</v>
      </c>
      <c r="AA157" s="223">
        <f>IncomeState!L54</f>
        <v>4053</v>
      </c>
      <c r="AB157" s="223">
        <f>IncomeState!M54</f>
        <v>3883</v>
      </c>
      <c r="AC157" s="223">
        <f>IncomeState!N54</f>
        <v>4098</v>
      </c>
      <c r="AD157" s="223">
        <f>SUM(R157:AC157)</f>
        <v>54034</v>
      </c>
      <c r="AE157" s="265">
        <f>SUM(R157:W157)</f>
        <v>26015</v>
      </c>
      <c r="AF157" s="465">
        <f>SUM(AF154:AF155)</f>
        <v>28019</v>
      </c>
      <c r="AI157" s="204"/>
      <c r="AJ157" s="204"/>
      <c r="AK157" s="830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5">
      <c r="A158" s="204"/>
      <c r="B158" s="204"/>
      <c r="C158" s="830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30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5">
      <c r="A159" s="204"/>
      <c r="B159" s="204"/>
      <c r="C159" s="830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494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6729</v>
      </c>
      <c r="Y159" s="466">
        <f t="shared" si="97"/>
        <v>6322</v>
      </c>
      <c r="Z159" s="466">
        <f t="shared" si="97"/>
        <v>11911</v>
      </c>
      <c r="AA159" s="466">
        <f t="shared" si="97"/>
        <v>6314</v>
      </c>
      <c r="AB159" s="466">
        <f t="shared" si="97"/>
        <v>6047</v>
      </c>
      <c r="AC159" s="466">
        <f t="shared" si="97"/>
        <v>6386</v>
      </c>
      <c r="AD159" s="466">
        <f t="shared" si="97"/>
        <v>84276</v>
      </c>
      <c r="AE159" s="466">
        <f t="shared" si="97"/>
        <v>40567</v>
      </c>
      <c r="AF159" s="466">
        <f t="shared" si="97"/>
        <v>43709</v>
      </c>
      <c r="AI159" s="204"/>
      <c r="AJ159" s="204"/>
      <c r="AK159" s="830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5">
      <c r="A160" s="204"/>
      <c r="B160" s="204"/>
      <c r="C160" s="830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30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5">
      <c r="A161" s="204"/>
      <c r="B161" s="204"/>
      <c r="C161" s="830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30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5">
      <c r="A162" s="204"/>
      <c r="B162" s="204"/>
      <c r="C162" s="830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30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5">
      <c r="A163" s="204"/>
      <c r="B163" s="204"/>
      <c r="C163" s="830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30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5">
      <c r="A164" s="204"/>
      <c r="B164" s="204"/>
      <c r="C164" s="830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30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5">
      <c r="A165" s="204"/>
      <c r="B165" s="204"/>
      <c r="C165" s="830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30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5">
      <c r="A166" s="204"/>
      <c r="B166" s="204"/>
      <c r="C166" s="830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30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5">
      <c r="A167" s="204"/>
      <c r="B167" s="204"/>
      <c r="C167" s="830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30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5">
      <c r="A168" s="204"/>
      <c r="B168" s="204"/>
      <c r="C168" s="830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30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5">
      <c r="A169" s="204"/>
      <c r="B169" s="204"/>
      <c r="C169" s="830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30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5">
      <c r="A170" s="204"/>
      <c r="B170" s="204"/>
      <c r="C170" s="830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30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5">
      <c r="A171" s="204"/>
      <c r="B171" s="204"/>
      <c r="C171" s="830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30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5">
      <c r="A172" s="204"/>
      <c r="B172" s="204"/>
      <c r="C172" s="830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30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5">
      <c r="A173" s="204"/>
      <c r="B173" s="204"/>
      <c r="C173" s="830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30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30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5">
      <c r="A174" s="204"/>
      <c r="B174" s="204"/>
      <c r="C174" s="830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30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30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5">
      <c r="A175" s="204"/>
      <c r="B175" s="204"/>
      <c r="C175" s="830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30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30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5">
      <c r="A176" s="204"/>
      <c r="B176" s="204"/>
      <c r="C176" s="830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30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30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5">
      <c r="A177" s="204"/>
      <c r="B177" s="204"/>
      <c r="C177" s="830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30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30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5">
      <c r="A178" s="204"/>
      <c r="B178" s="204"/>
      <c r="C178" s="830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30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30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5">
      <c r="A179" s="204"/>
      <c r="B179" s="204"/>
      <c r="C179" s="830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30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30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5">
      <c r="A180" s="204"/>
      <c r="B180" s="204"/>
      <c r="C180" s="830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30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30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5">
      <c r="A181" s="204"/>
      <c r="B181" s="204"/>
      <c r="C181" s="830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30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30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5">
      <c r="A182" s="204"/>
      <c r="B182" s="204"/>
      <c r="C182" s="830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30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30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5">
      <c r="A183" s="204"/>
      <c r="B183" s="204"/>
      <c r="C183" s="830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30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30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5">
      <c r="A184" s="204"/>
      <c r="B184" s="204"/>
      <c r="C184" s="830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30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30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5">
      <c r="A185" s="204"/>
      <c r="B185" s="204"/>
      <c r="C185" s="830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30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30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5">
      <c r="A186" s="204"/>
      <c r="B186" s="204"/>
      <c r="C186" s="830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30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30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5">
      <c r="A187" s="204"/>
      <c r="B187" s="204"/>
      <c r="C187" s="830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30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30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5">
      <c r="A188" s="204"/>
      <c r="B188" s="204"/>
      <c r="C188" s="830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30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30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5">
      <c r="A189" s="204"/>
      <c r="B189" s="204"/>
      <c r="C189" s="830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30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30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5">
      <c r="A190" s="204"/>
      <c r="B190" s="204"/>
      <c r="C190" s="830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30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30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5">
      <c r="A191" s="204"/>
      <c r="B191" s="204"/>
      <c r="C191" s="830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30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30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5">
      <c r="A192" s="204"/>
      <c r="B192" s="204"/>
      <c r="C192" s="830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30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30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5">
      <c r="A193" s="204"/>
      <c r="B193" s="204"/>
      <c r="C193" s="830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30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30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5">
      <c r="A194" s="204"/>
      <c r="B194" s="204"/>
      <c r="C194" s="830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30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30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5">
      <c r="A195" s="204"/>
      <c r="B195" s="204"/>
      <c r="C195" s="830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30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30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5">
      <c r="A196" s="204"/>
      <c r="B196" s="204"/>
      <c r="C196" s="830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30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30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5">
      <c r="A197" s="204"/>
      <c r="B197" s="204"/>
      <c r="C197" s="830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30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30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5">
      <c r="A198" s="204"/>
      <c r="B198" s="204"/>
      <c r="C198" s="830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30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30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5">
      <c r="A199" s="204"/>
      <c r="B199" s="204"/>
      <c r="C199" s="830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30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30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5">
      <c r="A200" s="204"/>
      <c r="B200" s="204"/>
      <c r="C200" s="830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30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30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5">
      <c r="A201" s="204"/>
      <c r="B201" s="204"/>
      <c r="C201" s="830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30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30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5">
      <c r="A202" s="204"/>
      <c r="B202" s="204"/>
      <c r="C202" s="830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30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30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5">
      <c r="A203" s="204"/>
      <c r="B203" s="204"/>
      <c r="C203" s="830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30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30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5">
      <c r="A204" s="204"/>
      <c r="B204" s="204"/>
      <c r="C204" s="830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30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30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5">
      <c r="A205" s="204"/>
      <c r="B205" s="204"/>
      <c r="C205" s="830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30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30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5">
      <c r="A206" s="204"/>
      <c r="B206" s="204"/>
      <c r="C206" s="830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30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30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5">
      <c r="A207" s="204"/>
      <c r="B207" s="204"/>
      <c r="C207" s="830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30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30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5">
      <c r="A208" s="204"/>
      <c r="B208" s="204"/>
      <c r="C208" s="830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30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30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5">
      <c r="A209" s="204"/>
      <c r="B209" s="204"/>
      <c r="C209" s="830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30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30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5">
      <c r="A210" s="204"/>
      <c r="B210" s="204"/>
      <c r="C210" s="830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30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30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5">
      <c r="A211" s="204"/>
      <c r="B211" s="204"/>
      <c r="C211" s="830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30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30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5">
      <c r="A212" s="204"/>
      <c r="B212" s="204"/>
      <c r="C212" s="830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30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30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5">
      <c r="A213" s="204"/>
      <c r="B213" s="204"/>
      <c r="C213" s="830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30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30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5">
      <c r="A214" s="204"/>
      <c r="B214" s="204"/>
      <c r="C214" s="830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30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30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5">
      <c r="A215" s="204"/>
      <c r="B215" s="204"/>
      <c r="C215" s="830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30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30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5">
      <c r="A216" s="204"/>
      <c r="B216" s="204"/>
      <c r="C216" s="830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30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30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5">
      <c r="A217" s="204"/>
      <c r="B217" s="204"/>
      <c r="C217" s="830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30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30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5">
      <c r="A218" s="204"/>
      <c r="B218" s="204"/>
      <c r="C218" s="830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30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30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5">
      <c r="A219" s="204"/>
      <c r="B219" s="204"/>
      <c r="C219" s="830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30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30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5">
      <c r="A220" s="204"/>
      <c r="B220" s="204"/>
      <c r="C220" s="830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30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30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5">
      <c r="A221" s="204"/>
      <c r="B221" s="204"/>
      <c r="C221" s="830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30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30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5">
      <c r="A222" s="204"/>
      <c r="B222" s="204"/>
      <c r="C222" s="830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30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30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5">
      <c r="A223" s="204"/>
      <c r="B223" s="204"/>
      <c r="C223" s="830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30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30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5">
      <c r="A224" s="204"/>
      <c r="B224" s="204"/>
      <c r="C224" s="830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30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30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5">
      <c r="A225" s="204"/>
      <c r="B225" s="204"/>
      <c r="C225" s="830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30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30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5">
      <c r="A226" s="204"/>
      <c r="B226" s="204"/>
      <c r="C226" s="830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30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30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5">
      <c r="A227" s="204"/>
      <c r="B227" s="204"/>
      <c r="C227" s="830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30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30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5">
      <c r="A228" s="204"/>
      <c r="B228" s="204"/>
      <c r="C228" s="830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30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30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5">
      <c r="A229" s="204"/>
      <c r="B229" s="204"/>
      <c r="C229" s="830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30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30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5">
      <c r="A230" s="204"/>
      <c r="B230" s="204"/>
      <c r="C230" s="830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30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30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5">
      <c r="A231" s="204"/>
      <c r="B231" s="204"/>
      <c r="C231" s="830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30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30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5">
      <c r="A232" s="204"/>
      <c r="B232" s="204"/>
      <c r="C232" s="830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30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30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5">
      <c r="A233" s="204"/>
      <c r="B233" s="204"/>
      <c r="C233" s="830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30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30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5">
      <c r="A234" s="204"/>
      <c r="B234" s="204"/>
      <c r="C234" s="830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30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30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5">
      <c r="A235" s="204"/>
      <c r="B235" s="204"/>
      <c r="C235" s="830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30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30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5">
      <c r="A236" s="204"/>
      <c r="B236" s="204"/>
      <c r="C236" s="830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30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30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5">
      <c r="A237" s="204"/>
      <c r="B237" s="204"/>
      <c r="C237" s="830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30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30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5">
      <c r="A238" s="204"/>
      <c r="B238" s="204"/>
      <c r="C238" s="830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30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30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5">
      <c r="A239" s="204"/>
      <c r="B239" s="204"/>
      <c r="C239" s="830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30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30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5">
      <c r="A240" s="204"/>
      <c r="B240" s="204"/>
      <c r="C240" s="830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30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30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5">
      <c r="A241" s="204"/>
      <c r="B241" s="204"/>
      <c r="C241" s="830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30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30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5">
      <c r="A242" s="204"/>
      <c r="B242" s="204"/>
      <c r="C242" s="830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30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30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5">
      <c r="A243" s="204"/>
      <c r="B243" s="204"/>
      <c r="C243" s="830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30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30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5">
      <c r="A244" s="204"/>
      <c r="B244" s="204"/>
      <c r="C244" s="830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30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30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5">
      <c r="A245" s="204"/>
      <c r="B245" s="204"/>
      <c r="C245" s="830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30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30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5">
      <c r="A246" s="204"/>
      <c r="B246" s="204"/>
      <c r="C246" s="830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30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30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5">
      <c r="A247" s="204"/>
      <c r="B247" s="204"/>
      <c r="C247" s="830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30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30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5">
      <c r="A248" s="204"/>
      <c r="B248" s="204"/>
      <c r="C248" s="830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30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30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5">
      <c r="A249" s="204"/>
      <c r="B249" s="204"/>
      <c r="C249" s="830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30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30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5">
      <c r="A250" s="204"/>
      <c r="B250" s="204"/>
      <c r="C250" s="830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30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30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5">
      <c r="A251" s="204"/>
      <c r="B251" s="204"/>
      <c r="C251" s="830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30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30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5">
      <c r="A252" s="204"/>
      <c r="B252" s="204"/>
      <c r="C252" s="830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30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30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5">
      <c r="A253" s="204"/>
      <c r="B253" s="204"/>
      <c r="C253" s="830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30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30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5">
      <c r="A254" s="204"/>
      <c r="B254" s="204"/>
      <c r="C254" s="830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30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30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5">
      <c r="A255" s="204"/>
      <c r="B255" s="204"/>
      <c r="C255" s="830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30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30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5">
      <c r="A256" s="204"/>
      <c r="B256" s="204"/>
      <c r="C256" s="830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30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30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5">
      <c r="A257" s="204"/>
      <c r="B257" s="204"/>
      <c r="C257" s="830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30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30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5">
      <c r="A258" s="204"/>
      <c r="B258" s="204"/>
      <c r="C258" s="830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30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30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5">
      <c r="A259" s="204"/>
      <c r="B259" s="204"/>
      <c r="C259" s="830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30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30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5">
      <c r="A260" s="204"/>
      <c r="B260" s="204"/>
      <c r="C260" s="830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30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30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5">
      <c r="A261" s="204"/>
      <c r="B261" s="204"/>
      <c r="C261" s="830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30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30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5">
      <c r="A262" s="204"/>
      <c r="B262" s="204"/>
      <c r="C262" s="830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30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30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5">
      <c r="A263" s="204"/>
      <c r="B263" s="204"/>
      <c r="C263" s="830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30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30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5">
      <c r="A264" s="204"/>
      <c r="B264" s="204"/>
      <c r="C264" s="830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30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30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5">
      <c r="A265" s="204"/>
      <c r="B265" s="204"/>
      <c r="C265" s="830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30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30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5">
      <c r="A266" s="204"/>
      <c r="B266" s="204"/>
      <c r="C266" s="830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30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30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5">
      <c r="A267" s="204"/>
      <c r="B267" s="204"/>
      <c r="C267" s="830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30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30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5">
      <c r="A268" s="204"/>
      <c r="B268" s="204"/>
      <c r="C268" s="830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30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30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5">
      <c r="A269" s="204"/>
      <c r="B269" s="204"/>
      <c r="C269" s="830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30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30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5">
      <c r="A270" s="204"/>
      <c r="B270" s="204"/>
      <c r="C270" s="830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30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30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5">
      <c r="A271" s="204"/>
      <c r="B271" s="204"/>
      <c r="C271" s="830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30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30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5">
      <c r="A272" s="204"/>
      <c r="B272" s="204"/>
      <c r="C272" s="830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30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30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5">
      <c r="A273" s="204"/>
      <c r="B273" s="204"/>
      <c r="C273" s="830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30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30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5">
      <c r="A274" s="204"/>
      <c r="B274" s="204"/>
      <c r="C274" s="830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30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30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5">
      <c r="A275" s="204"/>
      <c r="B275" s="204"/>
      <c r="C275" s="830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30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30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5">
      <c r="A276" s="204"/>
      <c r="B276" s="204"/>
      <c r="C276" s="830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30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30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5">
      <c r="A277" s="204"/>
      <c r="B277" s="204"/>
      <c r="C277" s="830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30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30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5">
      <c r="A278" s="204"/>
      <c r="B278" s="204"/>
      <c r="C278" s="830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30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30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5">
      <c r="A279" s="204"/>
      <c r="B279" s="204"/>
      <c r="C279" s="830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30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30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5">
      <c r="A280" s="204"/>
      <c r="B280" s="204"/>
      <c r="C280" s="830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30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30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5">
      <c r="A281" s="204"/>
      <c r="B281" s="204"/>
      <c r="C281" s="830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30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30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5">
      <c r="A282" s="204"/>
      <c r="B282" s="204"/>
      <c r="C282" s="830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30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30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5">
      <c r="A283" s="204"/>
      <c r="B283" s="204"/>
      <c r="C283" s="830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30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30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5">
      <c r="A284" s="204"/>
      <c r="B284" s="204"/>
      <c r="C284" s="830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30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30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5">
      <c r="A285" s="204"/>
      <c r="B285" s="204"/>
      <c r="C285" s="830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30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30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5">
      <c r="A286" s="204"/>
      <c r="B286" s="204"/>
      <c r="C286" s="830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30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30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5">
      <c r="A287" s="204"/>
      <c r="B287" s="204"/>
      <c r="C287" s="830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30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30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5">
      <c r="A288" s="204"/>
      <c r="B288" s="204"/>
      <c r="C288" s="830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30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30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5">
      <c r="A289" s="204"/>
      <c r="B289" s="204"/>
      <c r="C289" s="830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30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30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5">
      <c r="A290" s="204"/>
      <c r="B290" s="204"/>
      <c r="C290" s="830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30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30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5">
      <c r="A291" s="204"/>
      <c r="B291" s="204"/>
      <c r="C291" s="830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30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30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5">
      <c r="A292" s="204"/>
      <c r="B292" s="204"/>
      <c r="C292" s="830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30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30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5">
      <c r="A293" s="204"/>
      <c r="B293" s="204"/>
      <c r="C293" s="830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30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30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5">
      <c r="A294" s="204"/>
      <c r="B294" s="204"/>
      <c r="C294" s="830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30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30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5">
      <c r="A295" s="204"/>
      <c r="B295" s="204"/>
      <c r="C295" s="830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30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30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5">
      <c r="A296" s="204"/>
      <c r="B296" s="204"/>
      <c r="C296" s="830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30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30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5">
      <c r="A297" s="204"/>
      <c r="B297" s="204"/>
      <c r="C297" s="830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30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30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5">
      <c r="A298" s="204"/>
      <c r="B298" s="204"/>
      <c r="C298" s="830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30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30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5">
      <c r="A299" s="204"/>
      <c r="B299" s="204"/>
      <c r="C299" s="830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30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30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5">
      <c r="A300" s="204"/>
      <c r="B300" s="204"/>
      <c r="C300" s="830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30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30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5">
      <c r="A301" s="204"/>
      <c r="B301" s="204"/>
      <c r="C301" s="830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30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30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5">
      <c r="A302" s="204"/>
      <c r="B302" s="204"/>
      <c r="C302" s="830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30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30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5">
      <c r="A303" s="204"/>
      <c r="B303" s="204"/>
      <c r="C303" s="830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30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30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5">
      <c r="A304" s="204"/>
      <c r="B304" s="204"/>
      <c r="C304" s="830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30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30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5">
      <c r="A305" s="204"/>
      <c r="B305" s="204"/>
      <c r="C305" s="830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30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30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5">
      <c r="A306" s="204"/>
      <c r="B306" s="204"/>
      <c r="C306" s="830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30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30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5">
      <c r="A307" s="204"/>
      <c r="B307" s="204"/>
      <c r="C307" s="830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30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30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5">
      <c r="A308" s="204"/>
      <c r="B308" s="204"/>
      <c r="C308" s="830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30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30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5">
      <c r="A309" s="204"/>
      <c r="B309" s="204"/>
      <c r="C309" s="830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30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30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5">
      <c r="A310" s="204"/>
      <c r="B310" s="204"/>
      <c r="C310" s="830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30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30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5">
      <c r="A311" s="204"/>
      <c r="B311" s="204"/>
      <c r="C311" s="830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30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30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5">
      <c r="A312" s="204"/>
      <c r="B312" s="204"/>
      <c r="C312" s="830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30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30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5">
      <c r="A313" s="204"/>
      <c r="B313" s="204"/>
      <c r="C313" s="830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30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30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5">
      <c r="A314" s="204"/>
      <c r="B314" s="204"/>
      <c r="C314" s="830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30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30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5">
      <c r="A315" s="204"/>
      <c r="B315" s="204"/>
      <c r="C315" s="830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30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30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5">
      <c r="A316" s="204"/>
      <c r="B316" s="204"/>
      <c r="C316" s="830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30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30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5">
      <c r="A317" s="204"/>
      <c r="B317" s="204"/>
      <c r="C317" s="830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30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30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5">
      <c r="A318" s="204"/>
      <c r="B318" s="204"/>
      <c r="C318" s="830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30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30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5">
      <c r="A319" s="204"/>
      <c r="B319" s="204"/>
      <c r="C319" s="830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30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30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5">
      <c r="A320" s="204"/>
      <c r="B320" s="204"/>
      <c r="C320" s="830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30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30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5">
      <c r="A321" s="204"/>
      <c r="B321" s="204"/>
      <c r="C321" s="830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30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30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5">
      <c r="A322" s="204"/>
      <c r="B322" s="204"/>
      <c r="C322" s="830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30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30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5">
      <c r="A323" s="204"/>
      <c r="B323" s="204"/>
      <c r="C323" s="830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30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30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5">
      <c r="A324" s="204"/>
      <c r="B324" s="204"/>
      <c r="C324" s="830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30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30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5">
      <c r="A325" s="204"/>
      <c r="B325" s="204"/>
      <c r="C325" s="830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30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30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5">
      <c r="A326" s="204"/>
      <c r="B326" s="204"/>
      <c r="C326" s="830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30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30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5">
      <c r="A327" s="204"/>
      <c r="B327" s="204"/>
      <c r="C327" s="830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30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30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5">
      <c r="A328" s="204"/>
      <c r="B328" s="204"/>
      <c r="C328" s="830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30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30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5">
      <c r="A329" s="204"/>
      <c r="B329" s="204"/>
      <c r="C329" s="830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30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30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5">
      <c r="A330" s="204"/>
      <c r="B330" s="204"/>
      <c r="C330" s="830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30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30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5">
      <c r="A331" s="204"/>
      <c r="B331" s="204"/>
      <c r="C331" s="830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30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30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5">
      <c r="A332" s="204"/>
      <c r="B332" s="204"/>
      <c r="C332" s="830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30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30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5">
      <c r="A333" s="204"/>
      <c r="B333" s="204"/>
      <c r="C333" s="830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30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30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5">
      <c r="A334" s="204"/>
      <c r="B334" s="204"/>
      <c r="C334" s="830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30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30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5">
      <c r="A335" s="204"/>
      <c r="B335" s="204"/>
      <c r="C335" s="830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30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30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5">
      <c r="A336" s="204"/>
      <c r="B336" s="204"/>
      <c r="C336" s="830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30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30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5">
      <c r="A337" s="204"/>
      <c r="B337" s="204"/>
      <c r="C337" s="830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30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30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5">
      <c r="A338" s="204"/>
      <c r="B338" s="204"/>
      <c r="C338" s="830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30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30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5">
      <c r="A339" s="204"/>
      <c r="B339" s="204"/>
      <c r="C339" s="830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30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30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5">
      <c r="A340" s="204"/>
      <c r="B340" s="204"/>
      <c r="C340" s="830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30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30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5">
      <c r="A341" s="204"/>
      <c r="B341" s="204"/>
      <c r="C341" s="830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30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30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5">
      <c r="A342" s="204"/>
      <c r="B342" s="204"/>
      <c r="C342" s="830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30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30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5">
      <c r="A343" s="204"/>
      <c r="B343" s="204"/>
      <c r="C343" s="830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30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30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5">
      <c r="A344" s="204"/>
      <c r="B344" s="204"/>
      <c r="C344" s="830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30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30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5">
      <c r="A345" s="204"/>
      <c r="B345" s="204"/>
      <c r="C345" s="830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30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30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5">
      <c r="A346" s="204"/>
      <c r="B346" s="204"/>
      <c r="C346" s="830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30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30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5">
      <c r="A347" s="204"/>
      <c r="B347" s="204"/>
      <c r="C347" s="830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30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30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5">
      <c r="A348" s="204"/>
      <c r="B348" s="204"/>
      <c r="C348" s="830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30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30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5">
      <c r="A349" s="204"/>
      <c r="B349" s="204"/>
      <c r="C349" s="830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30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30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5">
      <c r="A350" s="204"/>
      <c r="B350" s="204"/>
      <c r="C350" s="830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30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30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5">
      <c r="A351" s="204"/>
      <c r="B351" s="204"/>
      <c r="C351" s="830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30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30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5">
      <c r="A352" s="204"/>
      <c r="B352" s="204"/>
      <c r="C352" s="830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30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30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5">
      <c r="A353" s="204"/>
      <c r="B353" s="204"/>
      <c r="C353" s="830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30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30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5">
      <c r="A354" s="204"/>
      <c r="B354" s="204"/>
      <c r="C354" s="830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30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30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5">
      <c r="A355" s="204"/>
      <c r="B355" s="204"/>
      <c r="C355" s="830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30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30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5">
      <c r="A356" s="204"/>
      <c r="B356" s="204"/>
      <c r="C356" s="830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30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30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5">
      <c r="A357" s="204"/>
      <c r="B357" s="204"/>
      <c r="C357" s="830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30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30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5">
      <c r="A358" s="204"/>
      <c r="B358" s="204"/>
      <c r="C358" s="830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30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30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5">
      <c r="A359" s="204"/>
      <c r="B359" s="204"/>
      <c r="C359" s="830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30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30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5">
      <c r="A360" s="204"/>
      <c r="B360" s="204"/>
      <c r="C360" s="830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30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30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5">
      <c r="A361" s="204"/>
      <c r="B361" s="204"/>
      <c r="C361" s="830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30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30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5">
      <c r="A362" s="204"/>
      <c r="B362" s="204"/>
      <c r="C362" s="830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30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30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5">
      <c r="A363" s="204"/>
      <c r="B363" s="204"/>
      <c r="C363" s="830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30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30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5">
      <c r="A364" s="204"/>
      <c r="B364" s="204"/>
      <c r="C364" s="830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30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30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5">
      <c r="A365" s="204"/>
      <c r="B365" s="204"/>
      <c r="C365" s="830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30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30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5">
      <c r="A366" s="204"/>
      <c r="B366" s="204"/>
      <c r="C366" s="830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30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30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5">
      <c r="A367" s="204"/>
      <c r="B367" s="204"/>
      <c r="C367" s="830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30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30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5">
      <c r="A368" s="204"/>
      <c r="B368" s="204"/>
      <c r="C368" s="830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30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30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5">
      <c r="A369" s="204"/>
      <c r="B369" s="204"/>
      <c r="C369" s="830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30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30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5">
      <c r="A370" s="204"/>
      <c r="B370" s="204"/>
      <c r="C370" s="830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30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30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5">
      <c r="A371" s="204"/>
      <c r="B371" s="204"/>
      <c r="C371" s="830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30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30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5">
      <c r="A372" s="204"/>
      <c r="B372" s="204"/>
      <c r="C372" s="830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30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30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5">
      <c r="A373" s="204"/>
      <c r="B373" s="204"/>
      <c r="C373" s="830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30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30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5">
      <c r="A374" s="204"/>
      <c r="B374" s="204"/>
      <c r="C374" s="830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30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30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5">
      <c r="A375" s="204"/>
      <c r="B375" s="204"/>
      <c r="C375" s="830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30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30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5">
      <c r="A376" s="204"/>
      <c r="B376" s="204"/>
      <c r="C376" s="830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30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30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5">
      <c r="A377" s="204"/>
      <c r="B377" s="204"/>
      <c r="C377" s="830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30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30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5">
      <c r="A378" s="204"/>
      <c r="B378" s="204"/>
      <c r="C378" s="830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30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30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5">
      <c r="A379" s="204"/>
      <c r="B379" s="204"/>
      <c r="C379" s="830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30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30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5">
      <c r="A380" s="204"/>
      <c r="B380" s="204"/>
      <c r="C380" s="830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30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30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5">
      <c r="A381" s="204"/>
      <c r="B381" s="204"/>
      <c r="C381" s="830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30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30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5">
      <c r="A382" s="204"/>
      <c r="B382" s="204"/>
      <c r="C382" s="830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30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30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5">
      <c r="A383" s="204"/>
      <c r="B383" s="204"/>
      <c r="C383" s="830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30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30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5">
      <c r="A384" s="204"/>
      <c r="B384" s="204"/>
      <c r="C384" s="830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30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30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5">
      <c r="A385" s="204"/>
      <c r="B385" s="204"/>
      <c r="C385" s="830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30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30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5">
      <c r="A386" s="204"/>
      <c r="B386" s="204"/>
      <c r="C386" s="830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30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30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5">
      <c r="A387" s="204"/>
      <c r="B387" s="204"/>
      <c r="C387" s="830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30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30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5">
      <c r="A388" s="204"/>
      <c r="B388" s="204"/>
      <c r="C388" s="830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30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30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5">
      <c r="A389" s="204"/>
      <c r="B389" s="204"/>
      <c r="C389" s="830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30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30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5">
      <c r="A390" s="204"/>
      <c r="B390" s="204"/>
      <c r="C390" s="830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30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30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5">
      <c r="A391" s="204"/>
      <c r="B391" s="204"/>
      <c r="C391" s="830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30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30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5">
      <c r="A392" s="204"/>
      <c r="B392" s="204"/>
      <c r="C392" s="830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30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30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5">
      <c r="A393" s="204"/>
      <c r="B393" s="204"/>
      <c r="C393" s="830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30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30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5">
      <c r="A394" s="204"/>
      <c r="B394" s="204"/>
      <c r="C394" s="830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30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30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5">
      <c r="A395" s="204"/>
      <c r="B395" s="204"/>
      <c r="C395" s="830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30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30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5">
      <c r="A396" s="204"/>
      <c r="B396" s="204"/>
      <c r="C396" s="830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30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30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5">
      <c r="A397" s="204"/>
      <c r="B397" s="204"/>
      <c r="C397" s="830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30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30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5">
      <c r="A398" s="204"/>
      <c r="B398" s="204"/>
      <c r="C398" s="830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30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30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5">
      <c r="A399" s="204"/>
      <c r="B399" s="204"/>
      <c r="C399" s="830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30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30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5">
      <c r="A400" s="204"/>
      <c r="B400" s="204"/>
      <c r="C400" s="830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30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30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5">
      <c r="A401" s="204"/>
      <c r="B401" s="204"/>
      <c r="C401" s="830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30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30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5">
      <c r="A402" s="204"/>
      <c r="B402" s="204"/>
      <c r="C402" s="830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30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30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5">
      <c r="A403" s="204"/>
      <c r="B403" s="204"/>
      <c r="C403" s="830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30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30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5">
      <c r="A404" s="204"/>
      <c r="B404" s="204"/>
      <c r="C404" s="830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30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30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5">
      <c r="A405" s="204"/>
      <c r="B405" s="204"/>
      <c r="C405" s="830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30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30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5">
      <c r="A406" s="204"/>
      <c r="B406" s="204"/>
      <c r="C406" s="830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30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30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5">
      <c r="A407" s="204"/>
      <c r="B407" s="204"/>
      <c r="C407" s="830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30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30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5">
      <c r="A408" s="204"/>
      <c r="B408" s="204"/>
      <c r="C408" s="830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30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30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5">
      <c r="A409" s="204"/>
      <c r="B409" s="204"/>
      <c r="C409" s="830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30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30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5">
      <c r="A410" s="204"/>
      <c r="B410" s="204"/>
      <c r="C410" s="830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30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30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5">
      <c r="A411" s="204"/>
      <c r="B411" s="204"/>
      <c r="C411" s="830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30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30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5">
      <c r="A412" s="204"/>
      <c r="B412" s="204"/>
      <c r="C412" s="830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30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30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5">
      <c r="A413" s="204"/>
      <c r="B413" s="204"/>
      <c r="C413" s="830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30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30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5">
      <c r="A414" s="204"/>
      <c r="B414" s="204"/>
      <c r="C414" s="830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30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30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5">
      <c r="A415" s="204"/>
      <c r="B415" s="204"/>
      <c r="C415" s="830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30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30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5">
      <c r="A416" s="204"/>
      <c r="B416" s="204"/>
      <c r="C416" s="830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30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30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5">
      <c r="A417" s="204"/>
      <c r="B417" s="204"/>
      <c r="C417" s="830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30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30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5">
      <c r="A418" s="204"/>
      <c r="B418" s="204"/>
      <c r="C418" s="830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30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30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5">
      <c r="A419" s="204"/>
      <c r="B419" s="204"/>
      <c r="C419" s="830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30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30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5">
      <c r="A420" s="204"/>
      <c r="B420" s="204"/>
      <c r="C420" s="830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30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30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5">
      <c r="A421" s="204"/>
      <c r="B421" s="204"/>
      <c r="C421" s="830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30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30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5">
      <c r="A422" s="204"/>
      <c r="B422" s="204"/>
      <c r="C422" s="830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30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30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5">
      <c r="A423" s="204"/>
      <c r="B423" s="204"/>
      <c r="C423" s="830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30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30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5">
      <c r="A424" s="204"/>
      <c r="B424" s="204"/>
      <c r="C424" s="830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30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30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5">
      <c r="A425" s="204"/>
      <c r="B425" s="204"/>
      <c r="C425" s="830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30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30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5">
      <c r="A426" s="204"/>
      <c r="B426" s="204"/>
      <c r="C426" s="830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30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30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5">
      <c r="A427" s="204"/>
      <c r="B427" s="204"/>
      <c r="C427" s="830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30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30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5">
      <c r="A428" s="204"/>
      <c r="B428" s="204"/>
      <c r="C428" s="830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30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30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5">
      <c r="A429" s="204"/>
      <c r="B429" s="204"/>
      <c r="C429" s="830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30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30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5">
      <c r="A430" s="204"/>
      <c r="B430" s="204"/>
      <c r="C430" s="830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30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30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5">
      <c r="A431" s="204"/>
      <c r="B431" s="204"/>
      <c r="C431" s="830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30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30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5">
      <c r="A432" s="204"/>
      <c r="B432" s="204"/>
      <c r="C432" s="830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30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30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5">
      <c r="A433" s="204"/>
      <c r="B433" s="204"/>
      <c r="C433" s="830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30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30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5">
      <c r="A434" s="204"/>
      <c r="B434" s="204"/>
      <c r="C434" s="830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30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30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5">
      <c r="A435" s="204"/>
      <c r="B435" s="204"/>
      <c r="C435" s="830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30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30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5">
      <c r="A436" s="204"/>
      <c r="B436" s="204"/>
      <c r="C436" s="830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30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30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5">
      <c r="A437" s="204"/>
      <c r="B437" s="204"/>
      <c r="C437" s="830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30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30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5">
      <c r="A438" s="204"/>
      <c r="B438" s="204"/>
      <c r="C438" s="830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30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30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5">
      <c r="A439" s="204"/>
      <c r="B439" s="204"/>
      <c r="C439" s="830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30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30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5">
      <c r="A440" s="204"/>
      <c r="B440" s="204"/>
      <c r="C440" s="830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30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30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5">
      <c r="A441" s="204"/>
      <c r="B441" s="204"/>
      <c r="C441" s="830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30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30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5">
      <c r="A442" s="204"/>
      <c r="B442" s="204"/>
      <c r="C442" s="830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30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30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5">
      <c r="A443" s="204"/>
      <c r="B443" s="204"/>
      <c r="C443" s="830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30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30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5">
      <c r="A444" s="204"/>
      <c r="B444" s="204"/>
      <c r="C444" s="830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30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30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5">
      <c r="A445" s="204"/>
      <c r="B445" s="204"/>
      <c r="C445" s="830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30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30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5">
      <c r="A446" s="204"/>
      <c r="B446" s="204"/>
      <c r="C446" s="830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30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30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5">
      <c r="A447" s="204"/>
      <c r="B447" s="204"/>
      <c r="C447" s="830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30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30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5">
      <c r="A448" s="204"/>
      <c r="B448" s="204"/>
      <c r="C448" s="830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30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30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5">
      <c r="A449" s="204"/>
      <c r="B449" s="204"/>
      <c r="C449" s="830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30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30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5">
      <c r="A450" s="204"/>
      <c r="B450" s="204"/>
      <c r="C450" s="830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30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30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5">
      <c r="A451" s="204"/>
      <c r="B451" s="204"/>
      <c r="C451" s="830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30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30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5">
      <c r="A452" s="204"/>
      <c r="B452" s="204"/>
      <c r="C452" s="830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30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30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5">
      <c r="A453" s="204"/>
      <c r="B453" s="204"/>
      <c r="C453" s="830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30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30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5">
      <c r="A454" s="204"/>
      <c r="B454" s="204"/>
      <c r="C454" s="830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30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30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5">
      <c r="A455" s="204"/>
      <c r="B455" s="204"/>
      <c r="C455" s="830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30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30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5">
      <c r="A456" s="204"/>
      <c r="B456" s="204"/>
      <c r="C456" s="830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30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30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5">
      <c r="A457" s="204"/>
      <c r="B457" s="204"/>
      <c r="C457" s="830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30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30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5">
      <c r="A458" s="204"/>
      <c r="B458" s="204"/>
      <c r="C458" s="830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30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30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5">
      <c r="A459" s="204"/>
      <c r="B459" s="204"/>
      <c r="C459" s="830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30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30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5">
      <c r="A460" s="204"/>
      <c r="B460" s="204"/>
      <c r="C460" s="830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30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30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5">
      <c r="A461" s="204"/>
      <c r="B461" s="204"/>
      <c r="C461" s="830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30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30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5">
      <c r="A462" s="204"/>
      <c r="B462" s="204"/>
      <c r="C462" s="830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30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30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5">
      <c r="A463" s="204"/>
      <c r="B463" s="204"/>
      <c r="C463" s="830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30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30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5">
      <c r="A464" s="204"/>
      <c r="B464" s="204"/>
      <c r="C464" s="830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30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30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5">
      <c r="A465" s="204"/>
      <c r="B465" s="204"/>
      <c r="C465" s="830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30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30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5">
      <c r="A466" s="204"/>
      <c r="B466" s="204"/>
      <c r="C466" s="830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30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30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5">
      <c r="A467" s="204"/>
      <c r="B467" s="204"/>
      <c r="C467" s="830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30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30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5">
      <c r="A468" s="204"/>
      <c r="B468" s="204"/>
      <c r="C468" s="830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30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30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5">
      <c r="A469" s="204"/>
      <c r="B469" s="204"/>
      <c r="C469" s="830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30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30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5">
      <c r="A470" s="204"/>
      <c r="B470" s="204"/>
      <c r="C470" s="830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30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30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5">
      <c r="A471" s="204"/>
      <c r="B471" s="204"/>
      <c r="C471" s="830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30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30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5">
      <c r="A472" s="204"/>
      <c r="B472" s="204"/>
      <c r="C472" s="830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30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30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5">
      <c r="A473" s="204"/>
      <c r="B473" s="204"/>
      <c r="C473" s="830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30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30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5">
      <c r="A474" s="204"/>
      <c r="B474" s="204"/>
      <c r="C474" s="830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30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30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5">
      <c r="A475" s="204"/>
      <c r="B475" s="204"/>
      <c r="C475" s="830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30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30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5">
      <c r="A476" s="204"/>
      <c r="B476" s="204"/>
      <c r="C476" s="830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30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30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5">
      <c r="A477" s="204"/>
      <c r="B477" s="204"/>
      <c r="C477" s="830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30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30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5">
      <c r="A478" s="204"/>
      <c r="B478" s="204"/>
      <c r="C478" s="830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30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30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5">
      <c r="A479" s="204"/>
      <c r="B479" s="204"/>
      <c r="C479" s="830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30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30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5">
      <c r="A480" s="204"/>
      <c r="B480" s="204"/>
      <c r="C480" s="830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30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30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5">
      <c r="A481" s="204"/>
      <c r="B481" s="204"/>
      <c r="C481" s="830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30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30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5">
      <c r="A482" s="204"/>
      <c r="B482" s="204"/>
      <c r="C482" s="830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30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30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5">
      <c r="A483" s="204"/>
      <c r="B483" s="204"/>
      <c r="C483" s="830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30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30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5">
      <c r="A484" s="204"/>
      <c r="B484" s="204"/>
      <c r="C484" s="830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30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30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5">
      <c r="A485" s="204"/>
      <c r="B485" s="204"/>
      <c r="C485" s="830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30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30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5">
      <c r="A486" s="204"/>
      <c r="B486" s="204"/>
      <c r="C486" s="830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30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30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5">
      <c r="A487" s="204"/>
      <c r="B487" s="204"/>
      <c r="C487" s="830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30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30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5">
      <c r="A488" s="204"/>
      <c r="B488" s="204"/>
      <c r="C488" s="830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30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30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5">
      <c r="A489" s="204"/>
      <c r="B489" s="204"/>
      <c r="C489" s="830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30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30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5">
      <c r="A490" s="204"/>
      <c r="B490" s="204"/>
      <c r="C490" s="830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30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30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5">
      <c r="A491" s="204"/>
      <c r="B491" s="204"/>
      <c r="C491" s="830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30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30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5">
      <c r="A492" s="204"/>
      <c r="B492" s="204"/>
      <c r="C492" s="830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30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30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5">
      <c r="A493" s="204"/>
      <c r="B493" s="204"/>
      <c r="C493" s="830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30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30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5">
      <c r="A494" s="204"/>
      <c r="B494" s="204"/>
      <c r="C494" s="830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30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30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5">
      <c r="A495" s="204"/>
      <c r="B495" s="204"/>
      <c r="C495" s="830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30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30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5">
      <c r="A496" s="204"/>
      <c r="B496" s="204"/>
      <c r="C496" s="830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30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30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5">
      <c r="A497" s="204"/>
      <c r="B497" s="204"/>
      <c r="C497" s="830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30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30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5">
      <c r="A498" s="204"/>
      <c r="B498" s="204"/>
      <c r="C498" s="830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30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30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5">
      <c r="A499" s="204"/>
      <c r="B499" s="204"/>
      <c r="C499" s="830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30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30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5">
      <c r="A500" s="204"/>
      <c r="B500" s="204"/>
      <c r="C500" s="830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30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30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5">
      <c r="A501" s="204"/>
      <c r="B501" s="204"/>
      <c r="C501" s="830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30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30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5">
      <c r="A502" s="204"/>
      <c r="B502" s="204"/>
      <c r="C502" s="830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30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30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5">
      <c r="A503" s="204"/>
      <c r="B503" s="204"/>
      <c r="C503" s="830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30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30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5">
      <c r="A504" s="204"/>
      <c r="B504" s="204"/>
      <c r="C504" s="830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30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30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5">
      <c r="A505" s="204"/>
      <c r="B505" s="204"/>
      <c r="C505" s="830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30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30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5">
      <c r="A506" s="204"/>
      <c r="B506" s="204"/>
      <c r="C506" s="830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30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30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5">
      <c r="A507" s="204"/>
      <c r="B507" s="204"/>
      <c r="C507" s="830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30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30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5">
      <c r="A508" s="204"/>
      <c r="B508" s="204"/>
      <c r="C508" s="830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30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30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5">
      <c r="A509" s="204"/>
      <c r="B509" s="204"/>
      <c r="C509" s="830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30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30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5">
      <c r="A510" s="204"/>
      <c r="B510" s="204"/>
      <c r="C510" s="830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30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30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5">
      <c r="A511" s="204"/>
      <c r="B511" s="204"/>
      <c r="C511" s="830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30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30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5">
      <c r="A512" s="204"/>
      <c r="B512" s="204"/>
      <c r="C512" s="830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30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30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5">
      <c r="A513" s="204"/>
      <c r="B513" s="204"/>
      <c r="C513" s="830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30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30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5">
      <c r="A514" s="204"/>
      <c r="B514" s="204"/>
      <c r="C514" s="830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30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30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5">
      <c r="A515" s="204"/>
      <c r="B515" s="204"/>
      <c r="C515" s="830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30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30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5">
      <c r="A516" s="204"/>
      <c r="B516" s="204"/>
      <c r="C516" s="830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30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30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5">
      <c r="A517" s="204"/>
      <c r="B517" s="204"/>
      <c r="C517" s="830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30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30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5">
      <c r="A518" s="204"/>
      <c r="B518" s="204"/>
      <c r="C518" s="830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30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30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5">
      <c r="A519" s="204"/>
      <c r="B519" s="204"/>
      <c r="C519" s="830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30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30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5">
      <c r="A520" s="204"/>
      <c r="B520" s="204"/>
      <c r="C520" s="830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30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30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5">
      <c r="A521" s="204"/>
      <c r="B521" s="204"/>
      <c r="C521" s="830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30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30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5">
      <c r="A522" s="204"/>
      <c r="B522" s="204"/>
      <c r="C522" s="830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30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30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5">
      <c r="A523" s="204"/>
      <c r="B523" s="204"/>
      <c r="C523" s="830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30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30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5">
      <c r="A524" s="204"/>
      <c r="B524" s="204"/>
      <c r="C524" s="830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30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30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5">
      <c r="A525" s="204"/>
      <c r="B525" s="204"/>
      <c r="C525" s="830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30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30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5">
      <c r="A526" s="204"/>
      <c r="B526" s="204"/>
      <c r="C526" s="830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30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30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5">
      <c r="A527" s="204"/>
      <c r="B527" s="204"/>
      <c r="C527" s="830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30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30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5">
      <c r="A528" s="204"/>
      <c r="B528" s="204"/>
      <c r="C528" s="830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30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30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5">
      <c r="A529" s="204"/>
      <c r="B529" s="204"/>
      <c r="C529" s="830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30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30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5">
      <c r="A530" s="204"/>
      <c r="B530" s="204"/>
      <c r="C530" s="830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30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30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5">
      <c r="A531" s="204"/>
      <c r="B531" s="204"/>
      <c r="C531" s="830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30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30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5">
      <c r="A532" s="204"/>
      <c r="B532" s="204"/>
      <c r="C532" s="830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30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30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5">
      <c r="A533" s="204"/>
      <c r="B533" s="204"/>
      <c r="C533" s="830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30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30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5">
      <c r="A534" s="204"/>
      <c r="B534" s="204"/>
      <c r="C534" s="830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30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30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5">
      <c r="A535" s="204"/>
      <c r="B535" s="204"/>
      <c r="C535" s="830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30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30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5">
      <c r="A536" s="204"/>
      <c r="B536" s="204"/>
      <c r="C536" s="830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30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30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5">
      <c r="A537" s="204"/>
      <c r="B537" s="204"/>
      <c r="C537" s="830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30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30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5">
      <c r="A538" s="204"/>
      <c r="B538" s="204"/>
      <c r="C538" s="830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30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30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5">
      <c r="A539" s="204"/>
      <c r="B539" s="204"/>
      <c r="C539" s="830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30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30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5">
      <c r="A540" s="204"/>
      <c r="B540" s="204"/>
      <c r="C540" s="830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30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30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5">
      <c r="A541" s="204"/>
      <c r="B541" s="204"/>
      <c r="C541" s="830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30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30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5">
      <c r="A542" s="204"/>
      <c r="B542" s="204"/>
      <c r="C542" s="830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30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30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5">
      <c r="A543" s="204"/>
      <c r="B543" s="204"/>
      <c r="C543" s="830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30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30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5">
      <c r="A544" s="204"/>
      <c r="B544" s="204"/>
      <c r="C544" s="830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30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30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5">
      <c r="A545" s="204"/>
      <c r="B545" s="204"/>
      <c r="C545" s="830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30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30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5">
      <c r="A546" s="204"/>
      <c r="B546" s="204"/>
      <c r="C546" s="830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30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30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5">
      <c r="A547" s="204"/>
      <c r="B547" s="204"/>
      <c r="C547" s="830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30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30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5">
      <c r="A548" s="204"/>
      <c r="B548" s="204"/>
      <c r="C548" s="830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30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30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5">
      <c r="A549" s="204"/>
      <c r="B549" s="204"/>
      <c r="C549" s="830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30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30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5">
      <c r="A550" s="204"/>
      <c r="B550" s="204"/>
      <c r="C550" s="830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30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30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5">
      <c r="A551" s="204"/>
      <c r="B551" s="204"/>
      <c r="C551" s="830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30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30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5">
      <c r="A552" s="204"/>
      <c r="B552" s="204"/>
      <c r="C552" s="830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30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30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5">
      <c r="A553" s="204"/>
      <c r="B553" s="204"/>
      <c r="C553" s="830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30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30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5">
      <c r="A554" s="204"/>
      <c r="B554" s="204"/>
      <c r="C554" s="830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30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30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5">
      <c r="A555" s="204"/>
      <c r="B555" s="204"/>
      <c r="C555" s="830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30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30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5">
      <c r="A556" s="204"/>
      <c r="B556" s="204"/>
      <c r="C556" s="830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30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30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5">
      <c r="A557" s="204"/>
      <c r="B557" s="204"/>
      <c r="C557" s="830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30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30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5">
      <c r="A558" s="204"/>
      <c r="B558" s="204"/>
      <c r="C558" s="830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30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30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5">
      <c r="A559" s="204"/>
      <c r="B559" s="204"/>
      <c r="C559" s="830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30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30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5">
      <c r="A560" s="204"/>
      <c r="B560" s="204"/>
      <c r="C560" s="830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30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30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5">
      <c r="A561" s="204"/>
      <c r="B561" s="204"/>
      <c r="C561" s="830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30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30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5">
      <c r="A562" s="204"/>
      <c r="B562" s="204"/>
      <c r="C562" s="830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30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30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5">
      <c r="A563" s="204"/>
      <c r="B563" s="204"/>
      <c r="C563" s="830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30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30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5">
      <c r="A564" s="204"/>
      <c r="B564" s="204"/>
      <c r="C564" s="830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30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30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5">
      <c r="A565" s="204"/>
      <c r="B565" s="204"/>
      <c r="C565" s="830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30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30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5">
      <c r="A566" s="204"/>
      <c r="B566" s="204"/>
      <c r="C566" s="830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30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30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5">
      <c r="A567" s="204"/>
      <c r="B567" s="204"/>
      <c r="C567" s="830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30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30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5">
      <c r="A568" s="204"/>
      <c r="B568" s="204"/>
      <c r="C568" s="830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30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30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5">
      <c r="A569" s="204"/>
      <c r="B569" s="204"/>
      <c r="C569" s="830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30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30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5">
      <c r="A570" s="204"/>
      <c r="B570" s="204"/>
      <c r="C570" s="830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30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30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5">
      <c r="A571" s="204"/>
      <c r="B571" s="204"/>
      <c r="C571" s="830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30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30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5">
      <c r="A572" s="204"/>
      <c r="B572" s="204"/>
      <c r="C572" s="830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30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30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5">
      <c r="A573" s="204"/>
      <c r="B573" s="204"/>
      <c r="C573" s="830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30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30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5">
      <c r="A574" s="204"/>
      <c r="B574" s="204"/>
      <c r="C574" s="830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30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30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5">
      <c r="A575" s="204"/>
      <c r="B575" s="204"/>
      <c r="C575" s="830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30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30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5">
      <c r="A576" s="204"/>
      <c r="B576" s="204"/>
      <c r="C576" s="830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30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30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5">
      <c r="A577" s="204"/>
      <c r="B577" s="204"/>
      <c r="C577" s="830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30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30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5">
      <c r="A578" s="204"/>
      <c r="B578" s="204"/>
      <c r="C578" s="830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30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30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5">
      <c r="A579" s="204"/>
      <c r="B579" s="204"/>
      <c r="C579" s="830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30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30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5">
      <c r="A580" s="204"/>
      <c r="B580" s="204"/>
      <c r="C580" s="830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30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30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5">
      <c r="A581" s="204"/>
      <c r="B581" s="204"/>
      <c r="C581" s="830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30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30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5">
      <c r="A582" s="204"/>
      <c r="B582" s="204"/>
      <c r="C582" s="830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30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30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5">
      <c r="A583" s="204"/>
      <c r="B583" s="204"/>
      <c r="C583" s="830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30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30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5">
      <c r="A584" s="204"/>
      <c r="B584" s="204"/>
      <c r="C584" s="830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30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30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5">
      <c r="A585" s="204"/>
      <c r="B585" s="204"/>
      <c r="C585" s="830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30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30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5">
      <c r="A586" s="204"/>
      <c r="B586" s="204"/>
      <c r="C586" s="830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30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30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5">
      <c r="A587" s="204"/>
      <c r="B587" s="204"/>
      <c r="C587" s="830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30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30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5">
      <c r="A588" s="204"/>
      <c r="B588" s="204"/>
      <c r="C588" s="830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30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30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5">
      <c r="A589" s="204"/>
      <c r="B589" s="204"/>
      <c r="C589" s="830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30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30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5">
      <c r="A590" s="204"/>
      <c r="B590" s="204"/>
      <c r="C590" s="830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30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30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5">
      <c r="A591" s="204"/>
      <c r="B591" s="204"/>
      <c r="C591" s="830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30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30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5">
      <c r="A592" s="204"/>
      <c r="B592" s="204"/>
      <c r="C592" s="830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30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30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5">
      <c r="A593" s="204"/>
      <c r="B593" s="204"/>
      <c r="C593" s="830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30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30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5">
      <c r="A594" s="204"/>
      <c r="B594" s="204"/>
      <c r="C594" s="830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30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30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5">
      <c r="A595" s="204"/>
      <c r="B595" s="204"/>
      <c r="C595" s="830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30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30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5">
      <c r="A596" s="204"/>
      <c r="B596" s="204"/>
      <c r="C596" s="830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30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30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5">
      <c r="A597" s="204"/>
      <c r="B597" s="204"/>
      <c r="C597" s="830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30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30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5">
      <c r="A598" s="204"/>
      <c r="B598" s="204"/>
      <c r="C598" s="830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30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30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5">
      <c r="A599" s="204"/>
      <c r="B599" s="204"/>
      <c r="C599" s="830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30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30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5">
      <c r="A600" s="204"/>
      <c r="B600" s="204"/>
      <c r="C600" s="830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30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30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5">
      <c r="A601" s="204"/>
      <c r="B601" s="204"/>
      <c r="C601" s="830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30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30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5">
      <c r="A602" s="204"/>
      <c r="B602" s="204"/>
      <c r="C602" s="830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30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30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5">
      <c r="A603" s="204"/>
      <c r="B603" s="204"/>
      <c r="C603" s="830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30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30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5">
      <c r="A604" s="204"/>
      <c r="B604" s="204"/>
      <c r="C604" s="830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30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30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5">
      <c r="A605" s="204"/>
      <c r="B605" s="204"/>
      <c r="C605" s="830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30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30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5">
      <c r="A606" s="204"/>
      <c r="B606" s="204"/>
      <c r="C606" s="830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30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30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5">
      <c r="A607" s="204"/>
      <c r="B607" s="204"/>
      <c r="C607" s="830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30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30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5">
      <c r="A608" s="204"/>
      <c r="B608" s="204"/>
      <c r="C608" s="830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30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30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5">
      <c r="A609" s="204"/>
      <c r="B609" s="204"/>
      <c r="C609" s="830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30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30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60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10.6640625" defaultRowHeight="13.2" x14ac:dyDescent="0.25"/>
  <cols>
    <col min="1" max="1" width="45.6640625" style="165" customWidth="1"/>
    <col min="2" max="2" width="8.6640625" style="809" customWidth="1"/>
    <col min="3" max="14" width="9.6640625" style="165" customWidth="1"/>
    <col min="15" max="17" width="10.6640625" style="165" customWidth="1"/>
    <col min="18" max="19" width="11.6640625" style="165" customWidth="1"/>
    <col min="20" max="20" width="45.6640625" style="165" customWidth="1"/>
    <col min="21" max="21" width="8.6640625" style="809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1.6640625" style="165" customWidth="1"/>
    <col min="30" max="30" width="45.6640625" style="165" customWidth="1"/>
    <col min="31" max="31" width="8.6640625" style="809" customWidth="1"/>
    <col min="32" max="45" width="9.6640625" style="165" customWidth="1"/>
    <col min="46" max="16384" width="10.6640625" style="165"/>
  </cols>
  <sheetData>
    <row r="1" spans="1:49" x14ac:dyDescent="0.25">
      <c r="A1" s="688" t="s">
        <v>579</v>
      </c>
      <c r="C1" s="166"/>
      <c r="D1" s="166"/>
      <c r="E1" s="166"/>
      <c r="F1" s="166"/>
      <c r="G1" s="667" t="s">
        <v>885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2" t="str">
        <f>A1</f>
        <v xml:space="preserve">            </v>
      </c>
      <c r="U1" s="601"/>
      <c r="V1" s="598" t="str">
        <f>G1</f>
        <v>TRANSWESTERN PIPELINE GROUP</v>
      </c>
      <c r="W1" s="577"/>
      <c r="X1" s="577"/>
      <c r="Y1" s="577"/>
      <c r="Z1" s="576"/>
      <c r="AA1" s="576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5">
      <c r="A2" s="402" t="s">
        <v>886</v>
      </c>
      <c r="C2" s="168"/>
      <c r="D2" s="169"/>
      <c r="E2" s="168"/>
      <c r="F2" s="167"/>
      <c r="G2" s="668" t="s">
        <v>581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9" t="s">
        <v>887</v>
      </c>
      <c r="U2" s="601"/>
      <c r="V2" s="598" t="str">
        <f>G2</f>
        <v>2001 ACTUAL / ESTIMATE</v>
      </c>
      <c r="W2" s="577"/>
      <c r="X2" s="577"/>
      <c r="Y2" s="577"/>
      <c r="Z2" s="576"/>
      <c r="AA2" s="576"/>
      <c r="AB2" s="166"/>
      <c r="AC2" s="166"/>
      <c r="AD2" s="574" t="s">
        <v>888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5">
      <c r="A3" s="687" t="s">
        <v>580</v>
      </c>
      <c r="C3" s="168"/>
      <c r="D3" s="168"/>
      <c r="E3" s="168"/>
      <c r="F3" s="168"/>
      <c r="G3" s="524" t="s">
        <v>889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600" t="str">
        <f>A3</f>
        <v>2001 CURRENT ESTIMATE</v>
      </c>
      <c r="U3" s="601"/>
      <c r="V3" s="598" t="str">
        <f>G3</f>
        <v xml:space="preserve">RESULTS OF OPERATIONS </v>
      </c>
      <c r="W3" s="577"/>
      <c r="X3" s="577"/>
      <c r="Y3" s="577"/>
      <c r="Z3" s="576"/>
      <c r="AA3" s="576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890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5">
      <c r="A4" s="400"/>
      <c r="B4" s="810">
        <f ca="1">NOW()</f>
        <v>37109.471773379628</v>
      </c>
      <c r="C4" s="168"/>
      <c r="D4" s="168"/>
      <c r="E4" s="168"/>
      <c r="F4" s="168"/>
      <c r="G4" s="524" t="s">
        <v>891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5"/>
      <c r="U4" s="810">
        <f ca="1">NOW()</f>
        <v>37109.471773379628</v>
      </c>
      <c r="V4" s="598" t="str">
        <f>G4</f>
        <v>(Thousands of Dollars)</v>
      </c>
      <c r="W4" s="577"/>
      <c r="X4" s="577"/>
      <c r="Y4" s="577"/>
      <c r="Z4" s="576"/>
      <c r="AA4" s="576"/>
      <c r="AB4" s="166"/>
      <c r="AC4" s="166"/>
      <c r="AD4" s="166"/>
      <c r="AE4" s="810">
        <f ca="1">NOW()</f>
        <v>37109.471773379628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5">
      <c r="A5" s="412" t="s">
        <v>587</v>
      </c>
      <c r="B5" s="811">
        <f ca="1">NOW()</f>
        <v>37109.471773379628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72" t="s">
        <v>588</v>
      </c>
      <c r="U5" s="811">
        <f ca="1">NOW()</f>
        <v>37109.471773379628</v>
      </c>
      <c r="V5" s="576"/>
      <c r="W5" s="584"/>
      <c r="X5" s="584"/>
      <c r="Y5" s="584"/>
      <c r="Z5" s="584"/>
      <c r="AA5" s="584"/>
      <c r="AB5" s="166"/>
      <c r="AC5" s="166"/>
      <c r="AD5" s="412" t="s">
        <v>586</v>
      </c>
      <c r="AE5" s="811">
        <f ca="1">NOW()</f>
        <v>37109.471773379628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5">
      <c r="A6" s="170"/>
      <c r="C6" s="510" t="s">
        <v>1022</v>
      </c>
      <c r="D6" s="510" t="s">
        <v>1022</v>
      </c>
      <c r="E6" s="510" t="s">
        <v>1022</v>
      </c>
      <c r="F6" s="886" t="s">
        <v>1022</v>
      </c>
      <c r="G6" s="886" t="s">
        <v>1022</v>
      </c>
      <c r="H6" s="886" t="s">
        <v>1022</v>
      </c>
      <c r="I6" s="886" t="s">
        <v>22</v>
      </c>
      <c r="J6" s="886"/>
      <c r="K6" s="886"/>
      <c r="L6" s="886"/>
      <c r="M6" s="886"/>
      <c r="N6" s="886"/>
      <c r="O6" s="404" t="s">
        <v>892</v>
      </c>
      <c r="P6" s="479" t="s">
        <v>1066</v>
      </c>
      <c r="Q6" s="405" t="s">
        <v>893</v>
      </c>
      <c r="R6" s="166"/>
      <c r="S6" s="167"/>
      <c r="T6" s="576"/>
      <c r="U6" s="601"/>
      <c r="V6" s="601" t="s">
        <v>894</v>
      </c>
      <c r="W6" s="601" t="s">
        <v>895</v>
      </c>
      <c r="X6" s="601" t="s">
        <v>896</v>
      </c>
      <c r="Y6" s="601" t="s">
        <v>897</v>
      </c>
      <c r="Z6" s="584"/>
      <c r="AA6" s="602" t="str">
        <f>O6</f>
        <v>TOTAL</v>
      </c>
      <c r="AB6" s="166"/>
      <c r="AC6" s="166"/>
      <c r="AD6" s="170"/>
      <c r="AF6" s="171" t="str">
        <f t="shared" ref="AF6:AQ7" si="0">C6</f>
        <v>ACT.</v>
      </c>
      <c r="AG6" s="171" t="str">
        <f t="shared" si="0"/>
        <v>ACT.</v>
      </c>
      <c r="AH6" s="171" t="str">
        <f t="shared" si="0"/>
        <v>ACT.</v>
      </c>
      <c r="AI6" s="171" t="str">
        <f t="shared" si="0"/>
        <v>ACT.</v>
      </c>
      <c r="AJ6" s="171" t="str">
        <f t="shared" si="0"/>
        <v>ACT.</v>
      </c>
      <c r="AK6" s="171" t="str">
        <f t="shared" si="0"/>
        <v>ACT.</v>
      </c>
      <c r="AL6" s="171" t="str">
        <f t="shared" si="0"/>
        <v>FLASH</v>
      </c>
      <c r="AM6" s="171">
        <f t="shared" si="0"/>
        <v>0</v>
      </c>
      <c r="AN6" s="171">
        <f t="shared" si="0"/>
        <v>0</v>
      </c>
      <c r="AO6" s="171">
        <f t="shared" si="0"/>
        <v>0</v>
      </c>
      <c r="AP6" s="171">
        <f t="shared" si="0"/>
        <v>0</v>
      </c>
      <c r="AQ6" s="171">
        <f t="shared" si="0"/>
        <v>0</v>
      </c>
      <c r="AR6" s="166"/>
      <c r="AS6" s="166"/>
      <c r="AT6" s="166"/>
      <c r="AU6" s="166"/>
      <c r="AV6" s="166"/>
      <c r="AW6" s="166"/>
    </row>
    <row r="7" spans="1:49" x14ac:dyDescent="0.25">
      <c r="A7" s="170"/>
      <c r="C7" s="406" t="s">
        <v>591</v>
      </c>
      <c r="D7" s="406" t="s">
        <v>592</v>
      </c>
      <c r="E7" s="406" t="s">
        <v>593</v>
      </c>
      <c r="F7" s="406" t="s">
        <v>594</v>
      </c>
      <c r="G7" s="406" t="s">
        <v>595</v>
      </c>
      <c r="H7" s="406" t="s">
        <v>596</v>
      </c>
      <c r="I7" s="406" t="s">
        <v>597</v>
      </c>
      <c r="J7" s="406" t="s">
        <v>598</v>
      </c>
      <c r="K7" s="406" t="s">
        <v>599</v>
      </c>
      <c r="L7" s="406" t="s">
        <v>600</v>
      </c>
      <c r="M7" s="406" t="s">
        <v>601</v>
      </c>
      <c r="N7" s="406" t="s">
        <v>602</v>
      </c>
      <c r="O7" s="407">
        <v>2001</v>
      </c>
      <c r="P7" s="408" t="s">
        <v>898</v>
      </c>
      <c r="Q7" s="406" t="s">
        <v>899</v>
      </c>
      <c r="R7" s="168"/>
      <c r="S7" s="167"/>
      <c r="T7" s="576"/>
      <c r="U7" s="601"/>
      <c r="V7" s="588" t="s">
        <v>900</v>
      </c>
      <c r="W7" s="603" t="str">
        <f>V$7</f>
        <v>Quarter</v>
      </c>
      <c r="X7" s="603" t="str">
        <f>W$7</f>
        <v>Quarter</v>
      </c>
      <c r="Y7" s="603" t="str">
        <f>X$7</f>
        <v>Quarter</v>
      </c>
      <c r="Z7" s="604"/>
      <c r="AA7" s="605">
        <f>O7</f>
        <v>2001</v>
      </c>
      <c r="AB7" s="166"/>
      <c r="AC7" s="166"/>
      <c r="AD7" s="170"/>
      <c r="AF7" s="173" t="str">
        <f t="shared" si="0"/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10" t="s">
        <v>901</v>
      </c>
      <c r="T8" s="606" t="str">
        <f>A8</f>
        <v>OPERATING REVENUES</v>
      </c>
      <c r="U8" s="816"/>
      <c r="V8" s="575"/>
      <c r="W8" s="575"/>
      <c r="X8" s="575"/>
      <c r="Y8" s="575"/>
      <c r="Z8" s="575"/>
      <c r="AA8" s="575"/>
      <c r="AD8" s="166" t="str">
        <f>A8</f>
        <v>OPERATING REVENUES</v>
      </c>
    </row>
    <row r="9" spans="1:49" x14ac:dyDescent="0.25">
      <c r="A9" s="411" t="s">
        <v>902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3664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22574</v>
      </c>
      <c r="P9" s="178">
        <f>SUM(C9:H9)</f>
        <v>18910</v>
      </c>
      <c r="Q9" s="177">
        <f>O9-P9</f>
        <v>3664</v>
      </c>
      <c r="R9" s="572"/>
      <c r="S9" s="170"/>
      <c r="T9" s="607" t="str">
        <f>A9</f>
        <v xml:space="preserve">   Gas Sales &amp; Liquids Revenue</v>
      </c>
      <c r="U9" s="816"/>
      <c r="V9" s="590">
        <f>C9+D9+E9</f>
        <v>17573</v>
      </c>
      <c r="W9" s="590">
        <f>F9+G9+H9</f>
        <v>1337</v>
      </c>
      <c r="X9" s="590">
        <f>I9+J9+K9</f>
        <v>3664</v>
      </c>
      <c r="Y9" s="590">
        <f>L9+M9+N9</f>
        <v>0</v>
      </c>
      <c r="Z9" s="590"/>
      <c r="AA9" s="590">
        <f>SUM(V9:Y9)</f>
        <v>22574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22574</v>
      </c>
      <c r="AM9" s="177">
        <f t="shared" si="1"/>
        <v>22574</v>
      </c>
      <c r="AN9" s="177">
        <f t="shared" si="1"/>
        <v>22574</v>
      </c>
      <c r="AO9" s="177">
        <f t="shared" si="1"/>
        <v>22574</v>
      </c>
      <c r="AP9" s="177">
        <f t="shared" si="1"/>
        <v>22574</v>
      </c>
      <c r="AQ9" s="177">
        <f t="shared" si="1"/>
        <v>22574</v>
      </c>
    </row>
    <row r="10" spans="1:49" x14ac:dyDescent="0.25">
      <c r="A10" s="411" t="s">
        <v>903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SUM(C10:H10)</f>
        <v>0</v>
      </c>
      <c r="Q10" s="180">
        <f>O10-P10</f>
        <v>0</v>
      </c>
      <c r="R10" s="573"/>
      <c r="S10" s="170"/>
      <c r="T10" s="607" t="str">
        <f>A10</f>
        <v xml:space="preserve">     Less:  Cost of Sales</v>
      </c>
      <c r="U10" s="816"/>
      <c r="V10" s="592">
        <f>C10+D10+E10</f>
        <v>18871</v>
      </c>
      <c r="W10" s="592">
        <f>F10+G10+H10</f>
        <v>-18871</v>
      </c>
      <c r="X10" s="592">
        <f>I10+J10+K10</f>
        <v>0</v>
      </c>
      <c r="Y10" s="592">
        <f>L10+M10+N10</f>
        <v>0</v>
      </c>
      <c r="Z10" s="592"/>
      <c r="AA10" s="592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5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5"/>
      <c r="U11" s="816"/>
      <c r="V11" s="590"/>
      <c r="W11" s="590"/>
      <c r="X11" s="590"/>
      <c r="Y11" s="590"/>
      <c r="Z11" s="590"/>
      <c r="AA11" s="590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5">
      <c r="A12" s="412" t="s">
        <v>904</v>
      </c>
      <c r="B12" s="812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3664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22574</v>
      </c>
      <c r="P12" s="181">
        <f t="shared" si="2"/>
        <v>18910</v>
      </c>
      <c r="Q12" s="181">
        <f t="shared" si="2"/>
        <v>3664</v>
      </c>
      <c r="R12" s="547"/>
      <c r="S12" s="168"/>
      <c r="T12" s="606" t="str">
        <f>A12</f>
        <v xml:space="preserve">      Sales Margin</v>
      </c>
      <c r="U12" s="601"/>
      <c r="V12" s="608">
        <f>V9-V10</f>
        <v>-1298</v>
      </c>
      <c r="W12" s="608">
        <f>W9-W10</f>
        <v>20208</v>
      </c>
      <c r="X12" s="608">
        <f>X9-X10</f>
        <v>3664</v>
      </c>
      <c r="Y12" s="608">
        <f>Y9-Y10</f>
        <v>0</v>
      </c>
      <c r="Z12" s="608"/>
      <c r="AA12" s="608">
        <f>AA9-AA10</f>
        <v>22574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22574</v>
      </c>
      <c r="AM12" s="182">
        <f t="shared" si="3"/>
        <v>22574</v>
      </c>
      <c r="AN12" s="182">
        <f t="shared" si="3"/>
        <v>22574</v>
      </c>
      <c r="AO12" s="182">
        <f t="shared" si="3"/>
        <v>22574</v>
      </c>
      <c r="AP12" s="182">
        <f t="shared" si="3"/>
        <v>22574</v>
      </c>
      <c r="AQ12" s="182">
        <f t="shared" si="3"/>
        <v>22574</v>
      </c>
    </row>
    <row r="13" spans="1:49" ht="6" customHeight="1" x14ac:dyDescent="0.25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5"/>
      <c r="U13" s="816"/>
      <c r="V13" s="590"/>
      <c r="W13" s="590"/>
      <c r="X13" s="590"/>
      <c r="Y13" s="590"/>
      <c r="Z13" s="590"/>
      <c r="AA13" s="590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5">
      <c r="A14" s="411" t="s">
        <v>905</v>
      </c>
      <c r="C14" s="177">
        <f>'Transport-OtherRev'!C35</f>
        <v>13886</v>
      </c>
      <c r="D14" s="177">
        <f>'Transport-OtherRev'!D35</f>
        <v>18314</v>
      </c>
      <c r="E14" s="177">
        <f>'Transport-OtherRev'!E35</f>
        <v>8736</v>
      </c>
      <c r="F14" s="177">
        <f>'Transport-OtherRev'!F35</f>
        <v>14527</v>
      </c>
      <c r="G14" s="177">
        <f>'Transport-OtherRev'!G35</f>
        <v>16313</v>
      </c>
      <c r="H14" s="177">
        <f>'Transport-OtherRev'!H35</f>
        <v>14266</v>
      </c>
      <c r="I14" s="177">
        <f>'Transport-OtherRev'!I35</f>
        <v>14157</v>
      </c>
      <c r="J14" s="177">
        <f>'Transport-OtherRev'!J35</f>
        <v>13428</v>
      </c>
      <c r="K14" s="177">
        <f>'Transport-OtherRev'!K35</f>
        <v>22814</v>
      </c>
      <c r="L14" s="177">
        <f>'Transport-OtherRev'!L35</f>
        <v>13259</v>
      </c>
      <c r="M14" s="177">
        <f>'Transport-OtherRev'!M35</f>
        <v>12755</v>
      </c>
      <c r="N14" s="177">
        <f>'Transport-OtherRev'!N35</f>
        <v>13468</v>
      </c>
      <c r="O14" s="177">
        <f>SUM(C14:N14)</f>
        <v>175923</v>
      </c>
      <c r="P14" s="178">
        <f>SUM(C14:H14)</f>
        <v>86042</v>
      </c>
      <c r="Q14" s="177">
        <f>O14-P14</f>
        <v>89881</v>
      </c>
      <c r="R14" s="572"/>
      <c r="S14" s="170"/>
      <c r="T14" s="607" t="str">
        <f>A14</f>
        <v xml:space="preserve">   Transportation &amp; Storage Revenue</v>
      </c>
      <c r="U14" s="816"/>
      <c r="V14" s="590">
        <f>C14+D14+E14</f>
        <v>40936</v>
      </c>
      <c r="W14" s="590">
        <f>F14+G14+H14</f>
        <v>45106</v>
      </c>
      <c r="X14" s="590">
        <f>I14+J14+K14</f>
        <v>50399</v>
      </c>
      <c r="Y14" s="590">
        <f>L14+M14+N14</f>
        <v>39482</v>
      </c>
      <c r="Z14" s="590"/>
      <c r="AA14" s="590">
        <f>SUM(V14:Y14)</f>
        <v>175923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100199</v>
      </c>
      <c r="AM14" s="177">
        <f t="shared" si="4"/>
        <v>113627</v>
      </c>
      <c r="AN14" s="177">
        <f t="shared" si="4"/>
        <v>136441</v>
      </c>
      <c r="AO14" s="177">
        <f t="shared" si="4"/>
        <v>149700</v>
      </c>
      <c r="AP14" s="177">
        <f t="shared" si="4"/>
        <v>162455</v>
      </c>
      <c r="AQ14" s="177">
        <f t="shared" si="4"/>
        <v>175923</v>
      </c>
      <c r="AR14" s="170"/>
    </row>
    <row r="15" spans="1:49" x14ac:dyDescent="0.25">
      <c r="A15" s="411" t="s">
        <v>308</v>
      </c>
      <c r="C15" s="180">
        <f>'Transport-OtherRev'!C51</f>
        <v>23</v>
      </c>
      <c r="D15" s="180">
        <f>'Transport-OtherRev'!D51</f>
        <v>24</v>
      </c>
      <c r="E15" s="180">
        <f>'Transport-OtherRev'!E51</f>
        <v>25</v>
      </c>
      <c r="F15" s="180">
        <f>'Transport-OtherRev'!F51</f>
        <v>23</v>
      </c>
      <c r="G15" s="180">
        <f>'Transport-OtherRev'!G51</f>
        <v>78</v>
      </c>
      <c r="H15" s="180">
        <f>'Transport-OtherRev'!H51</f>
        <v>24</v>
      </c>
      <c r="I15" s="180">
        <f>'Transport-OtherRev'!I51</f>
        <v>23</v>
      </c>
      <c r="J15" s="180">
        <f>'Transport-OtherRev'!J51</f>
        <v>23</v>
      </c>
      <c r="K15" s="180">
        <f>'Transport-OtherRev'!K51</f>
        <v>23</v>
      </c>
      <c r="L15" s="180">
        <f>'Transport-OtherRev'!L51</f>
        <v>23</v>
      </c>
      <c r="M15" s="180">
        <f>'Transport-OtherRev'!M51</f>
        <v>22</v>
      </c>
      <c r="N15" s="180">
        <f>'Transport-OtherRev'!N51</f>
        <v>22</v>
      </c>
      <c r="O15" s="180">
        <f>SUM(C15:N15)</f>
        <v>333</v>
      </c>
      <c r="P15" s="263">
        <f>SUM(C15:H15)</f>
        <v>197</v>
      </c>
      <c r="Q15" s="180">
        <f>O15-P15</f>
        <v>136</v>
      </c>
      <c r="R15" s="573"/>
      <c r="S15" s="170"/>
      <c r="T15" s="607" t="str">
        <f>A15</f>
        <v xml:space="preserve">   Other Revenue</v>
      </c>
      <c r="U15" s="816"/>
      <c r="V15" s="592">
        <f>C15+D15+E15</f>
        <v>72</v>
      </c>
      <c r="W15" s="592">
        <f>F15+G15+H15</f>
        <v>125</v>
      </c>
      <c r="X15" s="592">
        <f>I15+J15+K15</f>
        <v>69</v>
      </c>
      <c r="Y15" s="592">
        <f>L15+M15+N15</f>
        <v>67</v>
      </c>
      <c r="Z15" s="592"/>
      <c r="AA15" s="592">
        <f>SUM(V15:Y15)</f>
        <v>333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243</v>
      </c>
      <c r="AN15" s="180">
        <f t="shared" si="4"/>
        <v>266</v>
      </c>
      <c r="AO15" s="180">
        <f t="shared" si="4"/>
        <v>289</v>
      </c>
      <c r="AP15" s="180">
        <f t="shared" si="4"/>
        <v>311</v>
      </c>
      <c r="AQ15" s="180">
        <f t="shared" si="4"/>
        <v>333</v>
      </c>
    </row>
    <row r="16" spans="1:49" ht="3.9" customHeight="1" x14ac:dyDescent="0.25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7"/>
      <c r="U16" s="816"/>
      <c r="V16" s="590"/>
      <c r="W16" s="590"/>
      <c r="X16" s="590"/>
      <c r="Y16" s="590"/>
      <c r="Z16" s="590"/>
      <c r="AA16" s="590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5">
      <c r="A17" s="410" t="s">
        <v>309</v>
      </c>
      <c r="B17" s="813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17844</v>
      </c>
      <c r="J17" s="181">
        <f t="shared" si="5"/>
        <v>13451</v>
      </c>
      <c r="K17" s="181">
        <f t="shared" si="5"/>
        <v>22837</v>
      </c>
      <c r="L17" s="181">
        <f t="shared" si="5"/>
        <v>13282</v>
      </c>
      <c r="M17" s="181">
        <f t="shared" si="5"/>
        <v>12777</v>
      </c>
      <c r="N17" s="181">
        <f t="shared" si="5"/>
        <v>13490</v>
      </c>
      <c r="O17" s="181">
        <f t="shared" si="5"/>
        <v>198830</v>
      </c>
      <c r="P17" s="181">
        <f t="shared" si="5"/>
        <v>105149</v>
      </c>
      <c r="Q17" s="181">
        <f t="shared" si="5"/>
        <v>93681</v>
      </c>
      <c r="R17" s="547"/>
      <c r="S17" s="168"/>
      <c r="T17" s="606" t="str">
        <f>A17</f>
        <v xml:space="preserve">      Net Operating Income</v>
      </c>
      <c r="U17" s="601"/>
      <c r="V17" s="609">
        <f>SUM(V12:V15)</f>
        <v>39710</v>
      </c>
      <c r="W17" s="609">
        <f>SUM(W12:W15)</f>
        <v>65439</v>
      </c>
      <c r="X17" s="609">
        <f>SUM(X12:X15)</f>
        <v>54132</v>
      </c>
      <c r="Y17" s="609">
        <f>SUM(Y12:Y15)</f>
        <v>39549</v>
      </c>
      <c r="Z17" s="609"/>
      <c r="AA17" s="609">
        <f>SUM(AA12:AA15)</f>
        <v>198830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122993</v>
      </c>
      <c r="AM17" s="181">
        <f t="shared" si="6"/>
        <v>136444</v>
      </c>
      <c r="AN17" s="181">
        <f t="shared" si="6"/>
        <v>159281</v>
      </c>
      <c r="AO17" s="181">
        <f t="shared" si="6"/>
        <v>172563</v>
      </c>
      <c r="AP17" s="181">
        <f t="shared" si="6"/>
        <v>185340</v>
      </c>
      <c r="AQ17" s="181">
        <f t="shared" si="6"/>
        <v>198830</v>
      </c>
    </row>
    <row r="18" spans="1:44" x14ac:dyDescent="0.25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7"/>
      <c r="U18" s="816"/>
      <c r="V18" s="590"/>
      <c r="W18" s="590"/>
      <c r="X18" s="590"/>
      <c r="Y18" s="590"/>
      <c r="Z18" s="590"/>
      <c r="AA18" s="590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5">
      <c r="A19" s="410" t="s">
        <v>310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6" t="str">
        <f t="shared" ref="T19:T25" si="7">A19</f>
        <v>OPERATING EXPENSES</v>
      </c>
      <c r="U19" s="816"/>
      <c r="V19" s="590"/>
      <c r="W19" s="590"/>
      <c r="X19" s="590"/>
      <c r="Y19" s="590"/>
      <c r="Z19" s="590"/>
      <c r="AA19" s="590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5">
      <c r="A20" s="411" t="s">
        <v>311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3100</v>
      </c>
      <c r="J20" s="177">
        <f>'O&amp;M'!J50</f>
        <v>3300</v>
      </c>
      <c r="K20" s="177">
        <f>'O&amp;M'!K50</f>
        <v>3600</v>
      </c>
      <c r="L20" s="177">
        <f>'O&amp;M'!L50</f>
        <v>3400</v>
      </c>
      <c r="M20" s="177">
        <f>'O&amp;M'!M50</f>
        <v>3200</v>
      </c>
      <c r="N20" s="177">
        <f>'O&amp;M'!N50</f>
        <v>3000</v>
      </c>
      <c r="O20" s="177">
        <f t="shared" ref="O20:O25" si="9">SUM(C20:N20)</f>
        <v>43506</v>
      </c>
      <c r="P20" s="178">
        <f t="shared" ref="P20:P25" si="10">SUM(C20:H20)</f>
        <v>23906</v>
      </c>
      <c r="Q20" s="177">
        <f t="shared" ref="Q20:Q25" si="11">O20-P20</f>
        <v>19600</v>
      </c>
      <c r="R20" s="572"/>
      <c r="S20" s="170"/>
      <c r="T20" s="607" t="str">
        <f t="shared" si="7"/>
        <v xml:space="preserve">   Operations and Maintenance</v>
      </c>
      <c r="U20" s="816"/>
      <c r="V20" s="590">
        <f t="shared" ref="V20:V25" si="12">C20+D20+E20</f>
        <v>12465</v>
      </c>
      <c r="W20" s="590">
        <f t="shared" ref="W20:W25" si="13">F20+G20+H20</f>
        <v>11441</v>
      </c>
      <c r="X20" s="590">
        <f t="shared" ref="X20:X25" si="14">I20+J20+K20</f>
        <v>10000</v>
      </c>
      <c r="Y20" s="590">
        <f t="shared" ref="Y20:Y25" si="15">L20+M20+N20</f>
        <v>9600</v>
      </c>
      <c r="Z20" s="590"/>
      <c r="AA20" s="590">
        <f t="shared" ref="AA20:AA25" si="16">SUM(V20:Y20)</f>
        <v>43506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27006</v>
      </c>
      <c r="AM20" s="177">
        <f t="shared" si="18"/>
        <v>30306</v>
      </c>
      <c r="AN20" s="177">
        <f t="shared" si="18"/>
        <v>33906</v>
      </c>
      <c r="AO20" s="177">
        <f t="shared" si="18"/>
        <v>37306</v>
      </c>
      <c r="AP20" s="177">
        <f t="shared" si="18"/>
        <v>40506</v>
      </c>
      <c r="AQ20" s="177">
        <f t="shared" si="18"/>
        <v>43506</v>
      </c>
    </row>
    <row r="21" spans="1:44" x14ac:dyDescent="0.25">
      <c r="A21" s="411" t="s">
        <v>312</v>
      </c>
      <c r="C21" s="177">
        <f>RegAmort!C57</f>
        <v>730</v>
      </c>
      <c r="D21" s="177">
        <f>RegAmort!D57</f>
        <v>668</v>
      </c>
      <c r="E21" s="177">
        <f>RegAmort!E57</f>
        <v>1269</v>
      </c>
      <c r="F21" s="177">
        <f>RegAmort!F57</f>
        <v>571</v>
      </c>
      <c r="G21" s="177">
        <f>RegAmort!G57</f>
        <v>564</v>
      </c>
      <c r="H21" s="177">
        <f>RegAmort!H57</f>
        <v>545</v>
      </c>
      <c r="I21" s="177">
        <f>RegAmort!I57</f>
        <v>565</v>
      </c>
      <c r="J21" s="177">
        <f>RegAmort!J57</f>
        <v>607</v>
      </c>
      <c r="K21" s="177">
        <f>RegAmort!K57</f>
        <v>584</v>
      </c>
      <c r="L21" s="177">
        <f>RegAmort!L57</f>
        <v>708</v>
      </c>
      <c r="M21" s="177">
        <f>RegAmort!M57</f>
        <v>704</v>
      </c>
      <c r="N21" s="177">
        <f>RegAmort!N57</f>
        <v>731</v>
      </c>
      <c r="O21" s="177">
        <f t="shared" si="9"/>
        <v>8246</v>
      </c>
      <c r="P21" s="178">
        <f t="shared" si="10"/>
        <v>4347</v>
      </c>
      <c r="Q21" s="177">
        <f t="shared" si="11"/>
        <v>3899</v>
      </c>
      <c r="R21" s="572"/>
      <c r="S21" s="170"/>
      <c r="T21" s="607" t="str">
        <f t="shared" si="7"/>
        <v xml:space="preserve">   Regulatory Amortization</v>
      </c>
      <c r="U21" s="816"/>
      <c r="V21" s="590">
        <f t="shared" si="12"/>
        <v>2667</v>
      </c>
      <c r="W21" s="590">
        <f t="shared" si="13"/>
        <v>1680</v>
      </c>
      <c r="X21" s="590">
        <f t="shared" si="14"/>
        <v>1756</v>
      </c>
      <c r="Y21" s="590">
        <f t="shared" si="15"/>
        <v>2143</v>
      </c>
      <c r="Z21" s="590"/>
      <c r="AA21" s="590">
        <f t="shared" si="16"/>
        <v>8246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4912</v>
      </c>
      <c r="AM21" s="177">
        <f t="shared" si="18"/>
        <v>5519</v>
      </c>
      <c r="AN21" s="177">
        <f t="shared" si="18"/>
        <v>6103</v>
      </c>
      <c r="AO21" s="177">
        <f t="shared" si="18"/>
        <v>6811</v>
      </c>
      <c r="AP21" s="177">
        <f t="shared" si="18"/>
        <v>7515</v>
      </c>
      <c r="AQ21" s="177">
        <f t="shared" si="18"/>
        <v>8246</v>
      </c>
    </row>
    <row r="22" spans="1:44" x14ac:dyDescent="0.25">
      <c r="A22" s="413" t="s">
        <v>313</v>
      </c>
      <c r="C22" s="177">
        <f>'Fuel-Depr-OtherTax'!C13</f>
        <v>-4888</v>
      </c>
      <c r="D22" s="177">
        <f>'Fuel-Depr-OtherTax'!D13</f>
        <v>-4666</v>
      </c>
      <c r="E22" s="177">
        <f>'Fuel-Depr-OtherTax'!E13</f>
        <v>-1896</v>
      </c>
      <c r="F22" s="177">
        <f>'Fuel-Depr-OtherTax'!F13</f>
        <v>10663</v>
      </c>
      <c r="G22" s="177">
        <f>'Fuel-Depr-OtherTax'!G13</f>
        <v>-327</v>
      </c>
      <c r="H22" s="177">
        <f>'Fuel-Depr-OtherTax'!H13</f>
        <v>372</v>
      </c>
      <c r="I22" s="177">
        <f>'Fuel-Depr-OtherTax'!I13</f>
        <v>1212</v>
      </c>
      <c r="J22" s="177">
        <f>'Fuel-Depr-OtherTax'!J13</f>
        <v>-2715</v>
      </c>
      <c r="K22" s="177">
        <f>'Fuel-Depr-OtherTax'!K13</f>
        <v>-2800</v>
      </c>
      <c r="L22" s="177">
        <f>'Fuel-Depr-OtherTax'!L13</f>
        <v>-3208</v>
      </c>
      <c r="M22" s="177">
        <f>'Fuel-Depr-OtherTax'!M13</f>
        <v>-3074</v>
      </c>
      <c r="N22" s="177">
        <f>'Fuel-Depr-OtherTax'!N13</f>
        <v>-2749</v>
      </c>
      <c r="O22" s="177">
        <f t="shared" si="9"/>
        <v>-14076</v>
      </c>
      <c r="P22" s="178">
        <f t="shared" si="10"/>
        <v>-742</v>
      </c>
      <c r="Q22" s="177">
        <f t="shared" si="11"/>
        <v>-13334</v>
      </c>
      <c r="R22" s="572"/>
      <c r="S22" s="170"/>
      <c r="T22" s="607" t="str">
        <f t="shared" si="7"/>
        <v xml:space="preserve">   Fuel Used in Operations</v>
      </c>
      <c r="U22" s="816"/>
      <c r="V22" s="590">
        <f t="shared" si="12"/>
        <v>-11450</v>
      </c>
      <c r="W22" s="590">
        <f t="shared" si="13"/>
        <v>10708</v>
      </c>
      <c r="X22" s="590">
        <f t="shared" si="14"/>
        <v>-4303</v>
      </c>
      <c r="Y22" s="590">
        <f t="shared" si="15"/>
        <v>-9031</v>
      </c>
      <c r="Z22" s="590"/>
      <c r="AA22" s="590">
        <f t="shared" si="16"/>
        <v>-14076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470</v>
      </c>
      <c r="AM22" s="177">
        <f t="shared" si="18"/>
        <v>-2245</v>
      </c>
      <c r="AN22" s="177">
        <f t="shared" si="18"/>
        <v>-5045</v>
      </c>
      <c r="AO22" s="177">
        <f t="shared" si="18"/>
        <v>-8253</v>
      </c>
      <c r="AP22" s="177">
        <f t="shared" si="18"/>
        <v>-11327</v>
      </c>
      <c r="AQ22" s="177">
        <f t="shared" si="18"/>
        <v>-14076</v>
      </c>
    </row>
    <row r="23" spans="1:44" x14ac:dyDescent="0.25">
      <c r="A23" s="414" t="s">
        <v>314</v>
      </c>
      <c r="B23" s="814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2"/>
      <c r="S23" s="170"/>
      <c r="T23" s="607" t="str">
        <f t="shared" si="7"/>
        <v xml:space="preserve">   Transmission, Compression &amp; Storage</v>
      </c>
      <c r="U23" s="819"/>
      <c r="V23" s="590">
        <f t="shared" si="12"/>
        <v>0</v>
      </c>
      <c r="W23" s="590">
        <f t="shared" si="13"/>
        <v>0</v>
      </c>
      <c r="X23" s="590">
        <f t="shared" si="14"/>
        <v>0</v>
      </c>
      <c r="Y23" s="590">
        <f t="shared" si="15"/>
        <v>0</v>
      </c>
      <c r="Z23" s="590"/>
      <c r="AA23" s="590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5">
      <c r="A24" s="411" t="s">
        <v>315</v>
      </c>
      <c r="C24" s="177">
        <f>'Fuel-Depr-OtherTax'!C28</f>
        <v>1621</v>
      </c>
      <c r="D24" s="177">
        <f>'Fuel-Depr-OtherTax'!D28</f>
        <v>1587</v>
      </c>
      <c r="E24" s="177">
        <f>'Fuel-Depr-OtherTax'!E28</f>
        <v>1631</v>
      </c>
      <c r="F24" s="177">
        <f>'Fuel-Depr-OtherTax'!F28</f>
        <v>1643</v>
      </c>
      <c r="G24" s="177">
        <f>'Fuel-Depr-OtherTax'!G28</f>
        <v>1600</v>
      </c>
      <c r="H24" s="177">
        <f>'Fuel-Depr-OtherTax'!H28</f>
        <v>1710</v>
      </c>
      <c r="I24" s="177">
        <f>'Fuel-Depr-OtherTax'!I28</f>
        <v>1700</v>
      </c>
      <c r="J24" s="177">
        <f>'Fuel-Depr-OtherTax'!J28</f>
        <v>1750</v>
      </c>
      <c r="K24" s="177">
        <f>'Fuel-Depr-OtherTax'!K28</f>
        <v>1750</v>
      </c>
      <c r="L24" s="177">
        <f>'Fuel-Depr-OtherTax'!L28</f>
        <v>1850</v>
      </c>
      <c r="M24" s="177">
        <f>'Fuel-Depr-OtherTax'!M28</f>
        <v>1850</v>
      </c>
      <c r="N24" s="177">
        <f>'Fuel-Depr-OtherTax'!N28</f>
        <v>1850</v>
      </c>
      <c r="O24" s="177">
        <f t="shared" si="9"/>
        <v>20542</v>
      </c>
      <c r="P24" s="178">
        <f t="shared" si="10"/>
        <v>9792</v>
      </c>
      <c r="Q24" s="177">
        <f t="shared" si="11"/>
        <v>10750</v>
      </c>
      <c r="R24" s="572"/>
      <c r="S24" s="170"/>
      <c r="T24" s="607" t="str">
        <f t="shared" si="7"/>
        <v xml:space="preserve">   Depreciation &amp; Amortization</v>
      </c>
      <c r="U24" s="816"/>
      <c r="V24" s="590">
        <f t="shared" si="12"/>
        <v>4839</v>
      </c>
      <c r="W24" s="590">
        <f t="shared" si="13"/>
        <v>4953</v>
      </c>
      <c r="X24" s="590">
        <f t="shared" si="14"/>
        <v>5200</v>
      </c>
      <c r="Y24" s="590">
        <f t="shared" si="15"/>
        <v>5550</v>
      </c>
      <c r="Z24" s="590"/>
      <c r="AA24" s="590">
        <f t="shared" si="16"/>
        <v>20542</v>
      </c>
      <c r="AB24" s="170"/>
      <c r="AC24" s="170"/>
      <c r="AD24" s="165" t="str">
        <f t="shared" si="8"/>
        <v xml:space="preserve">   Depreciation &amp; Amortization</v>
      </c>
      <c r="AE24" s="814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11492</v>
      </c>
      <c r="AM24" s="177">
        <f t="shared" si="18"/>
        <v>13242</v>
      </c>
      <c r="AN24" s="177">
        <f t="shared" si="18"/>
        <v>14992</v>
      </c>
      <c r="AO24" s="177">
        <f t="shared" si="18"/>
        <v>16842</v>
      </c>
      <c r="AP24" s="177">
        <f t="shared" si="18"/>
        <v>18692</v>
      </c>
      <c r="AQ24" s="177">
        <f t="shared" si="18"/>
        <v>20542</v>
      </c>
    </row>
    <row r="25" spans="1:44" x14ac:dyDescent="0.25">
      <c r="A25" s="411" t="s">
        <v>316</v>
      </c>
      <c r="C25" s="180">
        <f>'Fuel-Depr-OtherTax'!C53</f>
        <v>956</v>
      </c>
      <c r="D25" s="180">
        <f>'Fuel-Depr-OtherTax'!D53</f>
        <v>1007</v>
      </c>
      <c r="E25" s="180">
        <f>'Fuel-Depr-OtherTax'!E53</f>
        <v>914</v>
      </c>
      <c r="F25" s="180">
        <f>'Fuel-Depr-OtherTax'!F53</f>
        <v>909</v>
      </c>
      <c r="G25" s="180">
        <f>'Fuel-Depr-OtherTax'!G53</f>
        <v>913</v>
      </c>
      <c r="H25" s="180">
        <f>'Fuel-Depr-OtherTax'!H53</f>
        <v>917</v>
      </c>
      <c r="I25" s="180">
        <f>'Fuel-Depr-OtherTax'!I53</f>
        <v>930</v>
      </c>
      <c r="J25" s="180">
        <f>'Fuel-Depr-OtherTax'!J53</f>
        <v>930</v>
      </c>
      <c r="K25" s="180">
        <f>'Fuel-Depr-OtherTax'!K53</f>
        <v>930</v>
      </c>
      <c r="L25" s="180">
        <f>'Fuel-Depr-OtherTax'!L53</f>
        <v>927</v>
      </c>
      <c r="M25" s="180">
        <f>'Fuel-Depr-OtherTax'!M53</f>
        <v>927</v>
      </c>
      <c r="N25" s="180">
        <f>'Fuel-Depr-OtherTax'!N53</f>
        <v>927</v>
      </c>
      <c r="O25" s="180">
        <f t="shared" si="9"/>
        <v>11187</v>
      </c>
      <c r="P25" s="263">
        <f t="shared" si="10"/>
        <v>5616</v>
      </c>
      <c r="Q25" s="180">
        <f t="shared" si="11"/>
        <v>5571</v>
      </c>
      <c r="R25" s="573"/>
      <c r="S25" s="170"/>
      <c r="T25" s="607" t="str">
        <f t="shared" si="7"/>
        <v xml:space="preserve">   Taxes Other Than Income</v>
      </c>
      <c r="U25" s="816"/>
      <c r="V25" s="592">
        <f t="shared" si="12"/>
        <v>2877</v>
      </c>
      <c r="W25" s="592">
        <f t="shared" si="13"/>
        <v>2739</v>
      </c>
      <c r="X25" s="592">
        <f t="shared" si="14"/>
        <v>2790</v>
      </c>
      <c r="Y25" s="592">
        <f t="shared" si="15"/>
        <v>2781</v>
      </c>
      <c r="Z25" s="592"/>
      <c r="AA25" s="592">
        <f t="shared" si="16"/>
        <v>11187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6546</v>
      </c>
      <c r="AM25" s="180">
        <f t="shared" si="18"/>
        <v>7476</v>
      </c>
      <c r="AN25" s="180">
        <f t="shared" si="18"/>
        <v>8406</v>
      </c>
      <c r="AO25" s="180">
        <f t="shared" si="18"/>
        <v>9333</v>
      </c>
      <c r="AP25" s="180">
        <f t="shared" si="18"/>
        <v>10260</v>
      </c>
      <c r="AQ25" s="180">
        <f t="shared" si="18"/>
        <v>11187</v>
      </c>
    </row>
    <row r="26" spans="1:44" ht="3.9" customHeight="1" x14ac:dyDescent="0.25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7"/>
      <c r="U26" s="816"/>
      <c r="V26" s="590"/>
      <c r="W26" s="590"/>
      <c r="X26" s="590"/>
      <c r="Y26" s="590"/>
      <c r="Z26" s="590"/>
      <c r="AA26" s="590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5">
      <c r="A27" s="410" t="s">
        <v>317</v>
      </c>
      <c r="B27" s="813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7507</v>
      </c>
      <c r="J27" s="181">
        <f t="shared" si="19"/>
        <v>3872</v>
      </c>
      <c r="K27" s="181">
        <f t="shared" si="19"/>
        <v>4064</v>
      </c>
      <c r="L27" s="181">
        <f t="shared" si="19"/>
        <v>3677</v>
      </c>
      <c r="M27" s="181">
        <f t="shared" si="19"/>
        <v>3607</v>
      </c>
      <c r="N27" s="181">
        <f t="shared" si="19"/>
        <v>3759</v>
      </c>
      <c r="O27" s="181">
        <f t="shared" si="19"/>
        <v>69405</v>
      </c>
      <c r="P27" s="181">
        <f t="shared" si="19"/>
        <v>42919</v>
      </c>
      <c r="Q27" s="181">
        <f t="shared" si="19"/>
        <v>26486</v>
      </c>
      <c r="R27" s="547"/>
      <c r="S27" s="168"/>
      <c r="T27" s="606" t="str">
        <f>A27</f>
        <v xml:space="preserve">     Total Operating Expenses</v>
      </c>
      <c r="U27" s="601"/>
      <c r="V27" s="609">
        <f>SUM(V20:V25)</f>
        <v>11398</v>
      </c>
      <c r="W27" s="609">
        <f>SUM(W20:W25)</f>
        <v>31521</v>
      </c>
      <c r="X27" s="609">
        <f>SUM(X20:X25)</f>
        <v>15443</v>
      </c>
      <c r="Y27" s="609">
        <f>SUM(Y20:Y25)</f>
        <v>11043</v>
      </c>
      <c r="Z27" s="609"/>
      <c r="AA27" s="609">
        <f>SUM(AA20:AA25)</f>
        <v>69405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50426</v>
      </c>
      <c r="AM27" s="181">
        <f t="shared" si="20"/>
        <v>54298</v>
      </c>
      <c r="AN27" s="181">
        <f t="shared" si="20"/>
        <v>58362</v>
      </c>
      <c r="AO27" s="181">
        <f t="shared" si="20"/>
        <v>62039</v>
      </c>
      <c r="AP27" s="181">
        <f t="shared" si="20"/>
        <v>65646</v>
      </c>
      <c r="AQ27" s="181">
        <f t="shared" si="20"/>
        <v>69405</v>
      </c>
    </row>
    <row r="28" spans="1:44" x14ac:dyDescent="0.25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9"/>
      <c r="U28" s="816"/>
      <c r="V28" s="590"/>
      <c r="W28" s="590"/>
      <c r="X28" s="590"/>
      <c r="Y28" s="590"/>
      <c r="Z28" s="590"/>
      <c r="AA28" s="590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5">
      <c r="A29" s="410" t="s">
        <v>318</v>
      </c>
      <c r="B29" s="812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10337</v>
      </c>
      <c r="J29" s="181">
        <f t="shared" si="21"/>
        <v>9579</v>
      </c>
      <c r="K29" s="181">
        <f t="shared" si="21"/>
        <v>18773</v>
      </c>
      <c r="L29" s="181">
        <f t="shared" si="21"/>
        <v>9605</v>
      </c>
      <c r="M29" s="181">
        <f t="shared" si="21"/>
        <v>9170</v>
      </c>
      <c r="N29" s="181">
        <f t="shared" si="21"/>
        <v>9731</v>
      </c>
      <c r="O29" s="181">
        <f t="shared" si="21"/>
        <v>129425</v>
      </c>
      <c r="P29" s="181">
        <f t="shared" si="21"/>
        <v>62230</v>
      </c>
      <c r="Q29" s="181">
        <f t="shared" si="21"/>
        <v>67195</v>
      </c>
      <c r="R29" s="547"/>
      <c r="S29" s="168"/>
      <c r="T29" s="606" t="str">
        <f>A29</f>
        <v>OPERATING INCOME</v>
      </c>
      <c r="U29" s="601"/>
      <c r="V29" s="609">
        <f>V17-V27</f>
        <v>28312</v>
      </c>
      <c r="W29" s="609">
        <f>W17-W27</f>
        <v>33918</v>
      </c>
      <c r="X29" s="609">
        <f>X17-X27</f>
        <v>38689</v>
      </c>
      <c r="Y29" s="609">
        <f>Y17-Y27</f>
        <v>28506</v>
      </c>
      <c r="Z29" s="609"/>
      <c r="AA29" s="609">
        <f>AA17-AA27</f>
        <v>129425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72567</v>
      </c>
      <c r="AM29" s="181">
        <f t="shared" si="22"/>
        <v>82146</v>
      </c>
      <c r="AN29" s="181">
        <f t="shared" si="22"/>
        <v>100919</v>
      </c>
      <c r="AO29" s="181">
        <f t="shared" si="22"/>
        <v>110524</v>
      </c>
      <c r="AP29" s="181">
        <f t="shared" si="22"/>
        <v>119694</v>
      </c>
      <c r="AQ29" s="181">
        <f t="shared" si="22"/>
        <v>129425</v>
      </c>
      <c r="AR29" s="170"/>
    </row>
    <row r="30" spans="1:44" x14ac:dyDescent="0.25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9"/>
      <c r="U30" s="816"/>
      <c r="V30" s="590"/>
      <c r="W30" s="590"/>
      <c r="X30" s="590"/>
      <c r="Y30" s="590"/>
      <c r="Z30" s="590"/>
      <c r="AA30" s="590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5">
      <c r="A31" s="398" t="s">
        <v>319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6" t="str">
        <f>A31</f>
        <v>OTHER INCOME</v>
      </c>
      <c r="U31" s="816"/>
      <c r="V31" s="590"/>
      <c r="W31" s="590"/>
      <c r="X31" s="590"/>
      <c r="Y31" s="590"/>
      <c r="Z31" s="590"/>
      <c r="AA31" s="590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5">
      <c r="A32" s="413" t="s">
        <v>320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SUM(C32:H32)</f>
        <v>0</v>
      </c>
      <c r="Q32" s="177">
        <f>O32-P32</f>
        <v>0</v>
      </c>
      <c r="R32" s="572"/>
      <c r="S32" s="170"/>
      <c r="T32" s="607" t="str">
        <f>A32</f>
        <v xml:space="preserve">   Partnership Income</v>
      </c>
      <c r="U32" s="816"/>
      <c r="V32" s="590">
        <f>C32+D32+E32</f>
        <v>0</v>
      </c>
      <c r="W32" s="590">
        <f>F32+G32+H32</f>
        <v>0</v>
      </c>
      <c r="X32" s="590">
        <f>I32+J32+K32</f>
        <v>0</v>
      </c>
      <c r="Y32" s="590">
        <f>L32+M32+N32</f>
        <v>0</v>
      </c>
      <c r="Z32" s="590"/>
      <c r="AA32" s="590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5">
      <c r="A33" s="413" t="s">
        <v>321</v>
      </c>
      <c r="C33" s="177">
        <f>OtherInc!C23</f>
        <v>0</v>
      </c>
      <c r="D33" s="177">
        <f>OtherInc!D23</f>
        <v>1</v>
      </c>
      <c r="E33" s="177">
        <f>OtherInc!E23</f>
        <v>2</v>
      </c>
      <c r="F33" s="177">
        <f>OtherInc!F23</f>
        <v>1</v>
      </c>
      <c r="G33" s="177">
        <f>OtherInc!G23</f>
        <v>0</v>
      </c>
      <c r="H33" s="177">
        <f>OtherInc!H23</f>
        <v>0</v>
      </c>
      <c r="I33" s="177">
        <f>OtherInc!I23</f>
        <v>0</v>
      </c>
      <c r="J33" s="177">
        <f>OtherInc!J23</f>
        <v>0</v>
      </c>
      <c r="K33" s="177">
        <f>OtherInc!K23</f>
        <v>0</v>
      </c>
      <c r="L33" s="177">
        <f>OtherInc!L23</f>
        <v>0</v>
      </c>
      <c r="M33" s="177">
        <f>OtherInc!M23</f>
        <v>0</v>
      </c>
      <c r="N33" s="177">
        <f>OtherInc!N23</f>
        <v>0</v>
      </c>
      <c r="O33" s="177">
        <f>SUM(C33:N33)</f>
        <v>4</v>
      </c>
      <c r="P33" s="178">
        <f>SUM(C33:H33)</f>
        <v>4</v>
      </c>
      <c r="Q33" s="177">
        <f>O33-P33</f>
        <v>0</v>
      </c>
      <c r="R33" s="572"/>
      <c r="T33" s="607" t="str">
        <f>A33</f>
        <v xml:space="preserve">   Interest Income</v>
      </c>
      <c r="U33" s="816"/>
      <c r="V33" s="590">
        <f>C33+D33+E33</f>
        <v>3</v>
      </c>
      <c r="W33" s="590">
        <f>F33+G33+H33</f>
        <v>1</v>
      </c>
      <c r="X33" s="590">
        <f>I33+J33+K33</f>
        <v>0</v>
      </c>
      <c r="Y33" s="590">
        <f>L33+M33+N33</f>
        <v>0</v>
      </c>
      <c r="Z33" s="590"/>
      <c r="AA33" s="590">
        <f>SUM(V33:Y33)</f>
        <v>4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4</v>
      </c>
      <c r="AM33" s="177">
        <f t="shared" si="23"/>
        <v>4</v>
      </c>
      <c r="AN33" s="177">
        <f t="shared" si="23"/>
        <v>4</v>
      </c>
      <c r="AO33" s="177">
        <f t="shared" si="23"/>
        <v>4</v>
      </c>
      <c r="AP33" s="177">
        <f t="shared" si="23"/>
        <v>4</v>
      </c>
      <c r="AQ33" s="177">
        <f t="shared" si="23"/>
        <v>4</v>
      </c>
    </row>
    <row r="34" spans="1:44" x14ac:dyDescent="0.25">
      <c r="A34" s="413" t="s">
        <v>322</v>
      </c>
      <c r="C34" s="180">
        <f>OtherInc!C40-IntDeduct!C51</f>
        <v>132</v>
      </c>
      <c r="D34" s="180">
        <f>OtherInc!D40-IntDeduct!D51</f>
        <v>-91</v>
      </c>
      <c r="E34" s="180">
        <f>OtherInc!E40-IntDeduct!E51</f>
        <v>-25</v>
      </c>
      <c r="F34" s="180">
        <f>OtherInc!F40-IntDeduct!F51</f>
        <v>4</v>
      </c>
      <c r="G34" s="180">
        <f>OtherInc!G40-IntDeduct!G51</f>
        <v>-25</v>
      </c>
      <c r="H34" s="180">
        <f>OtherInc!H40-IntDeduct!H51</f>
        <v>-4</v>
      </c>
      <c r="I34" s="180">
        <f>OtherInc!I40-IntDeduct!I51</f>
        <v>-7</v>
      </c>
      <c r="J34" s="180">
        <f>OtherInc!J40-IntDeduct!J51</f>
        <v>0</v>
      </c>
      <c r="K34" s="180">
        <f>OtherInc!K40-IntDeduct!K51</f>
        <v>-2</v>
      </c>
      <c r="L34" s="180">
        <f>OtherInc!L40-IntDeduct!L51</f>
        <v>-5</v>
      </c>
      <c r="M34" s="180">
        <f>OtherInc!M40-IntDeduct!M51</f>
        <v>-2</v>
      </c>
      <c r="N34" s="180">
        <f>OtherInc!N40-IntDeduct!N51</f>
        <v>-2</v>
      </c>
      <c r="O34" s="180">
        <f>SUM(C34:N34)</f>
        <v>-27</v>
      </c>
      <c r="P34" s="263">
        <f>SUM(C34:H34)</f>
        <v>-9</v>
      </c>
      <c r="Q34" s="180">
        <f>O34-P34</f>
        <v>-18</v>
      </c>
      <c r="R34" s="573"/>
      <c r="S34" s="170"/>
      <c r="T34" s="607" t="str">
        <f>A34</f>
        <v xml:space="preserve">   Other Income / (Deductions)</v>
      </c>
      <c r="U34" s="816"/>
      <c r="V34" s="592">
        <f>C34+D34+E34</f>
        <v>16</v>
      </c>
      <c r="W34" s="592">
        <f>F34+G34+H34</f>
        <v>-25</v>
      </c>
      <c r="X34" s="592">
        <f>I34+J34+K34</f>
        <v>-9</v>
      </c>
      <c r="Y34" s="592">
        <f>L34+M34+N34</f>
        <v>-9</v>
      </c>
      <c r="Z34" s="592"/>
      <c r="AA34" s="592">
        <f>SUM(V34:Y34)</f>
        <v>-27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-16</v>
      </c>
      <c r="AM34" s="180">
        <f t="shared" si="23"/>
        <v>-16</v>
      </c>
      <c r="AN34" s="180">
        <f t="shared" si="23"/>
        <v>-18</v>
      </c>
      <c r="AO34" s="180">
        <f t="shared" si="23"/>
        <v>-23</v>
      </c>
      <c r="AP34" s="180">
        <f t="shared" si="23"/>
        <v>-25</v>
      </c>
      <c r="AQ34" s="180">
        <f t="shared" si="23"/>
        <v>-27</v>
      </c>
    </row>
    <row r="35" spans="1:44" ht="3.9" customHeight="1" x14ac:dyDescent="0.25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5"/>
      <c r="U35" s="816"/>
      <c r="V35" s="590"/>
      <c r="W35" s="590"/>
      <c r="X35" s="590"/>
      <c r="Y35" s="590"/>
      <c r="Z35" s="590"/>
      <c r="AA35" s="590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5">
      <c r="A36" s="410" t="s">
        <v>323</v>
      </c>
      <c r="B36" s="812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-7</v>
      </c>
      <c r="J36" s="181">
        <f t="shared" si="24"/>
        <v>0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-23</v>
      </c>
      <c r="P36" s="181">
        <f t="shared" si="24"/>
        <v>-5</v>
      </c>
      <c r="Q36" s="181">
        <f t="shared" si="24"/>
        <v>-18</v>
      </c>
      <c r="R36" s="547"/>
      <c r="S36" s="168"/>
      <c r="T36" s="606" t="str">
        <f>A36</f>
        <v xml:space="preserve">     Total Other Income &amp; Other Deductions</v>
      </c>
      <c r="U36" s="601"/>
      <c r="V36" s="609">
        <f>V32+V33+V34</f>
        <v>19</v>
      </c>
      <c r="W36" s="609">
        <f>W32+W33+W34</f>
        <v>-24</v>
      </c>
      <c r="X36" s="609">
        <f>X32+X33+X34</f>
        <v>-9</v>
      </c>
      <c r="Y36" s="609">
        <f>Y32+Y33+Y34</f>
        <v>-9</v>
      </c>
      <c r="Z36" s="609"/>
      <c r="AA36" s="609">
        <f>AA32+AA33+AA34</f>
        <v>-23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-12</v>
      </c>
      <c r="AM36" s="181">
        <f t="shared" si="25"/>
        <v>-12</v>
      </c>
      <c r="AN36" s="181">
        <f t="shared" si="25"/>
        <v>-14</v>
      </c>
      <c r="AO36" s="181">
        <f t="shared" si="25"/>
        <v>-19</v>
      </c>
      <c r="AP36" s="181">
        <f t="shared" si="25"/>
        <v>-21</v>
      </c>
      <c r="AQ36" s="181">
        <f t="shared" si="25"/>
        <v>-23</v>
      </c>
    </row>
    <row r="37" spans="1:44" x14ac:dyDescent="0.25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9"/>
      <c r="U37" s="816"/>
      <c r="V37" s="590"/>
      <c r="W37" s="590"/>
      <c r="X37" s="590"/>
      <c r="Y37" s="590"/>
      <c r="Z37" s="590"/>
      <c r="AA37" s="590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5">
      <c r="A38" s="399" t="s">
        <v>327</v>
      </c>
      <c r="B38" s="815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10330</v>
      </c>
      <c r="J38" s="181">
        <f t="shared" si="26"/>
        <v>9579</v>
      </c>
      <c r="K38" s="181">
        <f t="shared" si="26"/>
        <v>18771</v>
      </c>
      <c r="L38" s="181">
        <f t="shared" si="26"/>
        <v>9600</v>
      </c>
      <c r="M38" s="181">
        <f t="shared" si="26"/>
        <v>9168</v>
      </c>
      <c r="N38" s="181">
        <f t="shared" si="26"/>
        <v>9729</v>
      </c>
      <c r="O38" s="181">
        <f t="shared" si="26"/>
        <v>129402</v>
      </c>
      <c r="P38" s="181">
        <f t="shared" si="26"/>
        <v>62225</v>
      </c>
      <c r="Q38" s="181">
        <f>O38-P38</f>
        <v>67177</v>
      </c>
      <c r="R38" s="547"/>
      <c r="S38" s="168"/>
      <c r="T38" s="606" t="str">
        <f>A38</f>
        <v>INCOME BEFORE INTEREST &amp; TAXES</v>
      </c>
      <c r="U38" s="818"/>
      <c r="V38" s="609">
        <f>C38+D38+E38</f>
        <v>28331</v>
      </c>
      <c r="W38" s="609">
        <f>F38+G38+H38</f>
        <v>33894</v>
      </c>
      <c r="X38" s="609">
        <f>I38+J38+K38</f>
        <v>38680</v>
      </c>
      <c r="Y38" s="609">
        <f>L38+M38+N38</f>
        <v>28497</v>
      </c>
      <c r="Z38" s="609"/>
      <c r="AA38" s="609">
        <f>SUM(V38:Y38)</f>
        <v>129402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72555</v>
      </c>
      <c r="AM38" s="181">
        <f t="shared" si="27"/>
        <v>82134</v>
      </c>
      <c r="AN38" s="181">
        <f t="shared" si="27"/>
        <v>100905</v>
      </c>
      <c r="AO38" s="181">
        <f t="shared" si="27"/>
        <v>110505</v>
      </c>
      <c r="AP38" s="181">
        <f t="shared" si="27"/>
        <v>119673</v>
      </c>
      <c r="AQ38" s="181">
        <f t="shared" si="27"/>
        <v>129402</v>
      </c>
    </row>
    <row r="39" spans="1:44" x14ac:dyDescent="0.25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9"/>
      <c r="U39" s="816"/>
      <c r="V39" s="590"/>
      <c r="W39" s="590"/>
      <c r="X39" s="590"/>
      <c r="Y39" s="590"/>
      <c r="Z39" s="590"/>
      <c r="AA39" s="590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5">
      <c r="A40" s="410" t="s">
        <v>1060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6" t="str">
        <f t="shared" ref="T40:T45" si="28">A40</f>
        <v xml:space="preserve">INTEREST AND OTHER </v>
      </c>
      <c r="U40" s="816"/>
      <c r="V40" s="590"/>
      <c r="W40" s="610"/>
      <c r="X40" s="590"/>
      <c r="Y40" s="590"/>
      <c r="Z40" s="590"/>
      <c r="AA40" s="590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5">
      <c r="A41" s="411" t="s">
        <v>324</v>
      </c>
      <c r="C41" s="177">
        <f>IntDeduct!C17</f>
        <v>-1</v>
      </c>
      <c r="D41" s="177">
        <f>IntDeduct!D17</f>
        <v>-2</v>
      </c>
      <c r="E41" s="177">
        <f>IntDeduct!E17</f>
        <v>-1</v>
      </c>
      <c r="F41" s="177">
        <f>IntDeduct!F17</f>
        <v>-2</v>
      </c>
      <c r="G41" s="177">
        <f>IntDeduct!G17</f>
        <v>-1</v>
      </c>
      <c r="H41" s="177">
        <f>IntDeduct!H17</f>
        <v>-1</v>
      </c>
      <c r="I41" s="177">
        <f>IntDeduct!I17</f>
        <v>-1</v>
      </c>
      <c r="J41" s="177">
        <f>IntDeduct!J17</f>
        <v>-4</v>
      </c>
      <c r="K41" s="177">
        <f>IntDeduct!K17</f>
        <v>-3</v>
      </c>
      <c r="L41" s="177">
        <f>IntDeduct!L17</f>
        <v>-2</v>
      </c>
      <c r="M41" s="177">
        <f>IntDeduct!M17</f>
        <v>-3</v>
      </c>
      <c r="N41" s="177">
        <f>IntDeduct!N17</f>
        <v>-3</v>
      </c>
      <c r="O41" s="177">
        <f>SUM(C41:N41)</f>
        <v>-24</v>
      </c>
      <c r="P41" s="178">
        <f>SUM(C41:H41)</f>
        <v>-8</v>
      </c>
      <c r="Q41" s="177">
        <f>O41-P41</f>
        <v>-16</v>
      </c>
      <c r="R41" s="572"/>
      <c r="S41" s="170"/>
      <c r="T41" s="607" t="str">
        <f t="shared" si="28"/>
        <v xml:space="preserve">   Direct Interest</v>
      </c>
      <c r="U41" s="816"/>
      <c r="V41" s="590">
        <f>C41+D41+E41</f>
        <v>-4</v>
      </c>
      <c r="W41" s="590">
        <f>F41+G41+H41</f>
        <v>-4</v>
      </c>
      <c r="X41" s="590">
        <f>I41+J41+K41</f>
        <v>-8</v>
      </c>
      <c r="Y41" s="590">
        <f>L41+M41+N41</f>
        <v>-8</v>
      </c>
      <c r="Z41" s="590"/>
      <c r="AA41" s="590">
        <f>SUM(V41:Y41)</f>
        <v>-24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-9</v>
      </c>
      <c r="AM41" s="177">
        <f t="shared" si="30"/>
        <v>-13</v>
      </c>
      <c r="AN41" s="177">
        <f t="shared" si="30"/>
        <v>-16</v>
      </c>
      <c r="AO41" s="177">
        <f t="shared" si="30"/>
        <v>-18</v>
      </c>
      <c r="AP41" s="177">
        <f t="shared" si="30"/>
        <v>-21</v>
      </c>
      <c r="AQ41" s="177">
        <f t="shared" si="30"/>
        <v>-24</v>
      </c>
    </row>
    <row r="42" spans="1:44" x14ac:dyDescent="0.25">
      <c r="A42" s="411" t="s">
        <v>1057</v>
      </c>
      <c r="C42" s="177">
        <f>IntDeduct!C20+IntDeduct!C21</f>
        <v>119</v>
      </c>
      <c r="D42" s="177">
        <f>IntDeduct!D20+IntDeduct!D21</f>
        <v>119</v>
      </c>
      <c r="E42" s="177">
        <f>IntDeduct!E20+IntDeduct!E21</f>
        <v>120</v>
      </c>
      <c r="F42" s="177">
        <f>IntDeduct!F20+IntDeduct!F21</f>
        <v>119</v>
      </c>
      <c r="G42" s="177">
        <f>IntDeduct!G20+IntDeduct!G21</f>
        <v>119</v>
      </c>
      <c r="H42" s="177">
        <f>IntDeduct!H20+IntDeduct!H21</f>
        <v>119</v>
      </c>
      <c r="I42" s="177">
        <f>IntDeduct!I20+IntDeduct!I21</f>
        <v>119</v>
      </c>
      <c r="J42" s="177">
        <f>IntDeduct!J20+IntDeduct!J21</f>
        <v>119</v>
      </c>
      <c r="K42" s="177">
        <f>IntDeduct!K20+IntDeduct!K21</f>
        <v>120</v>
      </c>
      <c r="L42" s="177">
        <f>IntDeduct!L20+IntDeduct!L21</f>
        <v>119</v>
      </c>
      <c r="M42" s="177">
        <f>IntDeduct!M20+IntDeduct!M21</f>
        <v>90</v>
      </c>
      <c r="N42" s="177">
        <f>IntDeduct!N20+IntDeduct!N21</f>
        <v>90</v>
      </c>
      <c r="O42" s="177">
        <f>SUM(C42:N42)</f>
        <v>1372</v>
      </c>
      <c r="P42" s="178">
        <f>SUM(C42:H42)</f>
        <v>715</v>
      </c>
      <c r="Q42" s="177">
        <f>O42-P42</f>
        <v>657</v>
      </c>
      <c r="R42" s="572"/>
      <c r="S42" s="170"/>
      <c r="T42" s="607" t="str">
        <f t="shared" si="28"/>
        <v xml:space="preserve">   Interest on Long Term Debt (Pre 1/1/98 - Third Party)</v>
      </c>
      <c r="U42" s="816"/>
      <c r="V42" s="590">
        <f>C42+D42+E42</f>
        <v>358</v>
      </c>
      <c r="W42" s="590">
        <f>F42+G42+H42</f>
        <v>357</v>
      </c>
      <c r="X42" s="590">
        <f>I42+J42+K42</f>
        <v>358</v>
      </c>
      <c r="Y42" s="590">
        <f>L42+M42+N42</f>
        <v>299</v>
      </c>
      <c r="Z42" s="590"/>
      <c r="AA42" s="590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5">
      <c r="A43" s="411" t="s">
        <v>1058</v>
      </c>
      <c r="C43" s="177">
        <f>IntDeduct!C22</f>
        <v>925</v>
      </c>
      <c r="D43" s="177">
        <f>IntDeduct!D22</f>
        <v>925</v>
      </c>
      <c r="E43" s="177">
        <f>IntDeduct!E22</f>
        <v>925</v>
      </c>
      <c r="F43" s="177">
        <f>IntDeduct!F22</f>
        <v>657</v>
      </c>
      <c r="G43" s="177">
        <f>IntDeduct!G22</f>
        <v>678</v>
      </c>
      <c r="H43" s="177">
        <f>IntDeduct!H22</f>
        <v>613</v>
      </c>
      <c r="I43" s="177">
        <f>IntDeduct!I22</f>
        <v>0</v>
      </c>
      <c r="J43" s="177">
        <f>IntDeduct!J22</f>
        <v>0</v>
      </c>
      <c r="K43" s="177">
        <f>IntDeduct!K22</f>
        <v>0</v>
      </c>
      <c r="L43" s="177">
        <f>IntDeduct!L22</f>
        <v>0</v>
      </c>
      <c r="M43" s="177">
        <f>IntDeduct!M22</f>
        <v>0</v>
      </c>
      <c r="N43" s="177">
        <f>IntDeduct!N22</f>
        <v>0</v>
      </c>
      <c r="O43" s="177">
        <f>SUM(C43:N43)</f>
        <v>4723</v>
      </c>
      <c r="P43" s="178">
        <f>SUM(C43:H43)</f>
        <v>4723</v>
      </c>
      <c r="Q43" s="177">
        <f>O43-P43</f>
        <v>0</v>
      </c>
      <c r="R43" s="572"/>
      <c r="S43" s="170"/>
      <c r="T43" s="607" t="str">
        <f t="shared" si="28"/>
        <v xml:space="preserve">   Interest on Long Term Debt (Post 1/1/98 - Internal)</v>
      </c>
      <c r="U43" s="816"/>
      <c r="V43" s="590">
        <f>C43+D43+E43</f>
        <v>2775</v>
      </c>
      <c r="W43" s="590">
        <f>F43+G43+H43</f>
        <v>1948</v>
      </c>
      <c r="X43" s="590">
        <f>I43+J43+K43</f>
        <v>0</v>
      </c>
      <c r="Y43" s="590">
        <f>L43+M43+N43</f>
        <v>0</v>
      </c>
      <c r="Z43" s="590"/>
      <c r="AA43" s="590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5">
      <c r="A44" s="411" t="s">
        <v>325</v>
      </c>
      <c r="C44" s="177">
        <f>SUM(IntDeduct!C23:C25)</f>
        <v>0</v>
      </c>
      <c r="D44" s="177">
        <f>SUM(IntDeduct!D23:D25)</f>
        <v>0</v>
      </c>
      <c r="E44" s="177">
        <f>SUM(IntDeduct!E23:E25)</f>
        <v>-5198</v>
      </c>
      <c r="F44" s="177">
        <f>SUM(IntDeduct!F23:F25)</f>
        <v>-1785</v>
      </c>
      <c r="G44" s="177">
        <f>SUM(IntDeduct!G23:G25)</f>
        <v>-1429</v>
      </c>
      <c r="H44" s="177">
        <f>SUM(IntDeduct!H23:H25)</f>
        <v>-1319</v>
      </c>
      <c r="I44" s="177">
        <f>SUM(IntDeduct!I23:I25)</f>
        <v>-825</v>
      </c>
      <c r="J44" s="177">
        <f>SUM(IntDeduct!J23:J25)</f>
        <v>-884</v>
      </c>
      <c r="K44" s="177">
        <f>SUM(IntDeduct!K23:K25)</f>
        <v>-844</v>
      </c>
      <c r="L44" s="177">
        <f>SUM(IntDeduct!L23:L25)</f>
        <v>-869</v>
      </c>
      <c r="M44" s="177">
        <f>SUM(IntDeduct!M23:M25)</f>
        <v>-822</v>
      </c>
      <c r="N44" s="177">
        <f>SUM(IntDeduct!N23:N25)</f>
        <v>-820</v>
      </c>
      <c r="O44" s="177">
        <f>SUM(C44:N44)</f>
        <v>-14795</v>
      </c>
      <c r="P44" s="178">
        <f>SUM(C44:H44)</f>
        <v>-9731</v>
      </c>
      <c r="Q44" s="177">
        <f>O44-P44</f>
        <v>-5064</v>
      </c>
      <c r="R44" s="572"/>
      <c r="S44" s="170"/>
      <c r="T44" s="607" t="str">
        <f t="shared" si="28"/>
        <v xml:space="preserve">   Intercompany Interest Expense / (Income)</v>
      </c>
      <c r="U44" s="816"/>
      <c r="V44" s="590">
        <f>C44+D44+E44</f>
        <v>-5198</v>
      </c>
      <c r="W44" s="590">
        <f>F44+G44+H44</f>
        <v>-4533</v>
      </c>
      <c r="X44" s="590">
        <f>I44+J44+K44</f>
        <v>-2553</v>
      </c>
      <c r="Y44" s="590">
        <f>L44+M44+N44</f>
        <v>-2511</v>
      </c>
      <c r="Z44" s="590"/>
      <c r="AA44" s="590">
        <f>SUM(V44:Y44)</f>
        <v>-14795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-11440</v>
      </c>
      <c r="AN44" s="177">
        <f t="shared" si="30"/>
        <v>-12284</v>
      </c>
      <c r="AO44" s="177">
        <f t="shared" si="30"/>
        <v>-13153</v>
      </c>
      <c r="AP44" s="177">
        <f t="shared" si="30"/>
        <v>-13975</v>
      </c>
      <c r="AQ44" s="177">
        <f t="shared" si="30"/>
        <v>-14795</v>
      </c>
    </row>
    <row r="45" spans="1:44" ht="12.75" customHeight="1" x14ac:dyDescent="0.25">
      <c r="A45" s="176" t="s">
        <v>326</v>
      </c>
      <c r="C45" s="180">
        <f>IntDeduct!C34</f>
        <v>-11</v>
      </c>
      <c r="D45" s="180">
        <f>IntDeduct!D34</f>
        <v>-10</v>
      </c>
      <c r="E45" s="180">
        <f>IntDeduct!E34</f>
        <v>-9</v>
      </c>
      <c r="F45" s="180">
        <f>IntDeduct!F34</f>
        <v>-7</v>
      </c>
      <c r="G45" s="180">
        <f>IntDeduct!G34</f>
        <v>-8</v>
      </c>
      <c r="H45" s="180">
        <f>IntDeduct!H34</f>
        <v>-11</v>
      </c>
      <c r="I45" s="180">
        <f>IntDeduct!I34</f>
        <v>-8</v>
      </c>
      <c r="J45" s="180">
        <f>IntDeduct!J34</f>
        <v>-31</v>
      </c>
      <c r="K45" s="180">
        <f>IntDeduct!K34</f>
        <v>-25</v>
      </c>
      <c r="L45" s="180">
        <f>IntDeduct!L34</f>
        <v>-15</v>
      </c>
      <c r="M45" s="180">
        <f>IntDeduct!M34</f>
        <v>-27</v>
      </c>
      <c r="N45" s="180">
        <f>IntDeduct!N34</f>
        <v>-22</v>
      </c>
      <c r="O45" s="180">
        <f>SUM(C45:N45)</f>
        <v>-184</v>
      </c>
      <c r="P45" s="263">
        <f>SUM(C45:H45)</f>
        <v>-56</v>
      </c>
      <c r="Q45" s="180">
        <f>O45-P45</f>
        <v>-128</v>
      </c>
      <c r="R45" s="573"/>
      <c r="S45" s="662"/>
      <c r="T45" s="607" t="str">
        <f t="shared" si="28"/>
        <v xml:space="preserve">   AFUDC</v>
      </c>
      <c r="U45" s="820"/>
      <c r="V45" s="592">
        <f>C45+D45+E45</f>
        <v>-30</v>
      </c>
      <c r="W45" s="592">
        <f>F45+G45+H45</f>
        <v>-26</v>
      </c>
      <c r="X45" s="592">
        <f>I45+J45+K45</f>
        <v>-64</v>
      </c>
      <c r="Y45" s="592">
        <f>L45+M45+N45</f>
        <v>-64</v>
      </c>
      <c r="Z45" s="592"/>
      <c r="AA45" s="592">
        <f>SUM(V45:Y45)</f>
        <v>-184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-64</v>
      </c>
      <c r="AM45" s="180">
        <f t="shared" si="30"/>
        <v>-95</v>
      </c>
      <c r="AN45" s="180">
        <f t="shared" si="30"/>
        <v>-120</v>
      </c>
      <c r="AO45" s="180">
        <f t="shared" si="30"/>
        <v>-135</v>
      </c>
      <c r="AP45" s="180">
        <f t="shared" si="30"/>
        <v>-162</v>
      </c>
      <c r="AQ45" s="180">
        <f t="shared" si="30"/>
        <v>-184</v>
      </c>
    </row>
    <row r="46" spans="1:44" ht="3.9" customHeight="1" x14ac:dyDescent="0.25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9"/>
      <c r="U46" s="816"/>
      <c r="V46" s="590"/>
      <c r="W46" s="590"/>
      <c r="X46" s="590"/>
      <c r="Y46" s="590"/>
      <c r="Z46" s="590"/>
      <c r="AA46" s="590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5">
      <c r="A47" s="415" t="s">
        <v>1061</v>
      </c>
      <c r="B47" s="815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-715</v>
      </c>
      <c r="J47" s="181">
        <f t="shared" si="32"/>
        <v>-800</v>
      </c>
      <c r="K47" s="181">
        <f t="shared" si="32"/>
        <v>-752</v>
      </c>
      <c r="L47" s="181">
        <f t="shared" si="32"/>
        <v>-767</v>
      </c>
      <c r="M47" s="181">
        <f t="shared" si="32"/>
        <v>-762</v>
      </c>
      <c r="N47" s="181">
        <f t="shared" si="32"/>
        <v>-755</v>
      </c>
      <c r="O47" s="181">
        <f t="shared" si="32"/>
        <v>-8908</v>
      </c>
      <c r="P47" s="181">
        <f t="shared" si="32"/>
        <v>-4357</v>
      </c>
      <c r="Q47" s="181">
        <f t="shared" si="32"/>
        <v>-4551</v>
      </c>
      <c r="R47" s="547"/>
      <c r="S47" s="168"/>
      <c r="T47" s="606" t="str">
        <f>A47</f>
        <v xml:space="preserve">     Total Interest and Other</v>
      </c>
      <c r="U47" s="818"/>
      <c r="V47" s="609">
        <f>SUM(V41:V45)</f>
        <v>-2099</v>
      </c>
      <c r="W47" s="609">
        <f>SUM(W41:W45)</f>
        <v>-2258</v>
      </c>
      <c r="X47" s="609">
        <f>SUM(X41:X45)</f>
        <v>-2267</v>
      </c>
      <c r="Y47" s="609">
        <f>SUM(Y41:Y45)</f>
        <v>-2284</v>
      </c>
      <c r="Z47" s="609"/>
      <c r="AA47" s="609">
        <f>SUM(AA41:AA45)</f>
        <v>-8908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-5072</v>
      </c>
      <c r="AM47" s="181">
        <f t="shared" si="33"/>
        <v>-5872</v>
      </c>
      <c r="AN47" s="181">
        <f t="shared" si="33"/>
        <v>-6624</v>
      </c>
      <c r="AO47" s="181">
        <f t="shared" si="33"/>
        <v>-7391</v>
      </c>
      <c r="AP47" s="181">
        <f t="shared" si="33"/>
        <v>-8153</v>
      </c>
      <c r="AQ47" s="181">
        <f t="shared" si="33"/>
        <v>-8908</v>
      </c>
    </row>
    <row r="48" spans="1:44" x14ac:dyDescent="0.25">
      <c r="A48" s="415"/>
      <c r="B48" s="815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6"/>
      <c r="U48" s="818"/>
      <c r="V48" s="609"/>
      <c r="W48" s="609"/>
      <c r="X48" s="609"/>
      <c r="Y48" s="609"/>
      <c r="Z48" s="609"/>
      <c r="AA48" s="609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5">
      <c r="A49" s="399" t="s">
        <v>328</v>
      </c>
      <c r="B49" s="812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11045</v>
      </c>
      <c r="J49" s="181">
        <f t="shared" si="34"/>
        <v>10379</v>
      </c>
      <c r="K49" s="181">
        <f t="shared" si="34"/>
        <v>19523</v>
      </c>
      <c r="L49" s="181">
        <f t="shared" si="34"/>
        <v>10367</v>
      </c>
      <c r="M49" s="181">
        <f t="shared" si="34"/>
        <v>9930</v>
      </c>
      <c r="N49" s="181">
        <f t="shared" si="34"/>
        <v>10484</v>
      </c>
      <c r="O49" s="181">
        <f t="shared" si="34"/>
        <v>138310</v>
      </c>
      <c r="P49" s="181">
        <f t="shared" si="34"/>
        <v>66582</v>
      </c>
      <c r="Q49" s="181">
        <f t="shared" si="34"/>
        <v>71728</v>
      </c>
      <c r="R49" s="547"/>
      <c r="S49" s="168"/>
      <c r="T49" s="606" t="str">
        <f>A49</f>
        <v>INCOME BEFORE INCOME TAXES</v>
      </c>
      <c r="U49" s="601"/>
      <c r="V49" s="609">
        <f>V29+V36-V47</f>
        <v>30430</v>
      </c>
      <c r="W49" s="609">
        <f>W29+W36-W47</f>
        <v>36152</v>
      </c>
      <c r="X49" s="609">
        <f>X29+X36-X47</f>
        <v>40947</v>
      </c>
      <c r="Y49" s="609">
        <f>Y29+Y36-Y47</f>
        <v>30781</v>
      </c>
      <c r="Z49" s="609"/>
      <c r="AA49" s="609">
        <f>AA29+AA36-AA47</f>
        <v>138310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77627</v>
      </c>
      <c r="AM49" s="181">
        <f t="shared" si="35"/>
        <v>88006</v>
      </c>
      <c r="AN49" s="181">
        <f t="shared" si="35"/>
        <v>107529</v>
      </c>
      <c r="AO49" s="181">
        <f t="shared" si="35"/>
        <v>117896</v>
      </c>
      <c r="AP49" s="181">
        <f t="shared" si="35"/>
        <v>127826</v>
      </c>
      <c r="AQ49" s="181">
        <f t="shared" si="35"/>
        <v>138310</v>
      </c>
    </row>
    <row r="50" spans="1:44" x14ac:dyDescent="0.25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9"/>
      <c r="U50" s="816"/>
      <c r="V50" s="590"/>
      <c r="W50" s="590"/>
      <c r="X50" s="590"/>
      <c r="Y50" s="590"/>
      <c r="Z50" s="590"/>
      <c r="AA50" s="590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5">
      <c r="A51" s="176" t="s">
        <v>988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4181</v>
      </c>
      <c r="J51" s="177">
        <f t="shared" si="36"/>
        <v>3930</v>
      </c>
      <c r="K51" s="177">
        <f t="shared" si="36"/>
        <v>2247</v>
      </c>
      <c r="L51" s="177">
        <f t="shared" si="36"/>
        <v>812</v>
      </c>
      <c r="M51" s="177">
        <f t="shared" si="36"/>
        <v>4613</v>
      </c>
      <c r="N51" s="177">
        <f t="shared" si="36"/>
        <v>4053</v>
      </c>
      <c r="O51" s="177">
        <f>SUM(C51:N51)</f>
        <v>49235</v>
      </c>
      <c r="P51" s="178">
        <f>SUM(C51:H51)</f>
        <v>29399</v>
      </c>
      <c r="Q51" s="177">
        <f>O51-P51</f>
        <v>19836</v>
      </c>
      <c r="R51" s="572"/>
      <c r="S51" s="170"/>
      <c r="T51" s="607" t="str">
        <f>A51</f>
        <v xml:space="preserve">   Payable Currently</v>
      </c>
      <c r="U51" s="816"/>
      <c r="V51" s="590">
        <f>C51+D51+E51</f>
        <v>16342</v>
      </c>
      <c r="W51" s="590">
        <f>F51+G51+H51</f>
        <v>13057</v>
      </c>
      <c r="X51" s="590">
        <f>I51+J51+K51</f>
        <v>10358</v>
      </c>
      <c r="Y51" s="590">
        <f>L51+M51+N51</f>
        <v>9478</v>
      </c>
      <c r="Z51" s="590"/>
      <c r="AA51" s="590">
        <f>SUM(V51:Y51)</f>
        <v>49235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33580</v>
      </c>
      <c r="AM51" s="177">
        <f t="shared" si="37"/>
        <v>37510</v>
      </c>
      <c r="AN51" s="177">
        <f t="shared" si="37"/>
        <v>39757</v>
      </c>
      <c r="AO51" s="177">
        <f t="shared" si="37"/>
        <v>40569</v>
      </c>
      <c r="AP51" s="177">
        <f t="shared" si="37"/>
        <v>45182</v>
      </c>
      <c r="AQ51" s="177">
        <f t="shared" si="37"/>
        <v>49235</v>
      </c>
    </row>
    <row r="52" spans="1:44" x14ac:dyDescent="0.25">
      <c r="A52" s="413" t="s">
        <v>989</v>
      </c>
      <c r="C52" s="851">
        <f>DeferredTax!R81</f>
        <v>150</v>
      </c>
      <c r="D52" s="851">
        <f>DeferredTax!S81</f>
        <v>92</v>
      </c>
      <c r="E52" s="851">
        <f>DeferredTax!T81</f>
        <v>-4693</v>
      </c>
      <c r="F52" s="851">
        <f>DeferredTax!U81</f>
        <v>802</v>
      </c>
      <c r="G52" s="851">
        <f>DeferredTax!V81</f>
        <v>259</v>
      </c>
      <c r="H52" s="851">
        <f>DeferredTax!W81</f>
        <v>6</v>
      </c>
      <c r="I52" s="851">
        <f>DeferredTax!X81</f>
        <v>135</v>
      </c>
      <c r="J52" s="851">
        <f>DeferredTax!Y81</f>
        <v>127</v>
      </c>
      <c r="K52" s="851">
        <f>DeferredTax!Z81</f>
        <v>5365</v>
      </c>
      <c r="L52" s="851">
        <f>DeferredTax!AA81</f>
        <v>3241</v>
      </c>
      <c r="M52" s="851">
        <f>DeferredTax!AB81</f>
        <v>-730</v>
      </c>
      <c r="N52" s="851">
        <f>DeferredTax!AC81</f>
        <v>45</v>
      </c>
      <c r="O52" s="180">
        <f>SUM(C52:N52)</f>
        <v>4799</v>
      </c>
      <c r="P52" s="263">
        <f>SUM(C52:H52)</f>
        <v>-3384</v>
      </c>
      <c r="Q52" s="180">
        <f>O52-P52</f>
        <v>8183</v>
      </c>
      <c r="R52" s="573"/>
      <c r="S52" s="170"/>
      <c r="T52" s="607" t="str">
        <f>A52</f>
        <v xml:space="preserve">   Deferred</v>
      </c>
      <c r="U52" s="816"/>
      <c r="V52" s="592">
        <f>C52+D52+E52</f>
        <v>-4451</v>
      </c>
      <c r="W52" s="592">
        <f>F52+G52+H52</f>
        <v>1067</v>
      </c>
      <c r="X52" s="592">
        <f>I52+J52+K52</f>
        <v>5627</v>
      </c>
      <c r="Y52" s="592">
        <f>L52+M52+N52</f>
        <v>2556</v>
      </c>
      <c r="Z52" s="592"/>
      <c r="AA52" s="592">
        <f>SUM(V52:Y52)</f>
        <v>4799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-3249</v>
      </c>
      <c r="AM52" s="180">
        <f t="shared" si="37"/>
        <v>-3122</v>
      </c>
      <c r="AN52" s="180">
        <f t="shared" si="37"/>
        <v>2243</v>
      </c>
      <c r="AO52" s="180">
        <f t="shared" si="37"/>
        <v>5484</v>
      </c>
      <c r="AP52" s="180">
        <f t="shared" si="37"/>
        <v>4754</v>
      </c>
      <c r="AQ52" s="180">
        <f t="shared" si="37"/>
        <v>4799</v>
      </c>
    </row>
    <row r="53" spans="1:44" ht="3.9" customHeight="1" x14ac:dyDescent="0.25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5"/>
      <c r="U53" s="816"/>
      <c r="V53" s="590"/>
      <c r="W53" s="590"/>
      <c r="X53" s="590"/>
      <c r="Y53" s="590"/>
      <c r="Z53" s="590"/>
      <c r="AA53" s="590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5">
      <c r="A54" s="412" t="s">
        <v>987</v>
      </c>
      <c r="B54" s="812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4316</v>
      </c>
      <c r="J54" s="181">
        <f t="shared" si="38"/>
        <v>4057</v>
      </c>
      <c r="K54" s="181">
        <f t="shared" si="38"/>
        <v>7612</v>
      </c>
      <c r="L54" s="181">
        <f t="shared" si="38"/>
        <v>4053</v>
      </c>
      <c r="M54" s="181">
        <f t="shared" si="38"/>
        <v>3883</v>
      </c>
      <c r="N54" s="181">
        <f t="shared" si="38"/>
        <v>4098</v>
      </c>
      <c r="O54" s="181">
        <f>ROUND((SUM(O51:O52)),0)</f>
        <v>54034</v>
      </c>
      <c r="P54" s="181">
        <f>ROUND((SUM(P51:P52)),0)</f>
        <v>26015</v>
      </c>
      <c r="Q54" s="181">
        <f>ROUND((SUM(Q51:Q52)),0)</f>
        <v>28019</v>
      </c>
      <c r="R54" s="547"/>
      <c r="S54" s="168"/>
      <c r="T54" s="606" t="str">
        <f>A54</f>
        <v xml:space="preserve">     Total Income Taxes (Composite Rate - 38.88 %)</v>
      </c>
      <c r="U54" s="601"/>
      <c r="V54" s="609">
        <f>V51+V52</f>
        <v>11891</v>
      </c>
      <c r="W54" s="609">
        <f>W51+W52</f>
        <v>14124</v>
      </c>
      <c r="X54" s="609">
        <f>X51+X52</f>
        <v>15985</v>
      </c>
      <c r="Y54" s="609">
        <f>Y51+Y52</f>
        <v>12034</v>
      </c>
      <c r="Z54" s="609"/>
      <c r="AA54" s="609">
        <f>AA51+AA52</f>
        <v>54034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30331</v>
      </c>
      <c r="AM54" s="181">
        <f t="shared" si="39"/>
        <v>34388</v>
      </c>
      <c r="AN54" s="181">
        <f t="shared" si="39"/>
        <v>42000</v>
      </c>
      <c r="AO54" s="181">
        <f t="shared" si="39"/>
        <v>46053</v>
      </c>
      <c r="AP54" s="181">
        <f t="shared" si="39"/>
        <v>49936</v>
      </c>
      <c r="AQ54" s="181">
        <f t="shared" si="39"/>
        <v>54034</v>
      </c>
    </row>
    <row r="55" spans="1:44" x14ac:dyDescent="0.25">
      <c r="A55" s="401"/>
      <c r="B55" s="812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4"/>
      <c r="U55" s="601"/>
      <c r="V55" s="608"/>
      <c r="W55" s="608"/>
      <c r="X55" s="608"/>
      <c r="Y55" s="611"/>
      <c r="Z55" s="608"/>
      <c r="AA55" s="608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5">
      <c r="A56" s="410" t="s">
        <v>1059</v>
      </c>
      <c r="B56" s="812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6729</v>
      </c>
      <c r="J56" s="181">
        <f t="shared" si="40"/>
        <v>6322</v>
      </c>
      <c r="K56" s="181">
        <f t="shared" si="40"/>
        <v>11911</v>
      </c>
      <c r="L56" s="181">
        <f t="shared" si="40"/>
        <v>6314</v>
      </c>
      <c r="M56" s="181">
        <f t="shared" si="40"/>
        <v>6047</v>
      </c>
      <c r="N56" s="181">
        <f t="shared" si="40"/>
        <v>6386</v>
      </c>
      <c r="O56" s="181">
        <f t="shared" si="40"/>
        <v>84276</v>
      </c>
      <c r="P56" s="181">
        <f t="shared" si="40"/>
        <v>40567</v>
      </c>
      <c r="Q56" s="181">
        <f>Q49-Q54</f>
        <v>43709</v>
      </c>
      <c r="R56" s="547"/>
      <c r="S56" s="168"/>
      <c r="T56" s="606" t="str">
        <f>A56</f>
        <v xml:space="preserve">NET INCOME </v>
      </c>
      <c r="U56" s="601"/>
      <c r="V56" s="609">
        <f>V49-V54</f>
        <v>18539</v>
      </c>
      <c r="W56" s="609">
        <f>W49-W54</f>
        <v>22028</v>
      </c>
      <c r="X56" s="609">
        <f>X49-X54</f>
        <v>24962</v>
      </c>
      <c r="Y56" s="609">
        <f>Y49-Y54</f>
        <v>18747</v>
      </c>
      <c r="Z56" s="609"/>
      <c r="AA56" s="609">
        <f>AA49-AA54</f>
        <v>84276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47296</v>
      </c>
      <c r="AM56" s="181">
        <f t="shared" si="41"/>
        <v>53618</v>
      </c>
      <c r="AN56" s="181">
        <f t="shared" si="41"/>
        <v>65529</v>
      </c>
      <c r="AO56" s="181">
        <f t="shared" si="41"/>
        <v>71843</v>
      </c>
      <c r="AP56" s="181">
        <f t="shared" si="41"/>
        <v>77890</v>
      </c>
      <c r="AQ56" s="181">
        <f t="shared" si="41"/>
        <v>84276</v>
      </c>
    </row>
    <row r="57" spans="1:44" x14ac:dyDescent="0.25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9"/>
      <c r="U57" s="816"/>
      <c r="V57" s="610"/>
      <c r="W57" s="610"/>
      <c r="X57" s="590"/>
      <c r="Y57" s="590"/>
      <c r="Z57" s="590"/>
      <c r="AA57" s="610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5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5"/>
      <c r="U58" s="816"/>
      <c r="V58" s="607"/>
      <c r="W58" s="607"/>
      <c r="X58" s="607"/>
      <c r="Y58" s="607"/>
      <c r="Z58" s="607"/>
      <c r="AA58" s="60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5">
      <c r="A59" s="400"/>
      <c r="AJ59" s="167"/>
    </row>
    <row r="60" spans="1:44" x14ac:dyDescent="0.25">
      <c r="A60" s="550" t="str">
        <f>A1</f>
        <v xml:space="preserve">            </v>
      </c>
      <c r="B60" s="816"/>
      <c r="C60" s="575"/>
      <c r="D60" s="575"/>
      <c r="E60" s="575"/>
      <c r="F60" s="576"/>
      <c r="G60" s="577" t="str">
        <f>G1</f>
        <v>TRANSWESTERN PIPELINE GROUP</v>
      </c>
      <c r="H60" s="577"/>
      <c r="I60" s="577"/>
      <c r="J60" s="577"/>
      <c r="K60" s="578"/>
      <c r="L60" s="578"/>
      <c r="M60" s="578"/>
      <c r="N60" s="578"/>
      <c r="O60" s="578"/>
      <c r="P60" s="579"/>
      <c r="Q60" s="575"/>
      <c r="S60" s="170"/>
      <c r="T60" s="416" t="str">
        <f>A60</f>
        <v xml:space="preserve">            </v>
      </c>
      <c r="U60" s="812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5">
      <c r="A61" s="580" t="s">
        <v>330</v>
      </c>
      <c r="B61" s="816"/>
      <c r="C61" s="575"/>
      <c r="D61" s="575"/>
      <c r="E61" s="575"/>
      <c r="F61" s="575"/>
      <c r="G61" s="577" t="str">
        <f>G2</f>
        <v>2001 ACTUAL / ESTIMATE</v>
      </c>
      <c r="H61" s="581"/>
      <c r="I61" s="581"/>
      <c r="J61" s="581"/>
      <c r="K61" s="575"/>
      <c r="L61" s="575"/>
      <c r="M61" s="575"/>
      <c r="N61" s="575"/>
      <c r="O61" s="575"/>
      <c r="P61" s="575"/>
      <c r="Q61" s="575"/>
      <c r="T61" s="574" t="s">
        <v>331</v>
      </c>
      <c r="U61" s="812"/>
      <c r="V61" s="525" t="str">
        <f>V2</f>
        <v>2001 ACTUAL / ESTIMATE</v>
      </c>
      <c r="W61" s="527"/>
      <c r="X61" s="527"/>
      <c r="Y61" s="527"/>
      <c r="Z61" s="166"/>
      <c r="AA61" s="166"/>
      <c r="AD61" s="574" t="s">
        <v>332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5">
      <c r="A62" s="582" t="str">
        <f>A3</f>
        <v>2001 CURRENT ESTIMATE</v>
      </c>
      <c r="B62" s="816"/>
      <c r="C62" s="575"/>
      <c r="D62" s="575"/>
      <c r="E62" s="575"/>
      <c r="F62" s="575"/>
      <c r="G62" s="583" t="s">
        <v>333</v>
      </c>
      <c r="H62" s="581"/>
      <c r="I62" s="581"/>
      <c r="J62" s="581"/>
      <c r="K62" s="575"/>
      <c r="L62" s="575"/>
      <c r="M62" s="575"/>
      <c r="N62" s="575"/>
      <c r="O62" s="575"/>
      <c r="P62" s="575"/>
      <c r="Q62" s="575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23"/>
      <c r="AI62" s="524" t="s">
        <v>334</v>
      </c>
      <c r="AJ62" s="526"/>
      <c r="AK62" s="526"/>
      <c r="AL62" s="526"/>
    </row>
    <row r="63" spans="1:44" x14ac:dyDescent="0.25">
      <c r="A63" s="584"/>
      <c r="B63" s="816"/>
      <c r="C63" s="575"/>
      <c r="D63" s="575"/>
      <c r="E63" s="575"/>
      <c r="F63" s="575"/>
      <c r="G63" s="577" t="str">
        <f>G4</f>
        <v>(Thousands of Dollars)</v>
      </c>
      <c r="H63" s="581"/>
      <c r="I63" s="581"/>
      <c r="J63" s="581"/>
      <c r="K63" s="575"/>
      <c r="L63" s="575"/>
      <c r="M63" s="575"/>
      <c r="N63" s="575"/>
      <c r="O63" s="575"/>
      <c r="P63" s="575"/>
      <c r="Q63" s="575"/>
      <c r="T63" s="166"/>
      <c r="V63" s="525" t="str">
        <f>V4</f>
        <v>(Thousands of Dollars)</v>
      </c>
      <c r="W63" s="526"/>
      <c r="X63" s="526"/>
      <c r="Y63" s="526"/>
      <c r="AD63" s="166"/>
      <c r="AE63" s="823"/>
      <c r="AI63" s="525" t="str">
        <f>AI4</f>
        <v>(Thousands of Dollars)</v>
      </c>
      <c r="AJ63" s="526"/>
      <c r="AK63" s="526"/>
      <c r="AL63" s="526"/>
    </row>
    <row r="64" spans="1:44" x14ac:dyDescent="0.25">
      <c r="A64" s="585" t="str">
        <f>A5</f>
        <v xml:space="preserve">      " GROUP MONTHLY "</v>
      </c>
      <c r="B64" s="810">
        <f ca="1">NOW()</f>
        <v>37109.471773379628</v>
      </c>
      <c r="C64" s="575"/>
      <c r="D64" s="575"/>
      <c r="E64" s="575"/>
      <c r="F64" s="575"/>
      <c r="G64" s="575"/>
      <c r="H64" s="575"/>
      <c r="I64" s="575"/>
      <c r="J64" s="575"/>
      <c r="K64" s="575"/>
      <c r="L64" s="575"/>
      <c r="M64" s="575"/>
      <c r="N64" s="575"/>
      <c r="O64" s="575"/>
      <c r="P64" s="575"/>
      <c r="Q64" s="575"/>
      <c r="T64" s="166" t="str">
        <f>T5</f>
        <v xml:space="preserve">         " GROUP QUARTERLY "</v>
      </c>
      <c r="U64" s="810">
        <f ca="1">NOW()</f>
        <v>37109.471773379628</v>
      </c>
      <c r="AD64" s="166" t="str">
        <f>AD5</f>
        <v xml:space="preserve">      " GROUP CUMULATIVE "</v>
      </c>
      <c r="AE64" s="810">
        <f ca="1">NOW()</f>
        <v>37109.471773379628</v>
      </c>
    </row>
    <row r="65" spans="1:43" x14ac:dyDescent="0.25">
      <c r="A65" s="575"/>
      <c r="B65" s="811">
        <f ca="1">NOW()</f>
        <v>37109.471773379628</v>
      </c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75"/>
      <c r="P65" s="575"/>
      <c r="Q65" s="575"/>
      <c r="T65" s="166"/>
      <c r="U65" s="811">
        <f ca="1">NOW()</f>
        <v>37109.471773379628</v>
      </c>
      <c r="AE65" s="811">
        <f ca="1">NOW()</f>
        <v>37109.471773379628</v>
      </c>
    </row>
    <row r="66" spans="1:43" x14ac:dyDescent="0.25">
      <c r="A66" s="586"/>
      <c r="B66" s="817"/>
      <c r="C66" s="587" t="str">
        <f t="shared" ref="C66:Q66" si="42">C6</f>
        <v>ACT.</v>
      </c>
      <c r="D66" s="587" t="str">
        <f t="shared" si="42"/>
        <v>ACT.</v>
      </c>
      <c r="E66" s="587" t="str">
        <f t="shared" si="42"/>
        <v>ACT.</v>
      </c>
      <c r="F66" s="587" t="str">
        <f t="shared" si="42"/>
        <v>ACT.</v>
      </c>
      <c r="G66" s="587" t="str">
        <f t="shared" si="42"/>
        <v>ACT.</v>
      </c>
      <c r="H66" s="587" t="str">
        <f t="shared" si="42"/>
        <v>ACT.</v>
      </c>
      <c r="I66" s="587" t="str">
        <f t="shared" si="42"/>
        <v>FLASH</v>
      </c>
      <c r="J66" s="587">
        <f t="shared" si="42"/>
        <v>0</v>
      </c>
      <c r="K66" s="587">
        <f t="shared" si="42"/>
        <v>0</v>
      </c>
      <c r="L66" s="587">
        <f t="shared" si="42"/>
        <v>0</v>
      </c>
      <c r="M66" s="587">
        <f t="shared" si="42"/>
        <v>0</v>
      </c>
      <c r="N66" s="587">
        <f t="shared" si="42"/>
        <v>0</v>
      </c>
      <c r="O66" s="587" t="str">
        <f t="shared" si="42"/>
        <v>TOTAL</v>
      </c>
      <c r="P66" s="587" t="str">
        <f t="shared" si="42"/>
        <v>JUNE</v>
      </c>
      <c r="Q66" s="587" t="str">
        <f t="shared" si="42"/>
        <v>ESTIMATE</v>
      </c>
      <c r="R66" s="166"/>
      <c r="S66" s="170"/>
      <c r="U66" s="768"/>
      <c r="V66" s="172" t="str">
        <f t="shared" ref="V66:Y67" si="43">V6</f>
        <v>1st</v>
      </c>
      <c r="W66" s="172" t="str">
        <f t="shared" si="43"/>
        <v>2nd</v>
      </c>
      <c r="X66" s="172" t="str">
        <f t="shared" si="43"/>
        <v>3rd</v>
      </c>
      <c r="Y66" s="172" t="str">
        <f t="shared" si="43"/>
        <v>4th</v>
      </c>
      <c r="Z66" s="166"/>
      <c r="AA66" s="172" t="str">
        <f>AA6</f>
        <v>TOTAL</v>
      </c>
      <c r="AB66" s="170"/>
      <c r="AC66" s="170"/>
      <c r="AD66"/>
      <c r="AE66" s="768"/>
      <c r="AF66" s="171" t="str">
        <f t="shared" ref="AF66:AQ67" si="44">C6</f>
        <v>ACT.</v>
      </c>
      <c r="AG66" s="171" t="str">
        <f t="shared" si="44"/>
        <v>ACT.</v>
      </c>
      <c r="AH66" s="171" t="str">
        <f t="shared" si="44"/>
        <v>ACT.</v>
      </c>
      <c r="AI66" s="171" t="str">
        <f t="shared" si="44"/>
        <v>ACT.</v>
      </c>
      <c r="AJ66" s="171" t="str">
        <f t="shared" si="44"/>
        <v>ACT.</v>
      </c>
      <c r="AK66" s="171" t="str">
        <f t="shared" si="44"/>
        <v>ACT.</v>
      </c>
      <c r="AL66" s="171" t="str">
        <f t="shared" si="44"/>
        <v>FLASH</v>
      </c>
      <c r="AM66" s="171">
        <f t="shared" si="44"/>
        <v>0</v>
      </c>
      <c r="AN66" s="171">
        <f t="shared" si="44"/>
        <v>0</v>
      </c>
      <c r="AO66" s="171">
        <f t="shared" si="44"/>
        <v>0</v>
      </c>
      <c r="AP66" s="171">
        <f t="shared" si="44"/>
        <v>0</v>
      </c>
      <c r="AQ66" s="171">
        <f t="shared" si="44"/>
        <v>0</v>
      </c>
    </row>
    <row r="67" spans="1:43" x14ac:dyDescent="0.25">
      <c r="A67" s="586"/>
      <c r="B67" s="817"/>
      <c r="C67" s="588" t="str">
        <f t="shared" ref="C67:Q67" si="45">C7</f>
        <v>JAN</v>
      </c>
      <c r="D67" s="588" t="str">
        <f t="shared" si="45"/>
        <v>FEB</v>
      </c>
      <c r="E67" s="588" t="str">
        <f t="shared" si="45"/>
        <v>MAR</v>
      </c>
      <c r="F67" s="588" t="str">
        <f t="shared" si="45"/>
        <v>APR</v>
      </c>
      <c r="G67" s="588" t="str">
        <f t="shared" si="45"/>
        <v>MAY</v>
      </c>
      <c r="H67" s="588" t="str">
        <f t="shared" si="45"/>
        <v>JUN</v>
      </c>
      <c r="I67" s="588" t="str">
        <f t="shared" si="45"/>
        <v>JUL</v>
      </c>
      <c r="J67" s="588" t="str">
        <f t="shared" si="45"/>
        <v>AUG</v>
      </c>
      <c r="K67" s="588" t="str">
        <f t="shared" si="45"/>
        <v>SEP</v>
      </c>
      <c r="L67" s="588" t="str">
        <f t="shared" si="45"/>
        <v>OCT</v>
      </c>
      <c r="M67" s="588" t="str">
        <f t="shared" si="45"/>
        <v>NOV</v>
      </c>
      <c r="N67" s="588" t="str">
        <f t="shared" si="45"/>
        <v>DEC</v>
      </c>
      <c r="O67" s="588">
        <f t="shared" si="45"/>
        <v>2001</v>
      </c>
      <c r="P67" s="588" t="str">
        <f t="shared" si="45"/>
        <v>Y-T-D</v>
      </c>
      <c r="Q67" s="588" t="str">
        <f t="shared" si="45"/>
        <v>R.M.</v>
      </c>
      <c r="R67" s="190"/>
      <c r="S67" s="186"/>
      <c r="U67" s="768"/>
      <c r="V67" s="192" t="str">
        <f t="shared" si="43"/>
        <v>Quarter</v>
      </c>
      <c r="W67" s="192" t="str">
        <f t="shared" si="43"/>
        <v>Quarter</v>
      </c>
      <c r="X67" s="192" t="str">
        <f t="shared" si="43"/>
        <v>Quarter</v>
      </c>
      <c r="Y67" s="192" t="str">
        <f t="shared" si="43"/>
        <v>Quarter</v>
      </c>
      <c r="Z67" s="174"/>
      <c r="AA67" s="192">
        <f>AA7</f>
        <v>2001</v>
      </c>
      <c r="AB67" s="186"/>
      <c r="AC67" s="186"/>
      <c r="AD67"/>
      <c r="AE67" s="768"/>
      <c r="AF67" s="173" t="str">
        <f t="shared" si="44"/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" customHeight="1" x14ac:dyDescent="0.25">
      <c r="A68" s="575"/>
      <c r="B68" s="816"/>
      <c r="C68" s="584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AD68" s="170"/>
    </row>
    <row r="69" spans="1:43" x14ac:dyDescent="0.25">
      <c r="A69" s="589" t="s">
        <v>335</v>
      </c>
      <c r="B69" s="601"/>
      <c r="C69" s="590">
        <f t="shared" ref="C69:N69" si="46">C49</f>
        <v>10927</v>
      </c>
      <c r="D69" s="590">
        <f t="shared" si="46"/>
        <v>14002</v>
      </c>
      <c r="E69" s="590">
        <f t="shared" si="46"/>
        <v>5501</v>
      </c>
      <c r="F69" s="590">
        <f t="shared" si="46"/>
        <v>13377</v>
      </c>
      <c r="G69" s="590">
        <f t="shared" si="46"/>
        <v>12436</v>
      </c>
      <c r="H69" s="590">
        <f t="shared" si="46"/>
        <v>10339</v>
      </c>
      <c r="I69" s="590">
        <f t="shared" si="46"/>
        <v>11045</v>
      </c>
      <c r="J69" s="590">
        <f t="shared" si="46"/>
        <v>10379</v>
      </c>
      <c r="K69" s="590">
        <f t="shared" si="46"/>
        <v>19523</v>
      </c>
      <c r="L69" s="590">
        <f t="shared" si="46"/>
        <v>10367</v>
      </c>
      <c r="M69" s="590">
        <f t="shared" si="46"/>
        <v>9930</v>
      </c>
      <c r="N69" s="590">
        <f t="shared" si="46"/>
        <v>10484</v>
      </c>
      <c r="O69" s="590">
        <f>SUM(C69:N69)</f>
        <v>138310</v>
      </c>
      <c r="P69" s="178">
        <f>SUM(C69:H69)</f>
        <v>66582</v>
      </c>
      <c r="Q69" s="590">
        <f>O69-P69</f>
        <v>71728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40947</v>
      </c>
      <c r="Y69" s="177">
        <f>L69+M69+N69</f>
        <v>30781</v>
      </c>
      <c r="Z69" s="177"/>
      <c r="AA69" s="177">
        <f>SUM(V69:Y69)</f>
        <v>138310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7">D69+AF69</f>
        <v>24929</v>
      </c>
      <c r="AH69" s="177">
        <f t="shared" si="47"/>
        <v>30430</v>
      </c>
      <c r="AI69" s="177">
        <f t="shared" si="47"/>
        <v>43807</v>
      </c>
      <c r="AJ69" s="177">
        <f t="shared" si="47"/>
        <v>56243</v>
      </c>
      <c r="AK69" s="177">
        <f t="shared" si="47"/>
        <v>66582</v>
      </c>
      <c r="AL69" s="177">
        <f t="shared" si="47"/>
        <v>77627</v>
      </c>
      <c r="AM69" s="177">
        <f t="shared" si="47"/>
        <v>88006</v>
      </c>
      <c r="AN69" s="177">
        <f t="shared" si="47"/>
        <v>107529</v>
      </c>
      <c r="AO69" s="177">
        <f t="shared" si="47"/>
        <v>117896</v>
      </c>
      <c r="AP69" s="177">
        <f t="shared" si="47"/>
        <v>127826</v>
      </c>
      <c r="AQ69" s="177">
        <f t="shared" si="47"/>
        <v>138310</v>
      </c>
    </row>
    <row r="70" spans="1:43" x14ac:dyDescent="0.25">
      <c r="A70" s="591" t="s">
        <v>336</v>
      </c>
      <c r="B70" s="816"/>
      <c r="C70" s="592">
        <f t="shared" ref="C70:O70" si="48">C94</f>
        <v>2</v>
      </c>
      <c r="D70" s="592">
        <f t="shared" si="48"/>
        <v>-1</v>
      </c>
      <c r="E70" s="592">
        <f t="shared" si="48"/>
        <v>6</v>
      </c>
      <c r="F70" s="592">
        <f t="shared" si="48"/>
        <v>6</v>
      </c>
      <c r="G70" s="592">
        <f t="shared" si="48"/>
        <v>7</v>
      </c>
      <c r="H70" s="592">
        <f t="shared" si="48"/>
        <v>10</v>
      </c>
      <c r="I70" s="592">
        <f t="shared" si="48"/>
        <v>8</v>
      </c>
      <c r="J70" s="592">
        <f t="shared" si="48"/>
        <v>8</v>
      </c>
      <c r="K70" s="592">
        <f t="shared" si="48"/>
        <v>8</v>
      </c>
      <c r="L70" s="592">
        <f t="shared" si="48"/>
        <v>8</v>
      </c>
      <c r="M70" s="592">
        <f t="shared" si="48"/>
        <v>8</v>
      </c>
      <c r="N70" s="592">
        <f t="shared" si="48"/>
        <v>8</v>
      </c>
      <c r="O70" s="592">
        <f t="shared" si="48"/>
        <v>78</v>
      </c>
      <c r="P70" s="263">
        <f>SUM(C70:H70)</f>
        <v>30</v>
      </c>
      <c r="Q70" s="592">
        <f>O70-P70</f>
        <v>48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24</v>
      </c>
      <c r="Y70" s="180">
        <f>L70+M70+N70</f>
        <v>24</v>
      </c>
      <c r="Z70" s="180"/>
      <c r="AA70" s="180">
        <f>SUM(V70:Y70)</f>
        <v>78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7"/>
        <v>1</v>
      </c>
      <c r="AH70" s="180">
        <f t="shared" si="47"/>
        <v>7</v>
      </c>
      <c r="AI70" s="180">
        <f t="shared" si="47"/>
        <v>13</v>
      </c>
      <c r="AJ70" s="180">
        <f t="shared" si="47"/>
        <v>20</v>
      </c>
      <c r="AK70" s="180">
        <f t="shared" si="47"/>
        <v>30</v>
      </c>
      <c r="AL70" s="180">
        <f t="shared" si="47"/>
        <v>38</v>
      </c>
      <c r="AM70" s="180">
        <f t="shared" si="47"/>
        <v>46</v>
      </c>
      <c r="AN70" s="180">
        <f t="shared" si="47"/>
        <v>54</v>
      </c>
      <c r="AO70" s="180">
        <f t="shared" si="47"/>
        <v>62</v>
      </c>
      <c r="AP70" s="180">
        <f t="shared" si="47"/>
        <v>70</v>
      </c>
      <c r="AQ70" s="180">
        <f t="shared" si="47"/>
        <v>78</v>
      </c>
    </row>
    <row r="71" spans="1:43" ht="3.9" customHeight="1" x14ac:dyDescent="0.25">
      <c r="A71" s="579"/>
      <c r="B71" s="816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2"/>
      <c r="P71" s="572"/>
      <c r="Q71" s="590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5">
      <c r="A72" s="589" t="s">
        <v>337</v>
      </c>
      <c r="B72" s="601"/>
      <c r="C72" s="590">
        <f t="shared" ref="C72:O72" si="49">ROUND(+C69+C70,0)</f>
        <v>10929</v>
      </c>
      <c r="D72" s="590">
        <f t="shared" si="49"/>
        <v>14001</v>
      </c>
      <c r="E72" s="590">
        <f t="shared" si="49"/>
        <v>5507</v>
      </c>
      <c r="F72" s="590">
        <f t="shared" si="49"/>
        <v>13383</v>
      </c>
      <c r="G72" s="590">
        <f t="shared" si="49"/>
        <v>12443</v>
      </c>
      <c r="H72" s="590">
        <f t="shared" si="49"/>
        <v>10349</v>
      </c>
      <c r="I72" s="590">
        <f t="shared" si="49"/>
        <v>11053</v>
      </c>
      <c r="J72" s="590">
        <f t="shared" si="49"/>
        <v>10387</v>
      </c>
      <c r="K72" s="590">
        <f t="shared" si="49"/>
        <v>19531</v>
      </c>
      <c r="L72" s="590">
        <f t="shared" si="49"/>
        <v>10375</v>
      </c>
      <c r="M72" s="590">
        <f t="shared" si="49"/>
        <v>9938</v>
      </c>
      <c r="N72" s="590">
        <f t="shared" si="49"/>
        <v>10492</v>
      </c>
      <c r="O72" s="590">
        <f t="shared" si="49"/>
        <v>138388</v>
      </c>
      <c r="P72" s="590">
        <f>P69+P70</f>
        <v>66612</v>
      </c>
      <c r="Q72" s="590">
        <f>Q69+Q70</f>
        <v>71776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40971</v>
      </c>
      <c r="Y72" s="177">
        <f>L72+M72+N72</f>
        <v>30805</v>
      </c>
      <c r="Z72" s="177"/>
      <c r="AA72" s="177">
        <f>SUM(V72:Y72)</f>
        <v>138388</v>
      </c>
      <c r="AD72" s="175" t="str">
        <f>A72</f>
        <v>Taxable Income</v>
      </c>
      <c r="AF72" s="177">
        <f>C72</f>
        <v>10929</v>
      </c>
      <c r="AG72" s="177">
        <f t="shared" ref="AG72:AQ72" si="50">D72+AF72</f>
        <v>24930</v>
      </c>
      <c r="AH72" s="177">
        <f t="shared" si="50"/>
        <v>30437</v>
      </c>
      <c r="AI72" s="177">
        <f t="shared" si="50"/>
        <v>43820</v>
      </c>
      <c r="AJ72" s="177">
        <f t="shared" si="50"/>
        <v>56263</v>
      </c>
      <c r="AK72" s="177">
        <f t="shared" si="50"/>
        <v>66612</v>
      </c>
      <c r="AL72" s="177">
        <f t="shared" si="50"/>
        <v>77665</v>
      </c>
      <c r="AM72" s="177">
        <f t="shared" si="50"/>
        <v>88052</v>
      </c>
      <c r="AN72" s="177">
        <f t="shared" si="50"/>
        <v>107583</v>
      </c>
      <c r="AO72" s="177">
        <f t="shared" si="50"/>
        <v>117958</v>
      </c>
      <c r="AP72" s="177">
        <f t="shared" si="50"/>
        <v>127896</v>
      </c>
      <c r="AQ72" s="177">
        <f t="shared" si="50"/>
        <v>138388</v>
      </c>
    </row>
    <row r="73" spans="1:43" x14ac:dyDescent="0.25">
      <c r="A73" s="593" t="s">
        <v>338</v>
      </c>
      <c r="B73" s="816"/>
      <c r="C73" s="660">
        <v>0.38879000000000002</v>
      </c>
      <c r="D73" s="660">
        <v>0.38879000000000002</v>
      </c>
      <c r="E73" s="660">
        <v>0.38879000000000002</v>
      </c>
      <c r="F73" s="660">
        <v>0.38879000000000002</v>
      </c>
      <c r="G73" s="660">
        <v>0.38879000000000002</v>
      </c>
      <c r="H73" s="660">
        <v>0.38879000000000002</v>
      </c>
      <c r="I73" s="660">
        <v>0.38879000000000002</v>
      </c>
      <c r="J73" s="660">
        <v>0.38879000000000002</v>
      </c>
      <c r="K73" s="660">
        <v>0.38879000000000002</v>
      </c>
      <c r="L73" s="660">
        <v>0.38879000000000002</v>
      </c>
      <c r="M73" s="660">
        <v>0.38879000000000002</v>
      </c>
      <c r="N73" s="660">
        <v>0.38879000000000002</v>
      </c>
      <c r="O73" s="594">
        <f>ROUND(O75/O72,5)</f>
        <v>0.38878000000000001</v>
      </c>
      <c r="P73" s="594">
        <f>ROUND(P75/P72,5)</f>
        <v>0.38879000000000002</v>
      </c>
      <c r="Q73" s="594">
        <f>ROUND(Q75/Q72,5)</f>
        <v>0.38878000000000001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0.38875999999999999</v>
      </c>
      <c r="Y73" s="194">
        <f>ROUND(Y75/Y72,5)</f>
        <v>0.38879999999999998</v>
      </c>
      <c r="Z73" s="193"/>
      <c r="AA73" s="194">
        <f>ROUND(AA75/AA72,5)</f>
        <v>0.38878000000000001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1">D73</f>
        <v>0.38879000000000002</v>
      </c>
      <c r="AH73" s="194">
        <f t="shared" si="51"/>
        <v>0.38879000000000002</v>
      </c>
      <c r="AI73" s="194">
        <f t="shared" si="51"/>
        <v>0.38879000000000002</v>
      </c>
      <c r="AJ73" s="194">
        <f t="shared" si="51"/>
        <v>0.38879000000000002</v>
      </c>
      <c r="AK73" s="194">
        <f t="shared" si="51"/>
        <v>0.38879000000000002</v>
      </c>
      <c r="AL73" s="194">
        <f t="shared" si="51"/>
        <v>0.38879000000000002</v>
      </c>
      <c r="AM73" s="194">
        <f t="shared" si="51"/>
        <v>0.38879000000000002</v>
      </c>
      <c r="AN73" s="194">
        <f t="shared" si="51"/>
        <v>0.38879000000000002</v>
      </c>
      <c r="AO73" s="194">
        <f t="shared" si="51"/>
        <v>0.38879000000000002</v>
      </c>
      <c r="AP73" s="194">
        <f t="shared" si="51"/>
        <v>0.38879000000000002</v>
      </c>
      <c r="AQ73" s="194">
        <f t="shared" si="51"/>
        <v>0.38879000000000002</v>
      </c>
    </row>
    <row r="74" spans="1:43" ht="3.9" customHeight="1" x14ac:dyDescent="0.25">
      <c r="A74" s="575"/>
      <c r="B74" s="816"/>
      <c r="C74" s="595"/>
      <c r="D74" s="595"/>
      <c r="E74" s="595"/>
      <c r="F74" s="595"/>
      <c r="G74" s="595"/>
      <c r="H74" s="595"/>
      <c r="I74" s="595"/>
      <c r="J74" s="595"/>
      <c r="K74" s="595"/>
      <c r="L74" s="595"/>
      <c r="M74" s="595"/>
      <c r="N74" s="595"/>
      <c r="O74" s="595"/>
      <c r="P74" s="575"/>
      <c r="Q74" s="575"/>
    </row>
    <row r="75" spans="1:43" x14ac:dyDescent="0.25">
      <c r="A75" s="585" t="s">
        <v>339</v>
      </c>
      <c r="B75" s="601"/>
      <c r="C75" s="592">
        <f t="shared" ref="C75:N75" si="52">ROUND(C72*C73,0)</f>
        <v>4249</v>
      </c>
      <c r="D75" s="592">
        <f t="shared" si="52"/>
        <v>5443</v>
      </c>
      <c r="E75" s="592">
        <f t="shared" si="52"/>
        <v>2141</v>
      </c>
      <c r="F75" s="592">
        <f t="shared" si="52"/>
        <v>5203</v>
      </c>
      <c r="G75" s="592">
        <f t="shared" si="52"/>
        <v>4838</v>
      </c>
      <c r="H75" s="592">
        <f t="shared" si="52"/>
        <v>4024</v>
      </c>
      <c r="I75" s="592">
        <f t="shared" si="52"/>
        <v>4297</v>
      </c>
      <c r="J75" s="592">
        <f t="shared" si="52"/>
        <v>4038</v>
      </c>
      <c r="K75" s="592">
        <f t="shared" si="52"/>
        <v>7593</v>
      </c>
      <c r="L75" s="592">
        <f t="shared" si="52"/>
        <v>4034</v>
      </c>
      <c r="M75" s="592">
        <f t="shared" si="52"/>
        <v>3864</v>
      </c>
      <c r="N75" s="592">
        <f t="shared" si="52"/>
        <v>4079</v>
      </c>
      <c r="O75" s="592">
        <f>SUM(C75:N75)</f>
        <v>53803</v>
      </c>
      <c r="P75" s="263">
        <f>SUM(C75:H75)</f>
        <v>25898</v>
      </c>
      <c r="Q75" s="592">
        <f>O75-P75</f>
        <v>27905</v>
      </c>
      <c r="R75" s="166"/>
      <c r="S75" s="168"/>
      <c r="T75" s="175" t="str">
        <f>A75</f>
        <v>Base Tax Expense</v>
      </c>
      <c r="U75" s="812"/>
      <c r="V75" s="180">
        <f>C75+D75+E75</f>
        <v>11833</v>
      </c>
      <c r="W75" s="180">
        <f>F75+G75+H75</f>
        <v>14065</v>
      </c>
      <c r="X75" s="180">
        <f>I75+J75+K75</f>
        <v>15928</v>
      </c>
      <c r="Y75" s="180">
        <f>L75+M75+N75</f>
        <v>11977</v>
      </c>
      <c r="Z75" s="180"/>
      <c r="AA75" s="180">
        <f>SUM(V75:Y75)</f>
        <v>53803</v>
      </c>
      <c r="AD75" s="175" t="str">
        <f>A75</f>
        <v>Base Tax Expense</v>
      </c>
      <c r="AF75" s="180">
        <f>C75</f>
        <v>4249</v>
      </c>
      <c r="AG75" s="180">
        <f t="shared" ref="AG75:AQ75" si="53">D75+AF75</f>
        <v>9692</v>
      </c>
      <c r="AH75" s="180">
        <f t="shared" si="53"/>
        <v>11833</v>
      </c>
      <c r="AI75" s="180">
        <f t="shared" si="53"/>
        <v>17036</v>
      </c>
      <c r="AJ75" s="180">
        <f t="shared" si="53"/>
        <v>21874</v>
      </c>
      <c r="AK75" s="180">
        <f t="shared" si="53"/>
        <v>25898</v>
      </c>
      <c r="AL75" s="180">
        <f t="shared" si="53"/>
        <v>30195</v>
      </c>
      <c r="AM75" s="180">
        <f t="shared" si="53"/>
        <v>34233</v>
      </c>
      <c r="AN75" s="180">
        <f t="shared" si="53"/>
        <v>41826</v>
      </c>
      <c r="AO75" s="180">
        <f t="shared" si="53"/>
        <v>45860</v>
      </c>
      <c r="AP75" s="180">
        <f t="shared" si="53"/>
        <v>49724</v>
      </c>
      <c r="AQ75" s="180">
        <f t="shared" si="53"/>
        <v>53803</v>
      </c>
    </row>
    <row r="76" spans="1:43" x14ac:dyDescent="0.25">
      <c r="A76" s="575"/>
      <c r="B76" s="816"/>
      <c r="C76" s="579"/>
      <c r="D76" s="579"/>
      <c r="E76" s="579"/>
      <c r="F76" s="579"/>
      <c r="G76" s="579"/>
      <c r="H76" s="579"/>
      <c r="I76" s="579"/>
      <c r="J76" s="579"/>
      <c r="K76" s="579"/>
      <c r="L76" s="579"/>
      <c r="M76" s="579"/>
      <c r="N76" s="579"/>
      <c r="O76" s="579"/>
      <c r="P76" s="575"/>
      <c r="Q76" s="575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5">
      <c r="A77" s="585" t="s">
        <v>340</v>
      </c>
      <c r="B77" s="816"/>
      <c r="C77" s="579"/>
      <c r="D77" s="579"/>
      <c r="E77" s="579"/>
      <c r="F77" s="579"/>
      <c r="G77" s="579"/>
      <c r="H77" s="579"/>
      <c r="I77" s="579"/>
      <c r="J77" s="579"/>
      <c r="K77" s="579"/>
      <c r="L77" s="579"/>
      <c r="M77" s="579"/>
      <c r="N77" s="579"/>
      <c r="O77" s="579"/>
      <c r="P77" s="575"/>
      <c r="Q77" s="575"/>
      <c r="S77" s="170"/>
      <c r="T77" s="175" t="str">
        <f t="shared" ref="T77:T82" si="54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5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5">
      <c r="A78" s="413" t="s">
        <v>341</v>
      </c>
      <c r="B78" s="816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90">
        <f>SUM(C78:N78)</f>
        <v>3</v>
      </c>
      <c r="P78" s="178">
        <f>SUM(C78:H78)</f>
        <v>3</v>
      </c>
      <c r="Q78" s="590">
        <f>O78-P78</f>
        <v>0</v>
      </c>
      <c r="S78" s="170"/>
      <c r="T78" s="179" t="str">
        <f t="shared" si="54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5"/>
        <v xml:space="preserve">    Other</v>
      </c>
      <c r="AF78" s="177">
        <f>C78</f>
        <v>1</v>
      </c>
      <c r="AG78" s="177">
        <f t="shared" ref="AG78:AQ82" si="56">D78+AF78</f>
        <v>1</v>
      </c>
      <c r="AH78" s="177">
        <f t="shared" si="56"/>
        <v>1</v>
      </c>
      <c r="AI78" s="177">
        <f t="shared" si="56"/>
        <v>2</v>
      </c>
      <c r="AJ78" s="177">
        <f t="shared" si="56"/>
        <v>3</v>
      </c>
      <c r="AK78" s="177">
        <f t="shared" si="56"/>
        <v>3</v>
      </c>
      <c r="AL78" s="177">
        <f t="shared" si="56"/>
        <v>3</v>
      </c>
      <c r="AM78" s="177">
        <f t="shared" si="56"/>
        <v>3</v>
      </c>
      <c r="AN78" s="177">
        <f t="shared" si="56"/>
        <v>3</v>
      </c>
      <c r="AO78" s="177">
        <f t="shared" si="56"/>
        <v>3</v>
      </c>
      <c r="AP78" s="177">
        <f t="shared" si="56"/>
        <v>3</v>
      </c>
      <c r="AQ78" s="177">
        <f t="shared" si="56"/>
        <v>3</v>
      </c>
    </row>
    <row r="79" spans="1:43" x14ac:dyDescent="0.25">
      <c r="A79" s="185" t="s">
        <v>342</v>
      </c>
      <c r="B79" s="816"/>
      <c r="C79" s="590">
        <f t="shared" ref="C79:N79" si="57">ROUND((+C32*C73),0)</f>
        <v>0</v>
      </c>
      <c r="D79" s="590">
        <f t="shared" si="57"/>
        <v>0</v>
      </c>
      <c r="E79" s="590">
        <f t="shared" si="57"/>
        <v>0</v>
      </c>
      <c r="F79" s="590">
        <f t="shared" si="57"/>
        <v>0</v>
      </c>
      <c r="G79" s="590">
        <f t="shared" si="57"/>
        <v>0</v>
      </c>
      <c r="H79" s="590">
        <f t="shared" si="57"/>
        <v>0</v>
      </c>
      <c r="I79" s="590">
        <f t="shared" si="57"/>
        <v>0</v>
      </c>
      <c r="J79" s="590">
        <f t="shared" si="57"/>
        <v>0</v>
      </c>
      <c r="K79" s="590">
        <f t="shared" si="57"/>
        <v>0</v>
      </c>
      <c r="L79" s="590">
        <f t="shared" si="57"/>
        <v>0</v>
      </c>
      <c r="M79" s="590">
        <f t="shared" si="57"/>
        <v>0</v>
      </c>
      <c r="N79" s="590">
        <f t="shared" si="57"/>
        <v>0</v>
      </c>
      <c r="O79" s="590">
        <f>SUM(C79:N79)</f>
        <v>0</v>
      </c>
      <c r="P79" s="178">
        <f>SUM(C79:H79)</f>
        <v>0</v>
      </c>
      <c r="Q79" s="590">
        <f>O79-P79</f>
        <v>0</v>
      </c>
      <c r="S79" s="170"/>
      <c r="T79" s="179" t="str">
        <f t="shared" si="54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5"/>
        <v xml:space="preserve">    Sub's Taxes</v>
      </c>
      <c r="AF79" s="177">
        <f>C79</f>
        <v>0</v>
      </c>
      <c r="AG79" s="177">
        <f t="shared" si="56"/>
        <v>0</v>
      </c>
      <c r="AH79" s="177">
        <f t="shared" si="56"/>
        <v>0</v>
      </c>
      <c r="AI79" s="177">
        <f t="shared" si="56"/>
        <v>0</v>
      </c>
      <c r="AJ79" s="177">
        <f t="shared" si="56"/>
        <v>0</v>
      </c>
      <c r="AK79" s="177">
        <f t="shared" si="56"/>
        <v>0</v>
      </c>
      <c r="AL79" s="177">
        <f t="shared" si="56"/>
        <v>0</v>
      </c>
      <c r="AM79" s="177">
        <f t="shared" si="56"/>
        <v>0</v>
      </c>
      <c r="AN79" s="177">
        <f t="shared" si="56"/>
        <v>0</v>
      </c>
      <c r="AO79" s="177">
        <f t="shared" si="56"/>
        <v>0</v>
      </c>
      <c r="AP79" s="177">
        <f t="shared" si="56"/>
        <v>0</v>
      </c>
      <c r="AQ79" s="177">
        <f t="shared" si="56"/>
        <v>0</v>
      </c>
    </row>
    <row r="80" spans="1:43" x14ac:dyDescent="0.25">
      <c r="A80" s="413" t="s">
        <v>343</v>
      </c>
      <c r="B80" s="816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90">
        <f>SUM(C80:N80)</f>
        <v>228</v>
      </c>
      <c r="P80" s="178">
        <f>SUM(C80:H80)</f>
        <v>114</v>
      </c>
      <c r="Q80" s="590">
        <f>O80-P80</f>
        <v>114</v>
      </c>
      <c r="S80" s="170"/>
      <c r="T80" s="179" t="str">
        <f t="shared" si="54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5"/>
        <v xml:space="preserve">    Co. 92 FVA Composite Tax Rate Adjust. (35% vs. 38.88%)</v>
      </c>
      <c r="AF80" s="177">
        <f>C80</f>
        <v>19</v>
      </c>
      <c r="AG80" s="177">
        <f t="shared" si="56"/>
        <v>38</v>
      </c>
      <c r="AH80" s="177">
        <f t="shared" si="56"/>
        <v>57</v>
      </c>
      <c r="AI80" s="177">
        <f t="shared" si="56"/>
        <v>76</v>
      </c>
      <c r="AJ80" s="177">
        <f t="shared" si="56"/>
        <v>95</v>
      </c>
      <c r="AK80" s="177">
        <f t="shared" si="56"/>
        <v>114</v>
      </c>
      <c r="AL80" s="177">
        <f t="shared" si="56"/>
        <v>133</v>
      </c>
      <c r="AM80" s="177">
        <f t="shared" si="56"/>
        <v>152</v>
      </c>
      <c r="AN80" s="177">
        <f t="shared" si="56"/>
        <v>171</v>
      </c>
      <c r="AO80" s="177">
        <f t="shared" si="56"/>
        <v>190</v>
      </c>
      <c r="AP80" s="177">
        <f t="shared" si="56"/>
        <v>209</v>
      </c>
      <c r="AQ80" s="177">
        <f t="shared" si="56"/>
        <v>228</v>
      </c>
    </row>
    <row r="81" spans="1:43" x14ac:dyDescent="0.25">
      <c r="A81" s="413" t="s">
        <v>344</v>
      </c>
      <c r="B81" s="816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90">
        <f>SUM(C81:N81)</f>
        <v>0</v>
      </c>
      <c r="P81" s="178">
        <f>SUM(C81:H81)</f>
        <v>0</v>
      </c>
      <c r="Q81" s="590">
        <f>O81-P81</f>
        <v>0</v>
      </c>
      <c r="S81" s="170"/>
      <c r="T81" s="179" t="str">
        <f t="shared" si="54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5"/>
        <v xml:space="preserve">    State Income Tax / Excess Def. Tax Reversal</v>
      </c>
      <c r="AF81" s="177">
        <f>C81</f>
        <v>0</v>
      </c>
      <c r="AG81" s="177">
        <f t="shared" si="56"/>
        <v>0</v>
      </c>
      <c r="AH81" s="177">
        <f t="shared" si="56"/>
        <v>0</v>
      </c>
      <c r="AI81" s="177">
        <f t="shared" si="56"/>
        <v>0</v>
      </c>
      <c r="AJ81" s="177">
        <f t="shared" si="56"/>
        <v>0</v>
      </c>
      <c r="AK81" s="177">
        <f t="shared" si="56"/>
        <v>0</v>
      </c>
      <c r="AL81" s="177">
        <f t="shared" si="56"/>
        <v>0</v>
      </c>
      <c r="AM81" s="177">
        <f t="shared" si="56"/>
        <v>0</v>
      </c>
      <c r="AN81" s="177">
        <f t="shared" si="56"/>
        <v>0</v>
      </c>
      <c r="AO81" s="177">
        <f t="shared" si="56"/>
        <v>0</v>
      </c>
      <c r="AP81" s="177">
        <f t="shared" si="56"/>
        <v>0</v>
      </c>
      <c r="AQ81" s="177">
        <f t="shared" si="56"/>
        <v>0</v>
      </c>
    </row>
    <row r="82" spans="1:43" x14ac:dyDescent="0.25">
      <c r="A82" s="185" t="s">
        <v>345</v>
      </c>
      <c r="B82" s="816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2">
        <f>SUM(C82:N82)</f>
        <v>0</v>
      </c>
      <c r="P82" s="263">
        <f>SUM(C82:H82)</f>
        <v>0</v>
      </c>
      <c r="Q82" s="592">
        <f>O82-P82</f>
        <v>0</v>
      </c>
      <c r="R82" s="189"/>
      <c r="S82" s="186"/>
      <c r="T82" s="179" t="str">
        <f t="shared" si="54"/>
        <v xml:space="preserve">    Admin. Services / Rounding</v>
      </c>
      <c r="U82" s="821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5"/>
        <v xml:space="preserve">    Admin. Services / Rounding</v>
      </c>
      <c r="AF82" s="180">
        <f>C82</f>
        <v>0</v>
      </c>
      <c r="AG82" s="180">
        <f t="shared" si="56"/>
        <v>0</v>
      </c>
      <c r="AH82" s="180">
        <f t="shared" si="56"/>
        <v>0</v>
      </c>
      <c r="AI82" s="180">
        <f t="shared" si="56"/>
        <v>0</v>
      </c>
      <c r="AJ82" s="180">
        <f t="shared" si="56"/>
        <v>0</v>
      </c>
      <c r="AK82" s="180">
        <f t="shared" si="56"/>
        <v>0</v>
      </c>
      <c r="AL82" s="180">
        <f t="shared" si="56"/>
        <v>0</v>
      </c>
      <c r="AM82" s="180">
        <f t="shared" si="56"/>
        <v>0</v>
      </c>
      <c r="AN82" s="180">
        <f t="shared" si="56"/>
        <v>0</v>
      </c>
      <c r="AO82" s="180">
        <f t="shared" si="56"/>
        <v>0</v>
      </c>
      <c r="AP82" s="180">
        <f t="shared" si="56"/>
        <v>0</v>
      </c>
      <c r="AQ82" s="180">
        <f t="shared" si="56"/>
        <v>0</v>
      </c>
    </row>
    <row r="83" spans="1:43" ht="3.9" customHeight="1" x14ac:dyDescent="0.25">
      <c r="A83" s="575"/>
      <c r="B83" s="816"/>
      <c r="C83" s="572"/>
      <c r="D83" s="572"/>
      <c r="E83" s="572"/>
      <c r="F83" s="572"/>
      <c r="G83" s="572"/>
      <c r="H83" s="572"/>
      <c r="I83" s="572"/>
      <c r="J83" s="572"/>
      <c r="K83" s="572"/>
      <c r="L83" s="572"/>
      <c r="M83" s="572"/>
      <c r="N83" s="572"/>
      <c r="O83" s="572"/>
      <c r="P83" s="590"/>
      <c r="Q83" s="590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5">
      <c r="A84" s="585" t="s">
        <v>346</v>
      </c>
      <c r="B84" s="601"/>
      <c r="C84" s="592">
        <f t="shared" ref="C84:Q84" si="58">SUM(C78:C82)</f>
        <v>20</v>
      </c>
      <c r="D84" s="592">
        <f t="shared" si="58"/>
        <v>19</v>
      </c>
      <c r="E84" s="592">
        <f t="shared" si="58"/>
        <v>19</v>
      </c>
      <c r="F84" s="592">
        <f t="shared" si="58"/>
        <v>20</v>
      </c>
      <c r="G84" s="592">
        <f t="shared" si="58"/>
        <v>20</v>
      </c>
      <c r="H84" s="592">
        <f t="shared" si="58"/>
        <v>19</v>
      </c>
      <c r="I84" s="592">
        <f t="shared" si="58"/>
        <v>19</v>
      </c>
      <c r="J84" s="592">
        <f t="shared" si="58"/>
        <v>19</v>
      </c>
      <c r="K84" s="592">
        <f t="shared" si="58"/>
        <v>19</v>
      </c>
      <c r="L84" s="592">
        <f t="shared" si="58"/>
        <v>19</v>
      </c>
      <c r="M84" s="592">
        <f t="shared" si="58"/>
        <v>19</v>
      </c>
      <c r="N84" s="592">
        <f t="shared" si="58"/>
        <v>19</v>
      </c>
      <c r="O84" s="592">
        <f t="shared" si="58"/>
        <v>231</v>
      </c>
      <c r="P84" s="592">
        <f t="shared" si="58"/>
        <v>117</v>
      </c>
      <c r="Q84" s="592">
        <f t="shared" si="58"/>
        <v>114</v>
      </c>
      <c r="R84" s="166"/>
      <c r="S84" s="168"/>
      <c r="T84" s="175" t="str">
        <f>A84</f>
        <v xml:space="preserve">      Total Debits (Credits)</v>
      </c>
      <c r="U84" s="812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9">D84+AF84</f>
        <v>39</v>
      </c>
      <c r="AH84" s="180">
        <f t="shared" si="59"/>
        <v>58</v>
      </c>
      <c r="AI84" s="180">
        <f t="shared" si="59"/>
        <v>78</v>
      </c>
      <c r="AJ84" s="180">
        <f t="shared" si="59"/>
        <v>98</v>
      </c>
      <c r="AK84" s="180">
        <f t="shared" si="59"/>
        <v>117</v>
      </c>
      <c r="AL84" s="180">
        <f t="shared" si="59"/>
        <v>136</v>
      </c>
      <c r="AM84" s="180">
        <f t="shared" si="59"/>
        <v>155</v>
      </c>
      <c r="AN84" s="180">
        <f t="shared" si="59"/>
        <v>174</v>
      </c>
      <c r="AO84" s="180">
        <f t="shared" si="59"/>
        <v>193</v>
      </c>
      <c r="AP84" s="180">
        <f t="shared" si="59"/>
        <v>212</v>
      </c>
      <c r="AQ84" s="180">
        <f t="shared" si="59"/>
        <v>231</v>
      </c>
    </row>
    <row r="85" spans="1:43" x14ac:dyDescent="0.25">
      <c r="A85" s="575"/>
      <c r="B85" s="816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5">
      <c r="A86" s="585" t="s">
        <v>347</v>
      </c>
      <c r="B86" s="601"/>
      <c r="C86" s="596">
        <f t="shared" ref="C86:Q86" si="60">C75+C84</f>
        <v>4269</v>
      </c>
      <c r="D86" s="596">
        <f t="shared" si="60"/>
        <v>5462</v>
      </c>
      <c r="E86" s="596">
        <f t="shared" si="60"/>
        <v>2160</v>
      </c>
      <c r="F86" s="596">
        <f t="shared" si="60"/>
        <v>5223</v>
      </c>
      <c r="G86" s="596">
        <f t="shared" si="60"/>
        <v>4858</v>
      </c>
      <c r="H86" s="596">
        <f t="shared" si="60"/>
        <v>4043</v>
      </c>
      <c r="I86" s="596">
        <f t="shared" si="60"/>
        <v>4316</v>
      </c>
      <c r="J86" s="596">
        <f t="shared" si="60"/>
        <v>4057</v>
      </c>
      <c r="K86" s="596">
        <f t="shared" si="60"/>
        <v>7612</v>
      </c>
      <c r="L86" s="596">
        <f t="shared" si="60"/>
        <v>4053</v>
      </c>
      <c r="M86" s="596">
        <f t="shared" si="60"/>
        <v>3883</v>
      </c>
      <c r="N86" s="596">
        <f t="shared" si="60"/>
        <v>4098</v>
      </c>
      <c r="O86" s="596">
        <f t="shared" si="60"/>
        <v>54034</v>
      </c>
      <c r="P86" s="596">
        <f t="shared" si="60"/>
        <v>26015</v>
      </c>
      <c r="Q86" s="596">
        <f t="shared" si="60"/>
        <v>28019</v>
      </c>
      <c r="R86" s="166"/>
      <c r="S86" s="168"/>
      <c r="T86" s="175" t="str">
        <f>A86</f>
        <v>Net Tax Expense</v>
      </c>
      <c r="U86" s="812"/>
      <c r="V86" s="191">
        <f>C86+D86+E86</f>
        <v>11891</v>
      </c>
      <c r="W86" s="191">
        <f>F86+G86+H86</f>
        <v>14124</v>
      </c>
      <c r="X86" s="191">
        <f>I86+J86+K86</f>
        <v>15985</v>
      </c>
      <c r="Y86" s="191">
        <f>L86+M86+N86</f>
        <v>12034</v>
      </c>
      <c r="Z86" s="191"/>
      <c r="AA86" s="191">
        <f>SUM(V86:Y86)</f>
        <v>54034</v>
      </c>
      <c r="AD86" s="175" t="str">
        <f>A86</f>
        <v>Net Tax Expense</v>
      </c>
      <c r="AF86" s="191">
        <f>C86</f>
        <v>4269</v>
      </c>
      <c r="AG86" s="191">
        <f t="shared" ref="AG86:AQ86" si="61">D86+AF86</f>
        <v>9731</v>
      </c>
      <c r="AH86" s="191">
        <f t="shared" si="61"/>
        <v>11891</v>
      </c>
      <c r="AI86" s="191">
        <f t="shared" si="61"/>
        <v>17114</v>
      </c>
      <c r="AJ86" s="191">
        <f t="shared" si="61"/>
        <v>21972</v>
      </c>
      <c r="AK86" s="191">
        <f t="shared" si="61"/>
        <v>26015</v>
      </c>
      <c r="AL86" s="191">
        <f t="shared" si="61"/>
        <v>30331</v>
      </c>
      <c r="AM86" s="191">
        <f t="shared" si="61"/>
        <v>34388</v>
      </c>
      <c r="AN86" s="191">
        <f t="shared" si="61"/>
        <v>42000</v>
      </c>
      <c r="AO86" s="191">
        <f t="shared" si="61"/>
        <v>46053</v>
      </c>
      <c r="AP86" s="191">
        <f t="shared" si="61"/>
        <v>49936</v>
      </c>
      <c r="AQ86" s="191">
        <f t="shared" si="61"/>
        <v>54034</v>
      </c>
    </row>
    <row r="87" spans="1:43" x14ac:dyDescent="0.25">
      <c r="A87" s="575"/>
      <c r="B87" s="816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72"/>
      <c r="P87" s="590"/>
      <c r="Q87" s="590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5">
      <c r="A88" s="585" t="s">
        <v>348</v>
      </c>
      <c r="B88" s="816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72"/>
      <c r="P88" s="572"/>
      <c r="Q88" s="590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5">
      <c r="A89" s="593" t="s">
        <v>349</v>
      </c>
      <c r="B89" s="816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90">
        <f>SUM(C89:N89)</f>
        <v>0</v>
      </c>
      <c r="P89" s="178">
        <f>SUM(C89:H89)</f>
        <v>0</v>
      </c>
      <c r="Q89" s="590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2">D89+AF89</f>
        <v>0</v>
      </c>
      <c r="AH89" s="177">
        <f t="shared" si="62"/>
        <v>0</v>
      </c>
      <c r="AI89" s="177">
        <f t="shared" si="62"/>
        <v>0</v>
      </c>
      <c r="AJ89" s="177">
        <f t="shared" si="62"/>
        <v>0</v>
      </c>
      <c r="AK89" s="177">
        <f t="shared" si="62"/>
        <v>0</v>
      </c>
      <c r="AL89" s="177">
        <f t="shared" si="62"/>
        <v>0</v>
      </c>
      <c r="AM89" s="177">
        <f t="shared" si="62"/>
        <v>0</v>
      </c>
      <c r="AN89" s="177">
        <f t="shared" si="62"/>
        <v>0</v>
      </c>
      <c r="AO89" s="177">
        <f t="shared" si="62"/>
        <v>0</v>
      </c>
      <c r="AP89" s="177">
        <f t="shared" si="62"/>
        <v>0</v>
      </c>
      <c r="AQ89" s="177">
        <f t="shared" si="62"/>
        <v>0</v>
      </c>
    </row>
    <row r="90" spans="1:43" x14ac:dyDescent="0.25">
      <c r="A90" s="593" t="s">
        <v>350</v>
      </c>
      <c r="B90" s="816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8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90">
        <f>SUM(C90:N90)</f>
        <v>78</v>
      </c>
      <c r="P90" s="178">
        <f>SUM(C90:H90)</f>
        <v>30</v>
      </c>
      <c r="Q90" s="590">
        <f>O90-P90</f>
        <v>48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24</v>
      </c>
      <c r="Y90" s="177">
        <f>L90+M90+N90</f>
        <v>24</v>
      </c>
      <c r="Z90" s="177"/>
      <c r="AA90" s="177">
        <f>SUM(V90:Y90)</f>
        <v>78</v>
      </c>
      <c r="AD90" s="179" t="str">
        <f>A90</f>
        <v xml:space="preserve">    Business Expenses</v>
      </c>
      <c r="AF90" s="177">
        <f>C90</f>
        <v>2</v>
      </c>
      <c r="AG90" s="177">
        <f t="shared" si="62"/>
        <v>1</v>
      </c>
      <c r="AH90" s="177">
        <f t="shared" si="62"/>
        <v>7</v>
      </c>
      <c r="AI90" s="177">
        <f t="shared" si="62"/>
        <v>13</v>
      </c>
      <c r="AJ90" s="177">
        <f t="shared" si="62"/>
        <v>20</v>
      </c>
      <c r="AK90" s="177">
        <f t="shared" si="62"/>
        <v>30</v>
      </c>
      <c r="AL90" s="177">
        <f t="shared" si="62"/>
        <v>38</v>
      </c>
      <c r="AM90" s="177">
        <f t="shared" si="62"/>
        <v>46</v>
      </c>
      <c r="AN90" s="177">
        <f t="shared" si="62"/>
        <v>54</v>
      </c>
      <c r="AO90" s="177">
        <f t="shared" si="62"/>
        <v>62</v>
      </c>
      <c r="AP90" s="177">
        <f t="shared" si="62"/>
        <v>70</v>
      </c>
      <c r="AQ90" s="177">
        <f t="shared" si="62"/>
        <v>78</v>
      </c>
    </row>
    <row r="91" spans="1:43" x14ac:dyDescent="0.25">
      <c r="A91" s="593" t="s">
        <v>351</v>
      </c>
      <c r="B91" s="816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90">
        <f>SUM(C91:N91)</f>
        <v>0</v>
      </c>
      <c r="P91" s="178">
        <f>SUM(C91:H91)</f>
        <v>0</v>
      </c>
      <c r="Q91" s="590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14"/>
      <c r="AF91" s="177">
        <f>C91</f>
        <v>0</v>
      </c>
      <c r="AG91" s="177">
        <f t="shared" si="62"/>
        <v>0</v>
      </c>
      <c r="AH91" s="177">
        <f t="shared" si="62"/>
        <v>0</v>
      </c>
      <c r="AI91" s="177">
        <f t="shared" si="62"/>
        <v>0</v>
      </c>
      <c r="AJ91" s="177">
        <f t="shared" si="62"/>
        <v>0</v>
      </c>
      <c r="AK91" s="177">
        <f t="shared" si="62"/>
        <v>0</v>
      </c>
      <c r="AL91" s="177">
        <f t="shared" si="62"/>
        <v>0</v>
      </c>
      <c r="AM91" s="177">
        <f t="shared" si="62"/>
        <v>0</v>
      </c>
      <c r="AN91" s="177">
        <f t="shared" si="62"/>
        <v>0</v>
      </c>
      <c r="AO91" s="177">
        <f t="shared" si="62"/>
        <v>0</v>
      </c>
      <c r="AP91" s="177">
        <f t="shared" si="62"/>
        <v>0</v>
      </c>
      <c r="AQ91" s="177">
        <f t="shared" si="62"/>
        <v>0</v>
      </c>
    </row>
    <row r="92" spans="1:43" x14ac:dyDescent="0.25">
      <c r="A92" s="593" t="s">
        <v>352</v>
      </c>
      <c r="B92" s="816"/>
      <c r="C92" s="592">
        <f t="shared" ref="C92:N92" si="63">-C32</f>
        <v>0</v>
      </c>
      <c r="D92" s="592">
        <f t="shared" si="63"/>
        <v>0</v>
      </c>
      <c r="E92" s="592">
        <f t="shared" si="63"/>
        <v>0</v>
      </c>
      <c r="F92" s="592">
        <f t="shared" si="63"/>
        <v>0</v>
      </c>
      <c r="G92" s="592">
        <f t="shared" si="63"/>
        <v>0</v>
      </c>
      <c r="H92" s="592">
        <f t="shared" si="63"/>
        <v>0</v>
      </c>
      <c r="I92" s="592">
        <f t="shared" si="63"/>
        <v>0</v>
      </c>
      <c r="J92" s="592">
        <f t="shared" si="63"/>
        <v>0</v>
      </c>
      <c r="K92" s="592">
        <f t="shared" si="63"/>
        <v>0</v>
      </c>
      <c r="L92" s="592">
        <f t="shared" si="63"/>
        <v>0</v>
      </c>
      <c r="M92" s="592">
        <f t="shared" si="63"/>
        <v>0</v>
      </c>
      <c r="N92" s="592">
        <f t="shared" si="63"/>
        <v>0</v>
      </c>
      <c r="O92" s="592">
        <f>SUM(C92:N92)</f>
        <v>0</v>
      </c>
      <c r="P92" s="263">
        <f>SUM(C92:H92)</f>
        <v>0</v>
      </c>
      <c r="Q92" s="592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2"/>
        <v>0</v>
      </c>
      <c r="AH92" s="180">
        <f t="shared" si="62"/>
        <v>0</v>
      </c>
      <c r="AI92" s="180">
        <f t="shared" si="62"/>
        <v>0</v>
      </c>
      <c r="AJ92" s="180">
        <f t="shared" si="62"/>
        <v>0</v>
      </c>
      <c r="AK92" s="180">
        <f t="shared" si="62"/>
        <v>0</v>
      </c>
      <c r="AL92" s="180">
        <f t="shared" si="62"/>
        <v>0</v>
      </c>
      <c r="AM92" s="180">
        <f t="shared" si="62"/>
        <v>0</v>
      </c>
      <c r="AN92" s="180">
        <f t="shared" si="62"/>
        <v>0</v>
      </c>
      <c r="AO92" s="180">
        <f t="shared" si="62"/>
        <v>0</v>
      </c>
      <c r="AP92" s="180">
        <f t="shared" si="62"/>
        <v>0</v>
      </c>
      <c r="AQ92" s="180">
        <f t="shared" si="62"/>
        <v>0</v>
      </c>
    </row>
    <row r="93" spans="1:43" ht="3.9" customHeight="1" x14ac:dyDescent="0.25">
      <c r="A93" s="575"/>
      <c r="B93" s="816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2"/>
      <c r="P93" s="590"/>
      <c r="Q93" s="590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5">
      <c r="A94" s="597" t="s">
        <v>353</v>
      </c>
      <c r="B94" s="818"/>
      <c r="C94" s="592">
        <f t="shared" ref="C94:Q94" si="64">SUM(C89:C92)</f>
        <v>2</v>
      </c>
      <c r="D94" s="592">
        <f t="shared" si="64"/>
        <v>-1</v>
      </c>
      <c r="E94" s="592">
        <f t="shared" si="64"/>
        <v>6</v>
      </c>
      <c r="F94" s="592">
        <f t="shared" si="64"/>
        <v>6</v>
      </c>
      <c r="G94" s="592">
        <f t="shared" si="64"/>
        <v>7</v>
      </c>
      <c r="H94" s="592">
        <f t="shared" si="64"/>
        <v>10</v>
      </c>
      <c r="I94" s="592">
        <f t="shared" si="64"/>
        <v>8</v>
      </c>
      <c r="J94" s="592">
        <f t="shared" si="64"/>
        <v>8</v>
      </c>
      <c r="K94" s="592">
        <f t="shared" si="64"/>
        <v>8</v>
      </c>
      <c r="L94" s="592">
        <f t="shared" si="64"/>
        <v>8</v>
      </c>
      <c r="M94" s="592">
        <f t="shared" si="64"/>
        <v>8</v>
      </c>
      <c r="N94" s="592">
        <f t="shared" si="64"/>
        <v>8</v>
      </c>
      <c r="O94" s="592">
        <f t="shared" si="64"/>
        <v>78</v>
      </c>
      <c r="P94" s="592">
        <f t="shared" si="64"/>
        <v>30</v>
      </c>
      <c r="Q94" s="592">
        <f t="shared" si="64"/>
        <v>48</v>
      </c>
      <c r="R94" s="166"/>
      <c r="S94" s="170"/>
      <c r="T94" s="175" t="str">
        <f>A94</f>
        <v xml:space="preserve">      Total Income Tax Adjustment</v>
      </c>
      <c r="U94" s="814"/>
      <c r="V94" s="180">
        <f>C94+D94+E94</f>
        <v>7</v>
      </c>
      <c r="W94" s="180">
        <f>F94+G94+H94</f>
        <v>23</v>
      </c>
      <c r="X94" s="180">
        <f>I94+J94+K94</f>
        <v>24</v>
      </c>
      <c r="Y94" s="180">
        <f>L94+M94+N94</f>
        <v>24</v>
      </c>
      <c r="Z94" s="180"/>
      <c r="AA94" s="180">
        <f>SUM(V94:Y94)</f>
        <v>78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5">D94+AF94</f>
        <v>1</v>
      </c>
      <c r="AH94" s="180">
        <f t="shared" si="65"/>
        <v>7</v>
      </c>
      <c r="AI94" s="180">
        <f t="shared" si="65"/>
        <v>13</v>
      </c>
      <c r="AJ94" s="180">
        <f t="shared" si="65"/>
        <v>20</v>
      </c>
      <c r="AK94" s="180">
        <f t="shared" si="65"/>
        <v>30</v>
      </c>
      <c r="AL94" s="180">
        <f t="shared" si="65"/>
        <v>38</v>
      </c>
      <c r="AM94" s="180">
        <f t="shared" si="65"/>
        <v>46</v>
      </c>
      <c r="AN94" s="180">
        <f t="shared" si="65"/>
        <v>54</v>
      </c>
      <c r="AO94" s="180">
        <f t="shared" si="65"/>
        <v>62</v>
      </c>
      <c r="AP94" s="180">
        <f t="shared" si="65"/>
        <v>70</v>
      </c>
      <c r="AQ94" s="180">
        <f t="shared" si="65"/>
        <v>78</v>
      </c>
    </row>
    <row r="95" spans="1:43" ht="8.1" customHeight="1" x14ac:dyDescent="0.25">
      <c r="A95" s="575"/>
      <c r="B95" s="816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9"/>
      <c r="P95" s="575"/>
      <c r="Q95" s="575"/>
      <c r="S95" s="170"/>
      <c r="T95" s="170"/>
      <c r="V95" s="170"/>
    </row>
    <row r="96" spans="1:43" ht="12.75" customHeight="1" x14ac:dyDescent="0.25">
      <c r="A96" s="550" t="str">
        <f ca="1">CELL("FILENAME")</f>
        <v>P:\Finance\2001CE\[EMTW01CE.XLS]DataBase</v>
      </c>
      <c r="C96" s="166"/>
      <c r="D96" s="166"/>
      <c r="E96" s="166"/>
      <c r="F96" s="166"/>
      <c r="G96" s="667" t="s">
        <v>582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2" t="str">
        <f ca="1">A96</f>
        <v>P:\Finance\2001CE\[EMTW01CE.XLS]DataBase</v>
      </c>
      <c r="U96" s="601"/>
      <c r="V96" s="598" t="str">
        <f>G96</f>
        <v>TRANSWESTERN FAIR VALUE COMPANY</v>
      </c>
      <c r="W96" s="577"/>
      <c r="X96" s="577"/>
      <c r="Y96" s="577"/>
      <c r="Z96" s="576"/>
      <c r="AA96" s="576"/>
      <c r="AB96" s="167"/>
      <c r="AC96" s="166"/>
      <c r="AD96" s="416" t="str">
        <f ca="1">A96</f>
        <v>P:\Finance\2001CE\[EMTW01CE.XLS]DataBase</v>
      </c>
      <c r="AI96" s="525" t="str">
        <f>G96</f>
        <v>TRANSWESTERN FAIR VALUE COMPANY</v>
      </c>
      <c r="AJ96" s="525"/>
      <c r="AK96" s="525"/>
      <c r="AL96" s="529"/>
    </row>
    <row r="97" spans="1:43" x14ac:dyDescent="0.25">
      <c r="A97" s="403" t="s">
        <v>563</v>
      </c>
      <c r="C97" s="168"/>
      <c r="D97" s="169"/>
      <c r="E97" s="168"/>
      <c r="F97" s="167"/>
      <c r="G97" s="577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6" t="s">
        <v>565</v>
      </c>
      <c r="U97" s="601"/>
      <c r="V97" s="598" t="str">
        <f>G97</f>
        <v>2001 ACTUAL / ESTIMATE</v>
      </c>
      <c r="W97" s="577"/>
      <c r="X97" s="577"/>
      <c r="Y97" s="577"/>
      <c r="Z97" s="576"/>
      <c r="AA97" s="576"/>
      <c r="AB97" s="166"/>
      <c r="AC97" s="166"/>
      <c r="AD97" s="675" t="s">
        <v>564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5">
      <c r="A98" s="677" t="str">
        <f>A3</f>
        <v>2001 CURRENT ESTIMATE</v>
      </c>
      <c r="C98" s="168"/>
      <c r="D98" s="168"/>
      <c r="E98" s="168"/>
      <c r="F98" s="168"/>
      <c r="G98" s="577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600" t="str">
        <f>A98</f>
        <v>2001 CURRENT ESTIMATE</v>
      </c>
      <c r="U98" s="601"/>
      <c r="V98" s="598" t="str">
        <f>G98</f>
        <v xml:space="preserve">RESULTS OF OPERATIONS </v>
      </c>
      <c r="W98" s="577"/>
      <c r="X98" s="577"/>
      <c r="Y98" s="577"/>
      <c r="Z98" s="576"/>
      <c r="AA98" s="576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890</v>
      </c>
      <c r="AJ98" s="525"/>
      <c r="AK98" s="525"/>
      <c r="AL98" s="529"/>
      <c r="AN98" s="170"/>
      <c r="AO98" s="170"/>
      <c r="AP98" s="170"/>
      <c r="AQ98" s="170"/>
    </row>
    <row r="99" spans="1:43" x14ac:dyDescent="0.25">
      <c r="A99" s="400"/>
      <c r="B99" s="810">
        <f ca="1">NOW()</f>
        <v>37109.471773379628</v>
      </c>
      <c r="C99" s="168"/>
      <c r="D99" s="168"/>
      <c r="E99" s="168"/>
      <c r="F99" s="168"/>
      <c r="G99" s="577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5"/>
      <c r="U99" s="810">
        <f ca="1">NOW()</f>
        <v>37109.471773379628</v>
      </c>
      <c r="V99" s="598" t="str">
        <f>G99</f>
        <v>(Thousands of Dollars)</v>
      </c>
      <c r="W99" s="577"/>
      <c r="X99" s="577"/>
      <c r="Y99" s="577"/>
      <c r="Z99" s="576"/>
      <c r="AA99" s="576"/>
      <c r="AB99" s="166"/>
      <c r="AC99" s="166"/>
      <c r="AD99" s="166"/>
      <c r="AE99" s="810">
        <f ca="1">NOW()</f>
        <v>37109.471773379628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5">
      <c r="A100" s="412" t="s">
        <v>583</v>
      </c>
      <c r="B100" s="811">
        <f ca="1">NOW()</f>
        <v>37109.471773379628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72" t="s">
        <v>584</v>
      </c>
      <c r="U100" s="811">
        <f ca="1">NOW()</f>
        <v>37109.471773379628</v>
      </c>
      <c r="V100" s="576"/>
      <c r="W100" s="584"/>
      <c r="X100" s="584"/>
      <c r="Y100" s="584"/>
      <c r="Z100" s="584"/>
      <c r="AA100" s="584"/>
      <c r="AB100" s="166"/>
      <c r="AC100" s="166"/>
      <c r="AD100" s="412" t="s">
        <v>585</v>
      </c>
      <c r="AE100" s="811">
        <f ca="1">NOW()</f>
        <v>37109.471773379628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5">
      <c r="A101" s="170"/>
      <c r="C101" s="171" t="str">
        <f>C6</f>
        <v>ACT.</v>
      </c>
      <c r="D101" s="171" t="str">
        <f t="shared" ref="D101:Q101" si="66">D6</f>
        <v>ACT.</v>
      </c>
      <c r="E101" s="171" t="str">
        <f t="shared" si="66"/>
        <v>ACT.</v>
      </c>
      <c r="F101" s="171" t="str">
        <f t="shared" si="66"/>
        <v>ACT.</v>
      </c>
      <c r="G101" s="171" t="str">
        <f t="shared" si="66"/>
        <v>ACT.</v>
      </c>
      <c r="H101" s="171" t="str">
        <f t="shared" si="66"/>
        <v>ACT.</v>
      </c>
      <c r="I101" s="171" t="str">
        <f t="shared" si="66"/>
        <v>FLASH</v>
      </c>
      <c r="J101" s="171">
        <f t="shared" si="66"/>
        <v>0</v>
      </c>
      <c r="K101" s="171">
        <f t="shared" si="66"/>
        <v>0</v>
      </c>
      <c r="L101" s="171">
        <f t="shared" si="66"/>
        <v>0</v>
      </c>
      <c r="M101" s="171">
        <f t="shared" si="66"/>
        <v>0</v>
      </c>
      <c r="N101" s="171">
        <f t="shared" si="66"/>
        <v>0</v>
      </c>
      <c r="O101" s="171" t="str">
        <f t="shared" si="66"/>
        <v>TOTAL</v>
      </c>
      <c r="P101" s="171" t="str">
        <f t="shared" si="66"/>
        <v>JUNE</v>
      </c>
      <c r="Q101" s="171" t="str">
        <f t="shared" si="66"/>
        <v>ESTIMATE</v>
      </c>
      <c r="R101" s="166"/>
      <c r="S101" s="167"/>
      <c r="T101" s="576"/>
      <c r="U101" s="601"/>
      <c r="V101" s="601" t="s">
        <v>894</v>
      </c>
      <c r="W101" s="601" t="s">
        <v>895</v>
      </c>
      <c r="X101" s="601" t="s">
        <v>896</v>
      </c>
      <c r="Y101" s="601" t="s">
        <v>897</v>
      </c>
      <c r="Z101" s="584"/>
      <c r="AA101" s="602" t="str">
        <f>O101</f>
        <v>TOTAL</v>
      </c>
      <c r="AB101" s="166"/>
      <c r="AC101" s="166"/>
      <c r="AD101" s="170"/>
      <c r="AF101" s="171" t="str">
        <f t="shared" ref="AF101:AQ102" si="67">C101</f>
        <v>ACT.</v>
      </c>
      <c r="AG101" s="171" t="str">
        <f t="shared" si="67"/>
        <v>ACT.</v>
      </c>
      <c r="AH101" s="171" t="str">
        <f t="shared" si="67"/>
        <v>ACT.</v>
      </c>
      <c r="AI101" s="171" t="str">
        <f t="shared" si="67"/>
        <v>ACT.</v>
      </c>
      <c r="AJ101" s="171" t="str">
        <f t="shared" si="67"/>
        <v>ACT.</v>
      </c>
      <c r="AK101" s="171" t="str">
        <f t="shared" si="67"/>
        <v>ACT.</v>
      </c>
      <c r="AL101" s="171" t="str">
        <f t="shared" si="67"/>
        <v>FLASH</v>
      </c>
      <c r="AM101" s="171">
        <f t="shared" si="67"/>
        <v>0</v>
      </c>
      <c r="AN101" s="171">
        <f t="shared" si="67"/>
        <v>0</v>
      </c>
      <c r="AO101" s="171">
        <f t="shared" si="67"/>
        <v>0</v>
      </c>
      <c r="AP101" s="171">
        <f t="shared" si="67"/>
        <v>0</v>
      </c>
      <c r="AQ101" s="171">
        <f t="shared" si="67"/>
        <v>0</v>
      </c>
    </row>
    <row r="102" spans="1:43" x14ac:dyDescent="0.25">
      <c r="A102" s="170"/>
      <c r="C102" s="173" t="str">
        <f>C7</f>
        <v>JAN</v>
      </c>
      <c r="D102" s="173" t="str">
        <f t="shared" ref="D102:Q102" si="68">D7</f>
        <v>FEB</v>
      </c>
      <c r="E102" s="173" t="str">
        <f t="shared" si="68"/>
        <v>MAR</v>
      </c>
      <c r="F102" s="173" t="str">
        <f t="shared" si="68"/>
        <v>APR</v>
      </c>
      <c r="G102" s="173" t="str">
        <f t="shared" si="68"/>
        <v>MAY</v>
      </c>
      <c r="H102" s="173" t="str">
        <f t="shared" si="68"/>
        <v>JUN</v>
      </c>
      <c r="I102" s="173" t="str">
        <f t="shared" si="68"/>
        <v>JUL</v>
      </c>
      <c r="J102" s="173" t="str">
        <f t="shared" si="68"/>
        <v>AUG</v>
      </c>
      <c r="K102" s="173" t="str">
        <f t="shared" si="68"/>
        <v>SEP</v>
      </c>
      <c r="L102" s="173" t="str">
        <f t="shared" si="68"/>
        <v>OCT</v>
      </c>
      <c r="M102" s="173" t="str">
        <f t="shared" si="68"/>
        <v>NOV</v>
      </c>
      <c r="N102" s="173" t="str">
        <f t="shared" si="68"/>
        <v>DEC</v>
      </c>
      <c r="O102" s="173">
        <f t="shared" si="68"/>
        <v>2001</v>
      </c>
      <c r="P102" s="173" t="str">
        <f t="shared" si="68"/>
        <v>Y-T-D</v>
      </c>
      <c r="Q102" s="173" t="str">
        <f t="shared" si="68"/>
        <v>R.M.</v>
      </c>
      <c r="R102" s="168"/>
      <c r="S102" s="167"/>
      <c r="T102" s="576"/>
      <c r="U102" s="601"/>
      <c r="V102" s="588" t="s">
        <v>900</v>
      </c>
      <c r="W102" s="603" t="str">
        <f>V$7</f>
        <v>Quarter</v>
      </c>
      <c r="X102" s="603" t="str">
        <f>W$7</f>
        <v>Quarter</v>
      </c>
      <c r="Y102" s="603" t="str">
        <f>X$7</f>
        <v>Quarter</v>
      </c>
      <c r="Z102" s="604"/>
      <c r="AA102" s="605">
        <f>O102</f>
        <v>2001</v>
      </c>
      <c r="AB102" s="166"/>
      <c r="AC102" s="166"/>
      <c r="AD102" s="170"/>
      <c r="AF102" s="173" t="str">
        <f t="shared" si="67"/>
        <v>JAN</v>
      </c>
      <c r="AG102" s="173" t="str">
        <f t="shared" si="67"/>
        <v>FEB</v>
      </c>
      <c r="AH102" s="173" t="str">
        <f t="shared" si="67"/>
        <v>MAR</v>
      </c>
      <c r="AI102" s="173" t="str">
        <f t="shared" si="67"/>
        <v>APR</v>
      </c>
      <c r="AJ102" s="173" t="str">
        <f t="shared" si="67"/>
        <v>MAY</v>
      </c>
      <c r="AK102" s="173" t="str">
        <f t="shared" si="67"/>
        <v>JUN</v>
      </c>
      <c r="AL102" s="173" t="str">
        <f t="shared" si="67"/>
        <v>JUL</v>
      </c>
      <c r="AM102" s="173" t="str">
        <f t="shared" si="67"/>
        <v>AUG</v>
      </c>
      <c r="AN102" s="173" t="str">
        <f t="shared" si="67"/>
        <v>SEP</v>
      </c>
      <c r="AO102" s="173" t="str">
        <f t="shared" si="67"/>
        <v>OCT</v>
      </c>
      <c r="AP102" s="173" t="str">
        <f t="shared" si="67"/>
        <v>NOV</v>
      </c>
      <c r="AQ102" s="173" t="str">
        <f t="shared" si="67"/>
        <v>DEC</v>
      </c>
    </row>
    <row r="103" spans="1:43" x14ac:dyDescent="0.25">
      <c r="A103" s="410" t="s">
        <v>901</v>
      </c>
      <c r="T103" s="606" t="str">
        <f>A103</f>
        <v>OPERATING REVENUES</v>
      </c>
      <c r="U103" s="816"/>
      <c r="V103" s="575"/>
      <c r="W103" s="575"/>
      <c r="X103" s="575"/>
      <c r="Y103" s="575"/>
      <c r="Z103" s="575"/>
      <c r="AA103" s="575"/>
      <c r="AD103" s="166" t="str">
        <f>A103</f>
        <v>OPERATING REVENUES</v>
      </c>
    </row>
    <row r="104" spans="1:43" x14ac:dyDescent="0.25">
      <c r="A104" s="411" t="s">
        <v>902</v>
      </c>
      <c r="C104" s="673">
        <v>0</v>
      </c>
      <c r="D104" s="673">
        <v>0</v>
      </c>
      <c r="E104" s="673">
        <v>0</v>
      </c>
      <c r="F104" s="673">
        <v>0</v>
      </c>
      <c r="G104" s="673">
        <v>0</v>
      </c>
      <c r="H104" s="673">
        <v>0</v>
      </c>
      <c r="I104" s="673">
        <v>0</v>
      </c>
      <c r="J104" s="673">
        <v>0</v>
      </c>
      <c r="K104" s="673">
        <v>0</v>
      </c>
      <c r="L104" s="673">
        <v>0</v>
      </c>
      <c r="M104" s="673">
        <v>0</v>
      </c>
      <c r="N104" s="673">
        <v>0</v>
      </c>
      <c r="O104" s="177">
        <f>SUM(C104:N104)</f>
        <v>0</v>
      </c>
      <c r="P104" s="178">
        <f>SUM(C104:H104)</f>
        <v>0</v>
      </c>
      <c r="Q104" s="177">
        <f>O104-P104</f>
        <v>0</v>
      </c>
      <c r="R104" s="572"/>
      <c r="S104" s="170"/>
      <c r="T104" s="607" t="str">
        <f>A104</f>
        <v xml:space="preserve">   Gas Sales &amp; Liquids Revenue</v>
      </c>
      <c r="U104" s="816"/>
      <c r="V104" s="590">
        <f>C104+D104+E104</f>
        <v>0</v>
      </c>
      <c r="W104" s="590">
        <f>F104+G104+H104</f>
        <v>0</v>
      </c>
      <c r="X104" s="590">
        <f>I104+J104+K104</f>
        <v>0</v>
      </c>
      <c r="Y104" s="590">
        <f>L104+M104+N104</f>
        <v>0</v>
      </c>
      <c r="Z104" s="590"/>
      <c r="AA104" s="590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9">D104+AF104</f>
        <v>0</v>
      </c>
      <c r="AH104" s="177">
        <f t="shared" si="69"/>
        <v>0</v>
      </c>
      <c r="AI104" s="177">
        <f t="shared" si="69"/>
        <v>0</v>
      </c>
      <c r="AJ104" s="177">
        <f t="shared" si="69"/>
        <v>0</v>
      </c>
      <c r="AK104" s="177">
        <f t="shared" si="69"/>
        <v>0</v>
      </c>
      <c r="AL104" s="177">
        <f t="shared" si="69"/>
        <v>0</v>
      </c>
      <c r="AM104" s="177">
        <f t="shared" si="69"/>
        <v>0</v>
      </c>
      <c r="AN104" s="177">
        <f t="shared" si="69"/>
        <v>0</v>
      </c>
      <c r="AO104" s="177">
        <f t="shared" si="69"/>
        <v>0</v>
      </c>
      <c r="AP104" s="177">
        <f t="shared" si="69"/>
        <v>0</v>
      </c>
      <c r="AQ104" s="177">
        <f t="shared" si="69"/>
        <v>0</v>
      </c>
    </row>
    <row r="105" spans="1:43" x14ac:dyDescent="0.25">
      <c r="A105" s="411" t="s">
        <v>903</v>
      </c>
      <c r="C105" s="674">
        <v>0</v>
      </c>
      <c r="D105" s="674">
        <v>0</v>
      </c>
      <c r="E105" s="674">
        <v>0</v>
      </c>
      <c r="F105" s="674">
        <v>0</v>
      </c>
      <c r="G105" s="674">
        <v>0</v>
      </c>
      <c r="H105" s="674">
        <v>0</v>
      </c>
      <c r="I105" s="674">
        <v>0</v>
      </c>
      <c r="J105" s="674">
        <v>0</v>
      </c>
      <c r="K105" s="674">
        <v>0</v>
      </c>
      <c r="L105" s="674">
        <v>0</v>
      </c>
      <c r="M105" s="674">
        <v>0</v>
      </c>
      <c r="N105" s="674">
        <v>0</v>
      </c>
      <c r="O105" s="180">
        <f>SUM(C105:N105)</f>
        <v>0</v>
      </c>
      <c r="P105" s="263">
        <f>SUM(C105:H105)</f>
        <v>0</v>
      </c>
      <c r="Q105" s="180">
        <f>O105-P105</f>
        <v>0</v>
      </c>
      <c r="R105" s="573"/>
      <c r="S105" s="170"/>
      <c r="T105" s="607" t="str">
        <f>A105</f>
        <v xml:space="preserve">     Less:  Cost of Sales</v>
      </c>
      <c r="U105" s="816"/>
      <c r="V105" s="592">
        <f>C105+D105+E105</f>
        <v>0</v>
      </c>
      <c r="W105" s="592">
        <f>F105+G105+H105</f>
        <v>0</v>
      </c>
      <c r="X105" s="592">
        <f>I105+J105+K105</f>
        <v>0</v>
      </c>
      <c r="Y105" s="592">
        <f>L105+M105+N105</f>
        <v>0</v>
      </c>
      <c r="Z105" s="592"/>
      <c r="AA105" s="592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9"/>
        <v>0</v>
      </c>
      <c r="AH105" s="180">
        <f t="shared" si="69"/>
        <v>0</v>
      </c>
      <c r="AI105" s="180">
        <f t="shared" si="69"/>
        <v>0</v>
      </c>
      <c r="AJ105" s="180">
        <f t="shared" si="69"/>
        <v>0</v>
      </c>
      <c r="AK105" s="180">
        <f t="shared" si="69"/>
        <v>0</v>
      </c>
      <c r="AL105" s="180">
        <f t="shared" si="69"/>
        <v>0</v>
      </c>
      <c r="AM105" s="180">
        <f t="shared" si="69"/>
        <v>0</v>
      </c>
      <c r="AN105" s="180">
        <f t="shared" si="69"/>
        <v>0</v>
      </c>
      <c r="AO105" s="180">
        <f t="shared" si="69"/>
        <v>0</v>
      </c>
      <c r="AP105" s="180">
        <f t="shared" si="69"/>
        <v>0</v>
      </c>
      <c r="AQ105" s="180">
        <f t="shared" si="69"/>
        <v>0</v>
      </c>
    </row>
    <row r="106" spans="1:43" ht="6" customHeight="1" x14ac:dyDescent="0.25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5"/>
      <c r="U106" s="816"/>
      <c r="V106" s="590"/>
      <c r="W106" s="590"/>
      <c r="X106" s="590"/>
      <c r="Y106" s="590"/>
      <c r="Z106" s="590"/>
      <c r="AA106" s="590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5">
      <c r="A107" s="412" t="s">
        <v>904</v>
      </c>
      <c r="B107" s="812"/>
      <c r="C107" s="181">
        <f t="shared" ref="C107:Q107" si="70">C104-C105</f>
        <v>0</v>
      </c>
      <c r="D107" s="181">
        <f t="shared" si="70"/>
        <v>0</v>
      </c>
      <c r="E107" s="181">
        <f t="shared" si="70"/>
        <v>0</v>
      </c>
      <c r="F107" s="181">
        <f t="shared" si="70"/>
        <v>0</v>
      </c>
      <c r="G107" s="181">
        <f t="shared" si="70"/>
        <v>0</v>
      </c>
      <c r="H107" s="181">
        <f t="shared" si="70"/>
        <v>0</v>
      </c>
      <c r="I107" s="181">
        <f t="shared" si="70"/>
        <v>0</v>
      </c>
      <c r="J107" s="181">
        <f t="shared" si="70"/>
        <v>0</v>
      </c>
      <c r="K107" s="181">
        <f t="shared" si="70"/>
        <v>0</v>
      </c>
      <c r="L107" s="181">
        <f t="shared" si="70"/>
        <v>0</v>
      </c>
      <c r="M107" s="181">
        <f t="shared" si="70"/>
        <v>0</v>
      </c>
      <c r="N107" s="181">
        <f t="shared" si="70"/>
        <v>0</v>
      </c>
      <c r="O107" s="181">
        <f t="shared" si="70"/>
        <v>0</v>
      </c>
      <c r="P107" s="181">
        <f t="shared" si="70"/>
        <v>0</v>
      </c>
      <c r="Q107" s="181">
        <f t="shared" si="70"/>
        <v>0</v>
      </c>
      <c r="R107" s="547"/>
      <c r="S107" s="168"/>
      <c r="T107" s="606" t="str">
        <f>A107</f>
        <v xml:space="preserve">      Sales Margin</v>
      </c>
      <c r="U107" s="601"/>
      <c r="V107" s="608">
        <f>V104-V105</f>
        <v>0</v>
      </c>
      <c r="W107" s="608">
        <f>W104-W105</f>
        <v>0</v>
      </c>
      <c r="X107" s="608">
        <f>X104-X105</f>
        <v>0</v>
      </c>
      <c r="Y107" s="608">
        <f>Y104-Y105</f>
        <v>0</v>
      </c>
      <c r="Z107" s="608"/>
      <c r="AA107" s="608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71">D107+AF107</f>
        <v>0</v>
      </c>
      <c r="AH107" s="182">
        <f t="shared" si="71"/>
        <v>0</v>
      </c>
      <c r="AI107" s="182">
        <f t="shared" si="71"/>
        <v>0</v>
      </c>
      <c r="AJ107" s="182">
        <f t="shared" si="71"/>
        <v>0</v>
      </c>
      <c r="AK107" s="182">
        <f t="shared" si="71"/>
        <v>0</v>
      </c>
      <c r="AL107" s="182">
        <f t="shared" si="71"/>
        <v>0</v>
      </c>
      <c r="AM107" s="182">
        <f t="shared" si="71"/>
        <v>0</v>
      </c>
      <c r="AN107" s="182">
        <f t="shared" si="71"/>
        <v>0</v>
      </c>
      <c r="AO107" s="182">
        <f t="shared" si="71"/>
        <v>0</v>
      </c>
      <c r="AP107" s="182">
        <f t="shared" si="71"/>
        <v>0</v>
      </c>
      <c r="AQ107" s="182">
        <f t="shared" si="71"/>
        <v>0</v>
      </c>
    </row>
    <row r="108" spans="1:43" ht="6" customHeight="1" x14ac:dyDescent="0.25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5"/>
      <c r="U108" s="816"/>
      <c r="V108" s="590"/>
      <c r="W108" s="590"/>
      <c r="X108" s="590"/>
      <c r="Y108" s="590"/>
      <c r="Z108" s="590"/>
      <c r="AA108" s="590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5">
      <c r="A109" s="411" t="s">
        <v>905</v>
      </c>
      <c r="C109" s="673">
        <v>0</v>
      </c>
      <c r="D109" s="673">
        <v>0</v>
      </c>
      <c r="E109" s="673">
        <v>0</v>
      </c>
      <c r="F109" s="673">
        <v>0</v>
      </c>
      <c r="G109" s="673">
        <v>0</v>
      </c>
      <c r="H109" s="673">
        <v>0</v>
      </c>
      <c r="I109" s="673">
        <v>0</v>
      </c>
      <c r="J109" s="673">
        <v>0</v>
      </c>
      <c r="K109" s="673">
        <v>0</v>
      </c>
      <c r="L109" s="673">
        <v>0</v>
      </c>
      <c r="M109" s="673">
        <v>0</v>
      </c>
      <c r="N109" s="673">
        <v>0</v>
      </c>
      <c r="O109" s="177">
        <f>SUM(C109:N109)</f>
        <v>0</v>
      </c>
      <c r="P109" s="178">
        <f>SUM(C109:H109)</f>
        <v>0</v>
      </c>
      <c r="Q109" s="177">
        <f>O109-P109</f>
        <v>0</v>
      </c>
      <c r="R109" s="572"/>
      <c r="S109" s="170"/>
      <c r="T109" s="607" t="str">
        <f>A109</f>
        <v xml:space="preserve">   Transportation &amp; Storage Revenue</v>
      </c>
      <c r="U109" s="816"/>
      <c r="V109" s="590">
        <f>C109+D109+E109</f>
        <v>0</v>
      </c>
      <c r="W109" s="590">
        <f>F109+G109+H109</f>
        <v>0</v>
      </c>
      <c r="X109" s="590">
        <f>I109+J109+K109</f>
        <v>0</v>
      </c>
      <c r="Y109" s="590">
        <f>L109+M109+N109</f>
        <v>0</v>
      </c>
      <c r="Z109" s="590"/>
      <c r="AA109" s="590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2">D109+AF109</f>
        <v>0</v>
      </c>
      <c r="AH109" s="177">
        <f t="shared" si="72"/>
        <v>0</v>
      </c>
      <c r="AI109" s="177">
        <f t="shared" si="72"/>
        <v>0</v>
      </c>
      <c r="AJ109" s="177">
        <f t="shared" si="72"/>
        <v>0</v>
      </c>
      <c r="AK109" s="177">
        <f t="shared" si="72"/>
        <v>0</v>
      </c>
      <c r="AL109" s="177">
        <f t="shared" si="72"/>
        <v>0</v>
      </c>
      <c r="AM109" s="177">
        <f t="shared" si="72"/>
        <v>0</v>
      </c>
      <c r="AN109" s="177">
        <f t="shared" si="72"/>
        <v>0</v>
      </c>
      <c r="AO109" s="177">
        <f t="shared" si="72"/>
        <v>0</v>
      </c>
      <c r="AP109" s="177">
        <f t="shared" si="72"/>
        <v>0</v>
      </c>
      <c r="AQ109" s="177">
        <f t="shared" si="72"/>
        <v>0</v>
      </c>
    </row>
    <row r="110" spans="1:43" x14ac:dyDescent="0.25">
      <c r="A110" s="411" t="s">
        <v>308</v>
      </c>
      <c r="C110" s="674">
        <v>0</v>
      </c>
      <c r="D110" s="674">
        <v>0</v>
      </c>
      <c r="E110" s="674">
        <v>0</v>
      </c>
      <c r="F110" s="674">
        <v>0</v>
      </c>
      <c r="G110" s="674">
        <v>0</v>
      </c>
      <c r="H110" s="674">
        <v>0</v>
      </c>
      <c r="I110" s="674">
        <v>0</v>
      </c>
      <c r="J110" s="674">
        <v>0</v>
      </c>
      <c r="K110" s="674">
        <v>0</v>
      </c>
      <c r="L110" s="674">
        <v>0</v>
      </c>
      <c r="M110" s="674">
        <v>0</v>
      </c>
      <c r="N110" s="674">
        <v>0</v>
      </c>
      <c r="O110" s="180">
        <f>SUM(C110:N110)</f>
        <v>0</v>
      </c>
      <c r="P110" s="263">
        <f>SUM(C110:H110)</f>
        <v>0</v>
      </c>
      <c r="Q110" s="180">
        <f>O110-P110</f>
        <v>0</v>
      </c>
      <c r="R110" s="573"/>
      <c r="S110" s="170"/>
      <c r="T110" s="607" t="str">
        <f>A110</f>
        <v xml:space="preserve">   Other Revenue</v>
      </c>
      <c r="U110" s="816"/>
      <c r="V110" s="592">
        <f>C110+D110+E110</f>
        <v>0</v>
      </c>
      <c r="W110" s="592">
        <f>F110+G110+H110</f>
        <v>0</v>
      </c>
      <c r="X110" s="592">
        <f>I110+J110+K110</f>
        <v>0</v>
      </c>
      <c r="Y110" s="592">
        <f>L110+M110+N110</f>
        <v>0</v>
      </c>
      <c r="Z110" s="592"/>
      <c r="AA110" s="592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2"/>
        <v>0</v>
      </c>
      <c r="AH110" s="180">
        <f t="shared" si="72"/>
        <v>0</v>
      </c>
      <c r="AI110" s="180">
        <f t="shared" si="72"/>
        <v>0</v>
      </c>
      <c r="AJ110" s="180">
        <f t="shared" si="72"/>
        <v>0</v>
      </c>
      <c r="AK110" s="180">
        <f t="shared" si="72"/>
        <v>0</v>
      </c>
      <c r="AL110" s="180">
        <f t="shared" si="72"/>
        <v>0</v>
      </c>
      <c r="AM110" s="180">
        <f t="shared" si="72"/>
        <v>0</v>
      </c>
      <c r="AN110" s="180">
        <f t="shared" si="72"/>
        <v>0</v>
      </c>
      <c r="AO110" s="180">
        <f t="shared" si="72"/>
        <v>0</v>
      </c>
      <c r="AP110" s="180">
        <f t="shared" si="72"/>
        <v>0</v>
      </c>
      <c r="AQ110" s="180">
        <f t="shared" si="72"/>
        <v>0</v>
      </c>
    </row>
    <row r="111" spans="1:43" ht="3.9" customHeight="1" x14ac:dyDescent="0.25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7"/>
      <c r="U111" s="816"/>
      <c r="V111" s="590"/>
      <c r="W111" s="590"/>
      <c r="X111" s="590"/>
      <c r="Y111" s="590"/>
      <c r="Z111" s="590"/>
      <c r="AA111" s="590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5">
      <c r="A112" s="410" t="s">
        <v>309</v>
      </c>
      <c r="B112" s="813"/>
      <c r="C112" s="181">
        <f>C107+C109+C110</f>
        <v>0</v>
      </c>
      <c r="D112" s="181">
        <f t="shared" ref="D112:Q112" si="73">D107+D109+D110</f>
        <v>0</v>
      </c>
      <c r="E112" s="181">
        <f t="shared" si="73"/>
        <v>0</v>
      </c>
      <c r="F112" s="181">
        <f t="shared" si="73"/>
        <v>0</v>
      </c>
      <c r="G112" s="181">
        <f t="shared" si="73"/>
        <v>0</v>
      </c>
      <c r="H112" s="181">
        <f t="shared" si="73"/>
        <v>0</v>
      </c>
      <c r="I112" s="181">
        <f t="shared" si="73"/>
        <v>0</v>
      </c>
      <c r="J112" s="181">
        <f t="shared" si="73"/>
        <v>0</v>
      </c>
      <c r="K112" s="181">
        <f t="shared" si="73"/>
        <v>0</v>
      </c>
      <c r="L112" s="181">
        <f t="shared" si="73"/>
        <v>0</v>
      </c>
      <c r="M112" s="181">
        <f t="shared" si="73"/>
        <v>0</v>
      </c>
      <c r="N112" s="181">
        <f t="shared" si="73"/>
        <v>0</v>
      </c>
      <c r="O112" s="181">
        <f t="shared" si="73"/>
        <v>0</v>
      </c>
      <c r="P112" s="181">
        <f t="shared" si="73"/>
        <v>0</v>
      </c>
      <c r="Q112" s="181">
        <f t="shared" si="73"/>
        <v>0</v>
      </c>
      <c r="R112" s="181"/>
      <c r="S112" s="168"/>
      <c r="T112" s="606" t="str">
        <f>A112</f>
        <v xml:space="preserve">      Net Operating Income</v>
      </c>
      <c r="U112" s="601"/>
      <c r="V112" s="609">
        <f>SUM(V107:V110)</f>
        <v>0</v>
      </c>
      <c r="W112" s="609">
        <f>SUM(W107:W110)</f>
        <v>0</v>
      </c>
      <c r="X112" s="609">
        <f>SUM(X107:X110)</f>
        <v>0</v>
      </c>
      <c r="Y112" s="609">
        <f>SUM(Y107:Y110)</f>
        <v>0</v>
      </c>
      <c r="Z112" s="609"/>
      <c r="AA112" s="609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4">D112+AF112</f>
        <v>0</v>
      </c>
      <c r="AH112" s="181">
        <f t="shared" si="74"/>
        <v>0</v>
      </c>
      <c r="AI112" s="181">
        <f t="shared" si="74"/>
        <v>0</v>
      </c>
      <c r="AJ112" s="181">
        <f t="shared" si="74"/>
        <v>0</v>
      </c>
      <c r="AK112" s="181">
        <f t="shared" si="74"/>
        <v>0</v>
      </c>
      <c r="AL112" s="181">
        <f t="shared" si="74"/>
        <v>0</v>
      </c>
      <c r="AM112" s="181">
        <f t="shared" si="74"/>
        <v>0</v>
      </c>
      <c r="AN112" s="181">
        <f t="shared" si="74"/>
        <v>0</v>
      </c>
      <c r="AO112" s="181">
        <f t="shared" si="74"/>
        <v>0</v>
      </c>
      <c r="AP112" s="181">
        <f t="shared" si="74"/>
        <v>0</v>
      </c>
      <c r="AQ112" s="181">
        <f t="shared" si="74"/>
        <v>0</v>
      </c>
    </row>
    <row r="113" spans="1:43" x14ac:dyDescent="0.25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7"/>
      <c r="U113" s="816"/>
      <c r="V113" s="590"/>
      <c r="W113" s="590"/>
      <c r="X113" s="590"/>
      <c r="Y113" s="590"/>
      <c r="Z113" s="590"/>
      <c r="AA113" s="590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5">
      <c r="A114" s="410" t="s">
        <v>310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6" t="str">
        <f t="shared" ref="T114:T120" si="75">A114</f>
        <v>OPERATING EXPENSES</v>
      </c>
      <c r="U114" s="816"/>
      <c r="V114" s="590"/>
      <c r="W114" s="590"/>
      <c r="X114" s="590"/>
      <c r="Y114" s="590"/>
      <c r="Z114" s="590"/>
      <c r="AA114" s="590"/>
      <c r="AB114" s="170"/>
      <c r="AC114" s="170"/>
      <c r="AD114" s="166" t="str">
        <f t="shared" ref="AD114:AD120" si="76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5">
      <c r="A115" s="411" t="s">
        <v>311</v>
      </c>
      <c r="C115" s="673">
        <v>0</v>
      </c>
      <c r="D115" s="673">
        <v>0</v>
      </c>
      <c r="E115" s="673">
        <v>0</v>
      </c>
      <c r="F115" s="673">
        <v>0</v>
      </c>
      <c r="G115" s="673">
        <v>0</v>
      </c>
      <c r="H115" s="673">
        <v>0</v>
      </c>
      <c r="I115" s="673">
        <v>0</v>
      </c>
      <c r="J115" s="673">
        <v>0</v>
      </c>
      <c r="K115" s="673">
        <v>0</v>
      </c>
      <c r="L115" s="673">
        <v>0</v>
      </c>
      <c r="M115" s="673">
        <v>0</v>
      </c>
      <c r="N115" s="673">
        <v>0</v>
      </c>
      <c r="O115" s="177">
        <f t="shared" ref="O115:O120" si="77">SUM(C115:N115)</f>
        <v>0</v>
      </c>
      <c r="P115" s="178">
        <f t="shared" ref="P115:P120" si="78">SUM(C115:H115)</f>
        <v>0</v>
      </c>
      <c r="Q115" s="177">
        <f t="shared" ref="Q115:Q120" si="79">O115-P115</f>
        <v>0</v>
      </c>
      <c r="R115" s="572"/>
      <c r="S115" s="170"/>
      <c r="T115" s="607" t="str">
        <f t="shared" si="75"/>
        <v xml:space="preserve">   Operations and Maintenance</v>
      </c>
      <c r="U115" s="816"/>
      <c r="V115" s="590">
        <f t="shared" ref="V115:V120" si="80">C115+D115+E115</f>
        <v>0</v>
      </c>
      <c r="W115" s="590">
        <f t="shared" ref="W115:W120" si="81">F115+G115+H115</f>
        <v>0</v>
      </c>
      <c r="X115" s="590">
        <f t="shared" ref="X115:X120" si="82">I115+J115+K115</f>
        <v>0</v>
      </c>
      <c r="Y115" s="590">
        <f t="shared" ref="Y115:Y120" si="83">L115+M115+N115</f>
        <v>0</v>
      </c>
      <c r="Z115" s="590"/>
      <c r="AA115" s="590">
        <f t="shared" ref="AA115:AA120" si="84">SUM(V115:Y115)</f>
        <v>0</v>
      </c>
      <c r="AB115" s="170"/>
      <c r="AD115" s="165" t="str">
        <f t="shared" si="76"/>
        <v xml:space="preserve">   Operations and Maintenance</v>
      </c>
      <c r="AF115" s="177">
        <f t="shared" ref="AF115:AF120" si="85">C115</f>
        <v>0</v>
      </c>
      <c r="AG115" s="177">
        <f t="shared" ref="AG115:AG120" si="86">D115+AF115</f>
        <v>0</v>
      </c>
      <c r="AH115" s="177">
        <f t="shared" ref="AH115:AH120" si="87">E115+AG115</f>
        <v>0</v>
      </c>
      <c r="AI115" s="177">
        <f t="shared" ref="AI115:AI120" si="88">F115+AH115</f>
        <v>0</v>
      </c>
      <c r="AJ115" s="177">
        <f t="shared" ref="AJ115:AJ120" si="89">G115+AI115</f>
        <v>0</v>
      </c>
      <c r="AK115" s="177">
        <f t="shared" ref="AK115:AK120" si="90">H115+AJ115</f>
        <v>0</v>
      </c>
      <c r="AL115" s="177">
        <f t="shared" ref="AL115:AL120" si="91">I115+AK115</f>
        <v>0</v>
      </c>
      <c r="AM115" s="177">
        <f t="shared" ref="AM115:AM120" si="92">J115+AL115</f>
        <v>0</v>
      </c>
      <c r="AN115" s="177">
        <f t="shared" ref="AN115:AN120" si="93">K115+AM115</f>
        <v>0</v>
      </c>
      <c r="AO115" s="177">
        <f t="shared" ref="AO115:AO120" si="94">L115+AN115</f>
        <v>0</v>
      </c>
      <c r="AP115" s="177">
        <f t="shared" ref="AP115:AP120" si="95">M115+AO115</f>
        <v>0</v>
      </c>
      <c r="AQ115" s="177">
        <f t="shared" ref="AQ115:AQ120" si="96">N115+AP115</f>
        <v>0</v>
      </c>
    </row>
    <row r="116" spans="1:43" x14ac:dyDescent="0.25">
      <c r="A116" s="411" t="s">
        <v>312</v>
      </c>
      <c r="C116" s="673">
        <v>0</v>
      </c>
      <c r="D116" s="673">
        <v>0</v>
      </c>
      <c r="E116" s="673">
        <v>0</v>
      </c>
      <c r="F116" s="673">
        <v>0</v>
      </c>
      <c r="G116" s="673">
        <v>0</v>
      </c>
      <c r="H116" s="673">
        <v>0</v>
      </c>
      <c r="I116" s="673">
        <v>0</v>
      </c>
      <c r="J116" s="673">
        <v>0</v>
      </c>
      <c r="K116" s="673">
        <v>0</v>
      </c>
      <c r="L116" s="673">
        <v>0</v>
      </c>
      <c r="M116" s="673">
        <v>0</v>
      </c>
      <c r="N116" s="673">
        <v>0</v>
      </c>
      <c r="O116" s="177">
        <f t="shared" si="77"/>
        <v>0</v>
      </c>
      <c r="P116" s="178">
        <f t="shared" si="78"/>
        <v>0</v>
      </c>
      <c r="Q116" s="177">
        <f t="shared" si="79"/>
        <v>0</v>
      </c>
      <c r="R116" s="572"/>
      <c r="S116" s="170"/>
      <c r="T116" s="607" t="str">
        <f t="shared" si="75"/>
        <v xml:space="preserve">   Regulatory Amortization</v>
      </c>
      <c r="U116" s="816"/>
      <c r="V116" s="590">
        <f t="shared" si="80"/>
        <v>0</v>
      </c>
      <c r="W116" s="590">
        <f t="shared" si="81"/>
        <v>0</v>
      </c>
      <c r="X116" s="590">
        <f t="shared" si="82"/>
        <v>0</v>
      </c>
      <c r="Y116" s="590">
        <f t="shared" si="83"/>
        <v>0</v>
      </c>
      <c r="Z116" s="590"/>
      <c r="AA116" s="590">
        <f t="shared" si="84"/>
        <v>0</v>
      </c>
      <c r="AB116" s="170"/>
      <c r="AC116" s="170"/>
      <c r="AD116" s="165" t="str">
        <f t="shared" si="76"/>
        <v xml:space="preserve">   Regulatory Amortization</v>
      </c>
      <c r="AF116" s="177">
        <f t="shared" si="85"/>
        <v>0</v>
      </c>
      <c r="AG116" s="177">
        <f t="shared" si="86"/>
        <v>0</v>
      </c>
      <c r="AH116" s="177">
        <f t="shared" si="87"/>
        <v>0</v>
      </c>
      <c r="AI116" s="177">
        <f t="shared" si="88"/>
        <v>0</v>
      </c>
      <c r="AJ116" s="177">
        <f t="shared" si="89"/>
        <v>0</v>
      </c>
      <c r="AK116" s="177">
        <f t="shared" si="90"/>
        <v>0</v>
      </c>
      <c r="AL116" s="177">
        <f t="shared" si="91"/>
        <v>0</v>
      </c>
      <c r="AM116" s="177">
        <f t="shared" si="92"/>
        <v>0</v>
      </c>
      <c r="AN116" s="177">
        <f t="shared" si="93"/>
        <v>0</v>
      </c>
      <c r="AO116" s="177">
        <f t="shared" si="94"/>
        <v>0</v>
      </c>
      <c r="AP116" s="177">
        <f t="shared" si="95"/>
        <v>0</v>
      </c>
      <c r="AQ116" s="177">
        <f t="shared" si="96"/>
        <v>0</v>
      </c>
    </row>
    <row r="117" spans="1:43" x14ac:dyDescent="0.25">
      <c r="A117" s="413" t="s">
        <v>313</v>
      </c>
      <c r="C117" s="673">
        <v>0</v>
      </c>
      <c r="D117" s="673">
        <v>0</v>
      </c>
      <c r="E117" s="673">
        <v>0</v>
      </c>
      <c r="F117" s="673">
        <v>0</v>
      </c>
      <c r="G117" s="673">
        <v>0</v>
      </c>
      <c r="H117" s="673">
        <v>0</v>
      </c>
      <c r="I117" s="673">
        <v>0</v>
      </c>
      <c r="J117" s="673">
        <v>0</v>
      </c>
      <c r="K117" s="673">
        <v>0</v>
      </c>
      <c r="L117" s="673">
        <v>0</v>
      </c>
      <c r="M117" s="673">
        <v>0</v>
      </c>
      <c r="N117" s="673">
        <v>0</v>
      </c>
      <c r="O117" s="177">
        <f t="shared" si="77"/>
        <v>0</v>
      </c>
      <c r="P117" s="178">
        <f t="shared" si="78"/>
        <v>0</v>
      </c>
      <c r="Q117" s="177">
        <f t="shared" si="79"/>
        <v>0</v>
      </c>
      <c r="R117" s="572"/>
      <c r="S117" s="170"/>
      <c r="T117" s="607" t="str">
        <f t="shared" si="75"/>
        <v xml:space="preserve">   Fuel Used in Operations</v>
      </c>
      <c r="U117" s="816"/>
      <c r="V117" s="590">
        <f t="shared" si="80"/>
        <v>0</v>
      </c>
      <c r="W117" s="590">
        <f t="shared" si="81"/>
        <v>0</v>
      </c>
      <c r="X117" s="590">
        <f t="shared" si="82"/>
        <v>0</v>
      </c>
      <c r="Y117" s="590">
        <f t="shared" si="83"/>
        <v>0</v>
      </c>
      <c r="Z117" s="590"/>
      <c r="AA117" s="590">
        <f t="shared" si="84"/>
        <v>0</v>
      </c>
      <c r="AB117" s="170"/>
      <c r="AC117" s="170"/>
      <c r="AD117" s="165" t="str">
        <f t="shared" si="76"/>
        <v xml:space="preserve">   Fuel Used in Operations</v>
      </c>
      <c r="AF117" s="177">
        <f t="shared" si="85"/>
        <v>0</v>
      </c>
      <c r="AG117" s="177">
        <f t="shared" si="86"/>
        <v>0</v>
      </c>
      <c r="AH117" s="177">
        <f t="shared" si="87"/>
        <v>0</v>
      </c>
      <c r="AI117" s="177">
        <f t="shared" si="88"/>
        <v>0</v>
      </c>
      <c r="AJ117" s="177">
        <f t="shared" si="89"/>
        <v>0</v>
      </c>
      <c r="AK117" s="177">
        <f t="shared" si="90"/>
        <v>0</v>
      </c>
      <c r="AL117" s="177">
        <f t="shared" si="91"/>
        <v>0</v>
      </c>
      <c r="AM117" s="177">
        <f t="shared" si="92"/>
        <v>0</v>
      </c>
      <c r="AN117" s="177">
        <f t="shared" si="93"/>
        <v>0</v>
      </c>
      <c r="AO117" s="177">
        <f t="shared" si="94"/>
        <v>0</v>
      </c>
      <c r="AP117" s="177">
        <f t="shared" si="95"/>
        <v>0</v>
      </c>
      <c r="AQ117" s="177">
        <f t="shared" si="96"/>
        <v>0</v>
      </c>
    </row>
    <row r="118" spans="1:43" x14ac:dyDescent="0.25">
      <c r="A118" s="414" t="s">
        <v>314</v>
      </c>
      <c r="B118" s="814"/>
      <c r="C118" s="673">
        <v>0</v>
      </c>
      <c r="D118" s="673">
        <v>0</v>
      </c>
      <c r="E118" s="673">
        <v>0</v>
      </c>
      <c r="F118" s="673">
        <v>0</v>
      </c>
      <c r="G118" s="673">
        <v>0</v>
      </c>
      <c r="H118" s="673">
        <v>0</v>
      </c>
      <c r="I118" s="673">
        <v>0</v>
      </c>
      <c r="J118" s="673">
        <v>0</v>
      </c>
      <c r="K118" s="673">
        <v>0</v>
      </c>
      <c r="L118" s="673">
        <v>0</v>
      </c>
      <c r="M118" s="673">
        <v>0</v>
      </c>
      <c r="N118" s="673">
        <v>0</v>
      </c>
      <c r="O118" s="177">
        <f t="shared" si="77"/>
        <v>0</v>
      </c>
      <c r="P118" s="178">
        <f t="shared" si="78"/>
        <v>0</v>
      </c>
      <c r="Q118" s="177">
        <f t="shared" si="79"/>
        <v>0</v>
      </c>
      <c r="R118" s="572"/>
      <c r="S118" s="170"/>
      <c r="T118" s="607" t="str">
        <f t="shared" si="75"/>
        <v xml:space="preserve">   Transmission, Compression &amp; Storage</v>
      </c>
      <c r="U118" s="819"/>
      <c r="V118" s="590">
        <f t="shared" si="80"/>
        <v>0</v>
      </c>
      <c r="W118" s="590">
        <f t="shared" si="81"/>
        <v>0</v>
      </c>
      <c r="X118" s="590">
        <f t="shared" si="82"/>
        <v>0</v>
      </c>
      <c r="Y118" s="590">
        <f t="shared" si="83"/>
        <v>0</v>
      </c>
      <c r="Z118" s="590"/>
      <c r="AA118" s="590">
        <f t="shared" si="84"/>
        <v>0</v>
      </c>
      <c r="AB118" s="170"/>
      <c r="AC118" s="170"/>
      <c r="AD118" s="165" t="str">
        <f t="shared" si="76"/>
        <v xml:space="preserve">   Transmission, Compression &amp; Storage</v>
      </c>
      <c r="AF118" s="177">
        <f t="shared" si="85"/>
        <v>0</v>
      </c>
      <c r="AG118" s="177">
        <f t="shared" si="86"/>
        <v>0</v>
      </c>
      <c r="AH118" s="177">
        <f t="shared" si="87"/>
        <v>0</v>
      </c>
      <c r="AI118" s="177">
        <f t="shared" si="88"/>
        <v>0</v>
      </c>
      <c r="AJ118" s="177">
        <f t="shared" si="89"/>
        <v>0</v>
      </c>
      <c r="AK118" s="177">
        <f t="shared" si="90"/>
        <v>0</v>
      </c>
      <c r="AL118" s="177">
        <f t="shared" si="91"/>
        <v>0</v>
      </c>
      <c r="AM118" s="177">
        <f t="shared" si="92"/>
        <v>0</v>
      </c>
      <c r="AN118" s="177">
        <f t="shared" si="93"/>
        <v>0</v>
      </c>
      <c r="AO118" s="177">
        <f t="shared" si="94"/>
        <v>0</v>
      </c>
      <c r="AP118" s="177">
        <f t="shared" si="95"/>
        <v>0</v>
      </c>
      <c r="AQ118" s="177">
        <f t="shared" si="96"/>
        <v>0</v>
      </c>
    </row>
    <row r="119" spans="1:43" x14ac:dyDescent="0.25">
      <c r="A119" s="411" t="s">
        <v>315</v>
      </c>
      <c r="C119" s="177">
        <f>'Fuel-Depr-OtherTax'!C23</f>
        <v>500</v>
      </c>
      <c r="D119" s="177">
        <f>'Fuel-Depr-OtherTax'!D23</f>
        <v>500</v>
      </c>
      <c r="E119" s="177">
        <f>'Fuel-Depr-OtherTax'!E23</f>
        <v>500</v>
      </c>
      <c r="F119" s="177">
        <f>'Fuel-Depr-OtherTax'!F23</f>
        <v>500</v>
      </c>
      <c r="G119" s="177">
        <f>'Fuel-Depr-OtherTax'!G23</f>
        <v>500</v>
      </c>
      <c r="H119" s="177">
        <f>'Fuel-Depr-OtherTax'!H23</f>
        <v>500</v>
      </c>
      <c r="I119" s="177">
        <f>'Fuel-Depr-OtherTax'!I23</f>
        <v>500</v>
      </c>
      <c r="J119" s="177">
        <f>'Fuel-Depr-OtherTax'!J23</f>
        <v>500</v>
      </c>
      <c r="K119" s="177">
        <f>'Fuel-Depr-OtherTax'!K23</f>
        <v>500</v>
      </c>
      <c r="L119" s="177">
        <f>'Fuel-Depr-OtherTax'!L23</f>
        <v>500</v>
      </c>
      <c r="M119" s="177">
        <f>'Fuel-Depr-OtherTax'!M23</f>
        <v>500</v>
      </c>
      <c r="N119" s="177">
        <f>'Fuel-Depr-OtherTax'!N23</f>
        <v>500</v>
      </c>
      <c r="O119" s="177">
        <f t="shared" si="77"/>
        <v>6000</v>
      </c>
      <c r="P119" s="178">
        <f t="shared" si="78"/>
        <v>3000</v>
      </c>
      <c r="Q119" s="177">
        <f t="shared" si="79"/>
        <v>3000</v>
      </c>
      <c r="R119" s="572"/>
      <c r="S119" s="170"/>
      <c r="T119" s="607" t="str">
        <f t="shared" si="75"/>
        <v xml:space="preserve">   Depreciation &amp; Amortization</v>
      </c>
      <c r="U119" s="816"/>
      <c r="V119" s="590">
        <f t="shared" si="80"/>
        <v>1500</v>
      </c>
      <c r="W119" s="590">
        <f t="shared" si="81"/>
        <v>1500</v>
      </c>
      <c r="X119" s="590">
        <f t="shared" si="82"/>
        <v>1500</v>
      </c>
      <c r="Y119" s="590">
        <f t="shared" si="83"/>
        <v>1500</v>
      </c>
      <c r="Z119" s="590"/>
      <c r="AA119" s="590">
        <f t="shared" si="84"/>
        <v>6000</v>
      </c>
      <c r="AB119" s="170"/>
      <c r="AC119" s="170"/>
      <c r="AD119" s="165" t="str">
        <f t="shared" si="76"/>
        <v xml:space="preserve">   Depreciation &amp; Amortization</v>
      </c>
      <c r="AE119" s="814"/>
      <c r="AF119" s="177">
        <f t="shared" si="85"/>
        <v>500</v>
      </c>
      <c r="AG119" s="177">
        <f t="shared" si="86"/>
        <v>1000</v>
      </c>
      <c r="AH119" s="177">
        <f t="shared" si="87"/>
        <v>1500</v>
      </c>
      <c r="AI119" s="177">
        <f t="shared" si="88"/>
        <v>2000</v>
      </c>
      <c r="AJ119" s="177">
        <f t="shared" si="89"/>
        <v>2500</v>
      </c>
      <c r="AK119" s="177">
        <f t="shared" si="90"/>
        <v>3000</v>
      </c>
      <c r="AL119" s="177">
        <f t="shared" si="91"/>
        <v>3500</v>
      </c>
      <c r="AM119" s="177">
        <f t="shared" si="92"/>
        <v>4000</v>
      </c>
      <c r="AN119" s="177">
        <f t="shared" si="93"/>
        <v>4500</v>
      </c>
      <c r="AO119" s="177">
        <f t="shared" si="94"/>
        <v>5000</v>
      </c>
      <c r="AP119" s="177">
        <f t="shared" si="95"/>
        <v>5500</v>
      </c>
      <c r="AQ119" s="177">
        <f t="shared" si="96"/>
        <v>6000</v>
      </c>
    </row>
    <row r="120" spans="1:43" x14ac:dyDescent="0.25">
      <c r="A120" s="411" t="s">
        <v>316</v>
      </c>
      <c r="C120" s="674">
        <v>0</v>
      </c>
      <c r="D120" s="674">
        <v>0</v>
      </c>
      <c r="E120" s="674">
        <v>0</v>
      </c>
      <c r="F120" s="674">
        <v>0</v>
      </c>
      <c r="G120" s="674">
        <v>0</v>
      </c>
      <c r="H120" s="674">
        <v>0</v>
      </c>
      <c r="I120" s="674">
        <v>0</v>
      </c>
      <c r="J120" s="674">
        <v>0</v>
      </c>
      <c r="K120" s="674">
        <v>0</v>
      </c>
      <c r="L120" s="674">
        <v>0</v>
      </c>
      <c r="M120" s="674">
        <v>0</v>
      </c>
      <c r="N120" s="674">
        <v>0</v>
      </c>
      <c r="O120" s="180">
        <f t="shared" si="77"/>
        <v>0</v>
      </c>
      <c r="P120" s="263">
        <f t="shared" si="78"/>
        <v>0</v>
      </c>
      <c r="Q120" s="180">
        <f t="shared" si="79"/>
        <v>0</v>
      </c>
      <c r="R120" s="573"/>
      <c r="S120" s="170"/>
      <c r="T120" s="607" t="str">
        <f t="shared" si="75"/>
        <v xml:space="preserve">   Taxes Other Than Income</v>
      </c>
      <c r="U120" s="816"/>
      <c r="V120" s="592">
        <f t="shared" si="80"/>
        <v>0</v>
      </c>
      <c r="W120" s="592">
        <f t="shared" si="81"/>
        <v>0</v>
      </c>
      <c r="X120" s="592">
        <f t="shared" si="82"/>
        <v>0</v>
      </c>
      <c r="Y120" s="592">
        <f t="shared" si="83"/>
        <v>0</v>
      </c>
      <c r="Z120" s="592"/>
      <c r="AA120" s="592">
        <f t="shared" si="84"/>
        <v>0</v>
      </c>
      <c r="AB120" s="170"/>
      <c r="AC120" s="170"/>
      <c r="AD120" s="165" t="str">
        <f t="shared" si="76"/>
        <v xml:space="preserve">   Taxes Other Than Income</v>
      </c>
      <c r="AF120" s="180">
        <f t="shared" si="85"/>
        <v>0</v>
      </c>
      <c r="AG120" s="180">
        <f t="shared" si="86"/>
        <v>0</v>
      </c>
      <c r="AH120" s="180">
        <f t="shared" si="87"/>
        <v>0</v>
      </c>
      <c r="AI120" s="180">
        <f t="shared" si="88"/>
        <v>0</v>
      </c>
      <c r="AJ120" s="180">
        <f t="shared" si="89"/>
        <v>0</v>
      </c>
      <c r="AK120" s="180">
        <f t="shared" si="90"/>
        <v>0</v>
      </c>
      <c r="AL120" s="180">
        <f t="shared" si="91"/>
        <v>0</v>
      </c>
      <c r="AM120" s="180">
        <f t="shared" si="92"/>
        <v>0</v>
      </c>
      <c r="AN120" s="180">
        <f t="shared" si="93"/>
        <v>0</v>
      </c>
      <c r="AO120" s="180">
        <f t="shared" si="94"/>
        <v>0</v>
      </c>
      <c r="AP120" s="180">
        <f t="shared" si="95"/>
        <v>0</v>
      </c>
      <c r="AQ120" s="180">
        <f t="shared" si="96"/>
        <v>0</v>
      </c>
    </row>
    <row r="121" spans="1:43" ht="3.9" customHeight="1" x14ac:dyDescent="0.25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7"/>
      <c r="U121" s="816"/>
      <c r="V121" s="590"/>
      <c r="W121" s="590"/>
      <c r="X121" s="590"/>
      <c r="Y121" s="590"/>
      <c r="Z121" s="590"/>
      <c r="AA121" s="590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5">
      <c r="A122" s="410" t="s">
        <v>317</v>
      </c>
      <c r="B122" s="813"/>
      <c r="C122" s="181">
        <f t="shared" ref="C122:Q122" si="97">SUM(C115:C120)</f>
        <v>500</v>
      </c>
      <c r="D122" s="181">
        <f t="shared" si="97"/>
        <v>500</v>
      </c>
      <c r="E122" s="181">
        <f t="shared" si="97"/>
        <v>500</v>
      </c>
      <c r="F122" s="181">
        <f t="shared" si="97"/>
        <v>500</v>
      </c>
      <c r="G122" s="181">
        <f t="shared" si="97"/>
        <v>500</v>
      </c>
      <c r="H122" s="181">
        <f t="shared" si="97"/>
        <v>500</v>
      </c>
      <c r="I122" s="181">
        <f t="shared" si="97"/>
        <v>500</v>
      </c>
      <c r="J122" s="181">
        <f t="shared" si="97"/>
        <v>500</v>
      </c>
      <c r="K122" s="181">
        <f t="shared" si="97"/>
        <v>500</v>
      </c>
      <c r="L122" s="181">
        <f t="shared" si="97"/>
        <v>500</v>
      </c>
      <c r="M122" s="181">
        <f t="shared" si="97"/>
        <v>500</v>
      </c>
      <c r="N122" s="181">
        <f t="shared" si="97"/>
        <v>500</v>
      </c>
      <c r="O122" s="181">
        <f t="shared" si="97"/>
        <v>6000</v>
      </c>
      <c r="P122" s="181">
        <f t="shared" si="97"/>
        <v>3000</v>
      </c>
      <c r="Q122" s="181">
        <f t="shared" si="97"/>
        <v>3000</v>
      </c>
      <c r="R122" s="547"/>
      <c r="S122" s="168"/>
      <c r="T122" s="606" t="str">
        <f>A122</f>
        <v xml:space="preserve">     Total Operating Expenses</v>
      </c>
      <c r="U122" s="601"/>
      <c r="V122" s="609">
        <f>SUM(V115:V120)</f>
        <v>1500</v>
      </c>
      <c r="W122" s="609">
        <f>SUM(W115:W120)</f>
        <v>1500</v>
      </c>
      <c r="X122" s="609">
        <f>SUM(X115:X120)</f>
        <v>1500</v>
      </c>
      <c r="Y122" s="609">
        <f>SUM(Y115:Y120)</f>
        <v>1500</v>
      </c>
      <c r="Z122" s="609"/>
      <c r="AA122" s="609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8">D122+AF122</f>
        <v>1000</v>
      </c>
      <c r="AH122" s="181">
        <f t="shared" si="98"/>
        <v>1500</v>
      </c>
      <c r="AI122" s="181">
        <f t="shared" si="98"/>
        <v>2000</v>
      </c>
      <c r="AJ122" s="181">
        <f t="shared" si="98"/>
        <v>2500</v>
      </c>
      <c r="AK122" s="181">
        <f t="shared" si="98"/>
        <v>3000</v>
      </c>
      <c r="AL122" s="181">
        <f t="shared" si="98"/>
        <v>3500</v>
      </c>
      <c r="AM122" s="181">
        <f t="shared" si="98"/>
        <v>4000</v>
      </c>
      <c r="AN122" s="181">
        <f t="shared" si="98"/>
        <v>4500</v>
      </c>
      <c r="AO122" s="181">
        <f t="shared" si="98"/>
        <v>5000</v>
      </c>
      <c r="AP122" s="181">
        <f t="shared" si="98"/>
        <v>5500</v>
      </c>
      <c r="AQ122" s="181">
        <f t="shared" si="98"/>
        <v>6000</v>
      </c>
    </row>
    <row r="123" spans="1:43" x14ac:dyDescent="0.25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9"/>
      <c r="U123" s="816"/>
      <c r="V123" s="590"/>
      <c r="W123" s="590"/>
      <c r="X123" s="590"/>
      <c r="Y123" s="590"/>
      <c r="Z123" s="590"/>
      <c r="AA123" s="590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5">
      <c r="A124" s="410" t="s">
        <v>318</v>
      </c>
      <c r="B124" s="812"/>
      <c r="C124" s="181">
        <f t="shared" ref="C124:Q124" si="99">C112-C122</f>
        <v>-500</v>
      </c>
      <c r="D124" s="181">
        <f t="shared" si="99"/>
        <v>-500</v>
      </c>
      <c r="E124" s="181">
        <f t="shared" si="99"/>
        <v>-500</v>
      </c>
      <c r="F124" s="181">
        <f t="shared" si="99"/>
        <v>-500</v>
      </c>
      <c r="G124" s="181">
        <f t="shared" si="99"/>
        <v>-500</v>
      </c>
      <c r="H124" s="181">
        <f t="shared" si="99"/>
        <v>-500</v>
      </c>
      <c r="I124" s="181">
        <f t="shared" si="99"/>
        <v>-500</v>
      </c>
      <c r="J124" s="181">
        <f t="shared" si="99"/>
        <v>-500</v>
      </c>
      <c r="K124" s="181">
        <f t="shared" si="99"/>
        <v>-500</v>
      </c>
      <c r="L124" s="181">
        <f t="shared" si="99"/>
        <v>-500</v>
      </c>
      <c r="M124" s="181">
        <f t="shared" si="99"/>
        <v>-500</v>
      </c>
      <c r="N124" s="181">
        <f t="shared" si="99"/>
        <v>-500</v>
      </c>
      <c r="O124" s="181">
        <f t="shared" si="99"/>
        <v>-6000</v>
      </c>
      <c r="P124" s="181">
        <f t="shared" si="99"/>
        <v>-3000</v>
      </c>
      <c r="Q124" s="181">
        <f t="shared" si="99"/>
        <v>-3000</v>
      </c>
      <c r="R124" s="547"/>
      <c r="S124" s="168"/>
      <c r="T124" s="606" t="str">
        <f>A124</f>
        <v>OPERATING INCOME</v>
      </c>
      <c r="U124" s="601"/>
      <c r="V124" s="609">
        <f>V112-V122</f>
        <v>-1500</v>
      </c>
      <c r="W124" s="609">
        <f>W112-W122</f>
        <v>-1500</v>
      </c>
      <c r="X124" s="609">
        <f>X112-X122</f>
        <v>-1500</v>
      </c>
      <c r="Y124" s="609">
        <f>Y112-Y122</f>
        <v>-1500</v>
      </c>
      <c r="Z124" s="609"/>
      <c r="AA124" s="609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100">D124+AF124</f>
        <v>-1000</v>
      </c>
      <c r="AH124" s="181">
        <f t="shared" si="100"/>
        <v>-1500</v>
      </c>
      <c r="AI124" s="181">
        <f t="shared" si="100"/>
        <v>-2000</v>
      </c>
      <c r="AJ124" s="181">
        <f t="shared" si="100"/>
        <v>-2500</v>
      </c>
      <c r="AK124" s="181">
        <f t="shared" si="100"/>
        <v>-3000</v>
      </c>
      <c r="AL124" s="181">
        <f t="shared" si="100"/>
        <v>-3500</v>
      </c>
      <c r="AM124" s="181">
        <f t="shared" si="100"/>
        <v>-4000</v>
      </c>
      <c r="AN124" s="181">
        <f t="shared" si="100"/>
        <v>-4500</v>
      </c>
      <c r="AO124" s="181">
        <f t="shared" si="100"/>
        <v>-5000</v>
      </c>
      <c r="AP124" s="181">
        <f t="shared" si="100"/>
        <v>-5500</v>
      </c>
      <c r="AQ124" s="181">
        <f t="shared" si="100"/>
        <v>-6000</v>
      </c>
    </row>
    <row r="125" spans="1:43" x14ac:dyDescent="0.25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9"/>
      <c r="U125" s="816"/>
      <c r="V125" s="590"/>
      <c r="W125" s="590"/>
      <c r="X125" s="590"/>
      <c r="Y125" s="590"/>
      <c r="Z125" s="590"/>
      <c r="AA125" s="590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5">
      <c r="A126" s="398" t="s">
        <v>319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6" t="str">
        <f>A126</f>
        <v>OTHER INCOME</v>
      </c>
      <c r="U126" s="816"/>
      <c r="V126" s="590"/>
      <c r="W126" s="590"/>
      <c r="X126" s="590"/>
      <c r="Y126" s="590"/>
      <c r="Z126" s="590"/>
      <c r="AA126" s="590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5">
      <c r="A127" s="413" t="s">
        <v>320</v>
      </c>
      <c r="C127" s="673">
        <v>0</v>
      </c>
      <c r="D127" s="673">
        <v>0</v>
      </c>
      <c r="E127" s="673">
        <v>0</v>
      </c>
      <c r="F127" s="673">
        <v>0</v>
      </c>
      <c r="G127" s="673">
        <v>0</v>
      </c>
      <c r="H127" s="673">
        <v>0</v>
      </c>
      <c r="I127" s="673">
        <v>0</v>
      </c>
      <c r="J127" s="673">
        <v>0</v>
      </c>
      <c r="K127" s="673">
        <v>0</v>
      </c>
      <c r="L127" s="673">
        <v>0</v>
      </c>
      <c r="M127" s="673">
        <v>0</v>
      </c>
      <c r="N127" s="673">
        <v>0</v>
      </c>
      <c r="O127" s="177">
        <f>SUM(C127:N127)</f>
        <v>0</v>
      </c>
      <c r="P127" s="178">
        <f>SUM(C127:H127)</f>
        <v>0</v>
      </c>
      <c r="Q127" s="177">
        <f>O127-P127</f>
        <v>0</v>
      </c>
      <c r="R127" s="572"/>
      <c r="S127" s="170"/>
      <c r="T127" s="607" t="str">
        <f>A127</f>
        <v xml:space="preserve">   Partnership Income</v>
      </c>
      <c r="U127" s="816"/>
      <c r="V127" s="590">
        <f>C127+D127+E127</f>
        <v>0</v>
      </c>
      <c r="W127" s="590">
        <f>F127+G127+H127</f>
        <v>0</v>
      </c>
      <c r="X127" s="590">
        <f>I127+J127+K127</f>
        <v>0</v>
      </c>
      <c r="Y127" s="590">
        <f>L127+M127+N127</f>
        <v>0</v>
      </c>
      <c r="Z127" s="590"/>
      <c r="AA127" s="590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101">D127+AF127</f>
        <v>0</v>
      </c>
      <c r="AH127" s="177">
        <f t="shared" si="101"/>
        <v>0</v>
      </c>
      <c r="AI127" s="177">
        <f t="shared" si="101"/>
        <v>0</v>
      </c>
      <c r="AJ127" s="177">
        <f t="shared" si="101"/>
        <v>0</v>
      </c>
      <c r="AK127" s="177">
        <f t="shared" si="101"/>
        <v>0</v>
      </c>
      <c r="AL127" s="177">
        <f t="shared" si="101"/>
        <v>0</v>
      </c>
      <c r="AM127" s="177">
        <f t="shared" si="101"/>
        <v>0</v>
      </c>
      <c r="AN127" s="177">
        <f t="shared" si="101"/>
        <v>0</v>
      </c>
      <c r="AO127" s="177">
        <f t="shared" si="101"/>
        <v>0</v>
      </c>
      <c r="AP127" s="177">
        <f t="shared" si="101"/>
        <v>0</v>
      </c>
      <c r="AQ127" s="177">
        <f t="shared" si="101"/>
        <v>0</v>
      </c>
    </row>
    <row r="128" spans="1:43" x14ac:dyDescent="0.25">
      <c r="A128" s="413" t="s">
        <v>321</v>
      </c>
      <c r="C128" s="673">
        <v>0</v>
      </c>
      <c r="D128" s="673">
        <v>0</v>
      </c>
      <c r="E128" s="673">
        <v>0</v>
      </c>
      <c r="F128" s="673">
        <v>0</v>
      </c>
      <c r="G128" s="673">
        <v>0</v>
      </c>
      <c r="H128" s="673">
        <v>0</v>
      </c>
      <c r="I128" s="673">
        <v>0</v>
      </c>
      <c r="J128" s="673">
        <v>0</v>
      </c>
      <c r="K128" s="673">
        <v>0</v>
      </c>
      <c r="L128" s="673">
        <v>0</v>
      </c>
      <c r="M128" s="673">
        <v>0</v>
      </c>
      <c r="N128" s="673">
        <v>0</v>
      </c>
      <c r="O128" s="177">
        <f>SUM(C128:N128)</f>
        <v>0</v>
      </c>
      <c r="P128" s="178">
        <f>SUM(C128:H128)</f>
        <v>0</v>
      </c>
      <c r="Q128" s="177">
        <f>O128-P128</f>
        <v>0</v>
      </c>
      <c r="R128" s="572"/>
      <c r="T128" s="607" t="str">
        <f>A128</f>
        <v xml:space="preserve">   Interest Income</v>
      </c>
      <c r="U128" s="816"/>
      <c r="V128" s="590">
        <f>C128+D128+E128</f>
        <v>0</v>
      </c>
      <c r="W128" s="590">
        <f>F128+G128+H128</f>
        <v>0</v>
      </c>
      <c r="X128" s="590">
        <f>I128+J128+K128</f>
        <v>0</v>
      </c>
      <c r="Y128" s="590">
        <f>L128+M128+N128</f>
        <v>0</v>
      </c>
      <c r="Z128" s="590"/>
      <c r="AA128" s="590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101"/>
        <v>0</v>
      </c>
      <c r="AH128" s="177">
        <f t="shared" si="101"/>
        <v>0</v>
      </c>
      <c r="AI128" s="177">
        <f t="shared" si="101"/>
        <v>0</v>
      </c>
      <c r="AJ128" s="177">
        <f t="shared" si="101"/>
        <v>0</v>
      </c>
      <c r="AK128" s="177">
        <f t="shared" si="101"/>
        <v>0</v>
      </c>
      <c r="AL128" s="177">
        <f t="shared" si="101"/>
        <v>0</v>
      </c>
      <c r="AM128" s="177">
        <f t="shared" si="101"/>
        <v>0</v>
      </c>
      <c r="AN128" s="177">
        <f t="shared" si="101"/>
        <v>0</v>
      </c>
      <c r="AO128" s="177">
        <f t="shared" si="101"/>
        <v>0</v>
      </c>
      <c r="AP128" s="177">
        <f t="shared" si="101"/>
        <v>0</v>
      </c>
      <c r="AQ128" s="177">
        <f t="shared" si="101"/>
        <v>0</v>
      </c>
    </row>
    <row r="129" spans="1:43" x14ac:dyDescent="0.25">
      <c r="A129" s="413" t="s">
        <v>322</v>
      </c>
      <c r="C129" s="674">
        <v>0</v>
      </c>
      <c r="D129" s="674">
        <v>0</v>
      </c>
      <c r="E129" s="674">
        <v>0</v>
      </c>
      <c r="F129" s="674">
        <v>0</v>
      </c>
      <c r="G129" s="674">
        <v>0</v>
      </c>
      <c r="H129" s="674">
        <v>0</v>
      </c>
      <c r="I129" s="674">
        <v>0</v>
      </c>
      <c r="J129" s="674">
        <v>0</v>
      </c>
      <c r="K129" s="674">
        <v>0</v>
      </c>
      <c r="L129" s="674">
        <v>0</v>
      </c>
      <c r="M129" s="674">
        <v>0</v>
      </c>
      <c r="N129" s="674">
        <v>0</v>
      </c>
      <c r="O129" s="180">
        <f>SUM(C129:N129)</f>
        <v>0</v>
      </c>
      <c r="P129" s="263">
        <f>SUM(C129:H129)</f>
        <v>0</v>
      </c>
      <c r="Q129" s="180">
        <f>O129-P129</f>
        <v>0</v>
      </c>
      <c r="R129" s="573"/>
      <c r="S129" s="170"/>
      <c r="T129" s="607" t="str">
        <f>A129</f>
        <v xml:space="preserve">   Other Income / (Deductions)</v>
      </c>
      <c r="U129" s="816"/>
      <c r="V129" s="592">
        <f>C129+D129+E129</f>
        <v>0</v>
      </c>
      <c r="W129" s="592">
        <f>F129+G129+H129</f>
        <v>0</v>
      </c>
      <c r="X129" s="592">
        <f>I129+J129+K129</f>
        <v>0</v>
      </c>
      <c r="Y129" s="592">
        <f>L129+M129+N129</f>
        <v>0</v>
      </c>
      <c r="Z129" s="592"/>
      <c r="AA129" s="592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101"/>
        <v>0</v>
      </c>
      <c r="AH129" s="180">
        <f t="shared" si="101"/>
        <v>0</v>
      </c>
      <c r="AI129" s="180">
        <f t="shared" si="101"/>
        <v>0</v>
      </c>
      <c r="AJ129" s="180">
        <f t="shared" si="101"/>
        <v>0</v>
      </c>
      <c r="AK129" s="180">
        <f t="shared" si="101"/>
        <v>0</v>
      </c>
      <c r="AL129" s="180">
        <f t="shared" si="101"/>
        <v>0</v>
      </c>
      <c r="AM129" s="180">
        <f t="shared" si="101"/>
        <v>0</v>
      </c>
      <c r="AN129" s="180">
        <f t="shared" si="101"/>
        <v>0</v>
      </c>
      <c r="AO129" s="180">
        <f t="shared" si="101"/>
        <v>0</v>
      </c>
      <c r="AP129" s="180">
        <f t="shared" si="101"/>
        <v>0</v>
      </c>
      <c r="AQ129" s="180">
        <f t="shared" si="101"/>
        <v>0</v>
      </c>
    </row>
    <row r="130" spans="1:43" ht="3.9" customHeight="1" x14ac:dyDescent="0.25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5"/>
      <c r="U130" s="816"/>
      <c r="V130" s="590"/>
      <c r="W130" s="590"/>
      <c r="X130" s="590"/>
      <c r="Y130" s="590"/>
      <c r="Z130" s="590"/>
      <c r="AA130" s="590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5">
      <c r="A131" s="410" t="s">
        <v>323</v>
      </c>
      <c r="B131" s="812"/>
      <c r="C131" s="181">
        <f t="shared" ref="C131:Q131" si="102">SUM(C127:C129)</f>
        <v>0</v>
      </c>
      <c r="D131" s="181">
        <f t="shared" si="102"/>
        <v>0</v>
      </c>
      <c r="E131" s="181">
        <f t="shared" si="102"/>
        <v>0</v>
      </c>
      <c r="F131" s="181">
        <f t="shared" si="102"/>
        <v>0</v>
      </c>
      <c r="G131" s="181">
        <f t="shared" si="102"/>
        <v>0</v>
      </c>
      <c r="H131" s="181">
        <f t="shared" si="102"/>
        <v>0</v>
      </c>
      <c r="I131" s="181">
        <f t="shared" si="102"/>
        <v>0</v>
      </c>
      <c r="J131" s="181">
        <f t="shared" si="102"/>
        <v>0</v>
      </c>
      <c r="K131" s="181">
        <f t="shared" si="102"/>
        <v>0</v>
      </c>
      <c r="L131" s="181">
        <f t="shared" si="102"/>
        <v>0</v>
      </c>
      <c r="M131" s="181">
        <f t="shared" si="102"/>
        <v>0</v>
      </c>
      <c r="N131" s="181">
        <f t="shared" si="102"/>
        <v>0</v>
      </c>
      <c r="O131" s="181">
        <f t="shared" si="102"/>
        <v>0</v>
      </c>
      <c r="P131" s="181">
        <f t="shared" si="102"/>
        <v>0</v>
      </c>
      <c r="Q131" s="181">
        <f t="shared" si="102"/>
        <v>0</v>
      </c>
      <c r="R131" s="547"/>
      <c r="S131" s="168"/>
      <c r="T131" s="606" t="str">
        <f>A131</f>
        <v xml:space="preserve">     Total Other Income &amp; Other Deductions</v>
      </c>
      <c r="U131" s="601"/>
      <c r="V131" s="609">
        <f>V127+V128+V129</f>
        <v>0</v>
      </c>
      <c r="W131" s="609">
        <f>W127+W128+W129</f>
        <v>0</v>
      </c>
      <c r="X131" s="609">
        <f>X127+X128+X129</f>
        <v>0</v>
      </c>
      <c r="Y131" s="609">
        <f>Y127+Y128+Y129</f>
        <v>0</v>
      </c>
      <c r="Z131" s="609"/>
      <c r="AA131" s="609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3">D131+AF131</f>
        <v>0</v>
      </c>
      <c r="AH131" s="181">
        <f t="shared" si="103"/>
        <v>0</v>
      </c>
      <c r="AI131" s="181">
        <f t="shared" si="103"/>
        <v>0</v>
      </c>
      <c r="AJ131" s="181">
        <f t="shared" si="103"/>
        <v>0</v>
      </c>
      <c r="AK131" s="181">
        <f t="shared" si="103"/>
        <v>0</v>
      </c>
      <c r="AL131" s="181">
        <f t="shared" si="103"/>
        <v>0</v>
      </c>
      <c r="AM131" s="181">
        <f t="shared" si="103"/>
        <v>0</v>
      </c>
      <c r="AN131" s="181">
        <f t="shared" si="103"/>
        <v>0</v>
      </c>
      <c r="AO131" s="181">
        <f t="shared" si="103"/>
        <v>0</v>
      </c>
      <c r="AP131" s="181">
        <f t="shared" si="103"/>
        <v>0</v>
      </c>
      <c r="AQ131" s="181">
        <f t="shared" si="103"/>
        <v>0</v>
      </c>
    </row>
    <row r="132" spans="1:43" x14ac:dyDescent="0.25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9"/>
      <c r="U132" s="816"/>
      <c r="V132" s="590"/>
      <c r="W132" s="590"/>
      <c r="X132" s="590"/>
      <c r="Y132" s="590"/>
      <c r="Z132" s="590"/>
      <c r="AA132" s="590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5">
      <c r="A133" s="399" t="s">
        <v>327</v>
      </c>
      <c r="B133" s="815"/>
      <c r="C133" s="181">
        <f t="shared" ref="C133:Q133" si="104">C124+C131</f>
        <v>-500</v>
      </c>
      <c r="D133" s="181">
        <f t="shared" si="104"/>
        <v>-500</v>
      </c>
      <c r="E133" s="181">
        <f t="shared" si="104"/>
        <v>-500</v>
      </c>
      <c r="F133" s="181">
        <f t="shared" si="104"/>
        <v>-500</v>
      </c>
      <c r="G133" s="181">
        <f t="shared" si="104"/>
        <v>-500</v>
      </c>
      <c r="H133" s="181">
        <f t="shared" si="104"/>
        <v>-500</v>
      </c>
      <c r="I133" s="181">
        <f t="shared" si="104"/>
        <v>-500</v>
      </c>
      <c r="J133" s="181">
        <f t="shared" si="104"/>
        <v>-500</v>
      </c>
      <c r="K133" s="181">
        <f t="shared" si="104"/>
        <v>-500</v>
      </c>
      <c r="L133" s="181">
        <f t="shared" si="104"/>
        <v>-500</v>
      </c>
      <c r="M133" s="181">
        <f t="shared" si="104"/>
        <v>-500</v>
      </c>
      <c r="N133" s="181">
        <f t="shared" si="104"/>
        <v>-500</v>
      </c>
      <c r="O133" s="181">
        <f t="shared" si="104"/>
        <v>-6000</v>
      </c>
      <c r="P133" s="181">
        <f t="shared" si="104"/>
        <v>-3000</v>
      </c>
      <c r="Q133" s="181">
        <f t="shared" si="104"/>
        <v>-3000</v>
      </c>
      <c r="R133" s="547"/>
      <c r="S133" s="168"/>
      <c r="T133" s="606" t="str">
        <f>A133</f>
        <v>INCOME BEFORE INTEREST &amp; TAXES</v>
      </c>
      <c r="U133" s="818"/>
      <c r="V133" s="609">
        <f>C133+D133+E133</f>
        <v>-1500</v>
      </c>
      <c r="W133" s="609">
        <f>F133+G133+H133</f>
        <v>-1500</v>
      </c>
      <c r="X133" s="609">
        <f>I133+J133+K133</f>
        <v>-1500</v>
      </c>
      <c r="Y133" s="609">
        <f>L133+M133+N133</f>
        <v>-1500</v>
      </c>
      <c r="Z133" s="609"/>
      <c r="AA133" s="609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5">D133+AF133</f>
        <v>-1000</v>
      </c>
      <c r="AH133" s="181">
        <f t="shared" si="105"/>
        <v>-1500</v>
      </c>
      <c r="AI133" s="181">
        <f t="shared" si="105"/>
        <v>-2000</v>
      </c>
      <c r="AJ133" s="181">
        <f t="shared" si="105"/>
        <v>-2500</v>
      </c>
      <c r="AK133" s="181">
        <f t="shared" si="105"/>
        <v>-3000</v>
      </c>
      <c r="AL133" s="181">
        <f t="shared" si="105"/>
        <v>-3500</v>
      </c>
      <c r="AM133" s="181">
        <f t="shared" si="105"/>
        <v>-4000</v>
      </c>
      <c r="AN133" s="181">
        <f t="shared" si="105"/>
        <v>-4500</v>
      </c>
      <c r="AO133" s="181">
        <f t="shared" si="105"/>
        <v>-5000</v>
      </c>
      <c r="AP133" s="181">
        <f t="shared" si="105"/>
        <v>-5500</v>
      </c>
      <c r="AQ133" s="181">
        <f t="shared" si="105"/>
        <v>-6000</v>
      </c>
    </row>
    <row r="134" spans="1:43" x14ac:dyDescent="0.25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9"/>
      <c r="U134" s="816"/>
      <c r="V134" s="590"/>
      <c r="W134" s="590"/>
      <c r="X134" s="590"/>
      <c r="Y134" s="590"/>
      <c r="Z134" s="590"/>
      <c r="AA134" s="590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5">
      <c r="A135" s="410" t="s">
        <v>1060</v>
      </c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177"/>
      <c r="P135" s="178"/>
      <c r="Q135" s="177"/>
      <c r="R135" s="178"/>
      <c r="S135" s="170"/>
      <c r="T135" s="606" t="str">
        <f t="shared" ref="T135:T140" si="106">A135</f>
        <v xml:space="preserve">INTEREST AND OTHER </v>
      </c>
      <c r="U135" s="816"/>
      <c r="V135" s="590"/>
      <c r="W135" s="610"/>
      <c r="X135" s="590"/>
      <c r="Y135" s="590"/>
      <c r="Z135" s="590"/>
      <c r="AA135" s="590"/>
      <c r="AB135" s="170"/>
      <c r="AC135" s="170"/>
      <c r="AD135" s="166" t="str">
        <f t="shared" ref="AD135:AD140" si="107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5">
      <c r="A136" s="411" t="s">
        <v>324</v>
      </c>
      <c r="C136" s="673">
        <v>0</v>
      </c>
      <c r="D136" s="673">
        <v>0</v>
      </c>
      <c r="E136" s="673">
        <v>0</v>
      </c>
      <c r="F136" s="673">
        <v>0</v>
      </c>
      <c r="G136" s="673">
        <v>0</v>
      </c>
      <c r="H136" s="673">
        <v>0</v>
      </c>
      <c r="I136" s="673">
        <v>0</v>
      </c>
      <c r="J136" s="673">
        <v>0</v>
      </c>
      <c r="K136" s="673">
        <v>0</v>
      </c>
      <c r="L136" s="673">
        <v>0</v>
      </c>
      <c r="M136" s="673">
        <v>0</v>
      </c>
      <c r="N136" s="673">
        <v>0</v>
      </c>
      <c r="O136" s="177">
        <f>SUM(C136:N136)</f>
        <v>0</v>
      </c>
      <c r="P136" s="178">
        <f>SUM(C136:H136)</f>
        <v>0</v>
      </c>
      <c r="Q136" s="177">
        <f>O136-P136</f>
        <v>0</v>
      </c>
      <c r="R136" s="572"/>
      <c r="S136" s="170"/>
      <c r="T136" s="607" t="str">
        <f t="shared" si="106"/>
        <v xml:space="preserve">   Direct Interest</v>
      </c>
      <c r="U136" s="816"/>
      <c r="V136" s="590">
        <f>C136+D136+E136</f>
        <v>0</v>
      </c>
      <c r="W136" s="590">
        <f>F136+G136+H136</f>
        <v>0</v>
      </c>
      <c r="X136" s="590">
        <f>I136+J136+K136</f>
        <v>0</v>
      </c>
      <c r="Y136" s="590">
        <f>L136+M136+N136</f>
        <v>0</v>
      </c>
      <c r="Z136" s="590"/>
      <c r="AA136" s="590">
        <f>SUM(V136:Y136)</f>
        <v>0</v>
      </c>
      <c r="AB136" s="170"/>
      <c r="AC136" s="170"/>
      <c r="AD136" s="165" t="str">
        <f t="shared" si="107"/>
        <v xml:space="preserve">   Direct Interest</v>
      </c>
      <c r="AF136" s="177">
        <f>C136</f>
        <v>0</v>
      </c>
      <c r="AG136" s="177">
        <f t="shared" ref="AG136:AQ140" si="108">D136+AF136</f>
        <v>0</v>
      </c>
      <c r="AH136" s="177">
        <f t="shared" si="108"/>
        <v>0</v>
      </c>
      <c r="AI136" s="177">
        <f t="shared" si="108"/>
        <v>0</v>
      </c>
      <c r="AJ136" s="177">
        <f t="shared" si="108"/>
        <v>0</v>
      </c>
      <c r="AK136" s="177">
        <f t="shared" si="108"/>
        <v>0</v>
      </c>
      <c r="AL136" s="177">
        <f t="shared" si="108"/>
        <v>0</v>
      </c>
      <c r="AM136" s="177">
        <f t="shared" si="108"/>
        <v>0</v>
      </c>
      <c r="AN136" s="177">
        <f t="shared" si="108"/>
        <v>0</v>
      </c>
      <c r="AO136" s="177">
        <f t="shared" si="108"/>
        <v>0</v>
      </c>
      <c r="AP136" s="177">
        <f t="shared" si="108"/>
        <v>0</v>
      </c>
      <c r="AQ136" s="177">
        <f t="shared" si="108"/>
        <v>0</v>
      </c>
    </row>
    <row r="137" spans="1:43" x14ac:dyDescent="0.25">
      <c r="A137" s="411" t="s">
        <v>1057</v>
      </c>
      <c r="C137" s="673">
        <v>0</v>
      </c>
      <c r="D137" s="673">
        <v>0</v>
      </c>
      <c r="E137" s="673">
        <v>0</v>
      </c>
      <c r="F137" s="673">
        <v>0</v>
      </c>
      <c r="G137" s="673">
        <v>0</v>
      </c>
      <c r="H137" s="673">
        <v>0</v>
      </c>
      <c r="I137" s="673">
        <v>0</v>
      </c>
      <c r="J137" s="673">
        <v>0</v>
      </c>
      <c r="K137" s="673">
        <v>0</v>
      </c>
      <c r="L137" s="673">
        <v>0</v>
      </c>
      <c r="M137" s="673">
        <v>0</v>
      </c>
      <c r="N137" s="673">
        <v>0</v>
      </c>
      <c r="O137" s="177">
        <f>SUM(C137:N137)</f>
        <v>0</v>
      </c>
      <c r="P137" s="178">
        <f>SUM(C137:H137)</f>
        <v>0</v>
      </c>
      <c r="Q137" s="177">
        <f>O137-P137</f>
        <v>0</v>
      </c>
      <c r="R137" s="572"/>
      <c r="S137" s="170"/>
      <c r="T137" s="607" t="str">
        <f t="shared" si="106"/>
        <v xml:space="preserve">   Interest on Long Term Debt (Pre 1/1/98 - Third Party)</v>
      </c>
      <c r="U137" s="816"/>
      <c r="V137" s="590">
        <f>C137+D137+E137</f>
        <v>0</v>
      </c>
      <c r="W137" s="590">
        <f>F137+G137+H137</f>
        <v>0</v>
      </c>
      <c r="X137" s="590">
        <f>I137+J137+K137</f>
        <v>0</v>
      </c>
      <c r="Y137" s="590">
        <f>L137+M137+N137</f>
        <v>0</v>
      </c>
      <c r="Z137" s="590"/>
      <c r="AA137" s="590">
        <f>SUM(V137:Y137)</f>
        <v>0</v>
      </c>
      <c r="AB137" s="170"/>
      <c r="AC137" s="170"/>
      <c r="AD137" s="165" t="str">
        <f t="shared" si="107"/>
        <v xml:space="preserve">   Interest on Long Term Debt (Pre 1/1/98 - Third Party)</v>
      </c>
      <c r="AF137" s="177">
        <f>C137</f>
        <v>0</v>
      </c>
      <c r="AG137" s="177">
        <f t="shared" ref="AG137:AQ138" si="109">D137+AF137</f>
        <v>0</v>
      </c>
      <c r="AH137" s="177">
        <f t="shared" si="109"/>
        <v>0</v>
      </c>
      <c r="AI137" s="177">
        <f t="shared" si="109"/>
        <v>0</v>
      </c>
      <c r="AJ137" s="177">
        <f t="shared" si="109"/>
        <v>0</v>
      </c>
      <c r="AK137" s="177">
        <f t="shared" si="109"/>
        <v>0</v>
      </c>
      <c r="AL137" s="177">
        <f t="shared" si="109"/>
        <v>0</v>
      </c>
      <c r="AM137" s="177">
        <f t="shared" si="109"/>
        <v>0</v>
      </c>
      <c r="AN137" s="177">
        <f t="shared" si="109"/>
        <v>0</v>
      </c>
      <c r="AO137" s="177">
        <f t="shared" si="109"/>
        <v>0</v>
      </c>
      <c r="AP137" s="177">
        <f t="shared" si="109"/>
        <v>0</v>
      </c>
      <c r="AQ137" s="177">
        <f t="shared" si="109"/>
        <v>0</v>
      </c>
    </row>
    <row r="138" spans="1:43" x14ac:dyDescent="0.25">
      <c r="A138" s="411" t="s">
        <v>1058</v>
      </c>
      <c r="C138" s="673">
        <v>0</v>
      </c>
      <c r="D138" s="673">
        <v>0</v>
      </c>
      <c r="E138" s="673">
        <v>0</v>
      </c>
      <c r="F138" s="673">
        <v>0</v>
      </c>
      <c r="G138" s="673">
        <v>0</v>
      </c>
      <c r="H138" s="673">
        <v>0</v>
      </c>
      <c r="I138" s="673">
        <v>0</v>
      </c>
      <c r="J138" s="673">
        <v>0</v>
      </c>
      <c r="K138" s="673">
        <v>0</v>
      </c>
      <c r="L138" s="673">
        <v>0</v>
      </c>
      <c r="M138" s="673">
        <v>0</v>
      </c>
      <c r="N138" s="673">
        <v>0</v>
      </c>
      <c r="O138" s="177">
        <f>SUM(C138:N138)</f>
        <v>0</v>
      </c>
      <c r="P138" s="178">
        <f>SUM(C138:H138)</f>
        <v>0</v>
      </c>
      <c r="Q138" s="177">
        <f>O138-P138</f>
        <v>0</v>
      </c>
      <c r="R138" s="572"/>
      <c r="S138" s="170"/>
      <c r="T138" s="607" t="str">
        <f t="shared" si="106"/>
        <v xml:space="preserve">   Interest on Long Term Debt (Post 1/1/98 - Internal)</v>
      </c>
      <c r="U138" s="816"/>
      <c r="V138" s="590">
        <f>C138+D138+E138</f>
        <v>0</v>
      </c>
      <c r="W138" s="590">
        <f>F138+G138+H138</f>
        <v>0</v>
      </c>
      <c r="X138" s="590">
        <f>I138+J138+K138</f>
        <v>0</v>
      </c>
      <c r="Y138" s="590">
        <f>L138+M138+N138</f>
        <v>0</v>
      </c>
      <c r="Z138" s="590"/>
      <c r="AA138" s="590">
        <f>SUM(V138:Y138)</f>
        <v>0</v>
      </c>
      <c r="AB138" s="170"/>
      <c r="AC138" s="170"/>
      <c r="AD138" s="165" t="str">
        <f t="shared" si="107"/>
        <v xml:space="preserve">   Interest on Long Term Debt (Post 1/1/98 - Internal)</v>
      </c>
      <c r="AF138" s="177">
        <f>C138</f>
        <v>0</v>
      </c>
      <c r="AG138" s="177">
        <f t="shared" si="109"/>
        <v>0</v>
      </c>
      <c r="AH138" s="177">
        <f t="shared" si="109"/>
        <v>0</v>
      </c>
      <c r="AI138" s="177">
        <f t="shared" si="109"/>
        <v>0</v>
      </c>
      <c r="AJ138" s="177">
        <f t="shared" si="109"/>
        <v>0</v>
      </c>
      <c r="AK138" s="177">
        <f t="shared" si="109"/>
        <v>0</v>
      </c>
      <c r="AL138" s="177">
        <f t="shared" si="109"/>
        <v>0</v>
      </c>
      <c r="AM138" s="177">
        <f t="shared" si="109"/>
        <v>0</v>
      </c>
      <c r="AN138" s="177">
        <f t="shared" si="109"/>
        <v>0</v>
      </c>
      <c r="AO138" s="177">
        <f t="shared" si="109"/>
        <v>0</v>
      </c>
      <c r="AP138" s="177">
        <f t="shared" si="109"/>
        <v>0</v>
      </c>
      <c r="AQ138" s="177">
        <f t="shared" si="109"/>
        <v>0</v>
      </c>
    </row>
    <row r="139" spans="1:43" x14ac:dyDescent="0.25">
      <c r="A139" s="411" t="s">
        <v>325</v>
      </c>
      <c r="C139" s="673">
        <v>0</v>
      </c>
      <c r="D139" s="673">
        <v>0</v>
      </c>
      <c r="E139" s="673">
        <v>0</v>
      </c>
      <c r="F139" s="673">
        <v>0</v>
      </c>
      <c r="G139" s="673">
        <v>0</v>
      </c>
      <c r="H139" s="673">
        <v>0</v>
      </c>
      <c r="I139" s="673">
        <v>0</v>
      </c>
      <c r="J139" s="673">
        <v>0</v>
      </c>
      <c r="K139" s="673">
        <v>0</v>
      </c>
      <c r="L139" s="673">
        <v>0</v>
      </c>
      <c r="M139" s="673">
        <v>0</v>
      </c>
      <c r="N139" s="673">
        <v>0</v>
      </c>
      <c r="O139" s="177">
        <f>SUM(C139:N139)</f>
        <v>0</v>
      </c>
      <c r="P139" s="178">
        <f>SUM(C139:H139)</f>
        <v>0</v>
      </c>
      <c r="Q139" s="177">
        <f>O139-P139</f>
        <v>0</v>
      </c>
      <c r="R139" s="572"/>
      <c r="S139" s="170"/>
      <c r="T139" s="607" t="str">
        <f t="shared" si="106"/>
        <v xml:space="preserve">   Intercompany Interest Expense / (Income)</v>
      </c>
      <c r="U139" s="816"/>
      <c r="V139" s="590">
        <f>C139+D139+E139</f>
        <v>0</v>
      </c>
      <c r="W139" s="590">
        <f>F139+G139+H139</f>
        <v>0</v>
      </c>
      <c r="X139" s="590">
        <f>I139+J139+K139</f>
        <v>0</v>
      </c>
      <c r="Y139" s="590">
        <f>L139+M139+N139</f>
        <v>0</v>
      </c>
      <c r="Z139" s="590"/>
      <c r="AA139" s="590">
        <f>SUM(V139:Y139)</f>
        <v>0</v>
      </c>
      <c r="AB139" s="170"/>
      <c r="AC139" s="170"/>
      <c r="AD139" s="165" t="str">
        <f t="shared" si="107"/>
        <v xml:space="preserve">   Intercompany Interest Expense / (Income)</v>
      </c>
      <c r="AF139" s="177">
        <f>C139</f>
        <v>0</v>
      </c>
      <c r="AG139" s="177">
        <f t="shared" si="108"/>
        <v>0</v>
      </c>
      <c r="AH139" s="177">
        <f t="shared" si="108"/>
        <v>0</v>
      </c>
      <c r="AI139" s="177">
        <f t="shared" si="108"/>
        <v>0</v>
      </c>
      <c r="AJ139" s="177">
        <f t="shared" si="108"/>
        <v>0</v>
      </c>
      <c r="AK139" s="177">
        <f t="shared" si="108"/>
        <v>0</v>
      </c>
      <c r="AL139" s="177">
        <f t="shared" si="108"/>
        <v>0</v>
      </c>
      <c r="AM139" s="177">
        <f t="shared" si="108"/>
        <v>0</v>
      </c>
      <c r="AN139" s="177">
        <f t="shared" si="108"/>
        <v>0</v>
      </c>
      <c r="AO139" s="177">
        <f t="shared" si="108"/>
        <v>0</v>
      </c>
      <c r="AP139" s="177">
        <f t="shared" si="108"/>
        <v>0</v>
      </c>
      <c r="AQ139" s="177">
        <f t="shared" si="108"/>
        <v>0</v>
      </c>
    </row>
    <row r="140" spans="1:43" x14ac:dyDescent="0.25">
      <c r="A140" s="176" t="s">
        <v>326</v>
      </c>
      <c r="C140" s="674">
        <v>0</v>
      </c>
      <c r="D140" s="674">
        <v>0</v>
      </c>
      <c r="E140" s="674">
        <v>0</v>
      </c>
      <c r="F140" s="674">
        <v>0</v>
      </c>
      <c r="G140" s="674">
        <v>0</v>
      </c>
      <c r="H140" s="674">
        <v>0</v>
      </c>
      <c r="I140" s="674">
        <v>0</v>
      </c>
      <c r="J140" s="674">
        <v>0</v>
      </c>
      <c r="K140" s="674">
        <v>0</v>
      </c>
      <c r="L140" s="674">
        <v>0</v>
      </c>
      <c r="M140" s="674">
        <v>0</v>
      </c>
      <c r="N140" s="674">
        <v>0</v>
      </c>
      <c r="O140" s="180">
        <f>SUM(C140:N140)</f>
        <v>0</v>
      </c>
      <c r="P140" s="263">
        <f>SUM(C140:H140)</f>
        <v>0</v>
      </c>
      <c r="Q140" s="180">
        <f>O140-P140</f>
        <v>0</v>
      </c>
      <c r="R140" s="573"/>
      <c r="S140" s="662"/>
      <c r="T140" s="607" t="str">
        <f t="shared" si="106"/>
        <v xml:space="preserve">   AFUDC</v>
      </c>
      <c r="U140" s="820"/>
      <c r="V140" s="592">
        <f>C140+D140+E140</f>
        <v>0</v>
      </c>
      <c r="W140" s="592">
        <f>F140+G140+H140</f>
        <v>0</v>
      </c>
      <c r="X140" s="592">
        <f>I140+J140+K140</f>
        <v>0</v>
      </c>
      <c r="Y140" s="592">
        <f>L140+M140+N140</f>
        <v>0</v>
      </c>
      <c r="Z140" s="592"/>
      <c r="AA140" s="592">
        <f>SUM(V140:Y140)</f>
        <v>0</v>
      </c>
      <c r="AB140" s="170"/>
      <c r="AC140" s="170"/>
      <c r="AD140" s="165" t="str">
        <f t="shared" si="107"/>
        <v xml:space="preserve">   AFUDC</v>
      </c>
      <c r="AF140" s="180">
        <f>C140</f>
        <v>0</v>
      </c>
      <c r="AG140" s="180">
        <f t="shared" si="108"/>
        <v>0</v>
      </c>
      <c r="AH140" s="180">
        <f t="shared" si="108"/>
        <v>0</v>
      </c>
      <c r="AI140" s="180">
        <f t="shared" si="108"/>
        <v>0</v>
      </c>
      <c r="AJ140" s="180">
        <f t="shared" si="108"/>
        <v>0</v>
      </c>
      <c r="AK140" s="180">
        <f t="shared" si="108"/>
        <v>0</v>
      </c>
      <c r="AL140" s="180">
        <f t="shared" si="108"/>
        <v>0</v>
      </c>
      <c r="AM140" s="180">
        <f t="shared" si="108"/>
        <v>0</v>
      </c>
      <c r="AN140" s="180">
        <f t="shared" si="108"/>
        <v>0</v>
      </c>
      <c r="AO140" s="180">
        <f t="shared" si="108"/>
        <v>0</v>
      </c>
      <c r="AP140" s="180">
        <f t="shared" si="108"/>
        <v>0</v>
      </c>
      <c r="AQ140" s="180">
        <f t="shared" si="108"/>
        <v>0</v>
      </c>
    </row>
    <row r="141" spans="1:43" ht="3.9" customHeight="1" x14ac:dyDescent="0.25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9"/>
      <c r="U141" s="816"/>
      <c r="V141" s="590"/>
      <c r="W141" s="590"/>
      <c r="X141" s="590"/>
      <c r="Y141" s="590"/>
      <c r="Z141" s="590"/>
      <c r="AA141" s="590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5">
      <c r="A142" s="415" t="s">
        <v>1061</v>
      </c>
      <c r="B142" s="815"/>
      <c r="C142" s="181">
        <f>SUM(C136:C140)</f>
        <v>0</v>
      </c>
      <c r="D142" s="181">
        <f t="shared" ref="D142:Q142" si="110">SUM(D136:D140)</f>
        <v>0</v>
      </c>
      <c r="E142" s="181">
        <f t="shared" si="110"/>
        <v>0</v>
      </c>
      <c r="F142" s="181">
        <f t="shared" si="110"/>
        <v>0</v>
      </c>
      <c r="G142" s="181">
        <f t="shared" si="110"/>
        <v>0</v>
      </c>
      <c r="H142" s="181">
        <f t="shared" si="110"/>
        <v>0</v>
      </c>
      <c r="I142" s="181">
        <f t="shared" si="110"/>
        <v>0</v>
      </c>
      <c r="J142" s="181">
        <f t="shared" si="110"/>
        <v>0</v>
      </c>
      <c r="K142" s="181">
        <f t="shared" si="110"/>
        <v>0</v>
      </c>
      <c r="L142" s="181">
        <f t="shared" si="110"/>
        <v>0</v>
      </c>
      <c r="M142" s="181">
        <f t="shared" si="110"/>
        <v>0</v>
      </c>
      <c r="N142" s="181">
        <f t="shared" si="110"/>
        <v>0</v>
      </c>
      <c r="O142" s="181">
        <f t="shared" si="110"/>
        <v>0</v>
      </c>
      <c r="P142" s="181">
        <f t="shared" si="110"/>
        <v>0</v>
      </c>
      <c r="Q142" s="181">
        <f t="shared" si="110"/>
        <v>0</v>
      </c>
      <c r="R142" s="547"/>
      <c r="S142" s="168"/>
      <c r="T142" s="606" t="str">
        <f>A142</f>
        <v xml:space="preserve">     Total Interest and Other</v>
      </c>
      <c r="U142" s="818"/>
      <c r="V142" s="609">
        <f>SUM(V136:V140)</f>
        <v>0</v>
      </c>
      <c r="W142" s="609">
        <f>SUM(W136:W140)</f>
        <v>0</v>
      </c>
      <c r="X142" s="609">
        <f>SUM(X136:X140)</f>
        <v>0</v>
      </c>
      <c r="Y142" s="609">
        <f>SUM(Y136:Y140)</f>
        <v>0</v>
      </c>
      <c r="Z142" s="609"/>
      <c r="AA142" s="609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11">D142+AF142</f>
        <v>0</v>
      </c>
      <c r="AH142" s="181">
        <f t="shared" si="111"/>
        <v>0</v>
      </c>
      <c r="AI142" s="181">
        <f t="shared" si="111"/>
        <v>0</v>
      </c>
      <c r="AJ142" s="181">
        <f t="shared" si="111"/>
        <v>0</v>
      </c>
      <c r="AK142" s="181">
        <f t="shared" si="111"/>
        <v>0</v>
      </c>
      <c r="AL142" s="181">
        <f t="shared" si="111"/>
        <v>0</v>
      </c>
      <c r="AM142" s="181">
        <f t="shared" si="111"/>
        <v>0</v>
      </c>
      <c r="AN142" s="181">
        <f t="shared" si="111"/>
        <v>0</v>
      </c>
      <c r="AO142" s="181">
        <f t="shared" si="111"/>
        <v>0</v>
      </c>
      <c r="AP142" s="181">
        <f t="shared" si="111"/>
        <v>0</v>
      </c>
      <c r="AQ142" s="181">
        <f t="shared" si="111"/>
        <v>0</v>
      </c>
    </row>
    <row r="143" spans="1:43" x14ac:dyDescent="0.25">
      <c r="A143" s="415"/>
      <c r="B143" s="815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6"/>
      <c r="U143" s="818"/>
      <c r="V143" s="609"/>
      <c r="W143" s="609"/>
      <c r="X143" s="609"/>
      <c r="Y143" s="609"/>
      <c r="Z143" s="609"/>
      <c r="AA143" s="609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5">
      <c r="A144" s="399" t="s">
        <v>328</v>
      </c>
      <c r="B144" s="812"/>
      <c r="C144" s="181">
        <f t="shared" ref="C144:Q144" si="112">C124+C131-C142</f>
        <v>-500</v>
      </c>
      <c r="D144" s="181">
        <f t="shared" si="112"/>
        <v>-500</v>
      </c>
      <c r="E144" s="181">
        <f t="shared" si="112"/>
        <v>-500</v>
      </c>
      <c r="F144" s="181">
        <f t="shared" si="112"/>
        <v>-500</v>
      </c>
      <c r="G144" s="181">
        <f t="shared" si="112"/>
        <v>-500</v>
      </c>
      <c r="H144" s="181">
        <f t="shared" si="112"/>
        <v>-500</v>
      </c>
      <c r="I144" s="181">
        <f t="shared" si="112"/>
        <v>-500</v>
      </c>
      <c r="J144" s="181">
        <f t="shared" si="112"/>
        <v>-500</v>
      </c>
      <c r="K144" s="181">
        <f t="shared" si="112"/>
        <v>-500</v>
      </c>
      <c r="L144" s="181">
        <f t="shared" si="112"/>
        <v>-500</v>
      </c>
      <c r="M144" s="181">
        <f t="shared" si="112"/>
        <v>-500</v>
      </c>
      <c r="N144" s="181">
        <f t="shared" si="112"/>
        <v>-500</v>
      </c>
      <c r="O144" s="181">
        <f t="shared" si="112"/>
        <v>-6000</v>
      </c>
      <c r="P144" s="181">
        <f t="shared" si="112"/>
        <v>-3000</v>
      </c>
      <c r="Q144" s="181">
        <f t="shared" si="112"/>
        <v>-3000</v>
      </c>
      <c r="R144" s="547"/>
      <c r="S144" s="168"/>
      <c r="T144" s="606" t="str">
        <f>A144</f>
        <v>INCOME BEFORE INCOME TAXES</v>
      </c>
      <c r="U144" s="601"/>
      <c r="V144" s="609">
        <f>V124+V131-V142</f>
        <v>-1500</v>
      </c>
      <c r="W144" s="609">
        <f>W124+W131-W142</f>
        <v>-1500</v>
      </c>
      <c r="X144" s="609">
        <f>X124+X131-X142</f>
        <v>-1500</v>
      </c>
      <c r="Y144" s="609">
        <f>Y124+Y131-Y142</f>
        <v>-1500</v>
      </c>
      <c r="Z144" s="609"/>
      <c r="AA144" s="609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3">D144+AF144</f>
        <v>-1000</v>
      </c>
      <c r="AH144" s="181">
        <f t="shared" si="113"/>
        <v>-1500</v>
      </c>
      <c r="AI144" s="181">
        <f t="shared" si="113"/>
        <v>-2000</v>
      </c>
      <c r="AJ144" s="181">
        <f t="shared" si="113"/>
        <v>-2500</v>
      </c>
      <c r="AK144" s="181">
        <f t="shared" si="113"/>
        <v>-3000</v>
      </c>
      <c r="AL144" s="181">
        <f t="shared" si="113"/>
        <v>-3500</v>
      </c>
      <c r="AM144" s="181">
        <f t="shared" si="113"/>
        <v>-4000</v>
      </c>
      <c r="AN144" s="181">
        <f t="shared" si="113"/>
        <v>-4500</v>
      </c>
      <c r="AO144" s="181">
        <f t="shared" si="113"/>
        <v>-5000</v>
      </c>
      <c r="AP144" s="181">
        <f t="shared" si="113"/>
        <v>-5500</v>
      </c>
      <c r="AQ144" s="181">
        <f t="shared" si="113"/>
        <v>-6000</v>
      </c>
    </row>
    <row r="145" spans="1:43" x14ac:dyDescent="0.25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9"/>
      <c r="U145" s="816"/>
      <c r="V145" s="590"/>
      <c r="W145" s="590"/>
      <c r="X145" s="590"/>
      <c r="Y145" s="590"/>
      <c r="Z145" s="590"/>
      <c r="AA145" s="590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5">
      <c r="A146" s="176" t="s">
        <v>988</v>
      </c>
      <c r="C146" s="177">
        <f>C149-C147</f>
        <v>0</v>
      </c>
      <c r="D146" s="177">
        <f t="shared" ref="D146:N146" si="114">D149-D147</f>
        <v>0</v>
      </c>
      <c r="E146" s="177">
        <f t="shared" si="114"/>
        <v>0</v>
      </c>
      <c r="F146" s="177">
        <f t="shared" si="114"/>
        <v>0</v>
      </c>
      <c r="G146" s="177">
        <f t="shared" si="114"/>
        <v>0</v>
      </c>
      <c r="H146" s="177">
        <f t="shared" si="114"/>
        <v>0</v>
      </c>
      <c r="I146" s="177">
        <f t="shared" si="114"/>
        <v>0</v>
      </c>
      <c r="J146" s="177">
        <f t="shared" si="114"/>
        <v>0</v>
      </c>
      <c r="K146" s="177">
        <f t="shared" si="114"/>
        <v>0</v>
      </c>
      <c r="L146" s="177">
        <f t="shared" si="114"/>
        <v>0</v>
      </c>
      <c r="M146" s="177">
        <f t="shared" si="114"/>
        <v>0</v>
      </c>
      <c r="N146" s="177">
        <f t="shared" si="114"/>
        <v>0</v>
      </c>
      <c r="O146" s="177">
        <f>SUM(C146:N146)</f>
        <v>0</v>
      </c>
      <c r="P146" s="178">
        <f>SUM(C146:H146)</f>
        <v>0</v>
      </c>
      <c r="Q146" s="177">
        <f>O146-P146</f>
        <v>0</v>
      </c>
      <c r="R146" s="572"/>
      <c r="S146" s="170"/>
      <c r="T146" s="607" t="str">
        <f>A146</f>
        <v xml:space="preserve">   Payable Currently</v>
      </c>
      <c r="U146" s="816"/>
      <c r="V146" s="590">
        <f>C146+D146+E146</f>
        <v>0</v>
      </c>
      <c r="W146" s="590">
        <f>F146+G146+H146</f>
        <v>0</v>
      </c>
      <c r="X146" s="590">
        <f>I146+J146+K146</f>
        <v>0</v>
      </c>
      <c r="Y146" s="590">
        <f>L146+M146+N146</f>
        <v>0</v>
      </c>
      <c r="Z146" s="590"/>
      <c r="AA146" s="590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5">D146+AF146</f>
        <v>0</v>
      </c>
      <c r="AH146" s="177">
        <f t="shared" si="115"/>
        <v>0</v>
      </c>
      <c r="AI146" s="177">
        <f t="shared" si="115"/>
        <v>0</v>
      </c>
      <c r="AJ146" s="177">
        <f t="shared" si="115"/>
        <v>0</v>
      </c>
      <c r="AK146" s="177">
        <f t="shared" si="115"/>
        <v>0</v>
      </c>
      <c r="AL146" s="177">
        <f t="shared" si="115"/>
        <v>0</v>
      </c>
      <c r="AM146" s="177">
        <f t="shared" si="115"/>
        <v>0</v>
      </c>
      <c r="AN146" s="177">
        <f t="shared" si="115"/>
        <v>0</v>
      </c>
      <c r="AO146" s="177">
        <f t="shared" si="115"/>
        <v>0</v>
      </c>
      <c r="AP146" s="177">
        <f t="shared" si="115"/>
        <v>0</v>
      </c>
      <c r="AQ146" s="177">
        <f t="shared" si="115"/>
        <v>0</v>
      </c>
    </row>
    <row r="147" spans="1:43" x14ac:dyDescent="0.25">
      <c r="A147" s="413" t="s">
        <v>989</v>
      </c>
      <c r="C147" s="851">
        <f>DeferredTax!R73</f>
        <v>-175</v>
      </c>
      <c r="D147" s="851">
        <f>DeferredTax!S73</f>
        <v>-175</v>
      </c>
      <c r="E147" s="851">
        <f>DeferredTax!T73</f>
        <v>-175</v>
      </c>
      <c r="F147" s="851">
        <f>DeferredTax!U73</f>
        <v>-175</v>
      </c>
      <c r="G147" s="851">
        <f>DeferredTax!V73</f>
        <v>-175</v>
      </c>
      <c r="H147" s="851">
        <f>DeferredTax!W73</f>
        <v>-175</v>
      </c>
      <c r="I147" s="851">
        <f>DeferredTax!X73</f>
        <v>-175</v>
      </c>
      <c r="J147" s="851">
        <f>DeferredTax!Y73</f>
        <v>-175</v>
      </c>
      <c r="K147" s="851">
        <f>DeferredTax!Z73</f>
        <v>-175</v>
      </c>
      <c r="L147" s="851">
        <f>DeferredTax!AA73</f>
        <v>-175</v>
      </c>
      <c r="M147" s="851">
        <f>DeferredTax!AB73</f>
        <v>-175</v>
      </c>
      <c r="N147" s="851">
        <f>DeferredTax!AC73</f>
        <v>-175</v>
      </c>
      <c r="O147" s="180">
        <f>SUM(C147:N147)</f>
        <v>-2100</v>
      </c>
      <c r="P147" s="263">
        <f>SUM(C147:H147)</f>
        <v>-1050</v>
      </c>
      <c r="Q147" s="180">
        <f>O147-P147</f>
        <v>-1050</v>
      </c>
      <c r="R147" s="573"/>
      <c r="S147" s="170"/>
      <c r="T147" s="607" t="str">
        <f>A147</f>
        <v xml:space="preserve">   Deferred</v>
      </c>
      <c r="U147" s="816"/>
      <c r="V147" s="592">
        <f>C147+D147+E147</f>
        <v>-525</v>
      </c>
      <c r="W147" s="592">
        <f>F147+G147+H147</f>
        <v>-525</v>
      </c>
      <c r="X147" s="592">
        <f>I147+J147+K147</f>
        <v>-525</v>
      </c>
      <c r="Y147" s="592">
        <f>L147+M147+N147</f>
        <v>-525</v>
      </c>
      <c r="Z147" s="592"/>
      <c r="AA147" s="592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5"/>
        <v>-350</v>
      </c>
      <c r="AH147" s="180">
        <f t="shared" si="115"/>
        <v>-525</v>
      </c>
      <c r="AI147" s="180">
        <f t="shared" si="115"/>
        <v>-700</v>
      </c>
      <c r="AJ147" s="180">
        <f t="shared" si="115"/>
        <v>-875</v>
      </c>
      <c r="AK147" s="180">
        <f t="shared" si="115"/>
        <v>-1050</v>
      </c>
      <c r="AL147" s="180">
        <f t="shared" si="115"/>
        <v>-1225</v>
      </c>
      <c r="AM147" s="180">
        <f t="shared" si="115"/>
        <v>-1400</v>
      </c>
      <c r="AN147" s="180">
        <f t="shared" si="115"/>
        <v>-1575</v>
      </c>
      <c r="AO147" s="180">
        <f t="shared" si="115"/>
        <v>-1750</v>
      </c>
      <c r="AP147" s="180">
        <f t="shared" si="115"/>
        <v>-1925</v>
      </c>
      <c r="AQ147" s="180">
        <f t="shared" si="115"/>
        <v>-2100</v>
      </c>
    </row>
    <row r="148" spans="1:43" ht="3.9" customHeight="1" x14ac:dyDescent="0.25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5"/>
      <c r="U148" s="816"/>
      <c r="V148" s="590"/>
      <c r="W148" s="590"/>
      <c r="X148" s="590"/>
      <c r="Y148" s="590"/>
      <c r="Z148" s="590"/>
      <c r="AA148" s="590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5">
      <c r="A149" s="412" t="s">
        <v>990</v>
      </c>
      <c r="B149" s="812"/>
      <c r="C149" s="181">
        <f>ROUND(C144*0.35,0)</f>
        <v>-175</v>
      </c>
      <c r="D149" s="181">
        <f t="shared" ref="D149:N149" si="116">ROUND(D144*0.35,0)</f>
        <v>-175</v>
      </c>
      <c r="E149" s="181">
        <f t="shared" si="116"/>
        <v>-175</v>
      </c>
      <c r="F149" s="181">
        <f t="shared" si="116"/>
        <v>-175</v>
      </c>
      <c r="G149" s="181">
        <f t="shared" si="116"/>
        <v>-175</v>
      </c>
      <c r="H149" s="181">
        <f t="shared" si="116"/>
        <v>-175</v>
      </c>
      <c r="I149" s="181">
        <f t="shared" si="116"/>
        <v>-175</v>
      </c>
      <c r="J149" s="181">
        <f t="shared" si="116"/>
        <v>-175</v>
      </c>
      <c r="K149" s="181">
        <f t="shared" si="116"/>
        <v>-175</v>
      </c>
      <c r="L149" s="181">
        <f t="shared" si="116"/>
        <v>-175</v>
      </c>
      <c r="M149" s="181">
        <f t="shared" si="116"/>
        <v>-175</v>
      </c>
      <c r="N149" s="181">
        <f t="shared" si="116"/>
        <v>-175</v>
      </c>
      <c r="O149" s="181">
        <f>ROUND((SUM(O146:O147)),0)</f>
        <v>-2100</v>
      </c>
      <c r="P149" s="181">
        <f>ROUND((SUM(P146:P147)),0)</f>
        <v>-1050</v>
      </c>
      <c r="Q149" s="181">
        <f>ROUND((SUM(Q146:Q147)),0)</f>
        <v>-1050</v>
      </c>
      <c r="R149" s="547"/>
      <c r="S149" s="168"/>
      <c r="T149" s="606" t="str">
        <f>A149</f>
        <v xml:space="preserve">     Total Income Taxes (Composite Rate - 35.00 %)</v>
      </c>
      <c r="U149" s="601"/>
      <c r="V149" s="609">
        <f>V146+V147</f>
        <v>-525</v>
      </c>
      <c r="W149" s="609">
        <f>W146+W147</f>
        <v>-525</v>
      </c>
      <c r="X149" s="609">
        <f>X146+X147</f>
        <v>-525</v>
      </c>
      <c r="Y149" s="609">
        <f>Y146+Y147</f>
        <v>-525</v>
      </c>
      <c r="Z149" s="609"/>
      <c r="AA149" s="609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7">D149+AF149</f>
        <v>-350</v>
      </c>
      <c r="AH149" s="181">
        <f t="shared" si="117"/>
        <v>-525</v>
      </c>
      <c r="AI149" s="181">
        <f t="shared" si="117"/>
        <v>-700</v>
      </c>
      <c r="AJ149" s="181">
        <f t="shared" si="117"/>
        <v>-875</v>
      </c>
      <c r="AK149" s="181">
        <f t="shared" si="117"/>
        <v>-1050</v>
      </c>
      <c r="AL149" s="181">
        <f t="shared" si="117"/>
        <v>-1225</v>
      </c>
      <c r="AM149" s="181">
        <f t="shared" si="117"/>
        <v>-1400</v>
      </c>
      <c r="AN149" s="181">
        <f t="shared" si="117"/>
        <v>-1575</v>
      </c>
      <c r="AO149" s="181">
        <f t="shared" si="117"/>
        <v>-1750</v>
      </c>
      <c r="AP149" s="181">
        <f t="shared" si="117"/>
        <v>-1925</v>
      </c>
      <c r="AQ149" s="181">
        <f t="shared" si="117"/>
        <v>-2100</v>
      </c>
    </row>
    <row r="150" spans="1:43" x14ac:dyDescent="0.25">
      <c r="A150" s="401"/>
      <c r="B150" s="812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4"/>
      <c r="U150" s="601"/>
      <c r="V150" s="608"/>
      <c r="W150" s="608"/>
      <c r="X150" s="608"/>
      <c r="Y150" s="611"/>
      <c r="Z150" s="608"/>
      <c r="AA150" s="608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5">
      <c r="A151" s="410" t="s">
        <v>1059</v>
      </c>
      <c r="B151" s="812"/>
      <c r="C151" s="181">
        <f t="shared" ref="C151:P151" si="118">ROUND(+C144-C149,0)</f>
        <v>-325</v>
      </c>
      <c r="D151" s="181">
        <f t="shared" si="118"/>
        <v>-325</v>
      </c>
      <c r="E151" s="181">
        <f t="shared" si="118"/>
        <v>-325</v>
      </c>
      <c r="F151" s="181">
        <f t="shared" si="118"/>
        <v>-325</v>
      </c>
      <c r="G151" s="181">
        <f t="shared" si="118"/>
        <v>-325</v>
      </c>
      <c r="H151" s="181">
        <f t="shared" si="118"/>
        <v>-325</v>
      </c>
      <c r="I151" s="181">
        <f t="shared" si="118"/>
        <v>-325</v>
      </c>
      <c r="J151" s="181">
        <f t="shared" si="118"/>
        <v>-325</v>
      </c>
      <c r="K151" s="181">
        <f t="shared" si="118"/>
        <v>-325</v>
      </c>
      <c r="L151" s="181">
        <f t="shared" si="118"/>
        <v>-325</v>
      </c>
      <c r="M151" s="181">
        <f t="shared" si="118"/>
        <v>-325</v>
      </c>
      <c r="N151" s="181">
        <f t="shared" si="118"/>
        <v>-325</v>
      </c>
      <c r="O151" s="181">
        <f t="shared" si="118"/>
        <v>-3900</v>
      </c>
      <c r="P151" s="181">
        <f t="shared" si="118"/>
        <v>-1950</v>
      </c>
      <c r="Q151" s="181">
        <f>Q144-Q149</f>
        <v>-1950</v>
      </c>
      <c r="R151" s="547"/>
      <c r="S151" s="168"/>
      <c r="T151" s="606" t="str">
        <f>A151</f>
        <v xml:space="preserve">NET INCOME </v>
      </c>
      <c r="U151" s="601"/>
      <c r="V151" s="609">
        <f>V144-V149</f>
        <v>-975</v>
      </c>
      <c r="W151" s="609">
        <f>W144-W149</f>
        <v>-975</v>
      </c>
      <c r="X151" s="609">
        <f>X144-X149</f>
        <v>-975</v>
      </c>
      <c r="Y151" s="609">
        <f>Y144-Y149</f>
        <v>-975</v>
      </c>
      <c r="Z151" s="609"/>
      <c r="AA151" s="609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9">D151+AF151</f>
        <v>-650</v>
      </c>
      <c r="AH151" s="181">
        <f t="shared" si="119"/>
        <v>-975</v>
      </c>
      <c r="AI151" s="181">
        <f t="shared" si="119"/>
        <v>-1300</v>
      </c>
      <c r="AJ151" s="181">
        <f t="shared" si="119"/>
        <v>-1625</v>
      </c>
      <c r="AK151" s="181">
        <f t="shared" si="119"/>
        <v>-1950</v>
      </c>
      <c r="AL151" s="181">
        <f t="shared" si="119"/>
        <v>-2275</v>
      </c>
      <c r="AM151" s="181">
        <f t="shared" si="119"/>
        <v>-2600</v>
      </c>
      <c r="AN151" s="181">
        <f t="shared" si="119"/>
        <v>-2925</v>
      </c>
      <c r="AO151" s="181">
        <f t="shared" si="119"/>
        <v>-3250</v>
      </c>
      <c r="AP151" s="181">
        <f t="shared" si="119"/>
        <v>-3575</v>
      </c>
      <c r="AQ151" s="181">
        <f t="shared" si="119"/>
        <v>-3900</v>
      </c>
    </row>
    <row r="152" spans="1:43" x14ac:dyDescent="0.25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9"/>
      <c r="U152" s="816"/>
      <c r="V152" s="610"/>
      <c r="W152" s="610"/>
      <c r="X152" s="590"/>
      <c r="Y152" s="590"/>
      <c r="Z152" s="590"/>
      <c r="AA152" s="610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5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5">
      <c r="A154" s="550" t="str">
        <f ca="1">CELL("FILENAME")</f>
        <v>P:\Finance\2001CE\[EMTW01CE.XLS]DataBase</v>
      </c>
      <c r="C154" s="166"/>
      <c r="D154" s="166"/>
      <c r="E154" s="166"/>
      <c r="F154" s="166"/>
      <c r="G154" s="667" t="s">
        <v>568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2" t="str">
        <f ca="1">A154</f>
        <v>P:\Finance\2001CE\[EMTW01CE.XLS]DataBase</v>
      </c>
      <c r="U154" s="822" t="str">
        <f>G154</f>
        <v>TRANSWESTERN PIPELINE COMPANY (Co. 60 Only)</v>
      </c>
      <c r="V154" s="526"/>
      <c r="W154" s="577"/>
      <c r="X154" s="577"/>
      <c r="Y154" s="577"/>
      <c r="Z154" s="577"/>
      <c r="AA154" s="576"/>
      <c r="AB154" s="167"/>
      <c r="AC154" s="166"/>
      <c r="AD154" s="416" t="str">
        <f ca="1">A154</f>
        <v>P:\Finance\2001CE\[EMTW01CE.XLS]DataBase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5">
      <c r="A155" s="403" t="s">
        <v>567</v>
      </c>
      <c r="C155" s="168"/>
      <c r="D155" s="169"/>
      <c r="E155" s="168"/>
      <c r="F155" s="167"/>
      <c r="G155" s="577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6" t="s">
        <v>570</v>
      </c>
      <c r="U155" s="601"/>
      <c r="V155" s="598" t="str">
        <f>G155</f>
        <v>2001 ACTUAL / ESTIMATE</v>
      </c>
      <c r="W155" s="577"/>
      <c r="X155" s="577"/>
      <c r="Y155" s="577"/>
      <c r="Z155" s="576"/>
      <c r="AA155" s="576"/>
      <c r="AB155" s="166"/>
      <c r="AC155" s="166"/>
      <c r="AD155" s="675" t="s">
        <v>571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5">
      <c r="A156" s="678" t="str">
        <f>A3</f>
        <v>2001 CURRENT ESTIMATE</v>
      </c>
      <c r="C156" s="168"/>
      <c r="D156" s="168"/>
      <c r="E156" s="168"/>
      <c r="F156" s="168"/>
      <c r="G156" s="577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600" t="str">
        <f>A156</f>
        <v>2001 CURRENT ESTIMATE</v>
      </c>
      <c r="U156" s="601"/>
      <c r="V156" s="598" t="str">
        <f>G156</f>
        <v xml:space="preserve">RESULTS OF OPERATIONS </v>
      </c>
      <c r="W156" s="577"/>
      <c r="X156" s="577"/>
      <c r="Y156" s="577"/>
      <c r="Z156" s="576"/>
      <c r="AA156" s="576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890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5">
      <c r="A157" s="400"/>
      <c r="B157" s="810">
        <f ca="1">NOW()</f>
        <v>37109.471773379628</v>
      </c>
      <c r="C157" s="168"/>
      <c r="D157" s="168"/>
      <c r="E157" s="168"/>
      <c r="F157" s="168"/>
      <c r="G157" s="577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5"/>
      <c r="U157" s="810">
        <f ca="1">NOW()</f>
        <v>37109.471773379628</v>
      </c>
      <c r="V157" s="598" t="str">
        <f>G157</f>
        <v>(Thousands of Dollars)</v>
      </c>
      <c r="W157" s="577"/>
      <c r="X157" s="577"/>
      <c r="Y157" s="577"/>
      <c r="Z157" s="576"/>
      <c r="AA157" s="576"/>
      <c r="AB157" s="166"/>
      <c r="AC157" s="166"/>
      <c r="AD157" s="166"/>
      <c r="AE157" s="810">
        <f ca="1">NOW()</f>
        <v>37109.471773379628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5">
      <c r="A158" s="412" t="s">
        <v>566</v>
      </c>
      <c r="B158" s="811">
        <f ca="1">NOW()</f>
        <v>37109.471773379628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72" t="s">
        <v>569</v>
      </c>
      <c r="U158" s="811">
        <f ca="1">NOW()</f>
        <v>37109.471773379628</v>
      </c>
      <c r="V158" s="576"/>
      <c r="W158" s="584"/>
      <c r="X158" s="584"/>
      <c r="Y158" s="584"/>
      <c r="Z158" s="584"/>
      <c r="AA158" s="584"/>
      <c r="AB158" s="166"/>
      <c r="AC158" s="166"/>
      <c r="AD158" s="412" t="s">
        <v>572</v>
      </c>
      <c r="AE158" s="811">
        <f ca="1">NOW()</f>
        <v>37109.471773379628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5">
      <c r="A159" s="170"/>
      <c r="C159" s="171" t="str">
        <f>C6</f>
        <v>ACT.</v>
      </c>
      <c r="D159" s="171" t="str">
        <f t="shared" ref="D159:Q159" si="120">D6</f>
        <v>ACT.</v>
      </c>
      <c r="E159" s="171" t="str">
        <f t="shared" si="120"/>
        <v>ACT.</v>
      </c>
      <c r="F159" s="171" t="str">
        <f t="shared" si="120"/>
        <v>ACT.</v>
      </c>
      <c r="G159" s="171" t="str">
        <f t="shared" si="120"/>
        <v>ACT.</v>
      </c>
      <c r="H159" s="171" t="str">
        <f t="shared" si="120"/>
        <v>ACT.</v>
      </c>
      <c r="I159" s="171" t="str">
        <f t="shared" si="120"/>
        <v>FLASH</v>
      </c>
      <c r="J159" s="171">
        <f t="shared" si="120"/>
        <v>0</v>
      </c>
      <c r="K159" s="171">
        <f t="shared" si="120"/>
        <v>0</v>
      </c>
      <c r="L159" s="171">
        <f t="shared" si="120"/>
        <v>0</v>
      </c>
      <c r="M159" s="171">
        <f t="shared" si="120"/>
        <v>0</v>
      </c>
      <c r="N159" s="171">
        <f t="shared" si="120"/>
        <v>0</v>
      </c>
      <c r="O159" s="171" t="str">
        <f t="shared" si="120"/>
        <v>TOTAL</v>
      </c>
      <c r="P159" s="171" t="str">
        <f t="shared" si="120"/>
        <v>JUNE</v>
      </c>
      <c r="Q159" s="171" t="str">
        <f t="shared" si="120"/>
        <v>ESTIMATE</v>
      </c>
      <c r="R159" s="166"/>
      <c r="S159" s="167"/>
      <c r="T159" s="576"/>
      <c r="U159" s="601"/>
      <c r="V159" s="601" t="s">
        <v>894</v>
      </c>
      <c r="W159" s="601" t="s">
        <v>895</v>
      </c>
      <c r="X159" s="601" t="s">
        <v>896</v>
      </c>
      <c r="Y159" s="601" t="s">
        <v>897</v>
      </c>
      <c r="Z159" s="584"/>
      <c r="AA159" s="602" t="str">
        <f>O159</f>
        <v>TOTAL</v>
      </c>
      <c r="AB159" s="166"/>
      <c r="AC159" s="166"/>
      <c r="AD159" s="170"/>
      <c r="AF159" s="171" t="str">
        <f t="shared" ref="AF159:AQ160" si="121">C159</f>
        <v>ACT.</v>
      </c>
      <c r="AG159" s="171" t="str">
        <f t="shared" si="121"/>
        <v>ACT.</v>
      </c>
      <c r="AH159" s="171" t="str">
        <f t="shared" si="121"/>
        <v>ACT.</v>
      </c>
      <c r="AI159" s="171" t="str">
        <f t="shared" si="121"/>
        <v>ACT.</v>
      </c>
      <c r="AJ159" s="171" t="str">
        <f t="shared" si="121"/>
        <v>ACT.</v>
      </c>
      <c r="AK159" s="171" t="str">
        <f t="shared" si="121"/>
        <v>ACT.</v>
      </c>
      <c r="AL159" s="171" t="str">
        <f t="shared" si="121"/>
        <v>FLASH</v>
      </c>
      <c r="AM159" s="171">
        <f t="shared" si="121"/>
        <v>0</v>
      </c>
      <c r="AN159" s="171">
        <f t="shared" si="121"/>
        <v>0</v>
      </c>
      <c r="AO159" s="171">
        <f t="shared" si="121"/>
        <v>0</v>
      </c>
      <c r="AP159" s="171">
        <f t="shared" si="121"/>
        <v>0</v>
      </c>
      <c r="AQ159" s="171">
        <f t="shared" si="121"/>
        <v>0</v>
      </c>
    </row>
    <row r="160" spans="1:43" x14ac:dyDescent="0.25">
      <c r="A160" s="170"/>
      <c r="C160" s="173" t="str">
        <f>C7</f>
        <v>JAN</v>
      </c>
      <c r="D160" s="173" t="str">
        <f t="shared" ref="D160:Q160" si="122">D7</f>
        <v>FEB</v>
      </c>
      <c r="E160" s="173" t="str">
        <f t="shared" si="122"/>
        <v>MAR</v>
      </c>
      <c r="F160" s="173" t="str">
        <f t="shared" si="122"/>
        <v>APR</v>
      </c>
      <c r="G160" s="173" t="str">
        <f t="shared" si="122"/>
        <v>MAY</v>
      </c>
      <c r="H160" s="173" t="str">
        <f t="shared" si="122"/>
        <v>JUN</v>
      </c>
      <c r="I160" s="173" t="str">
        <f t="shared" si="122"/>
        <v>JUL</v>
      </c>
      <c r="J160" s="173" t="str">
        <f t="shared" si="122"/>
        <v>AUG</v>
      </c>
      <c r="K160" s="173" t="str">
        <f t="shared" si="122"/>
        <v>SEP</v>
      </c>
      <c r="L160" s="173" t="str">
        <f t="shared" si="122"/>
        <v>OCT</v>
      </c>
      <c r="M160" s="173" t="str">
        <f t="shared" si="122"/>
        <v>NOV</v>
      </c>
      <c r="N160" s="173" t="str">
        <f t="shared" si="122"/>
        <v>DEC</v>
      </c>
      <c r="O160" s="173">
        <f t="shared" si="122"/>
        <v>2001</v>
      </c>
      <c r="P160" s="173" t="str">
        <f t="shared" si="122"/>
        <v>Y-T-D</v>
      </c>
      <c r="Q160" s="173" t="str">
        <f t="shared" si="122"/>
        <v>R.M.</v>
      </c>
      <c r="R160" s="168"/>
      <c r="S160" s="167"/>
      <c r="T160" s="576"/>
      <c r="U160" s="601"/>
      <c r="V160" s="588" t="s">
        <v>900</v>
      </c>
      <c r="W160" s="603" t="str">
        <f>V$7</f>
        <v>Quarter</v>
      </c>
      <c r="X160" s="603" t="str">
        <f>W$7</f>
        <v>Quarter</v>
      </c>
      <c r="Y160" s="603" t="str">
        <f>X$7</f>
        <v>Quarter</v>
      </c>
      <c r="Z160" s="604"/>
      <c r="AA160" s="605">
        <f>O160</f>
        <v>2001</v>
      </c>
      <c r="AB160" s="166"/>
      <c r="AC160" s="166"/>
      <c r="AD160" s="170"/>
      <c r="AF160" s="173" t="str">
        <f t="shared" si="121"/>
        <v>JAN</v>
      </c>
      <c r="AG160" s="173" t="str">
        <f t="shared" si="121"/>
        <v>FEB</v>
      </c>
      <c r="AH160" s="173" t="str">
        <f t="shared" si="121"/>
        <v>MAR</v>
      </c>
      <c r="AI160" s="173" t="str">
        <f t="shared" si="121"/>
        <v>APR</v>
      </c>
      <c r="AJ160" s="173" t="str">
        <f t="shared" si="121"/>
        <v>MAY</v>
      </c>
      <c r="AK160" s="173" t="str">
        <f t="shared" si="121"/>
        <v>JUN</v>
      </c>
      <c r="AL160" s="173" t="str">
        <f t="shared" si="121"/>
        <v>JUL</v>
      </c>
      <c r="AM160" s="173" t="str">
        <f t="shared" si="121"/>
        <v>AUG</v>
      </c>
      <c r="AN160" s="173" t="str">
        <f t="shared" si="121"/>
        <v>SEP</v>
      </c>
      <c r="AO160" s="173" t="str">
        <f t="shared" si="121"/>
        <v>OCT</v>
      </c>
      <c r="AP160" s="173" t="str">
        <f t="shared" si="121"/>
        <v>NOV</v>
      </c>
      <c r="AQ160" s="173" t="str">
        <f t="shared" si="121"/>
        <v>DEC</v>
      </c>
    </row>
    <row r="161" spans="1:43" x14ac:dyDescent="0.25">
      <c r="A161" s="410" t="s">
        <v>901</v>
      </c>
      <c r="T161" s="606" t="str">
        <f>A161</f>
        <v>OPERATING REVENUES</v>
      </c>
      <c r="U161" s="816"/>
      <c r="V161" s="575"/>
      <c r="W161" s="575"/>
      <c r="X161" s="575"/>
      <c r="Y161" s="575"/>
      <c r="Z161" s="575"/>
      <c r="AA161" s="575"/>
      <c r="AD161" s="166" t="str">
        <f>A161</f>
        <v>OPERATING REVENUES</v>
      </c>
    </row>
    <row r="162" spans="1:43" x14ac:dyDescent="0.25">
      <c r="A162" s="411" t="s">
        <v>902</v>
      </c>
      <c r="C162" s="177">
        <f t="shared" ref="C162:N162" si="123">C9-C104</f>
        <v>7173</v>
      </c>
      <c r="D162" s="177">
        <f t="shared" si="123"/>
        <v>5582</v>
      </c>
      <c r="E162" s="177">
        <f t="shared" si="123"/>
        <v>4818</v>
      </c>
      <c r="F162" s="177">
        <f t="shared" si="123"/>
        <v>-4127</v>
      </c>
      <c r="G162" s="177">
        <f t="shared" si="123"/>
        <v>2258</v>
      </c>
      <c r="H162" s="177">
        <f t="shared" si="123"/>
        <v>3206</v>
      </c>
      <c r="I162" s="177">
        <f t="shared" si="123"/>
        <v>3664</v>
      </c>
      <c r="J162" s="177">
        <f t="shared" si="123"/>
        <v>0</v>
      </c>
      <c r="K162" s="177">
        <f t="shared" si="123"/>
        <v>0</v>
      </c>
      <c r="L162" s="177">
        <f t="shared" si="123"/>
        <v>0</v>
      </c>
      <c r="M162" s="177">
        <f t="shared" si="123"/>
        <v>0</v>
      </c>
      <c r="N162" s="177">
        <f t="shared" si="123"/>
        <v>0</v>
      </c>
      <c r="O162" s="177">
        <f>SUM(C162:N162)</f>
        <v>22574</v>
      </c>
      <c r="P162" s="178">
        <f>SUM(C162:H162)</f>
        <v>18910</v>
      </c>
      <c r="Q162" s="177">
        <f>O162-P162</f>
        <v>3664</v>
      </c>
      <c r="R162" s="572"/>
      <c r="S162" s="170"/>
      <c r="T162" s="607" t="str">
        <f>A162</f>
        <v xml:space="preserve">   Gas Sales &amp; Liquids Revenue</v>
      </c>
      <c r="U162" s="816"/>
      <c r="V162" s="590">
        <f>C162+D162+E162</f>
        <v>17573</v>
      </c>
      <c r="W162" s="590">
        <f>F162+G162+H162</f>
        <v>1337</v>
      </c>
      <c r="X162" s="590">
        <f>I162+J162+K162</f>
        <v>3664</v>
      </c>
      <c r="Y162" s="590">
        <f>L162+M162+N162</f>
        <v>0</v>
      </c>
      <c r="Z162" s="590"/>
      <c r="AA162" s="590">
        <f>SUM(V162:Y162)</f>
        <v>22574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4">D162+AF162</f>
        <v>12755</v>
      </c>
      <c r="AH162" s="177">
        <f t="shared" si="124"/>
        <v>17573</v>
      </c>
      <c r="AI162" s="177">
        <f t="shared" si="124"/>
        <v>13446</v>
      </c>
      <c r="AJ162" s="177">
        <f t="shared" si="124"/>
        <v>15704</v>
      </c>
      <c r="AK162" s="177">
        <f t="shared" si="124"/>
        <v>18910</v>
      </c>
      <c r="AL162" s="177">
        <f t="shared" si="124"/>
        <v>22574</v>
      </c>
      <c r="AM162" s="177">
        <f t="shared" si="124"/>
        <v>22574</v>
      </c>
      <c r="AN162" s="177">
        <f t="shared" si="124"/>
        <v>22574</v>
      </c>
      <c r="AO162" s="177">
        <f t="shared" si="124"/>
        <v>22574</v>
      </c>
      <c r="AP162" s="177">
        <f t="shared" si="124"/>
        <v>22574</v>
      </c>
      <c r="AQ162" s="177">
        <f t="shared" si="124"/>
        <v>22574</v>
      </c>
    </row>
    <row r="163" spans="1:43" x14ac:dyDescent="0.25">
      <c r="A163" s="411" t="s">
        <v>903</v>
      </c>
      <c r="C163" s="180">
        <f t="shared" ref="C163:N163" si="125">C10-C105</f>
        <v>7411</v>
      </c>
      <c r="D163" s="180">
        <f t="shared" si="125"/>
        <v>6470</v>
      </c>
      <c r="E163" s="180">
        <f t="shared" si="125"/>
        <v>4990</v>
      </c>
      <c r="F163" s="180">
        <f t="shared" si="125"/>
        <v>-18871</v>
      </c>
      <c r="G163" s="180">
        <f t="shared" si="125"/>
        <v>0</v>
      </c>
      <c r="H163" s="180">
        <f t="shared" si="125"/>
        <v>0</v>
      </c>
      <c r="I163" s="180">
        <f t="shared" si="125"/>
        <v>0</v>
      </c>
      <c r="J163" s="180">
        <f t="shared" si="125"/>
        <v>0</v>
      </c>
      <c r="K163" s="180">
        <f t="shared" si="125"/>
        <v>0</v>
      </c>
      <c r="L163" s="180">
        <f t="shared" si="125"/>
        <v>0</v>
      </c>
      <c r="M163" s="180">
        <f t="shared" si="125"/>
        <v>0</v>
      </c>
      <c r="N163" s="180">
        <f t="shared" si="125"/>
        <v>0</v>
      </c>
      <c r="O163" s="180">
        <f>SUM(C163:N163)</f>
        <v>0</v>
      </c>
      <c r="P163" s="263">
        <f>SUM(C163:H163)</f>
        <v>0</v>
      </c>
      <c r="Q163" s="180">
        <f>O163-P163</f>
        <v>0</v>
      </c>
      <c r="R163" s="573"/>
      <c r="S163" s="170"/>
      <c r="T163" s="607" t="str">
        <f>A163</f>
        <v xml:space="preserve">     Less:  Cost of Sales</v>
      </c>
      <c r="U163" s="816"/>
      <c r="V163" s="592">
        <f>C163+D163+E163</f>
        <v>18871</v>
      </c>
      <c r="W163" s="592">
        <f>F163+G163+H163</f>
        <v>-18871</v>
      </c>
      <c r="X163" s="592">
        <f>I163+J163+K163</f>
        <v>0</v>
      </c>
      <c r="Y163" s="592">
        <f>L163+M163+N163</f>
        <v>0</v>
      </c>
      <c r="Z163" s="592"/>
      <c r="AA163" s="592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4"/>
        <v>13881</v>
      </c>
      <c r="AH163" s="180">
        <f t="shared" si="124"/>
        <v>18871</v>
      </c>
      <c r="AI163" s="180">
        <f t="shared" si="124"/>
        <v>0</v>
      </c>
      <c r="AJ163" s="180">
        <f t="shared" si="124"/>
        <v>0</v>
      </c>
      <c r="AK163" s="180">
        <f t="shared" si="124"/>
        <v>0</v>
      </c>
      <c r="AL163" s="180">
        <f t="shared" si="124"/>
        <v>0</v>
      </c>
      <c r="AM163" s="180">
        <f t="shared" si="124"/>
        <v>0</v>
      </c>
      <c r="AN163" s="180">
        <f t="shared" si="124"/>
        <v>0</v>
      </c>
      <c r="AO163" s="180">
        <f t="shared" si="124"/>
        <v>0</v>
      </c>
      <c r="AP163" s="180">
        <f t="shared" si="124"/>
        <v>0</v>
      </c>
      <c r="AQ163" s="180">
        <f t="shared" si="124"/>
        <v>0</v>
      </c>
    </row>
    <row r="164" spans="1:43" ht="6" customHeight="1" x14ac:dyDescent="0.25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5"/>
      <c r="U164" s="816"/>
      <c r="V164" s="590"/>
      <c r="W164" s="590"/>
      <c r="X164" s="590"/>
      <c r="Y164" s="590"/>
      <c r="Z164" s="590"/>
      <c r="AA164" s="590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5">
      <c r="A165" s="412" t="s">
        <v>904</v>
      </c>
      <c r="B165" s="812"/>
      <c r="C165" s="181">
        <f t="shared" ref="C165:Q165" si="126">C162-C163</f>
        <v>-238</v>
      </c>
      <c r="D165" s="181">
        <f t="shared" si="126"/>
        <v>-888</v>
      </c>
      <c r="E165" s="181">
        <f t="shared" si="126"/>
        <v>-172</v>
      </c>
      <c r="F165" s="181">
        <f t="shared" si="126"/>
        <v>14744</v>
      </c>
      <c r="G165" s="181">
        <f t="shared" si="126"/>
        <v>2258</v>
      </c>
      <c r="H165" s="181">
        <f t="shared" si="126"/>
        <v>3206</v>
      </c>
      <c r="I165" s="181">
        <f t="shared" si="126"/>
        <v>3664</v>
      </c>
      <c r="J165" s="181">
        <f t="shared" si="126"/>
        <v>0</v>
      </c>
      <c r="K165" s="181">
        <f t="shared" si="126"/>
        <v>0</v>
      </c>
      <c r="L165" s="181">
        <f t="shared" si="126"/>
        <v>0</v>
      </c>
      <c r="M165" s="181">
        <f t="shared" si="126"/>
        <v>0</v>
      </c>
      <c r="N165" s="181">
        <f t="shared" si="126"/>
        <v>0</v>
      </c>
      <c r="O165" s="181">
        <f t="shared" si="126"/>
        <v>22574</v>
      </c>
      <c r="P165" s="181">
        <f t="shared" si="126"/>
        <v>18910</v>
      </c>
      <c r="Q165" s="181">
        <f t="shared" si="126"/>
        <v>3664</v>
      </c>
      <c r="R165" s="547"/>
      <c r="S165" s="168"/>
      <c r="T165" s="606" t="str">
        <f>A165</f>
        <v xml:space="preserve">      Sales Margin</v>
      </c>
      <c r="U165" s="601"/>
      <c r="V165" s="608">
        <f>V162-V163</f>
        <v>-1298</v>
      </c>
      <c r="W165" s="608">
        <f>W162-W163</f>
        <v>20208</v>
      </c>
      <c r="X165" s="608">
        <f>X162-X163</f>
        <v>3664</v>
      </c>
      <c r="Y165" s="608">
        <f>Y162-Y163</f>
        <v>0</v>
      </c>
      <c r="Z165" s="608"/>
      <c r="AA165" s="608">
        <f>AA162-AA163</f>
        <v>22574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7">D165+AF165</f>
        <v>-1126</v>
      </c>
      <c r="AH165" s="182">
        <f t="shared" si="127"/>
        <v>-1298</v>
      </c>
      <c r="AI165" s="182">
        <f t="shared" si="127"/>
        <v>13446</v>
      </c>
      <c r="AJ165" s="182">
        <f t="shared" si="127"/>
        <v>15704</v>
      </c>
      <c r="AK165" s="182">
        <f t="shared" si="127"/>
        <v>18910</v>
      </c>
      <c r="AL165" s="182">
        <f t="shared" si="127"/>
        <v>22574</v>
      </c>
      <c r="AM165" s="182">
        <f t="shared" si="127"/>
        <v>22574</v>
      </c>
      <c r="AN165" s="182">
        <f t="shared" si="127"/>
        <v>22574</v>
      </c>
      <c r="AO165" s="182">
        <f t="shared" si="127"/>
        <v>22574</v>
      </c>
      <c r="AP165" s="182">
        <f t="shared" si="127"/>
        <v>22574</v>
      </c>
      <c r="AQ165" s="182">
        <f t="shared" si="127"/>
        <v>22574</v>
      </c>
    </row>
    <row r="166" spans="1:43" ht="6" customHeight="1" x14ac:dyDescent="0.25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5"/>
      <c r="U166" s="816"/>
      <c r="V166" s="590"/>
      <c r="W166" s="590"/>
      <c r="X166" s="590"/>
      <c r="Y166" s="590"/>
      <c r="Z166" s="590"/>
      <c r="AA166" s="590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5">
      <c r="A167" s="411" t="s">
        <v>905</v>
      </c>
      <c r="C167" s="177">
        <f t="shared" ref="C167:N167" si="128">C14-C109</f>
        <v>13886</v>
      </c>
      <c r="D167" s="177">
        <f t="shared" si="128"/>
        <v>18314</v>
      </c>
      <c r="E167" s="177">
        <f t="shared" si="128"/>
        <v>8736</v>
      </c>
      <c r="F167" s="177">
        <f t="shared" si="128"/>
        <v>14527</v>
      </c>
      <c r="G167" s="177">
        <f t="shared" si="128"/>
        <v>16313</v>
      </c>
      <c r="H167" s="177">
        <f t="shared" si="128"/>
        <v>14266</v>
      </c>
      <c r="I167" s="177">
        <f t="shared" si="128"/>
        <v>14157</v>
      </c>
      <c r="J167" s="177">
        <f t="shared" si="128"/>
        <v>13428</v>
      </c>
      <c r="K167" s="177">
        <f t="shared" si="128"/>
        <v>22814</v>
      </c>
      <c r="L167" s="177">
        <f t="shared" si="128"/>
        <v>13259</v>
      </c>
      <c r="M167" s="177">
        <f t="shared" si="128"/>
        <v>12755</v>
      </c>
      <c r="N167" s="177">
        <f t="shared" si="128"/>
        <v>13468</v>
      </c>
      <c r="O167" s="177">
        <f>SUM(C167:N167)</f>
        <v>175923</v>
      </c>
      <c r="P167" s="178">
        <f>SUM(C167:H167)</f>
        <v>86042</v>
      </c>
      <c r="Q167" s="177">
        <f>O167-P167</f>
        <v>89881</v>
      </c>
      <c r="R167" s="572"/>
      <c r="S167" s="170"/>
      <c r="T167" s="607" t="str">
        <f>A167</f>
        <v xml:space="preserve">   Transportation &amp; Storage Revenue</v>
      </c>
      <c r="U167" s="816"/>
      <c r="V167" s="590">
        <f>C167+D167+E167</f>
        <v>40936</v>
      </c>
      <c r="W167" s="590">
        <f>F167+G167+H167</f>
        <v>45106</v>
      </c>
      <c r="X167" s="590">
        <f>I167+J167+K167</f>
        <v>50399</v>
      </c>
      <c r="Y167" s="590">
        <f>L167+M167+N167</f>
        <v>39482</v>
      </c>
      <c r="Z167" s="590"/>
      <c r="AA167" s="590">
        <f>SUM(V167:Y167)</f>
        <v>175923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9">D167+AF167</f>
        <v>32200</v>
      </c>
      <c r="AH167" s="177">
        <f t="shared" si="129"/>
        <v>40936</v>
      </c>
      <c r="AI167" s="177">
        <f t="shared" si="129"/>
        <v>55463</v>
      </c>
      <c r="AJ167" s="177">
        <f t="shared" si="129"/>
        <v>71776</v>
      </c>
      <c r="AK167" s="177">
        <f t="shared" si="129"/>
        <v>86042</v>
      </c>
      <c r="AL167" s="177">
        <f t="shared" si="129"/>
        <v>100199</v>
      </c>
      <c r="AM167" s="177">
        <f t="shared" si="129"/>
        <v>113627</v>
      </c>
      <c r="AN167" s="177">
        <f t="shared" si="129"/>
        <v>136441</v>
      </c>
      <c r="AO167" s="177">
        <f t="shared" si="129"/>
        <v>149700</v>
      </c>
      <c r="AP167" s="177">
        <f t="shared" si="129"/>
        <v>162455</v>
      </c>
      <c r="AQ167" s="177">
        <f t="shared" si="129"/>
        <v>175923</v>
      </c>
    </row>
    <row r="168" spans="1:43" x14ac:dyDescent="0.25">
      <c r="A168" s="411" t="s">
        <v>308</v>
      </c>
      <c r="C168" s="180">
        <f t="shared" ref="C168:N168" si="130">C15-C110</f>
        <v>23</v>
      </c>
      <c r="D168" s="180">
        <f t="shared" si="130"/>
        <v>24</v>
      </c>
      <c r="E168" s="180">
        <f t="shared" si="130"/>
        <v>25</v>
      </c>
      <c r="F168" s="180">
        <f t="shared" si="130"/>
        <v>23</v>
      </c>
      <c r="G168" s="180">
        <f t="shared" si="130"/>
        <v>78</v>
      </c>
      <c r="H168" s="180">
        <f t="shared" si="130"/>
        <v>24</v>
      </c>
      <c r="I168" s="180">
        <f t="shared" si="130"/>
        <v>23</v>
      </c>
      <c r="J168" s="180">
        <f t="shared" si="130"/>
        <v>23</v>
      </c>
      <c r="K168" s="180">
        <f t="shared" si="130"/>
        <v>23</v>
      </c>
      <c r="L168" s="180">
        <f t="shared" si="130"/>
        <v>23</v>
      </c>
      <c r="M168" s="180">
        <f t="shared" si="130"/>
        <v>22</v>
      </c>
      <c r="N168" s="180">
        <f t="shared" si="130"/>
        <v>22</v>
      </c>
      <c r="O168" s="180">
        <f>SUM(C168:N168)</f>
        <v>333</v>
      </c>
      <c r="P168" s="263">
        <f>SUM(C168:H168)</f>
        <v>197</v>
      </c>
      <c r="Q168" s="180">
        <f>O168-P168</f>
        <v>136</v>
      </c>
      <c r="R168" s="573"/>
      <c r="S168" s="170"/>
      <c r="T168" s="607" t="str">
        <f>A168</f>
        <v xml:space="preserve">   Other Revenue</v>
      </c>
      <c r="U168" s="816"/>
      <c r="V168" s="592">
        <f>C168+D168+E168</f>
        <v>72</v>
      </c>
      <c r="W168" s="592">
        <f>F168+G168+H168</f>
        <v>125</v>
      </c>
      <c r="X168" s="592">
        <f>I168+J168+K168</f>
        <v>69</v>
      </c>
      <c r="Y168" s="592">
        <f>L168+M168+N168</f>
        <v>67</v>
      </c>
      <c r="Z168" s="592"/>
      <c r="AA168" s="592">
        <f>SUM(V168:Y168)</f>
        <v>333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9"/>
        <v>47</v>
      </c>
      <c r="AH168" s="180">
        <f t="shared" si="129"/>
        <v>72</v>
      </c>
      <c r="AI168" s="180">
        <f t="shared" si="129"/>
        <v>95</v>
      </c>
      <c r="AJ168" s="180">
        <f t="shared" si="129"/>
        <v>173</v>
      </c>
      <c r="AK168" s="180">
        <f t="shared" si="129"/>
        <v>197</v>
      </c>
      <c r="AL168" s="180">
        <f t="shared" si="129"/>
        <v>220</v>
      </c>
      <c r="AM168" s="180">
        <f t="shared" si="129"/>
        <v>243</v>
      </c>
      <c r="AN168" s="180">
        <f t="shared" si="129"/>
        <v>266</v>
      </c>
      <c r="AO168" s="180">
        <f t="shared" si="129"/>
        <v>289</v>
      </c>
      <c r="AP168" s="180">
        <f t="shared" si="129"/>
        <v>311</v>
      </c>
      <c r="AQ168" s="180">
        <f t="shared" si="129"/>
        <v>333</v>
      </c>
    </row>
    <row r="169" spans="1:43" ht="3.9" customHeight="1" x14ac:dyDescent="0.25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7"/>
      <c r="U169" s="816"/>
      <c r="V169" s="590"/>
      <c r="W169" s="590"/>
      <c r="X169" s="590"/>
      <c r="Y169" s="590"/>
      <c r="Z169" s="590"/>
      <c r="AA169" s="590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5">
      <c r="A170" s="410" t="s">
        <v>309</v>
      </c>
      <c r="B170" s="813"/>
      <c r="C170" s="181">
        <f>C165+C167+C168</f>
        <v>13671</v>
      </c>
      <c r="D170" s="181">
        <f t="shared" ref="D170:Q170" si="131">D165+D167+D168</f>
        <v>17450</v>
      </c>
      <c r="E170" s="181">
        <f t="shared" si="131"/>
        <v>8589</v>
      </c>
      <c r="F170" s="181">
        <f t="shared" si="131"/>
        <v>29294</v>
      </c>
      <c r="G170" s="181">
        <f t="shared" si="131"/>
        <v>18649</v>
      </c>
      <c r="H170" s="181">
        <f t="shared" si="131"/>
        <v>17496</v>
      </c>
      <c r="I170" s="181">
        <f t="shared" si="131"/>
        <v>17844</v>
      </c>
      <c r="J170" s="181">
        <f t="shared" si="131"/>
        <v>13451</v>
      </c>
      <c r="K170" s="181">
        <f t="shared" si="131"/>
        <v>22837</v>
      </c>
      <c r="L170" s="181">
        <f t="shared" si="131"/>
        <v>13282</v>
      </c>
      <c r="M170" s="181">
        <f t="shared" si="131"/>
        <v>12777</v>
      </c>
      <c r="N170" s="181">
        <f t="shared" si="131"/>
        <v>13490</v>
      </c>
      <c r="O170" s="181">
        <f t="shared" si="131"/>
        <v>198830</v>
      </c>
      <c r="P170" s="181">
        <f t="shared" si="131"/>
        <v>105149</v>
      </c>
      <c r="Q170" s="181">
        <f t="shared" si="131"/>
        <v>93681</v>
      </c>
      <c r="R170" s="547"/>
      <c r="S170" s="168"/>
      <c r="T170" s="606" t="str">
        <f>A170</f>
        <v xml:space="preserve">      Net Operating Income</v>
      </c>
      <c r="U170" s="601"/>
      <c r="V170" s="609">
        <f>SUM(V165:V168)</f>
        <v>39710</v>
      </c>
      <c r="W170" s="609">
        <f>SUM(W165:W168)</f>
        <v>65439</v>
      </c>
      <c r="X170" s="609">
        <f>SUM(X165:X168)</f>
        <v>54132</v>
      </c>
      <c r="Y170" s="609">
        <f>SUM(Y165:Y168)</f>
        <v>39549</v>
      </c>
      <c r="Z170" s="609"/>
      <c r="AA170" s="609">
        <f>SUM(AA165:AA168)</f>
        <v>198830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32">D170+AF170</f>
        <v>31121</v>
      </c>
      <c r="AH170" s="181">
        <f t="shared" si="132"/>
        <v>39710</v>
      </c>
      <c r="AI170" s="181">
        <f t="shared" si="132"/>
        <v>69004</v>
      </c>
      <c r="AJ170" s="181">
        <f t="shared" si="132"/>
        <v>87653</v>
      </c>
      <c r="AK170" s="181">
        <f t="shared" si="132"/>
        <v>105149</v>
      </c>
      <c r="AL170" s="181">
        <f t="shared" si="132"/>
        <v>122993</v>
      </c>
      <c r="AM170" s="181">
        <f t="shared" si="132"/>
        <v>136444</v>
      </c>
      <c r="AN170" s="181">
        <f t="shared" si="132"/>
        <v>159281</v>
      </c>
      <c r="AO170" s="181">
        <f t="shared" si="132"/>
        <v>172563</v>
      </c>
      <c r="AP170" s="181">
        <f t="shared" si="132"/>
        <v>185340</v>
      </c>
      <c r="AQ170" s="181">
        <f t="shared" si="132"/>
        <v>198830</v>
      </c>
    </row>
    <row r="171" spans="1:43" x14ac:dyDescent="0.25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7"/>
      <c r="U171" s="816"/>
      <c r="V171" s="590"/>
      <c r="W171" s="590"/>
      <c r="X171" s="590"/>
      <c r="Y171" s="590"/>
      <c r="Z171" s="590"/>
      <c r="AA171" s="590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5">
      <c r="A172" s="410" t="s">
        <v>310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6" t="str">
        <f t="shared" ref="T172:T178" si="133">A172</f>
        <v>OPERATING EXPENSES</v>
      </c>
      <c r="U172" s="816"/>
      <c r="V172" s="590"/>
      <c r="W172" s="590"/>
      <c r="X172" s="590"/>
      <c r="Y172" s="590"/>
      <c r="Z172" s="590"/>
      <c r="AA172" s="590"/>
      <c r="AB172" s="170"/>
      <c r="AC172" s="170"/>
      <c r="AD172" s="166" t="str">
        <f t="shared" ref="AD172:AD178" si="134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5">
      <c r="A173" s="411" t="s">
        <v>311</v>
      </c>
      <c r="C173" s="177">
        <f t="shared" ref="C173:N173" si="135">C20-C115</f>
        <v>3425</v>
      </c>
      <c r="D173" s="177">
        <f t="shared" si="135"/>
        <v>3730</v>
      </c>
      <c r="E173" s="177">
        <f t="shared" si="135"/>
        <v>5310</v>
      </c>
      <c r="F173" s="177">
        <f t="shared" si="135"/>
        <v>3154</v>
      </c>
      <c r="G173" s="177">
        <f t="shared" si="135"/>
        <v>4079</v>
      </c>
      <c r="H173" s="177">
        <f t="shared" si="135"/>
        <v>4208</v>
      </c>
      <c r="I173" s="177">
        <f t="shared" si="135"/>
        <v>3100</v>
      </c>
      <c r="J173" s="177">
        <f t="shared" si="135"/>
        <v>3300</v>
      </c>
      <c r="K173" s="177">
        <f t="shared" si="135"/>
        <v>3600</v>
      </c>
      <c r="L173" s="177">
        <f t="shared" si="135"/>
        <v>3400</v>
      </c>
      <c r="M173" s="177">
        <f t="shared" si="135"/>
        <v>3200</v>
      </c>
      <c r="N173" s="177">
        <f t="shared" si="135"/>
        <v>3000</v>
      </c>
      <c r="O173" s="177">
        <f t="shared" ref="O173:O178" si="136">SUM(C173:N173)</f>
        <v>43506</v>
      </c>
      <c r="P173" s="178">
        <f t="shared" ref="P173:P178" si="137">SUM(C173:H173)</f>
        <v>23906</v>
      </c>
      <c r="Q173" s="177">
        <f t="shared" ref="Q173:Q178" si="138">O173-P173</f>
        <v>19600</v>
      </c>
      <c r="R173" s="572"/>
      <c r="S173" s="170"/>
      <c r="T173" s="607" t="str">
        <f t="shared" si="133"/>
        <v xml:space="preserve">   Operations and Maintenance</v>
      </c>
      <c r="U173" s="816"/>
      <c r="V173" s="590">
        <f t="shared" ref="V173:V178" si="139">C173+D173+E173</f>
        <v>12465</v>
      </c>
      <c r="W173" s="590">
        <f t="shared" ref="W173:W178" si="140">F173+G173+H173</f>
        <v>11441</v>
      </c>
      <c r="X173" s="590">
        <f t="shared" ref="X173:X178" si="141">I173+J173+K173</f>
        <v>10000</v>
      </c>
      <c r="Y173" s="590">
        <f t="shared" ref="Y173:Y178" si="142">L173+M173+N173</f>
        <v>9600</v>
      </c>
      <c r="Z173" s="590"/>
      <c r="AA173" s="590">
        <f t="shared" ref="AA173:AA178" si="143">SUM(V173:Y173)</f>
        <v>43506</v>
      </c>
      <c r="AB173" s="170"/>
      <c r="AD173" s="165" t="str">
        <f t="shared" si="134"/>
        <v xml:space="preserve">   Operations and Maintenance</v>
      </c>
      <c r="AF173" s="177">
        <f t="shared" ref="AF173:AF178" si="144">C173</f>
        <v>3425</v>
      </c>
      <c r="AG173" s="177">
        <f t="shared" ref="AG173:AG178" si="145">D173+AF173</f>
        <v>7155</v>
      </c>
      <c r="AH173" s="177">
        <f t="shared" ref="AH173:AH178" si="146">E173+AG173</f>
        <v>12465</v>
      </c>
      <c r="AI173" s="177">
        <f t="shared" ref="AI173:AI178" si="147">F173+AH173</f>
        <v>15619</v>
      </c>
      <c r="AJ173" s="177">
        <f t="shared" ref="AJ173:AJ178" si="148">G173+AI173</f>
        <v>19698</v>
      </c>
      <c r="AK173" s="177">
        <f t="shared" ref="AK173:AK178" si="149">H173+AJ173</f>
        <v>23906</v>
      </c>
      <c r="AL173" s="177">
        <f t="shared" ref="AL173:AL178" si="150">I173+AK173</f>
        <v>27006</v>
      </c>
      <c r="AM173" s="177">
        <f t="shared" ref="AM173:AM178" si="151">J173+AL173</f>
        <v>30306</v>
      </c>
      <c r="AN173" s="177">
        <f t="shared" ref="AN173:AN178" si="152">K173+AM173</f>
        <v>33906</v>
      </c>
      <c r="AO173" s="177">
        <f t="shared" ref="AO173:AO178" si="153">L173+AN173</f>
        <v>37306</v>
      </c>
      <c r="AP173" s="177">
        <f t="shared" ref="AP173:AP178" si="154">M173+AO173</f>
        <v>40506</v>
      </c>
      <c r="AQ173" s="177">
        <f t="shared" ref="AQ173:AQ178" si="155">N173+AP173</f>
        <v>43506</v>
      </c>
    </row>
    <row r="174" spans="1:43" x14ac:dyDescent="0.25">
      <c r="A174" s="411" t="s">
        <v>312</v>
      </c>
      <c r="C174" s="177">
        <f t="shared" ref="C174:N174" si="156">C21-C116</f>
        <v>730</v>
      </c>
      <c r="D174" s="177">
        <f t="shared" si="156"/>
        <v>668</v>
      </c>
      <c r="E174" s="177">
        <f t="shared" si="156"/>
        <v>1269</v>
      </c>
      <c r="F174" s="177">
        <f t="shared" si="156"/>
        <v>571</v>
      </c>
      <c r="G174" s="177">
        <f t="shared" si="156"/>
        <v>564</v>
      </c>
      <c r="H174" s="177">
        <f t="shared" si="156"/>
        <v>545</v>
      </c>
      <c r="I174" s="177">
        <f t="shared" si="156"/>
        <v>565</v>
      </c>
      <c r="J174" s="177">
        <f t="shared" si="156"/>
        <v>607</v>
      </c>
      <c r="K174" s="177">
        <f t="shared" si="156"/>
        <v>584</v>
      </c>
      <c r="L174" s="177">
        <f t="shared" si="156"/>
        <v>708</v>
      </c>
      <c r="M174" s="177">
        <f t="shared" si="156"/>
        <v>704</v>
      </c>
      <c r="N174" s="177">
        <f t="shared" si="156"/>
        <v>731</v>
      </c>
      <c r="O174" s="177">
        <f t="shared" si="136"/>
        <v>8246</v>
      </c>
      <c r="P174" s="178">
        <f t="shared" si="137"/>
        <v>4347</v>
      </c>
      <c r="Q174" s="177">
        <f t="shared" si="138"/>
        <v>3899</v>
      </c>
      <c r="R174" s="572"/>
      <c r="S174" s="170"/>
      <c r="T174" s="607" t="str">
        <f t="shared" si="133"/>
        <v xml:space="preserve">   Regulatory Amortization</v>
      </c>
      <c r="U174" s="816"/>
      <c r="V174" s="590">
        <f t="shared" si="139"/>
        <v>2667</v>
      </c>
      <c r="W174" s="590">
        <f t="shared" si="140"/>
        <v>1680</v>
      </c>
      <c r="X174" s="590">
        <f t="shared" si="141"/>
        <v>1756</v>
      </c>
      <c r="Y174" s="590">
        <f t="shared" si="142"/>
        <v>2143</v>
      </c>
      <c r="Z174" s="590"/>
      <c r="AA174" s="590">
        <f t="shared" si="143"/>
        <v>8246</v>
      </c>
      <c r="AB174" s="170"/>
      <c r="AC174" s="170"/>
      <c r="AD174" s="165" t="str">
        <f t="shared" si="134"/>
        <v xml:space="preserve">   Regulatory Amortization</v>
      </c>
      <c r="AF174" s="177">
        <f t="shared" si="144"/>
        <v>730</v>
      </c>
      <c r="AG174" s="177">
        <f t="shared" si="145"/>
        <v>1398</v>
      </c>
      <c r="AH174" s="177">
        <f t="shared" si="146"/>
        <v>2667</v>
      </c>
      <c r="AI174" s="177">
        <f t="shared" si="147"/>
        <v>3238</v>
      </c>
      <c r="AJ174" s="177">
        <f t="shared" si="148"/>
        <v>3802</v>
      </c>
      <c r="AK174" s="177">
        <f t="shared" si="149"/>
        <v>4347</v>
      </c>
      <c r="AL174" s="177">
        <f t="shared" si="150"/>
        <v>4912</v>
      </c>
      <c r="AM174" s="177">
        <f t="shared" si="151"/>
        <v>5519</v>
      </c>
      <c r="AN174" s="177">
        <f t="shared" si="152"/>
        <v>6103</v>
      </c>
      <c r="AO174" s="177">
        <f t="shared" si="153"/>
        <v>6811</v>
      </c>
      <c r="AP174" s="177">
        <f t="shared" si="154"/>
        <v>7515</v>
      </c>
      <c r="AQ174" s="177">
        <f t="shared" si="155"/>
        <v>8246</v>
      </c>
    </row>
    <row r="175" spans="1:43" x14ac:dyDescent="0.25">
      <c r="A175" s="413" t="s">
        <v>313</v>
      </c>
      <c r="C175" s="177">
        <f t="shared" ref="C175:N175" si="157">C22-C117</f>
        <v>-4888</v>
      </c>
      <c r="D175" s="177">
        <f t="shared" si="157"/>
        <v>-4666</v>
      </c>
      <c r="E175" s="177">
        <f t="shared" si="157"/>
        <v>-1896</v>
      </c>
      <c r="F175" s="177">
        <f t="shared" si="157"/>
        <v>10663</v>
      </c>
      <c r="G175" s="177">
        <f t="shared" si="157"/>
        <v>-327</v>
      </c>
      <c r="H175" s="177">
        <f t="shared" si="157"/>
        <v>372</v>
      </c>
      <c r="I175" s="177">
        <f t="shared" si="157"/>
        <v>1212</v>
      </c>
      <c r="J175" s="177">
        <f t="shared" si="157"/>
        <v>-2715</v>
      </c>
      <c r="K175" s="177">
        <f t="shared" si="157"/>
        <v>-2800</v>
      </c>
      <c r="L175" s="177">
        <f t="shared" si="157"/>
        <v>-3208</v>
      </c>
      <c r="M175" s="177">
        <f t="shared" si="157"/>
        <v>-3074</v>
      </c>
      <c r="N175" s="177">
        <f t="shared" si="157"/>
        <v>-2749</v>
      </c>
      <c r="O175" s="177">
        <f t="shared" si="136"/>
        <v>-14076</v>
      </c>
      <c r="P175" s="178">
        <f t="shared" si="137"/>
        <v>-742</v>
      </c>
      <c r="Q175" s="177">
        <f t="shared" si="138"/>
        <v>-13334</v>
      </c>
      <c r="R175" s="572"/>
      <c r="S175" s="170"/>
      <c r="T175" s="607" t="str">
        <f t="shared" si="133"/>
        <v xml:space="preserve">   Fuel Used in Operations</v>
      </c>
      <c r="U175" s="816"/>
      <c r="V175" s="590">
        <f t="shared" si="139"/>
        <v>-11450</v>
      </c>
      <c r="W175" s="590">
        <f t="shared" si="140"/>
        <v>10708</v>
      </c>
      <c r="X175" s="590">
        <f t="shared" si="141"/>
        <v>-4303</v>
      </c>
      <c r="Y175" s="590">
        <f t="shared" si="142"/>
        <v>-9031</v>
      </c>
      <c r="Z175" s="590"/>
      <c r="AA175" s="590">
        <f t="shared" si="143"/>
        <v>-14076</v>
      </c>
      <c r="AB175" s="170"/>
      <c r="AC175" s="170"/>
      <c r="AD175" s="165" t="str">
        <f t="shared" si="134"/>
        <v xml:space="preserve">   Fuel Used in Operations</v>
      </c>
      <c r="AF175" s="177">
        <f t="shared" si="144"/>
        <v>-4888</v>
      </c>
      <c r="AG175" s="177">
        <f t="shared" si="145"/>
        <v>-9554</v>
      </c>
      <c r="AH175" s="177">
        <f t="shared" si="146"/>
        <v>-11450</v>
      </c>
      <c r="AI175" s="177">
        <f t="shared" si="147"/>
        <v>-787</v>
      </c>
      <c r="AJ175" s="177">
        <f t="shared" si="148"/>
        <v>-1114</v>
      </c>
      <c r="AK175" s="177">
        <f t="shared" si="149"/>
        <v>-742</v>
      </c>
      <c r="AL175" s="177">
        <f t="shared" si="150"/>
        <v>470</v>
      </c>
      <c r="AM175" s="177">
        <f t="shared" si="151"/>
        <v>-2245</v>
      </c>
      <c r="AN175" s="177">
        <f t="shared" si="152"/>
        <v>-5045</v>
      </c>
      <c r="AO175" s="177">
        <f t="shared" si="153"/>
        <v>-8253</v>
      </c>
      <c r="AP175" s="177">
        <f t="shared" si="154"/>
        <v>-11327</v>
      </c>
      <c r="AQ175" s="177">
        <f t="shared" si="155"/>
        <v>-14076</v>
      </c>
    </row>
    <row r="176" spans="1:43" x14ac:dyDescent="0.25">
      <c r="A176" s="414" t="s">
        <v>314</v>
      </c>
      <c r="B176" s="814"/>
      <c r="C176" s="177">
        <f t="shared" ref="C176:N176" si="158">C23-C118</f>
        <v>0</v>
      </c>
      <c r="D176" s="177">
        <f t="shared" si="158"/>
        <v>0</v>
      </c>
      <c r="E176" s="177">
        <f t="shared" si="158"/>
        <v>0</v>
      </c>
      <c r="F176" s="177">
        <f t="shared" si="158"/>
        <v>0</v>
      </c>
      <c r="G176" s="177">
        <f t="shared" si="158"/>
        <v>0</v>
      </c>
      <c r="H176" s="177">
        <f t="shared" si="158"/>
        <v>0</v>
      </c>
      <c r="I176" s="177">
        <f t="shared" si="158"/>
        <v>0</v>
      </c>
      <c r="J176" s="177">
        <f t="shared" si="158"/>
        <v>0</v>
      </c>
      <c r="K176" s="177">
        <f t="shared" si="158"/>
        <v>0</v>
      </c>
      <c r="L176" s="177">
        <f t="shared" si="158"/>
        <v>0</v>
      </c>
      <c r="M176" s="177">
        <f t="shared" si="158"/>
        <v>0</v>
      </c>
      <c r="N176" s="177">
        <f t="shared" si="158"/>
        <v>0</v>
      </c>
      <c r="O176" s="177">
        <f t="shared" si="136"/>
        <v>0</v>
      </c>
      <c r="P176" s="178">
        <f t="shared" si="137"/>
        <v>0</v>
      </c>
      <c r="Q176" s="177">
        <f t="shared" si="138"/>
        <v>0</v>
      </c>
      <c r="R176" s="572"/>
      <c r="S176" s="170"/>
      <c r="T176" s="607" t="str">
        <f t="shared" si="133"/>
        <v xml:space="preserve">   Transmission, Compression &amp; Storage</v>
      </c>
      <c r="U176" s="819"/>
      <c r="V176" s="590">
        <f t="shared" si="139"/>
        <v>0</v>
      </c>
      <c r="W176" s="590">
        <f t="shared" si="140"/>
        <v>0</v>
      </c>
      <c r="X176" s="590">
        <f t="shared" si="141"/>
        <v>0</v>
      </c>
      <c r="Y176" s="590">
        <f t="shared" si="142"/>
        <v>0</v>
      </c>
      <c r="Z176" s="590"/>
      <c r="AA176" s="590">
        <f t="shared" si="143"/>
        <v>0</v>
      </c>
      <c r="AB176" s="170"/>
      <c r="AC176" s="170"/>
      <c r="AD176" s="165" t="str">
        <f t="shared" si="134"/>
        <v xml:space="preserve">   Transmission, Compression &amp; Storage</v>
      </c>
      <c r="AF176" s="177">
        <f t="shared" si="144"/>
        <v>0</v>
      </c>
      <c r="AG176" s="177">
        <f t="shared" si="145"/>
        <v>0</v>
      </c>
      <c r="AH176" s="177">
        <f t="shared" si="146"/>
        <v>0</v>
      </c>
      <c r="AI176" s="177">
        <f t="shared" si="147"/>
        <v>0</v>
      </c>
      <c r="AJ176" s="177">
        <f t="shared" si="148"/>
        <v>0</v>
      </c>
      <c r="AK176" s="177">
        <f t="shared" si="149"/>
        <v>0</v>
      </c>
      <c r="AL176" s="177">
        <f t="shared" si="150"/>
        <v>0</v>
      </c>
      <c r="AM176" s="177">
        <f t="shared" si="151"/>
        <v>0</v>
      </c>
      <c r="AN176" s="177">
        <f t="shared" si="152"/>
        <v>0</v>
      </c>
      <c r="AO176" s="177">
        <f t="shared" si="153"/>
        <v>0</v>
      </c>
      <c r="AP176" s="177">
        <f t="shared" si="154"/>
        <v>0</v>
      </c>
      <c r="AQ176" s="177">
        <f t="shared" si="155"/>
        <v>0</v>
      </c>
    </row>
    <row r="177" spans="1:43" x14ac:dyDescent="0.25">
      <c r="A177" s="411" t="s">
        <v>315</v>
      </c>
      <c r="C177" s="177">
        <f t="shared" ref="C177:N177" si="159">C24-C119</f>
        <v>1121</v>
      </c>
      <c r="D177" s="177">
        <f t="shared" si="159"/>
        <v>1087</v>
      </c>
      <c r="E177" s="177">
        <f t="shared" si="159"/>
        <v>1131</v>
      </c>
      <c r="F177" s="177">
        <f t="shared" si="159"/>
        <v>1143</v>
      </c>
      <c r="G177" s="177">
        <f t="shared" si="159"/>
        <v>1100</v>
      </c>
      <c r="H177" s="177">
        <f t="shared" si="159"/>
        <v>1210</v>
      </c>
      <c r="I177" s="177">
        <f t="shared" si="159"/>
        <v>1200</v>
      </c>
      <c r="J177" s="177">
        <f t="shared" si="159"/>
        <v>1250</v>
      </c>
      <c r="K177" s="177">
        <f t="shared" si="159"/>
        <v>1250</v>
      </c>
      <c r="L177" s="177">
        <f t="shared" si="159"/>
        <v>1350</v>
      </c>
      <c r="M177" s="177">
        <f t="shared" si="159"/>
        <v>1350</v>
      </c>
      <c r="N177" s="177">
        <f t="shared" si="159"/>
        <v>1350</v>
      </c>
      <c r="O177" s="177">
        <f t="shared" si="136"/>
        <v>14542</v>
      </c>
      <c r="P177" s="178">
        <f t="shared" si="137"/>
        <v>6792</v>
      </c>
      <c r="Q177" s="177">
        <f t="shared" si="138"/>
        <v>7750</v>
      </c>
      <c r="R177" s="572"/>
      <c r="S177" s="170"/>
      <c r="T177" s="607" t="str">
        <f t="shared" si="133"/>
        <v xml:space="preserve">   Depreciation &amp; Amortization</v>
      </c>
      <c r="U177" s="816"/>
      <c r="V177" s="590">
        <f t="shared" si="139"/>
        <v>3339</v>
      </c>
      <c r="W177" s="590">
        <f t="shared" si="140"/>
        <v>3453</v>
      </c>
      <c r="X177" s="590">
        <f t="shared" si="141"/>
        <v>3700</v>
      </c>
      <c r="Y177" s="590">
        <f t="shared" si="142"/>
        <v>4050</v>
      </c>
      <c r="Z177" s="590"/>
      <c r="AA177" s="590">
        <f t="shared" si="143"/>
        <v>14542</v>
      </c>
      <c r="AB177" s="170"/>
      <c r="AC177" s="170"/>
      <c r="AD177" s="165" t="str">
        <f t="shared" si="134"/>
        <v xml:space="preserve">   Depreciation &amp; Amortization</v>
      </c>
      <c r="AE177" s="814"/>
      <c r="AF177" s="177">
        <f t="shared" si="144"/>
        <v>1121</v>
      </c>
      <c r="AG177" s="177">
        <f t="shared" si="145"/>
        <v>2208</v>
      </c>
      <c r="AH177" s="177">
        <f t="shared" si="146"/>
        <v>3339</v>
      </c>
      <c r="AI177" s="177">
        <f t="shared" si="147"/>
        <v>4482</v>
      </c>
      <c r="AJ177" s="177">
        <f t="shared" si="148"/>
        <v>5582</v>
      </c>
      <c r="AK177" s="177">
        <f t="shared" si="149"/>
        <v>6792</v>
      </c>
      <c r="AL177" s="177">
        <f t="shared" si="150"/>
        <v>7992</v>
      </c>
      <c r="AM177" s="177">
        <f t="shared" si="151"/>
        <v>9242</v>
      </c>
      <c r="AN177" s="177">
        <f t="shared" si="152"/>
        <v>10492</v>
      </c>
      <c r="AO177" s="177">
        <f t="shared" si="153"/>
        <v>11842</v>
      </c>
      <c r="AP177" s="177">
        <f t="shared" si="154"/>
        <v>13192</v>
      </c>
      <c r="AQ177" s="177">
        <f t="shared" si="155"/>
        <v>14542</v>
      </c>
    </row>
    <row r="178" spans="1:43" x14ac:dyDescent="0.25">
      <c r="A178" s="411" t="s">
        <v>316</v>
      </c>
      <c r="C178" s="180">
        <f t="shared" ref="C178:N178" si="160">C25-C120</f>
        <v>956</v>
      </c>
      <c r="D178" s="180">
        <f t="shared" si="160"/>
        <v>1007</v>
      </c>
      <c r="E178" s="180">
        <f t="shared" si="160"/>
        <v>914</v>
      </c>
      <c r="F178" s="180">
        <f t="shared" si="160"/>
        <v>909</v>
      </c>
      <c r="G178" s="180">
        <f t="shared" si="160"/>
        <v>913</v>
      </c>
      <c r="H178" s="180">
        <f t="shared" si="160"/>
        <v>917</v>
      </c>
      <c r="I178" s="180">
        <f t="shared" si="160"/>
        <v>930</v>
      </c>
      <c r="J178" s="180">
        <f t="shared" si="160"/>
        <v>930</v>
      </c>
      <c r="K178" s="180">
        <f t="shared" si="160"/>
        <v>930</v>
      </c>
      <c r="L178" s="180">
        <f t="shared" si="160"/>
        <v>927</v>
      </c>
      <c r="M178" s="180">
        <f t="shared" si="160"/>
        <v>927</v>
      </c>
      <c r="N178" s="180">
        <f t="shared" si="160"/>
        <v>927</v>
      </c>
      <c r="O178" s="180">
        <f t="shared" si="136"/>
        <v>11187</v>
      </c>
      <c r="P178" s="263">
        <f t="shared" si="137"/>
        <v>5616</v>
      </c>
      <c r="Q178" s="180">
        <f t="shared" si="138"/>
        <v>5571</v>
      </c>
      <c r="R178" s="573"/>
      <c r="S178" s="170"/>
      <c r="T178" s="607" t="str">
        <f t="shared" si="133"/>
        <v xml:space="preserve">   Taxes Other Than Income</v>
      </c>
      <c r="U178" s="816"/>
      <c r="V178" s="592">
        <f t="shared" si="139"/>
        <v>2877</v>
      </c>
      <c r="W178" s="592">
        <f t="shared" si="140"/>
        <v>2739</v>
      </c>
      <c r="X178" s="592">
        <f t="shared" si="141"/>
        <v>2790</v>
      </c>
      <c r="Y178" s="592">
        <f t="shared" si="142"/>
        <v>2781</v>
      </c>
      <c r="Z178" s="592"/>
      <c r="AA178" s="592">
        <f t="shared" si="143"/>
        <v>11187</v>
      </c>
      <c r="AB178" s="170"/>
      <c r="AC178" s="170"/>
      <c r="AD178" s="165" t="str">
        <f t="shared" si="134"/>
        <v xml:space="preserve">   Taxes Other Than Income</v>
      </c>
      <c r="AF178" s="180">
        <f t="shared" si="144"/>
        <v>956</v>
      </c>
      <c r="AG178" s="180">
        <f t="shared" si="145"/>
        <v>1963</v>
      </c>
      <c r="AH178" s="180">
        <f t="shared" si="146"/>
        <v>2877</v>
      </c>
      <c r="AI178" s="180">
        <f t="shared" si="147"/>
        <v>3786</v>
      </c>
      <c r="AJ178" s="180">
        <f t="shared" si="148"/>
        <v>4699</v>
      </c>
      <c r="AK178" s="180">
        <f t="shared" si="149"/>
        <v>5616</v>
      </c>
      <c r="AL178" s="180">
        <f t="shared" si="150"/>
        <v>6546</v>
      </c>
      <c r="AM178" s="180">
        <f t="shared" si="151"/>
        <v>7476</v>
      </c>
      <c r="AN178" s="180">
        <f t="shared" si="152"/>
        <v>8406</v>
      </c>
      <c r="AO178" s="180">
        <f t="shared" si="153"/>
        <v>9333</v>
      </c>
      <c r="AP178" s="180">
        <f t="shared" si="154"/>
        <v>10260</v>
      </c>
      <c r="AQ178" s="180">
        <f t="shared" si="155"/>
        <v>11187</v>
      </c>
    </row>
    <row r="179" spans="1:43" ht="3.9" customHeight="1" x14ac:dyDescent="0.25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7"/>
      <c r="U179" s="816"/>
      <c r="V179" s="590"/>
      <c r="W179" s="590"/>
      <c r="X179" s="590"/>
      <c r="Y179" s="590"/>
      <c r="Z179" s="590"/>
      <c r="AA179" s="590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5">
      <c r="A180" s="410" t="s">
        <v>317</v>
      </c>
      <c r="B180" s="813"/>
      <c r="C180" s="181">
        <f t="shared" ref="C180:Q180" si="161">SUM(C173:C178)</f>
        <v>1344</v>
      </c>
      <c r="D180" s="181">
        <f t="shared" si="161"/>
        <v>1826</v>
      </c>
      <c r="E180" s="181">
        <f t="shared" si="161"/>
        <v>6728</v>
      </c>
      <c r="F180" s="181">
        <f t="shared" si="161"/>
        <v>16440</v>
      </c>
      <c r="G180" s="181">
        <f t="shared" si="161"/>
        <v>6329</v>
      </c>
      <c r="H180" s="181">
        <f t="shared" si="161"/>
        <v>7252</v>
      </c>
      <c r="I180" s="181">
        <f t="shared" si="161"/>
        <v>7007</v>
      </c>
      <c r="J180" s="181">
        <f t="shared" si="161"/>
        <v>3372</v>
      </c>
      <c r="K180" s="181">
        <f t="shared" si="161"/>
        <v>3564</v>
      </c>
      <c r="L180" s="181">
        <f t="shared" si="161"/>
        <v>3177</v>
      </c>
      <c r="M180" s="181">
        <f t="shared" si="161"/>
        <v>3107</v>
      </c>
      <c r="N180" s="181">
        <f t="shared" si="161"/>
        <v>3259</v>
      </c>
      <c r="O180" s="181">
        <f t="shared" si="161"/>
        <v>63405</v>
      </c>
      <c r="P180" s="181">
        <f t="shared" si="161"/>
        <v>39919</v>
      </c>
      <c r="Q180" s="181">
        <f t="shared" si="161"/>
        <v>23486</v>
      </c>
      <c r="R180" s="547"/>
      <c r="S180" s="168"/>
      <c r="T180" s="606" t="str">
        <f>A180</f>
        <v xml:space="preserve">     Total Operating Expenses</v>
      </c>
      <c r="U180" s="601"/>
      <c r="V180" s="609">
        <f>SUM(V173:V178)</f>
        <v>9898</v>
      </c>
      <c r="W180" s="609">
        <f>SUM(W173:W178)</f>
        <v>30021</v>
      </c>
      <c r="X180" s="609">
        <f>SUM(X173:X178)</f>
        <v>13943</v>
      </c>
      <c r="Y180" s="609">
        <f>SUM(Y173:Y178)</f>
        <v>9543</v>
      </c>
      <c r="Z180" s="609"/>
      <c r="AA180" s="609">
        <f>SUM(AA173:AA178)</f>
        <v>63405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62">D180+AF180</f>
        <v>3170</v>
      </c>
      <c r="AH180" s="181">
        <f t="shared" si="162"/>
        <v>9898</v>
      </c>
      <c r="AI180" s="181">
        <f t="shared" si="162"/>
        <v>26338</v>
      </c>
      <c r="AJ180" s="181">
        <f t="shared" si="162"/>
        <v>32667</v>
      </c>
      <c r="AK180" s="181">
        <f t="shared" si="162"/>
        <v>39919</v>
      </c>
      <c r="AL180" s="181">
        <f t="shared" si="162"/>
        <v>46926</v>
      </c>
      <c r="AM180" s="181">
        <f t="shared" si="162"/>
        <v>50298</v>
      </c>
      <c r="AN180" s="181">
        <f t="shared" si="162"/>
        <v>53862</v>
      </c>
      <c r="AO180" s="181">
        <f t="shared" si="162"/>
        <v>57039</v>
      </c>
      <c r="AP180" s="181">
        <f t="shared" si="162"/>
        <v>60146</v>
      </c>
      <c r="AQ180" s="181">
        <f t="shared" si="162"/>
        <v>63405</v>
      </c>
    </row>
    <row r="181" spans="1:43" x14ac:dyDescent="0.25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9"/>
      <c r="U181" s="816"/>
      <c r="V181" s="590"/>
      <c r="W181" s="590"/>
      <c r="X181" s="590"/>
      <c r="Y181" s="590"/>
      <c r="Z181" s="590"/>
      <c r="AA181" s="590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5">
      <c r="A182" s="410" t="s">
        <v>318</v>
      </c>
      <c r="B182" s="812"/>
      <c r="C182" s="181">
        <f t="shared" ref="C182:Q182" si="163">C170-C180</f>
        <v>12327</v>
      </c>
      <c r="D182" s="181">
        <f t="shared" si="163"/>
        <v>15624</v>
      </c>
      <c r="E182" s="181">
        <f t="shared" si="163"/>
        <v>1861</v>
      </c>
      <c r="F182" s="181">
        <f t="shared" si="163"/>
        <v>12854</v>
      </c>
      <c r="G182" s="181">
        <f t="shared" si="163"/>
        <v>12320</v>
      </c>
      <c r="H182" s="181">
        <f t="shared" si="163"/>
        <v>10244</v>
      </c>
      <c r="I182" s="181">
        <f t="shared" si="163"/>
        <v>10837</v>
      </c>
      <c r="J182" s="181">
        <f t="shared" si="163"/>
        <v>10079</v>
      </c>
      <c r="K182" s="181">
        <f t="shared" si="163"/>
        <v>19273</v>
      </c>
      <c r="L182" s="181">
        <f t="shared" si="163"/>
        <v>10105</v>
      </c>
      <c r="M182" s="181">
        <f t="shared" si="163"/>
        <v>9670</v>
      </c>
      <c r="N182" s="181">
        <f t="shared" si="163"/>
        <v>10231</v>
      </c>
      <c r="O182" s="181">
        <f t="shared" si="163"/>
        <v>135425</v>
      </c>
      <c r="P182" s="181">
        <f t="shared" si="163"/>
        <v>65230</v>
      </c>
      <c r="Q182" s="181">
        <f t="shared" si="163"/>
        <v>70195</v>
      </c>
      <c r="R182" s="547"/>
      <c r="S182" s="168"/>
      <c r="T182" s="606" t="str">
        <f>A182</f>
        <v>OPERATING INCOME</v>
      </c>
      <c r="U182" s="601"/>
      <c r="V182" s="609">
        <f>V170-V180</f>
        <v>29812</v>
      </c>
      <c r="W182" s="609">
        <f>W170-W180</f>
        <v>35418</v>
      </c>
      <c r="X182" s="609">
        <f>X170-X180</f>
        <v>40189</v>
      </c>
      <c r="Y182" s="609">
        <f>Y170-Y180</f>
        <v>30006</v>
      </c>
      <c r="Z182" s="609"/>
      <c r="AA182" s="609">
        <f>AA170-AA180</f>
        <v>135425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4">D182+AF182</f>
        <v>27951</v>
      </c>
      <c r="AH182" s="181">
        <f t="shared" si="164"/>
        <v>29812</v>
      </c>
      <c r="AI182" s="181">
        <f t="shared" si="164"/>
        <v>42666</v>
      </c>
      <c r="AJ182" s="181">
        <f t="shared" si="164"/>
        <v>54986</v>
      </c>
      <c r="AK182" s="181">
        <f t="shared" si="164"/>
        <v>65230</v>
      </c>
      <c r="AL182" s="181">
        <f t="shared" si="164"/>
        <v>76067</v>
      </c>
      <c r="AM182" s="181">
        <f t="shared" si="164"/>
        <v>86146</v>
      </c>
      <c r="AN182" s="181">
        <f t="shared" si="164"/>
        <v>105419</v>
      </c>
      <c r="AO182" s="181">
        <f t="shared" si="164"/>
        <v>115524</v>
      </c>
      <c r="AP182" s="181">
        <f t="shared" si="164"/>
        <v>125194</v>
      </c>
      <c r="AQ182" s="181">
        <f t="shared" si="164"/>
        <v>135425</v>
      </c>
    </row>
    <row r="183" spans="1:43" x14ac:dyDescent="0.25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9"/>
      <c r="U183" s="816"/>
      <c r="V183" s="590"/>
      <c r="W183" s="590"/>
      <c r="X183" s="590"/>
      <c r="Y183" s="590"/>
      <c r="Z183" s="590"/>
      <c r="AA183" s="590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5">
      <c r="A184" s="398" t="s">
        <v>319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6" t="str">
        <f>A184</f>
        <v>OTHER INCOME</v>
      </c>
      <c r="U184" s="816"/>
      <c r="V184" s="590"/>
      <c r="W184" s="590"/>
      <c r="X184" s="590"/>
      <c r="Y184" s="590"/>
      <c r="Z184" s="590"/>
      <c r="AA184" s="590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5">
      <c r="A185" s="413" t="s">
        <v>320</v>
      </c>
      <c r="C185" s="177">
        <f t="shared" ref="C185:N185" si="165">C32-C127</f>
        <v>0</v>
      </c>
      <c r="D185" s="177">
        <f t="shared" si="165"/>
        <v>0</v>
      </c>
      <c r="E185" s="177">
        <f t="shared" si="165"/>
        <v>0</v>
      </c>
      <c r="F185" s="177">
        <f t="shared" si="165"/>
        <v>0</v>
      </c>
      <c r="G185" s="177">
        <f t="shared" si="165"/>
        <v>0</v>
      </c>
      <c r="H185" s="177">
        <f t="shared" si="165"/>
        <v>0</v>
      </c>
      <c r="I185" s="177">
        <f t="shared" si="165"/>
        <v>0</v>
      </c>
      <c r="J185" s="177">
        <f t="shared" si="165"/>
        <v>0</v>
      </c>
      <c r="K185" s="177">
        <f t="shared" si="165"/>
        <v>0</v>
      </c>
      <c r="L185" s="177">
        <f t="shared" si="165"/>
        <v>0</v>
      </c>
      <c r="M185" s="177">
        <f t="shared" si="165"/>
        <v>0</v>
      </c>
      <c r="N185" s="177">
        <f t="shared" si="165"/>
        <v>0</v>
      </c>
      <c r="O185" s="177">
        <f>SUM(C185:N185)</f>
        <v>0</v>
      </c>
      <c r="P185" s="178">
        <f>SUM(C185:H185)</f>
        <v>0</v>
      </c>
      <c r="Q185" s="177">
        <f>O185-P185</f>
        <v>0</v>
      </c>
      <c r="R185" s="572"/>
      <c r="S185" s="170"/>
      <c r="T185" s="607" t="str">
        <f>A185</f>
        <v xml:space="preserve">   Partnership Income</v>
      </c>
      <c r="U185" s="816"/>
      <c r="V185" s="590">
        <f>C185+D185+E185</f>
        <v>0</v>
      </c>
      <c r="W185" s="590">
        <f>F185+G185+H185</f>
        <v>0</v>
      </c>
      <c r="X185" s="590">
        <f>I185+J185+K185</f>
        <v>0</v>
      </c>
      <c r="Y185" s="590">
        <f>L185+M185+N185</f>
        <v>0</v>
      </c>
      <c r="Z185" s="590"/>
      <c r="AA185" s="590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6">D185+AF185</f>
        <v>0</v>
      </c>
      <c r="AH185" s="177">
        <f t="shared" si="166"/>
        <v>0</v>
      </c>
      <c r="AI185" s="177">
        <f t="shared" si="166"/>
        <v>0</v>
      </c>
      <c r="AJ185" s="177">
        <f t="shared" si="166"/>
        <v>0</v>
      </c>
      <c r="AK185" s="177">
        <f t="shared" si="166"/>
        <v>0</v>
      </c>
      <c r="AL185" s="177">
        <f t="shared" si="166"/>
        <v>0</v>
      </c>
      <c r="AM185" s="177">
        <f t="shared" si="166"/>
        <v>0</v>
      </c>
      <c r="AN185" s="177">
        <f t="shared" si="166"/>
        <v>0</v>
      </c>
      <c r="AO185" s="177">
        <f t="shared" si="166"/>
        <v>0</v>
      </c>
      <c r="AP185" s="177">
        <f t="shared" si="166"/>
        <v>0</v>
      </c>
      <c r="AQ185" s="177">
        <f t="shared" si="166"/>
        <v>0</v>
      </c>
    </row>
    <row r="186" spans="1:43" x14ac:dyDescent="0.25">
      <c r="A186" s="413" t="s">
        <v>321</v>
      </c>
      <c r="C186" s="177">
        <f t="shared" ref="C186:N186" si="167">C33-C128</f>
        <v>0</v>
      </c>
      <c r="D186" s="177">
        <f t="shared" si="167"/>
        <v>1</v>
      </c>
      <c r="E186" s="177">
        <f t="shared" si="167"/>
        <v>2</v>
      </c>
      <c r="F186" s="177">
        <f t="shared" si="167"/>
        <v>1</v>
      </c>
      <c r="G186" s="177">
        <f t="shared" si="167"/>
        <v>0</v>
      </c>
      <c r="H186" s="177">
        <f t="shared" si="167"/>
        <v>0</v>
      </c>
      <c r="I186" s="177">
        <f t="shared" si="167"/>
        <v>0</v>
      </c>
      <c r="J186" s="177">
        <f t="shared" si="167"/>
        <v>0</v>
      </c>
      <c r="K186" s="177">
        <f t="shared" si="167"/>
        <v>0</v>
      </c>
      <c r="L186" s="177">
        <f t="shared" si="167"/>
        <v>0</v>
      </c>
      <c r="M186" s="177">
        <f t="shared" si="167"/>
        <v>0</v>
      </c>
      <c r="N186" s="177">
        <f t="shared" si="167"/>
        <v>0</v>
      </c>
      <c r="O186" s="177">
        <f>SUM(C186:N186)</f>
        <v>4</v>
      </c>
      <c r="P186" s="178">
        <f>SUM(C186:H186)</f>
        <v>4</v>
      </c>
      <c r="Q186" s="177">
        <f>O186-P186</f>
        <v>0</v>
      </c>
      <c r="R186" s="572"/>
      <c r="T186" s="607" t="str">
        <f>A186</f>
        <v xml:space="preserve">   Interest Income</v>
      </c>
      <c r="U186" s="816"/>
      <c r="V186" s="590">
        <f>C186+D186+E186</f>
        <v>3</v>
      </c>
      <c r="W186" s="590">
        <f>F186+G186+H186</f>
        <v>1</v>
      </c>
      <c r="X186" s="590">
        <f>I186+J186+K186</f>
        <v>0</v>
      </c>
      <c r="Y186" s="590">
        <f>L186+M186+N186</f>
        <v>0</v>
      </c>
      <c r="Z186" s="590"/>
      <c r="AA186" s="590">
        <f>SUM(V186:Y186)</f>
        <v>4</v>
      </c>
      <c r="AD186" s="165" t="str">
        <f>A186</f>
        <v xml:space="preserve">   Interest Income</v>
      </c>
      <c r="AF186" s="177">
        <f>C186</f>
        <v>0</v>
      </c>
      <c r="AG186" s="177">
        <f t="shared" si="166"/>
        <v>1</v>
      </c>
      <c r="AH186" s="177">
        <f t="shared" si="166"/>
        <v>3</v>
      </c>
      <c r="AI186" s="177">
        <f t="shared" si="166"/>
        <v>4</v>
      </c>
      <c r="AJ186" s="177">
        <f t="shared" si="166"/>
        <v>4</v>
      </c>
      <c r="AK186" s="177">
        <f t="shared" si="166"/>
        <v>4</v>
      </c>
      <c r="AL186" s="177">
        <f t="shared" si="166"/>
        <v>4</v>
      </c>
      <c r="AM186" s="177">
        <f t="shared" si="166"/>
        <v>4</v>
      </c>
      <c r="AN186" s="177">
        <f t="shared" si="166"/>
        <v>4</v>
      </c>
      <c r="AO186" s="177">
        <f t="shared" si="166"/>
        <v>4</v>
      </c>
      <c r="AP186" s="177">
        <f t="shared" si="166"/>
        <v>4</v>
      </c>
      <c r="AQ186" s="177">
        <f t="shared" si="166"/>
        <v>4</v>
      </c>
    </row>
    <row r="187" spans="1:43" x14ac:dyDescent="0.25">
      <c r="A187" s="413" t="s">
        <v>322</v>
      </c>
      <c r="C187" s="180">
        <f t="shared" ref="C187:N187" si="168">C34-C129</f>
        <v>132</v>
      </c>
      <c r="D187" s="180">
        <f t="shared" si="168"/>
        <v>-91</v>
      </c>
      <c r="E187" s="180">
        <f t="shared" si="168"/>
        <v>-25</v>
      </c>
      <c r="F187" s="180">
        <f t="shared" si="168"/>
        <v>4</v>
      </c>
      <c r="G187" s="180">
        <f t="shared" si="168"/>
        <v>-25</v>
      </c>
      <c r="H187" s="180">
        <f t="shared" si="168"/>
        <v>-4</v>
      </c>
      <c r="I187" s="180">
        <f t="shared" si="168"/>
        <v>-7</v>
      </c>
      <c r="J187" s="180">
        <f t="shared" si="168"/>
        <v>0</v>
      </c>
      <c r="K187" s="180">
        <f t="shared" si="168"/>
        <v>-2</v>
      </c>
      <c r="L187" s="180">
        <f t="shared" si="168"/>
        <v>-5</v>
      </c>
      <c r="M187" s="180">
        <f t="shared" si="168"/>
        <v>-2</v>
      </c>
      <c r="N187" s="180">
        <f t="shared" si="168"/>
        <v>-2</v>
      </c>
      <c r="O187" s="180">
        <f>SUM(C187:N187)</f>
        <v>-27</v>
      </c>
      <c r="P187" s="263">
        <f>SUM(C187:H187)</f>
        <v>-9</v>
      </c>
      <c r="Q187" s="180">
        <f>O187-P187</f>
        <v>-18</v>
      </c>
      <c r="R187" s="573"/>
      <c r="S187" s="170"/>
      <c r="T187" s="607" t="str">
        <f>A187</f>
        <v xml:space="preserve">   Other Income / (Deductions)</v>
      </c>
      <c r="U187" s="816"/>
      <c r="V187" s="592">
        <f>C187+D187+E187</f>
        <v>16</v>
      </c>
      <c r="W187" s="592">
        <f>F187+G187+H187</f>
        <v>-25</v>
      </c>
      <c r="X187" s="592">
        <f>I187+J187+K187</f>
        <v>-9</v>
      </c>
      <c r="Y187" s="592">
        <f>L187+M187+N187</f>
        <v>-9</v>
      </c>
      <c r="Z187" s="592"/>
      <c r="AA187" s="592">
        <f>SUM(V187:Y187)</f>
        <v>-27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6"/>
        <v>41</v>
      </c>
      <c r="AH187" s="180">
        <f t="shared" si="166"/>
        <v>16</v>
      </c>
      <c r="AI187" s="180">
        <f t="shared" si="166"/>
        <v>20</v>
      </c>
      <c r="AJ187" s="180">
        <f t="shared" si="166"/>
        <v>-5</v>
      </c>
      <c r="AK187" s="180">
        <f t="shared" si="166"/>
        <v>-9</v>
      </c>
      <c r="AL187" s="180">
        <f t="shared" si="166"/>
        <v>-16</v>
      </c>
      <c r="AM187" s="180">
        <f t="shared" si="166"/>
        <v>-16</v>
      </c>
      <c r="AN187" s="180">
        <f t="shared" si="166"/>
        <v>-18</v>
      </c>
      <c r="AO187" s="180">
        <f t="shared" si="166"/>
        <v>-23</v>
      </c>
      <c r="AP187" s="180">
        <f t="shared" si="166"/>
        <v>-25</v>
      </c>
      <c r="AQ187" s="180">
        <f t="shared" si="166"/>
        <v>-27</v>
      </c>
    </row>
    <row r="188" spans="1:43" ht="3.9" customHeight="1" x14ac:dyDescent="0.25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5"/>
      <c r="U188" s="816"/>
      <c r="V188" s="590"/>
      <c r="W188" s="590"/>
      <c r="X188" s="590"/>
      <c r="Y188" s="590"/>
      <c r="Z188" s="590"/>
      <c r="AA188" s="590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5">
      <c r="A189" s="410" t="s">
        <v>323</v>
      </c>
      <c r="B189" s="812"/>
      <c r="C189" s="181">
        <f t="shared" ref="C189:Q189" si="169">SUM(C185:C187)</f>
        <v>132</v>
      </c>
      <c r="D189" s="181">
        <f t="shared" si="169"/>
        <v>-90</v>
      </c>
      <c r="E189" s="181">
        <f t="shared" si="169"/>
        <v>-23</v>
      </c>
      <c r="F189" s="181">
        <f t="shared" si="169"/>
        <v>5</v>
      </c>
      <c r="G189" s="181">
        <f t="shared" si="169"/>
        <v>-25</v>
      </c>
      <c r="H189" s="181">
        <f t="shared" si="169"/>
        <v>-4</v>
      </c>
      <c r="I189" s="181">
        <f t="shared" si="169"/>
        <v>-7</v>
      </c>
      <c r="J189" s="181">
        <f t="shared" si="169"/>
        <v>0</v>
      </c>
      <c r="K189" s="181">
        <f t="shared" si="169"/>
        <v>-2</v>
      </c>
      <c r="L189" s="181">
        <f t="shared" si="169"/>
        <v>-5</v>
      </c>
      <c r="M189" s="181">
        <f t="shared" si="169"/>
        <v>-2</v>
      </c>
      <c r="N189" s="181">
        <f t="shared" si="169"/>
        <v>-2</v>
      </c>
      <c r="O189" s="181">
        <f t="shared" si="169"/>
        <v>-23</v>
      </c>
      <c r="P189" s="181">
        <f t="shared" si="169"/>
        <v>-5</v>
      </c>
      <c r="Q189" s="181">
        <f t="shared" si="169"/>
        <v>-18</v>
      </c>
      <c r="R189" s="547"/>
      <c r="S189" s="168"/>
      <c r="T189" s="606" t="str">
        <f>A189</f>
        <v xml:space="preserve">     Total Other Income &amp; Other Deductions</v>
      </c>
      <c r="U189" s="601"/>
      <c r="V189" s="609">
        <f>V185+V186+V187</f>
        <v>19</v>
      </c>
      <c r="W189" s="609">
        <f>W185+W186+W187</f>
        <v>-24</v>
      </c>
      <c r="X189" s="609">
        <f>X185+X186+X187</f>
        <v>-9</v>
      </c>
      <c r="Y189" s="609">
        <f>Y185+Y186+Y187</f>
        <v>-9</v>
      </c>
      <c r="Z189" s="609"/>
      <c r="AA189" s="609">
        <f>AA185+AA186+AA187</f>
        <v>-23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70">D189+AF189</f>
        <v>42</v>
      </c>
      <c r="AH189" s="181">
        <f t="shared" si="170"/>
        <v>19</v>
      </c>
      <c r="AI189" s="181">
        <f t="shared" si="170"/>
        <v>24</v>
      </c>
      <c r="AJ189" s="181">
        <f t="shared" si="170"/>
        <v>-1</v>
      </c>
      <c r="AK189" s="181">
        <f t="shared" si="170"/>
        <v>-5</v>
      </c>
      <c r="AL189" s="181">
        <f t="shared" si="170"/>
        <v>-12</v>
      </c>
      <c r="AM189" s="181">
        <f t="shared" si="170"/>
        <v>-12</v>
      </c>
      <c r="AN189" s="181">
        <f t="shared" si="170"/>
        <v>-14</v>
      </c>
      <c r="AO189" s="181">
        <f t="shared" si="170"/>
        <v>-19</v>
      </c>
      <c r="AP189" s="181">
        <f t="shared" si="170"/>
        <v>-21</v>
      </c>
      <c r="AQ189" s="181">
        <f t="shared" si="170"/>
        <v>-23</v>
      </c>
    </row>
    <row r="190" spans="1:43" x14ac:dyDescent="0.25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9"/>
      <c r="U190" s="816"/>
      <c r="V190" s="590"/>
      <c r="W190" s="590"/>
      <c r="X190" s="590"/>
      <c r="Y190" s="590"/>
      <c r="Z190" s="590"/>
      <c r="AA190" s="590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5">
      <c r="A191" s="399" t="s">
        <v>327</v>
      </c>
      <c r="B191" s="815"/>
      <c r="C191" s="181">
        <f t="shared" ref="C191:Q191" si="171">C182+C189</f>
        <v>12459</v>
      </c>
      <c r="D191" s="181">
        <f t="shared" si="171"/>
        <v>15534</v>
      </c>
      <c r="E191" s="181">
        <f t="shared" si="171"/>
        <v>1838</v>
      </c>
      <c r="F191" s="181">
        <f t="shared" si="171"/>
        <v>12859</v>
      </c>
      <c r="G191" s="181">
        <f t="shared" si="171"/>
        <v>12295</v>
      </c>
      <c r="H191" s="181">
        <f t="shared" si="171"/>
        <v>10240</v>
      </c>
      <c r="I191" s="181">
        <f t="shared" si="171"/>
        <v>10830</v>
      </c>
      <c r="J191" s="181">
        <f t="shared" si="171"/>
        <v>10079</v>
      </c>
      <c r="K191" s="181">
        <f t="shared" si="171"/>
        <v>19271</v>
      </c>
      <c r="L191" s="181">
        <f t="shared" si="171"/>
        <v>10100</v>
      </c>
      <c r="M191" s="181">
        <f t="shared" si="171"/>
        <v>9668</v>
      </c>
      <c r="N191" s="181">
        <f t="shared" si="171"/>
        <v>10229</v>
      </c>
      <c r="O191" s="181">
        <f t="shared" si="171"/>
        <v>135402</v>
      </c>
      <c r="P191" s="181">
        <f t="shared" si="171"/>
        <v>65225</v>
      </c>
      <c r="Q191" s="181">
        <f t="shared" si="171"/>
        <v>70177</v>
      </c>
      <c r="R191" s="547"/>
      <c r="S191" s="168"/>
      <c r="T191" s="606" t="str">
        <f>A191</f>
        <v>INCOME BEFORE INTEREST &amp; TAXES</v>
      </c>
      <c r="U191" s="818"/>
      <c r="V191" s="609">
        <f>C191+D191+E191</f>
        <v>29831</v>
      </c>
      <c r="W191" s="609">
        <f>F191+G191+H191</f>
        <v>35394</v>
      </c>
      <c r="X191" s="609">
        <f>I191+J191+K191</f>
        <v>40180</v>
      </c>
      <c r="Y191" s="609">
        <f>L191+M191+N191</f>
        <v>29997</v>
      </c>
      <c r="Z191" s="609"/>
      <c r="AA191" s="609">
        <f>SUM(V191:Y191)</f>
        <v>135402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72">D191+AF191</f>
        <v>27993</v>
      </c>
      <c r="AH191" s="181">
        <f t="shared" si="172"/>
        <v>29831</v>
      </c>
      <c r="AI191" s="181">
        <f t="shared" si="172"/>
        <v>42690</v>
      </c>
      <c r="AJ191" s="181">
        <f t="shared" si="172"/>
        <v>54985</v>
      </c>
      <c r="AK191" s="181">
        <f t="shared" si="172"/>
        <v>65225</v>
      </c>
      <c r="AL191" s="181">
        <f t="shared" si="172"/>
        <v>76055</v>
      </c>
      <c r="AM191" s="181">
        <f t="shared" si="172"/>
        <v>86134</v>
      </c>
      <c r="AN191" s="181">
        <f t="shared" si="172"/>
        <v>105405</v>
      </c>
      <c r="AO191" s="181">
        <f t="shared" si="172"/>
        <v>115505</v>
      </c>
      <c r="AP191" s="181">
        <f t="shared" si="172"/>
        <v>125173</v>
      </c>
      <c r="AQ191" s="181">
        <f t="shared" si="172"/>
        <v>135402</v>
      </c>
    </row>
    <row r="192" spans="1:43" x14ac:dyDescent="0.25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9"/>
      <c r="U192" s="816"/>
      <c r="V192" s="590"/>
      <c r="W192" s="590"/>
      <c r="X192" s="590"/>
      <c r="Y192" s="590"/>
      <c r="Z192" s="590"/>
      <c r="AA192" s="590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5">
      <c r="A193" s="410" t="s">
        <v>1060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6" t="str">
        <f t="shared" ref="T193:T198" si="173">A193</f>
        <v xml:space="preserve">INTEREST AND OTHER </v>
      </c>
      <c r="U193" s="816"/>
      <c r="V193" s="590"/>
      <c r="W193" s="610"/>
      <c r="X193" s="590"/>
      <c r="Y193" s="590"/>
      <c r="Z193" s="590"/>
      <c r="AA193" s="590"/>
      <c r="AB193" s="170"/>
      <c r="AC193" s="170"/>
      <c r="AD193" s="166" t="str">
        <f t="shared" ref="AD193:AD198" si="174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5">
      <c r="A194" s="411" t="s">
        <v>324</v>
      </c>
      <c r="C194" s="177">
        <f t="shared" ref="C194:N194" si="175">C41-C136</f>
        <v>-1</v>
      </c>
      <c r="D194" s="177">
        <f t="shared" si="175"/>
        <v>-2</v>
      </c>
      <c r="E194" s="177">
        <f t="shared" si="175"/>
        <v>-1</v>
      </c>
      <c r="F194" s="177">
        <f t="shared" si="175"/>
        <v>-2</v>
      </c>
      <c r="G194" s="177">
        <f t="shared" si="175"/>
        <v>-1</v>
      </c>
      <c r="H194" s="177">
        <f t="shared" si="175"/>
        <v>-1</v>
      </c>
      <c r="I194" s="177">
        <f t="shared" si="175"/>
        <v>-1</v>
      </c>
      <c r="J194" s="177">
        <f t="shared" si="175"/>
        <v>-4</v>
      </c>
      <c r="K194" s="177">
        <f t="shared" si="175"/>
        <v>-3</v>
      </c>
      <c r="L194" s="177">
        <f t="shared" si="175"/>
        <v>-2</v>
      </c>
      <c r="M194" s="177">
        <f t="shared" si="175"/>
        <v>-3</v>
      </c>
      <c r="N194" s="177">
        <f t="shared" si="175"/>
        <v>-3</v>
      </c>
      <c r="O194" s="177">
        <f>SUM(C194:N194)</f>
        <v>-24</v>
      </c>
      <c r="P194" s="178">
        <f>SUM(C194:H194)</f>
        <v>-8</v>
      </c>
      <c r="Q194" s="177">
        <f>O194-P194</f>
        <v>-16</v>
      </c>
      <c r="R194" s="572"/>
      <c r="S194" s="170"/>
      <c r="T194" s="607" t="str">
        <f t="shared" si="173"/>
        <v xml:space="preserve">   Direct Interest</v>
      </c>
      <c r="U194" s="816"/>
      <c r="V194" s="590">
        <f>C194+D194+E194</f>
        <v>-4</v>
      </c>
      <c r="W194" s="590">
        <f>F194+G194+H194</f>
        <v>-4</v>
      </c>
      <c r="X194" s="590">
        <f>I194+J194+K194</f>
        <v>-8</v>
      </c>
      <c r="Y194" s="590">
        <f>L194+M194+N194</f>
        <v>-8</v>
      </c>
      <c r="Z194" s="590"/>
      <c r="AA194" s="590">
        <f>SUM(V194:Y194)</f>
        <v>-24</v>
      </c>
      <c r="AB194" s="170"/>
      <c r="AC194" s="170"/>
      <c r="AD194" s="165" t="str">
        <f t="shared" si="174"/>
        <v xml:space="preserve">   Direct Interest</v>
      </c>
      <c r="AF194" s="177">
        <f>C194</f>
        <v>-1</v>
      </c>
      <c r="AG194" s="177">
        <f t="shared" ref="AG194:AQ198" si="176">D194+AF194</f>
        <v>-3</v>
      </c>
      <c r="AH194" s="177">
        <f t="shared" si="176"/>
        <v>-4</v>
      </c>
      <c r="AI194" s="177">
        <f t="shared" si="176"/>
        <v>-6</v>
      </c>
      <c r="AJ194" s="177">
        <f t="shared" si="176"/>
        <v>-7</v>
      </c>
      <c r="AK194" s="177">
        <f t="shared" si="176"/>
        <v>-8</v>
      </c>
      <c r="AL194" s="177">
        <f t="shared" si="176"/>
        <v>-9</v>
      </c>
      <c r="AM194" s="177">
        <f t="shared" si="176"/>
        <v>-13</v>
      </c>
      <c r="AN194" s="177">
        <f t="shared" si="176"/>
        <v>-16</v>
      </c>
      <c r="AO194" s="177">
        <f t="shared" si="176"/>
        <v>-18</v>
      </c>
      <c r="AP194" s="177">
        <f t="shared" si="176"/>
        <v>-21</v>
      </c>
      <c r="AQ194" s="177">
        <f t="shared" si="176"/>
        <v>-24</v>
      </c>
    </row>
    <row r="195" spans="1:43" x14ac:dyDescent="0.25">
      <c r="A195" s="411" t="s">
        <v>1057</v>
      </c>
      <c r="C195" s="177">
        <f t="shared" ref="C195:N195" si="177">C42-C137</f>
        <v>119</v>
      </c>
      <c r="D195" s="177">
        <f t="shared" si="177"/>
        <v>119</v>
      </c>
      <c r="E195" s="177">
        <f t="shared" si="177"/>
        <v>120</v>
      </c>
      <c r="F195" s="177">
        <f t="shared" si="177"/>
        <v>119</v>
      </c>
      <c r="G195" s="177">
        <f t="shared" si="177"/>
        <v>119</v>
      </c>
      <c r="H195" s="177">
        <f t="shared" si="177"/>
        <v>119</v>
      </c>
      <c r="I195" s="177">
        <f t="shared" si="177"/>
        <v>119</v>
      </c>
      <c r="J195" s="177">
        <f t="shared" si="177"/>
        <v>119</v>
      </c>
      <c r="K195" s="177">
        <f t="shared" si="177"/>
        <v>120</v>
      </c>
      <c r="L195" s="177">
        <f t="shared" si="177"/>
        <v>119</v>
      </c>
      <c r="M195" s="177">
        <f t="shared" si="177"/>
        <v>90</v>
      </c>
      <c r="N195" s="177">
        <f t="shared" si="177"/>
        <v>90</v>
      </c>
      <c r="O195" s="177">
        <f>SUM(C195:N195)</f>
        <v>1372</v>
      </c>
      <c r="P195" s="178">
        <f>SUM(C195:H195)</f>
        <v>715</v>
      </c>
      <c r="Q195" s="177">
        <f>O195-P195</f>
        <v>657</v>
      </c>
      <c r="R195" s="572"/>
      <c r="S195" s="170"/>
      <c r="T195" s="607" t="str">
        <f t="shared" si="173"/>
        <v xml:space="preserve">   Interest on Long Term Debt (Pre 1/1/98 - Third Party)</v>
      </c>
      <c r="U195" s="816"/>
      <c r="V195" s="590">
        <f>C195+D195+E195</f>
        <v>358</v>
      </c>
      <c r="W195" s="590">
        <f>F195+G195+H195</f>
        <v>357</v>
      </c>
      <c r="X195" s="590">
        <f>I195+J195+K195</f>
        <v>358</v>
      </c>
      <c r="Y195" s="590">
        <f>L195+M195+N195</f>
        <v>299</v>
      </c>
      <c r="Z195" s="590"/>
      <c r="AA195" s="590">
        <f>SUM(V195:Y195)</f>
        <v>1372</v>
      </c>
      <c r="AB195" s="170"/>
      <c r="AC195" s="170"/>
      <c r="AD195" s="165" t="str">
        <f t="shared" si="174"/>
        <v xml:space="preserve">   Interest on Long Term Debt (Pre 1/1/98 - Third Party)</v>
      </c>
      <c r="AF195" s="177">
        <f>C195</f>
        <v>119</v>
      </c>
      <c r="AG195" s="177">
        <f t="shared" ref="AG195:AQ196" si="178">D195+AF195</f>
        <v>238</v>
      </c>
      <c r="AH195" s="177">
        <f t="shared" si="178"/>
        <v>358</v>
      </c>
      <c r="AI195" s="177">
        <f t="shared" si="178"/>
        <v>477</v>
      </c>
      <c r="AJ195" s="177">
        <f t="shared" si="178"/>
        <v>596</v>
      </c>
      <c r="AK195" s="177">
        <f t="shared" si="178"/>
        <v>715</v>
      </c>
      <c r="AL195" s="177">
        <f t="shared" si="178"/>
        <v>834</v>
      </c>
      <c r="AM195" s="177">
        <f t="shared" si="178"/>
        <v>953</v>
      </c>
      <c r="AN195" s="177">
        <f t="shared" si="178"/>
        <v>1073</v>
      </c>
      <c r="AO195" s="177">
        <f t="shared" si="178"/>
        <v>1192</v>
      </c>
      <c r="AP195" s="177">
        <f t="shared" si="178"/>
        <v>1282</v>
      </c>
      <c r="AQ195" s="177">
        <f t="shared" si="178"/>
        <v>1372</v>
      </c>
    </row>
    <row r="196" spans="1:43" x14ac:dyDescent="0.25">
      <c r="A196" s="411" t="s">
        <v>1058</v>
      </c>
      <c r="C196" s="177">
        <f t="shared" ref="C196:N196" si="179">C43-C138</f>
        <v>925</v>
      </c>
      <c r="D196" s="177">
        <f t="shared" si="179"/>
        <v>925</v>
      </c>
      <c r="E196" s="177">
        <f t="shared" si="179"/>
        <v>925</v>
      </c>
      <c r="F196" s="177">
        <f t="shared" si="179"/>
        <v>657</v>
      </c>
      <c r="G196" s="177">
        <f t="shared" si="179"/>
        <v>678</v>
      </c>
      <c r="H196" s="177">
        <f t="shared" si="179"/>
        <v>613</v>
      </c>
      <c r="I196" s="177">
        <f t="shared" si="179"/>
        <v>0</v>
      </c>
      <c r="J196" s="177">
        <f t="shared" si="179"/>
        <v>0</v>
      </c>
      <c r="K196" s="177">
        <f t="shared" si="179"/>
        <v>0</v>
      </c>
      <c r="L196" s="177">
        <f t="shared" si="179"/>
        <v>0</v>
      </c>
      <c r="M196" s="177">
        <f t="shared" si="179"/>
        <v>0</v>
      </c>
      <c r="N196" s="177">
        <f t="shared" si="179"/>
        <v>0</v>
      </c>
      <c r="O196" s="177">
        <f>SUM(C196:N196)</f>
        <v>4723</v>
      </c>
      <c r="P196" s="178">
        <f>SUM(C196:H196)</f>
        <v>4723</v>
      </c>
      <c r="Q196" s="177">
        <f>O196-P196</f>
        <v>0</v>
      </c>
      <c r="R196" s="572"/>
      <c r="S196" s="170"/>
      <c r="T196" s="607" t="str">
        <f t="shared" si="173"/>
        <v xml:space="preserve">   Interest on Long Term Debt (Post 1/1/98 - Internal)</v>
      </c>
      <c r="U196" s="816"/>
      <c r="V196" s="590">
        <f>C196+D196+E196</f>
        <v>2775</v>
      </c>
      <c r="W196" s="590">
        <f>F196+G196+H196</f>
        <v>1948</v>
      </c>
      <c r="X196" s="590">
        <f>I196+J196+K196</f>
        <v>0</v>
      </c>
      <c r="Y196" s="590">
        <f>L196+M196+N196</f>
        <v>0</v>
      </c>
      <c r="Z196" s="590"/>
      <c r="AA196" s="590">
        <f>SUM(V196:Y196)</f>
        <v>4723</v>
      </c>
      <c r="AB196" s="170"/>
      <c r="AC196" s="170"/>
      <c r="AD196" s="165" t="str">
        <f t="shared" si="174"/>
        <v xml:space="preserve">   Interest on Long Term Debt (Post 1/1/98 - Internal)</v>
      </c>
      <c r="AF196" s="177">
        <f>C196</f>
        <v>925</v>
      </c>
      <c r="AG196" s="177">
        <f t="shared" si="178"/>
        <v>1850</v>
      </c>
      <c r="AH196" s="177">
        <f t="shared" si="178"/>
        <v>2775</v>
      </c>
      <c r="AI196" s="177">
        <f t="shared" si="178"/>
        <v>3432</v>
      </c>
      <c r="AJ196" s="177">
        <f t="shared" si="178"/>
        <v>4110</v>
      </c>
      <c r="AK196" s="177">
        <f t="shared" si="178"/>
        <v>4723</v>
      </c>
      <c r="AL196" s="177">
        <f t="shared" si="178"/>
        <v>4723</v>
      </c>
      <c r="AM196" s="177">
        <f t="shared" si="178"/>
        <v>4723</v>
      </c>
      <c r="AN196" s="177">
        <f t="shared" si="178"/>
        <v>4723</v>
      </c>
      <c r="AO196" s="177">
        <f t="shared" si="178"/>
        <v>4723</v>
      </c>
      <c r="AP196" s="177">
        <f t="shared" si="178"/>
        <v>4723</v>
      </c>
      <c r="AQ196" s="177">
        <f t="shared" si="178"/>
        <v>4723</v>
      </c>
    </row>
    <row r="197" spans="1:43" x14ac:dyDescent="0.25">
      <c r="A197" s="411" t="s">
        <v>325</v>
      </c>
      <c r="C197" s="177">
        <f t="shared" ref="C197:N197" si="180">C44-C139</f>
        <v>0</v>
      </c>
      <c r="D197" s="177">
        <f t="shared" si="180"/>
        <v>0</v>
      </c>
      <c r="E197" s="177">
        <f t="shared" si="180"/>
        <v>-5198</v>
      </c>
      <c r="F197" s="177">
        <f t="shared" si="180"/>
        <v>-1785</v>
      </c>
      <c r="G197" s="177">
        <f t="shared" si="180"/>
        <v>-1429</v>
      </c>
      <c r="H197" s="177">
        <f t="shared" si="180"/>
        <v>-1319</v>
      </c>
      <c r="I197" s="177">
        <f t="shared" si="180"/>
        <v>-825</v>
      </c>
      <c r="J197" s="177">
        <f t="shared" si="180"/>
        <v>-884</v>
      </c>
      <c r="K197" s="177">
        <f t="shared" si="180"/>
        <v>-844</v>
      </c>
      <c r="L197" s="177">
        <f t="shared" si="180"/>
        <v>-869</v>
      </c>
      <c r="M197" s="177">
        <f t="shared" si="180"/>
        <v>-822</v>
      </c>
      <c r="N197" s="177">
        <f t="shared" si="180"/>
        <v>-820</v>
      </c>
      <c r="O197" s="177">
        <f>SUM(C197:N197)</f>
        <v>-14795</v>
      </c>
      <c r="P197" s="178">
        <f>SUM(C197:H197)</f>
        <v>-9731</v>
      </c>
      <c r="Q197" s="177">
        <f>O197-P197</f>
        <v>-5064</v>
      </c>
      <c r="R197" s="572"/>
      <c r="S197" s="170"/>
      <c r="T197" s="607" t="str">
        <f t="shared" si="173"/>
        <v xml:space="preserve">   Intercompany Interest Expense / (Income)</v>
      </c>
      <c r="U197" s="816"/>
      <c r="V197" s="590">
        <f>C197+D197+E197</f>
        <v>-5198</v>
      </c>
      <c r="W197" s="590">
        <f>F197+G197+H197</f>
        <v>-4533</v>
      </c>
      <c r="X197" s="590">
        <f>I197+J197+K197</f>
        <v>-2553</v>
      </c>
      <c r="Y197" s="590">
        <f>L197+M197+N197</f>
        <v>-2511</v>
      </c>
      <c r="Z197" s="590"/>
      <c r="AA197" s="590">
        <f>SUM(V197:Y197)</f>
        <v>-14795</v>
      </c>
      <c r="AB197" s="170"/>
      <c r="AC197" s="170"/>
      <c r="AD197" s="165" t="str">
        <f t="shared" si="174"/>
        <v xml:space="preserve">   Intercompany Interest Expense / (Income)</v>
      </c>
      <c r="AF197" s="177">
        <f>C197</f>
        <v>0</v>
      </c>
      <c r="AG197" s="177">
        <f t="shared" si="176"/>
        <v>0</v>
      </c>
      <c r="AH197" s="177">
        <f t="shared" si="176"/>
        <v>-5198</v>
      </c>
      <c r="AI197" s="177">
        <f t="shared" si="176"/>
        <v>-6983</v>
      </c>
      <c r="AJ197" s="177">
        <f t="shared" si="176"/>
        <v>-8412</v>
      </c>
      <c r="AK197" s="177">
        <f t="shared" si="176"/>
        <v>-9731</v>
      </c>
      <c r="AL197" s="177">
        <f t="shared" si="176"/>
        <v>-10556</v>
      </c>
      <c r="AM197" s="177">
        <f t="shared" si="176"/>
        <v>-11440</v>
      </c>
      <c r="AN197" s="177">
        <f t="shared" si="176"/>
        <v>-12284</v>
      </c>
      <c r="AO197" s="177">
        <f t="shared" si="176"/>
        <v>-13153</v>
      </c>
      <c r="AP197" s="177">
        <f t="shared" si="176"/>
        <v>-13975</v>
      </c>
      <c r="AQ197" s="177">
        <f t="shared" si="176"/>
        <v>-14795</v>
      </c>
    </row>
    <row r="198" spans="1:43" x14ac:dyDescent="0.25">
      <c r="A198" s="176" t="s">
        <v>326</v>
      </c>
      <c r="C198" s="180">
        <f t="shared" ref="C198:N198" si="181">C45-C140</f>
        <v>-11</v>
      </c>
      <c r="D198" s="180">
        <f t="shared" si="181"/>
        <v>-10</v>
      </c>
      <c r="E198" s="180">
        <f t="shared" si="181"/>
        <v>-9</v>
      </c>
      <c r="F198" s="180">
        <f t="shared" si="181"/>
        <v>-7</v>
      </c>
      <c r="G198" s="180">
        <f t="shared" si="181"/>
        <v>-8</v>
      </c>
      <c r="H198" s="180">
        <f t="shared" si="181"/>
        <v>-11</v>
      </c>
      <c r="I198" s="180">
        <f t="shared" si="181"/>
        <v>-8</v>
      </c>
      <c r="J198" s="180">
        <f t="shared" si="181"/>
        <v>-31</v>
      </c>
      <c r="K198" s="180">
        <f t="shared" si="181"/>
        <v>-25</v>
      </c>
      <c r="L198" s="180">
        <f t="shared" si="181"/>
        <v>-15</v>
      </c>
      <c r="M198" s="180">
        <f t="shared" si="181"/>
        <v>-27</v>
      </c>
      <c r="N198" s="180">
        <f t="shared" si="181"/>
        <v>-22</v>
      </c>
      <c r="O198" s="180">
        <f>SUM(C198:N198)</f>
        <v>-184</v>
      </c>
      <c r="P198" s="263">
        <f>SUM(C198:H198)</f>
        <v>-56</v>
      </c>
      <c r="Q198" s="180">
        <f>O198-P198</f>
        <v>-128</v>
      </c>
      <c r="R198" s="573"/>
      <c r="S198" s="662"/>
      <c r="T198" s="607" t="str">
        <f t="shared" si="173"/>
        <v xml:space="preserve">   AFUDC</v>
      </c>
      <c r="U198" s="820"/>
      <c r="V198" s="592">
        <f>C198+D198+E198</f>
        <v>-30</v>
      </c>
      <c r="W198" s="592">
        <f>F198+G198+H198</f>
        <v>-26</v>
      </c>
      <c r="X198" s="592">
        <f>I198+J198+K198</f>
        <v>-64</v>
      </c>
      <c r="Y198" s="592">
        <f>L198+M198+N198</f>
        <v>-64</v>
      </c>
      <c r="Z198" s="592"/>
      <c r="AA198" s="592">
        <f>SUM(V198:Y198)</f>
        <v>-184</v>
      </c>
      <c r="AB198" s="170"/>
      <c r="AC198" s="170"/>
      <c r="AD198" s="165" t="str">
        <f t="shared" si="174"/>
        <v xml:space="preserve">   AFUDC</v>
      </c>
      <c r="AF198" s="180">
        <f>C198</f>
        <v>-11</v>
      </c>
      <c r="AG198" s="180">
        <f t="shared" si="176"/>
        <v>-21</v>
      </c>
      <c r="AH198" s="180">
        <f t="shared" si="176"/>
        <v>-30</v>
      </c>
      <c r="AI198" s="180">
        <f t="shared" si="176"/>
        <v>-37</v>
      </c>
      <c r="AJ198" s="180">
        <f t="shared" si="176"/>
        <v>-45</v>
      </c>
      <c r="AK198" s="180">
        <f t="shared" si="176"/>
        <v>-56</v>
      </c>
      <c r="AL198" s="180">
        <f t="shared" si="176"/>
        <v>-64</v>
      </c>
      <c r="AM198" s="180">
        <f t="shared" si="176"/>
        <v>-95</v>
      </c>
      <c r="AN198" s="180">
        <f t="shared" si="176"/>
        <v>-120</v>
      </c>
      <c r="AO198" s="180">
        <f t="shared" si="176"/>
        <v>-135</v>
      </c>
      <c r="AP198" s="180">
        <f t="shared" si="176"/>
        <v>-162</v>
      </c>
      <c r="AQ198" s="180">
        <f t="shared" si="176"/>
        <v>-184</v>
      </c>
    </row>
    <row r="199" spans="1:43" ht="3.9" customHeight="1" x14ac:dyDescent="0.25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9"/>
      <c r="U199" s="816"/>
      <c r="V199" s="590"/>
      <c r="W199" s="590"/>
      <c r="X199" s="590"/>
      <c r="Y199" s="590"/>
      <c r="Z199" s="590"/>
      <c r="AA199" s="590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5">
      <c r="A200" s="415" t="s">
        <v>1061</v>
      </c>
      <c r="B200" s="815"/>
      <c r="C200" s="181">
        <f>SUM(C194:C198)</f>
        <v>1032</v>
      </c>
      <c r="D200" s="181">
        <f t="shared" ref="D200:Q200" si="182">SUM(D194:D198)</f>
        <v>1032</v>
      </c>
      <c r="E200" s="181">
        <f t="shared" si="182"/>
        <v>-4163</v>
      </c>
      <c r="F200" s="181">
        <f t="shared" si="182"/>
        <v>-1018</v>
      </c>
      <c r="G200" s="181">
        <f t="shared" si="182"/>
        <v>-641</v>
      </c>
      <c r="H200" s="181">
        <f t="shared" si="182"/>
        <v>-599</v>
      </c>
      <c r="I200" s="181">
        <f t="shared" si="182"/>
        <v>-715</v>
      </c>
      <c r="J200" s="181">
        <f t="shared" si="182"/>
        <v>-800</v>
      </c>
      <c r="K200" s="181">
        <f t="shared" si="182"/>
        <v>-752</v>
      </c>
      <c r="L200" s="181">
        <f t="shared" si="182"/>
        <v>-767</v>
      </c>
      <c r="M200" s="181">
        <f t="shared" si="182"/>
        <v>-762</v>
      </c>
      <c r="N200" s="181">
        <f t="shared" si="182"/>
        <v>-755</v>
      </c>
      <c r="O200" s="181">
        <f t="shared" si="182"/>
        <v>-8908</v>
      </c>
      <c r="P200" s="181">
        <f t="shared" si="182"/>
        <v>-4357</v>
      </c>
      <c r="Q200" s="181">
        <f t="shared" si="182"/>
        <v>-4551</v>
      </c>
      <c r="R200" s="547"/>
      <c r="S200" s="168"/>
      <c r="T200" s="606" t="str">
        <f>A200</f>
        <v xml:space="preserve">     Total Interest and Other</v>
      </c>
      <c r="U200" s="818"/>
      <c r="V200" s="609">
        <f>SUM(V194:V198)</f>
        <v>-2099</v>
      </c>
      <c r="W200" s="609">
        <f>SUM(W194:W198)</f>
        <v>-2258</v>
      </c>
      <c r="X200" s="609">
        <f>SUM(X194:X198)</f>
        <v>-2267</v>
      </c>
      <c r="Y200" s="609">
        <f>SUM(Y194:Y198)</f>
        <v>-2284</v>
      </c>
      <c r="Z200" s="609"/>
      <c r="AA200" s="609">
        <f>SUM(AA194:AA198)</f>
        <v>-8908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3">D200+AF200</f>
        <v>2064</v>
      </c>
      <c r="AH200" s="181">
        <f t="shared" si="183"/>
        <v>-2099</v>
      </c>
      <c r="AI200" s="181">
        <f t="shared" si="183"/>
        <v>-3117</v>
      </c>
      <c r="AJ200" s="181">
        <f t="shared" si="183"/>
        <v>-3758</v>
      </c>
      <c r="AK200" s="181">
        <f t="shared" si="183"/>
        <v>-4357</v>
      </c>
      <c r="AL200" s="181">
        <f t="shared" si="183"/>
        <v>-5072</v>
      </c>
      <c r="AM200" s="181">
        <f t="shared" si="183"/>
        <v>-5872</v>
      </c>
      <c r="AN200" s="181">
        <f t="shared" si="183"/>
        <v>-6624</v>
      </c>
      <c r="AO200" s="181">
        <f t="shared" si="183"/>
        <v>-7391</v>
      </c>
      <c r="AP200" s="181">
        <f t="shared" si="183"/>
        <v>-8153</v>
      </c>
      <c r="AQ200" s="181">
        <f t="shared" si="183"/>
        <v>-8908</v>
      </c>
    </row>
    <row r="201" spans="1:43" x14ac:dyDescent="0.25">
      <c r="A201" s="415"/>
      <c r="B201" s="815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6"/>
      <c r="U201" s="818"/>
      <c r="V201" s="609"/>
      <c r="W201" s="609"/>
      <c r="X201" s="609"/>
      <c r="Y201" s="609"/>
      <c r="Z201" s="609"/>
      <c r="AA201" s="609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5">
      <c r="A202" s="399" t="s">
        <v>328</v>
      </c>
      <c r="B202" s="812"/>
      <c r="C202" s="181">
        <f t="shared" ref="C202:Q202" si="184">C182+C189-C200</f>
        <v>11427</v>
      </c>
      <c r="D202" s="181">
        <f t="shared" si="184"/>
        <v>14502</v>
      </c>
      <c r="E202" s="181">
        <f t="shared" si="184"/>
        <v>6001</v>
      </c>
      <c r="F202" s="181">
        <f t="shared" si="184"/>
        <v>13877</v>
      </c>
      <c r="G202" s="181">
        <f t="shared" si="184"/>
        <v>12936</v>
      </c>
      <c r="H202" s="181">
        <f t="shared" si="184"/>
        <v>10839</v>
      </c>
      <c r="I202" s="181">
        <f t="shared" si="184"/>
        <v>11545</v>
      </c>
      <c r="J202" s="181">
        <f t="shared" si="184"/>
        <v>10879</v>
      </c>
      <c r="K202" s="181">
        <f t="shared" si="184"/>
        <v>20023</v>
      </c>
      <c r="L202" s="181">
        <f t="shared" si="184"/>
        <v>10867</v>
      </c>
      <c r="M202" s="181">
        <f t="shared" si="184"/>
        <v>10430</v>
      </c>
      <c r="N202" s="181">
        <f t="shared" si="184"/>
        <v>10984</v>
      </c>
      <c r="O202" s="181">
        <f t="shared" si="184"/>
        <v>144310</v>
      </c>
      <c r="P202" s="181">
        <f t="shared" si="184"/>
        <v>69582</v>
      </c>
      <c r="Q202" s="181">
        <f t="shared" si="184"/>
        <v>74728</v>
      </c>
      <c r="R202" s="547"/>
      <c r="S202" s="168"/>
      <c r="T202" s="606" t="str">
        <f>A202</f>
        <v>INCOME BEFORE INCOME TAXES</v>
      </c>
      <c r="U202" s="601"/>
      <c r="V202" s="609">
        <f>V182+V189-V200</f>
        <v>31930</v>
      </c>
      <c r="W202" s="609">
        <f>W182+W189-W200</f>
        <v>37652</v>
      </c>
      <c r="X202" s="609">
        <f>X182+X189-X200</f>
        <v>42447</v>
      </c>
      <c r="Y202" s="609">
        <f>Y182+Y189-Y200</f>
        <v>32281</v>
      </c>
      <c r="Z202" s="609"/>
      <c r="AA202" s="609">
        <f>AA182+AA189-AA200</f>
        <v>144310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5">D202+AF202</f>
        <v>25929</v>
      </c>
      <c r="AH202" s="181">
        <f t="shared" si="185"/>
        <v>31930</v>
      </c>
      <c r="AI202" s="181">
        <f t="shared" si="185"/>
        <v>45807</v>
      </c>
      <c r="AJ202" s="181">
        <f t="shared" si="185"/>
        <v>58743</v>
      </c>
      <c r="AK202" s="181">
        <f t="shared" si="185"/>
        <v>69582</v>
      </c>
      <c r="AL202" s="181">
        <f t="shared" si="185"/>
        <v>81127</v>
      </c>
      <c r="AM202" s="181">
        <f t="shared" si="185"/>
        <v>92006</v>
      </c>
      <c r="AN202" s="181">
        <f t="shared" si="185"/>
        <v>112029</v>
      </c>
      <c r="AO202" s="181">
        <f t="shared" si="185"/>
        <v>122896</v>
      </c>
      <c r="AP202" s="181">
        <f t="shared" si="185"/>
        <v>133326</v>
      </c>
      <c r="AQ202" s="181">
        <f t="shared" si="185"/>
        <v>144310</v>
      </c>
    </row>
    <row r="203" spans="1:43" x14ac:dyDescent="0.25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9"/>
      <c r="U203" s="816"/>
      <c r="V203" s="590"/>
      <c r="W203" s="590"/>
      <c r="X203" s="590"/>
      <c r="Y203" s="590"/>
      <c r="Z203" s="590"/>
      <c r="AA203" s="590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5">
      <c r="A204" s="176" t="s">
        <v>988</v>
      </c>
      <c r="C204" s="177">
        <f t="shared" ref="C204:N204" si="186">C51-C146</f>
        <v>4119</v>
      </c>
      <c r="D204" s="177">
        <f t="shared" si="186"/>
        <v>5370</v>
      </c>
      <c r="E204" s="177">
        <f t="shared" si="186"/>
        <v>6853</v>
      </c>
      <c r="F204" s="177">
        <f t="shared" si="186"/>
        <v>4421</v>
      </c>
      <c r="G204" s="177">
        <f t="shared" si="186"/>
        <v>4599</v>
      </c>
      <c r="H204" s="177">
        <f t="shared" si="186"/>
        <v>4037</v>
      </c>
      <c r="I204" s="177">
        <f t="shared" si="186"/>
        <v>4181</v>
      </c>
      <c r="J204" s="177">
        <f t="shared" si="186"/>
        <v>3930</v>
      </c>
      <c r="K204" s="177">
        <f t="shared" si="186"/>
        <v>2247</v>
      </c>
      <c r="L204" s="177">
        <f t="shared" si="186"/>
        <v>812</v>
      </c>
      <c r="M204" s="177">
        <f t="shared" si="186"/>
        <v>4613</v>
      </c>
      <c r="N204" s="177">
        <f t="shared" si="186"/>
        <v>4053</v>
      </c>
      <c r="O204" s="177">
        <f>SUM(C204:N204)</f>
        <v>49235</v>
      </c>
      <c r="P204" s="178">
        <f>SUM(C204:H204)</f>
        <v>29399</v>
      </c>
      <c r="Q204" s="177">
        <f>O204-P204</f>
        <v>19836</v>
      </c>
      <c r="R204" s="572"/>
      <c r="S204" s="170"/>
      <c r="T204" s="607" t="str">
        <f>A204</f>
        <v xml:space="preserve">   Payable Currently</v>
      </c>
      <c r="U204" s="816"/>
      <c r="V204" s="590">
        <f>C204+D204+E204</f>
        <v>16342</v>
      </c>
      <c r="W204" s="590">
        <f>F204+G204+H204</f>
        <v>13057</v>
      </c>
      <c r="X204" s="590">
        <f>I204+J204+K204</f>
        <v>10358</v>
      </c>
      <c r="Y204" s="590">
        <f>L204+M204+N204</f>
        <v>9478</v>
      </c>
      <c r="Z204" s="590"/>
      <c r="AA204" s="590">
        <f>SUM(V204:Y204)</f>
        <v>49235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7">D204+AF204</f>
        <v>9489</v>
      </c>
      <c r="AH204" s="177">
        <f t="shared" si="187"/>
        <v>16342</v>
      </c>
      <c r="AI204" s="177">
        <f t="shared" si="187"/>
        <v>20763</v>
      </c>
      <c r="AJ204" s="177">
        <f t="shared" si="187"/>
        <v>25362</v>
      </c>
      <c r="AK204" s="177">
        <f t="shared" si="187"/>
        <v>29399</v>
      </c>
      <c r="AL204" s="177">
        <f t="shared" si="187"/>
        <v>33580</v>
      </c>
      <c r="AM204" s="177">
        <f t="shared" si="187"/>
        <v>37510</v>
      </c>
      <c r="AN204" s="177">
        <f t="shared" si="187"/>
        <v>39757</v>
      </c>
      <c r="AO204" s="177">
        <f t="shared" si="187"/>
        <v>40569</v>
      </c>
      <c r="AP204" s="177">
        <f t="shared" si="187"/>
        <v>45182</v>
      </c>
      <c r="AQ204" s="177">
        <f t="shared" si="187"/>
        <v>49235</v>
      </c>
    </row>
    <row r="205" spans="1:43" x14ac:dyDescent="0.25">
      <c r="A205" s="413" t="s">
        <v>989</v>
      </c>
      <c r="C205" s="180">
        <f t="shared" ref="C205:N205" si="188">C52-C147</f>
        <v>325</v>
      </c>
      <c r="D205" s="180">
        <f t="shared" si="188"/>
        <v>267</v>
      </c>
      <c r="E205" s="180">
        <f t="shared" si="188"/>
        <v>-4518</v>
      </c>
      <c r="F205" s="180">
        <f t="shared" si="188"/>
        <v>977</v>
      </c>
      <c r="G205" s="180">
        <f t="shared" si="188"/>
        <v>434</v>
      </c>
      <c r="H205" s="180">
        <f t="shared" si="188"/>
        <v>181</v>
      </c>
      <c r="I205" s="180">
        <f t="shared" si="188"/>
        <v>310</v>
      </c>
      <c r="J205" s="180">
        <f t="shared" si="188"/>
        <v>302</v>
      </c>
      <c r="K205" s="180">
        <f t="shared" si="188"/>
        <v>5540</v>
      </c>
      <c r="L205" s="180">
        <f t="shared" si="188"/>
        <v>3416</v>
      </c>
      <c r="M205" s="180">
        <f t="shared" si="188"/>
        <v>-555</v>
      </c>
      <c r="N205" s="180">
        <f t="shared" si="188"/>
        <v>220</v>
      </c>
      <c r="O205" s="180">
        <f>SUM(C205:N205)</f>
        <v>6899</v>
      </c>
      <c r="P205" s="263">
        <f>SUM(C205:H205)</f>
        <v>-2334</v>
      </c>
      <c r="Q205" s="180">
        <f>O205-P205</f>
        <v>9233</v>
      </c>
      <c r="R205" s="573"/>
      <c r="S205" s="170"/>
      <c r="T205" s="607" t="str">
        <f>A205</f>
        <v xml:space="preserve">   Deferred</v>
      </c>
      <c r="U205" s="816"/>
      <c r="V205" s="592">
        <f>C205+D205+E205</f>
        <v>-3926</v>
      </c>
      <c r="W205" s="592">
        <f>F205+G205+H205</f>
        <v>1592</v>
      </c>
      <c r="X205" s="592">
        <f>I205+J205+K205</f>
        <v>6152</v>
      </c>
      <c r="Y205" s="592">
        <f>L205+M205+N205</f>
        <v>3081</v>
      </c>
      <c r="Z205" s="592"/>
      <c r="AA205" s="592">
        <f>SUM(V205:Y205)</f>
        <v>6899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7"/>
        <v>592</v>
      </c>
      <c r="AH205" s="180">
        <f t="shared" si="187"/>
        <v>-3926</v>
      </c>
      <c r="AI205" s="180">
        <f t="shared" si="187"/>
        <v>-2949</v>
      </c>
      <c r="AJ205" s="180">
        <f t="shared" si="187"/>
        <v>-2515</v>
      </c>
      <c r="AK205" s="180">
        <f t="shared" si="187"/>
        <v>-2334</v>
      </c>
      <c r="AL205" s="180">
        <f t="shared" si="187"/>
        <v>-2024</v>
      </c>
      <c r="AM205" s="180">
        <f t="shared" si="187"/>
        <v>-1722</v>
      </c>
      <c r="AN205" s="180">
        <f t="shared" si="187"/>
        <v>3818</v>
      </c>
      <c r="AO205" s="180">
        <f t="shared" si="187"/>
        <v>7234</v>
      </c>
      <c r="AP205" s="180">
        <f t="shared" si="187"/>
        <v>6679</v>
      </c>
      <c r="AQ205" s="180">
        <f t="shared" si="187"/>
        <v>6899</v>
      </c>
    </row>
    <row r="206" spans="1:43" ht="3.9" customHeight="1" x14ac:dyDescent="0.25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5"/>
      <c r="U206" s="816"/>
      <c r="V206" s="590"/>
      <c r="W206" s="590"/>
      <c r="X206" s="590"/>
      <c r="Y206" s="590"/>
      <c r="Z206" s="590"/>
      <c r="AA206" s="590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5">
      <c r="A207" s="412" t="s">
        <v>329</v>
      </c>
      <c r="B207" s="812"/>
      <c r="C207" s="181">
        <f t="shared" ref="C207:Q207" si="189">ROUND((SUM(C204:C205)),0)</f>
        <v>4444</v>
      </c>
      <c r="D207" s="181">
        <f t="shared" si="189"/>
        <v>5637</v>
      </c>
      <c r="E207" s="181">
        <f t="shared" si="189"/>
        <v>2335</v>
      </c>
      <c r="F207" s="181">
        <f t="shared" si="189"/>
        <v>5398</v>
      </c>
      <c r="G207" s="181">
        <f t="shared" si="189"/>
        <v>5033</v>
      </c>
      <c r="H207" s="181">
        <f t="shared" si="189"/>
        <v>4218</v>
      </c>
      <c r="I207" s="181">
        <f t="shared" si="189"/>
        <v>4491</v>
      </c>
      <c r="J207" s="181">
        <f t="shared" si="189"/>
        <v>4232</v>
      </c>
      <c r="K207" s="181">
        <f t="shared" si="189"/>
        <v>7787</v>
      </c>
      <c r="L207" s="181">
        <f t="shared" si="189"/>
        <v>4228</v>
      </c>
      <c r="M207" s="181">
        <f t="shared" si="189"/>
        <v>4058</v>
      </c>
      <c r="N207" s="181">
        <f t="shared" si="189"/>
        <v>4273</v>
      </c>
      <c r="O207" s="181">
        <f t="shared" si="189"/>
        <v>56134</v>
      </c>
      <c r="P207" s="181">
        <f t="shared" si="189"/>
        <v>27065</v>
      </c>
      <c r="Q207" s="181">
        <f t="shared" si="189"/>
        <v>29069</v>
      </c>
      <c r="R207" s="547"/>
      <c r="S207" s="168"/>
      <c r="T207" s="606" t="str">
        <f>A207</f>
        <v xml:space="preserve">     Total Income Taxes</v>
      </c>
      <c r="U207" s="601"/>
      <c r="V207" s="609">
        <f>V204+V205</f>
        <v>12416</v>
      </c>
      <c r="W207" s="609">
        <f>W204+W205</f>
        <v>14649</v>
      </c>
      <c r="X207" s="609">
        <f>X204+X205</f>
        <v>16510</v>
      </c>
      <c r="Y207" s="609">
        <f>Y204+Y205</f>
        <v>12559</v>
      </c>
      <c r="Z207" s="609"/>
      <c r="AA207" s="609">
        <f>AA204+AA205</f>
        <v>56134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90">D207+AF207</f>
        <v>10081</v>
      </c>
      <c r="AH207" s="181">
        <f t="shared" si="190"/>
        <v>12416</v>
      </c>
      <c r="AI207" s="181">
        <f t="shared" si="190"/>
        <v>17814</v>
      </c>
      <c r="AJ207" s="181">
        <f t="shared" si="190"/>
        <v>22847</v>
      </c>
      <c r="AK207" s="181">
        <f t="shared" si="190"/>
        <v>27065</v>
      </c>
      <c r="AL207" s="181">
        <f t="shared" si="190"/>
        <v>31556</v>
      </c>
      <c r="AM207" s="181">
        <f t="shared" si="190"/>
        <v>35788</v>
      </c>
      <c r="AN207" s="181">
        <f t="shared" si="190"/>
        <v>43575</v>
      </c>
      <c r="AO207" s="181">
        <f t="shared" si="190"/>
        <v>47803</v>
      </c>
      <c r="AP207" s="181">
        <f t="shared" si="190"/>
        <v>51861</v>
      </c>
      <c r="AQ207" s="181">
        <f t="shared" si="190"/>
        <v>56134</v>
      </c>
    </row>
    <row r="208" spans="1:43" x14ac:dyDescent="0.25">
      <c r="A208" s="401"/>
      <c r="B208" s="812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4"/>
      <c r="U208" s="601"/>
      <c r="V208" s="608"/>
      <c r="W208" s="608"/>
      <c r="X208" s="608"/>
      <c r="Y208" s="611"/>
      <c r="Z208" s="608"/>
      <c r="AA208" s="608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5">
      <c r="A209" s="410" t="s">
        <v>1059</v>
      </c>
      <c r="B209" s="812"/>
      <c r="C209" s="181">
        <f t="shared" ref="C209:P209" si="191">ROUND(+C202-C207,0)</f>
        <v>6983</v>
      </c>
      <c r="D209" s="181">
        <f t="shared" si="191"/>
        <v>8865</v>
      </c>
      <c r="E209" s="181">
        <f t="shared" si="191"/>
        <v>3666</v>
      </c>
      <c r="F209" s="181">
        <f t="shared" si="191"/>
        <v>8479</v>
      </c>
      <c r="G209" s="181">
        <f t="shared" si="191"/>
        <v>7903</v>
      </c>
      <c r="H209" s="181">
        <f t="shared" si="191"/>
        <v>6621</v>
      </c>
      <c r="I209" s="181">
        <f t="shared" si="191"/>
        <v>7054</v>
      </c>
      <c r="J209" s="181">
        <f t="shared" si="191"/>
        <v>6647</v>
      </c>
      <c r="K209" s="181">
        <f t="shared" si="191"/>
        <v>12236</v>
      </c>
      <c r="L209" s="181">
        <f t="shared" si="191"/>
        <v>6639</v>
      </c>
      <c r="M209" s="181">
        <f t="shared" si="191"/>
        <v>6372</v>
      </c>
      <c r="N209" s="181">
        <f t="shared" si="191"/>
        <v>6711</v>
      </c>
      <c r="O209" s="181">
        <f t="shared" si="191"/>
        <v>88176</v>
      </c>
      <c r="P209" s="181">
        <f t="shared" si="191"/>
        <v>42517</v>
      </c>
      <c r="Q209" s="181">
        <f>Q202-Q207</f>
        <v>45659</v>
      </c>
      <c r="R209" s="547"/>
      <c r="S209" s="168"/>
      <c r="T209" s="606" t="str">
        <f>A209</f>
        <v xml:space="preserve">NET INCOME </v>
      </c>
      <c r="U209" s="601"/>
      <c r="V209" s="609">
        <f>V202-V207</f>
        <v>19514</v>
      </c>
      <c r="W209" s="609">
        <f>W202-W207</f>
        <v>23003</v>
      </c>
      <c r="X209" s="609">
        <f>X202-X207</f>
        <v>25937</v>
      </c>
      <c r="Y209" s="609">
        <f>Y202-Y207</f>
        <v>19722</v>
      </c>
      <c r="Z209" s="609"/>
      <c r="AA209" s="609">
        <f>AA202-AA207</f>
        <v>88176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92">D209+AF209</f>
        <v>15848</v>
      </c>
      <c r="AH209" s="181">
        <f t="shared" si="192"/>
        <v>19514</v>
      </c>
      <c r="AI209" s="181">
        <f t="shared" si="192"/>
        <v>27993</v>
      </c>
      <c r="AJ209" s="181">
        <f t="shared" si="192"/>
        <v>35896</v>
      </c>
      <c r="AK209" s="181">
        <f t="shared" si="192"/>
        <v>42517</v>
      </c>
      <c r="AL209" s="181">
        <f t="shared" si="192"/>
        <v>49571</v>
      </c>
      <c r="AM209" s="181">
        <f t="shared" si="192"/>
        <v>56218</v>
      </c>
      <c r="AN209" s="181">
        <f t="shared" si="192"/>
        <v>68454</v>
      </c>
      <c r="AO209" s="181">
        <f t="shared" si="192"/>
        <v>75093</v>
      </c>
      <c r="AP209" s="181">
        <f t="shared" si="192"/>
        <v>81465</v>
      </c>
      <c r="AQ209" s="181">
        <f t="shared" si="192"/>
        <v>88176</v>
      </c>
    </row>
    <row r="210" spans="1:43" x14ac:dyDescent="0.25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9"/>
      <c r="U210" s="816"/>
      <c r="V210" s="610"/>
      <c r="W210" s="610"/>
      <c r="X210" s="590"/>
      <c r="Y210" s="590"/>
      <c r="Z210" s="590"/>
      <c r="AA210" s="610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5">
      <c r="A211" s="679" t="s">
        <v>615</v>
      </c>
      <c r="C211" s="680">
        <f t="shared" ref="C211:Q211" si="193">C56-C151-C209</f>
        <v>0</v>
      </c>
      <c r="D211" s="680">
        <f t="shared" si="193"/>
        <v>0</v>
      </c>
      <c r="E211" s="680">
        <f t="shared" si="193"/>
        <v>0</v>
      </c>
      <c r="F211" s="680">
        <f t="shared" si="193"/>
        <v>0</v>
      </c>
      <c r="G211" s="680">
        <f t="shared" si="193"/>
        <v>0</v>
      </c>
      <c r="H211" s="680">
        <f t="shared" si="193"/>
        <v>0</v>
      </c>
      <c r="I211" s="680">
        <f t="shared" si="193"/>
        <v>0</v>
      </c>
      <c r="J211" s="680">
        <f t="shared" si="193"/>
        <v>0</v>
      </c>
      <c r="K211" s="680">
        <f t="shared" si="193"/>
        <v>0</v>
      </c>
      <c r="L211" s="680">
        <f t="shared" si="193"/>
        <v>0</v>
      </c>
      <c r="M211" s="680">
        <f t="shared" si="193"/>
        <v>0</v>
      </c>
      <c r="N211" s="680">
        <f t="shared" si="193"/>
        <v>0</v>
      </c>
      <c r="O211" s="680">
        <f t="shared" si="193"/>
        <v>0</v>
      </c>
      <c r="P211" s="680">
        <f t="shared" si="193"/>
        <v>0</v>
      </c>
      <c r="Q211" s="680">
        <f t="shared" si="193"/>
        <v>0</v>
      </c>
      <c r="T211" s="679" t="s">
        <v>615</v>
      </c>
      <c r="V211" s="680">
        <f>V56-V151-V209</f>
        <v>0</v>
      </c>
      <c r="W211" s="680">
        <f>W56-W151-W209</f>
        <v>0</v>
      </c>
      <c r="X211" s="680">
        <f>X56-X151-X209</f>
        <v>0</v>
      </c>
      <c r="Y211" s="680">
        <f>Y56-Y151-Y209</f>
        <v>0</v>
      </c>
      <c r="AA211" s="680">
        <f>AA56-AA151-AA209</f>
        <v>0</v>
      </c>
      <c r="AD211" s="679" t="s">
        <v>615</v>
      </c>
      <c r="AF211" s="680">
        <f t="shared" ref="AF211:AQ211" si="194">AF56-AF151-AF209</f>
        <v>0</v>
      </c>
      <c r="AG211" s="680">
        <f t="shared" si="194"/>
        <v>0</v>
      </c>
      <c r="AH211" s="680">
        <f t="shared" si="194"/>
        <v>0</v>
      </c>
      <c r="AI211" s="680">
        <f t="shared" si="194"/>
        <v>0</v>
      </c>
      <c r="AJ211" s="680">
        <f t="shared" si="194"/>
        <v>0</v>
      </c>
      <c r="AK211" s="680">
        <f t="shared" si="194"/>
        <v>0</v>
      </c>
      <c r="AL211" s="680">
        <f t="shared" si="194"/>
        <v>0</v>
      </c>
      <c r="AM211" s="680">
        <f t="shared" si="194"/>
        <v>0</v>
      </c>
      <c r="AN211" s="680">
        <f t="shared" si="194"/>
        <v>0</v>
      </c>
      <c r="AO211" s="680">
        <f t="shared" si="194"/>
        <v>0</v>
      </c>
      <c r="AP211" s="680">
        <f t="shared" si="194"/>
        <v>0</v>
      </c>
      <c r="AQ211" s="680">
        <f t="shared" si="194"/>
        <v>0</v>
      </c>
    </row>
    <row r="212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10.6640625" defaultRowHeight="13.2" x14ac:dyDescent="0.25"/>
  <cols>
    <col min="1" max="1" width="12.6640625" style="240" customWidth="1"/>
    <col min="2" max="2" width="45.6640625" style="240" customWidth="1"/>
    <col min="3" max="3" width="11.6640625" style="240" customWidth="1"/>
    <col min="4" max="18" width="10.6640625" style="240" customWidth="1"/>
    <col min="19" max="19" width="3.6640625" style="240" customWidth="1"/>
    <col min="20" max="20" width="10.6640625" style="240" customWidth="1"/>
    <col min="21" max="16384" width="10.6640625" style="240"/>
  </cols>
  <sheetData>
    <row r="1" spans="1:40" x14ac:dyDescent="0.25">
      <c r="A1" s="550" t="str">
        <f ca="1">CELL("FILENAME")</f>
        <v>P:\Finance\2001CE\[EMTW01CE.XLS]DataBase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5">
      <c r="A2" s="452" t="s">
        <v>616</v>
      </c>
      <c r="B2" s="239"/>
      <c r="G2" s="519" t="str">
        <f>IncomeState!G2</f>
        <v>2001 ACTUAL / ESTIMATE</v>
      </c>
      <c r="H2" s="658"/>
      <c r="I2" s="658"/>
      <c r="J2" s="659"/>
    </row>
    <row r="3" spans="1:40" x14ac:dyDescent="0.25">
      <c r="A3" s="453"/>
      <c r="G3" s="521" t="s">
        <v>495</v>
      </c>
      <c r="H3" s="519"/>
      <c r="I3" s="519"/>
      <c r="J3" s="520"/>
    </row>
    <row r="4" spans="1:40" x14ac:dyDescent="0.25">
      <c r="A4" s="453"/>
      <c r="B4" s="669">
        <f ca="1">NOW()</f>
        <v>37109.471773495374</v>
      </c>
      <c r="G4" s="519" t="str">
        <f>IncomeState!G4</f>
        <v>(Thousands of Dollars)</v>
      </c>
      <c r="H4" s="522"/>
      <c r="I4" s="522"/>
      <c r="J4" s="520"/>
    </row>
    <row r="5" spans="1:40" x14ac:dyDescent="0.25">
      <c r="A5" s="453"/>
      <c r="B5" s="670">
        <f ca="1">NOW()</f>
        <v>37109.471773495374</v>
      </c>
      <c r="E5"/>
      <c r="F5"/>
      <c r="G5"/>
      <c r="H5" s="493"/>
      <c r="I5" s="546"/>
    </row>
    <row r="6" spans="1:40" x14ac:dyDescent="0.25">
      <c r="A6" s="453"/>
      <c r="D6" s="683" t="str">
        <f>IncomeState!C6</f>
        <v>ACT.</v>
      </c>
      <c r="E6" s="683" t="str">
        <f>IncomeState!D6</f>
        <v>ACT.</v>
      </c>
      <c r="F6" s="683" t="str">
        <f>IncomeState!E6</f>
        <v>ACT.</v>
      </c>
      <c r="G6" s="683" t="str">
        <f>IncomeState!F6</f>
        <v>ACT.</v>
      </c>
      <c r="H6" s="683" t="str">
        <f>IncomeState!G6</f>
        <v>ACT.</v>
      </c>
      <c r="I6" s="683" t="str">
        <f>IncomeState!H6</f>
        <v>ACT.</v>
      </c>
      <c r="J6" s="683" t="str">
        <f>IncomeState!I6</f>
        <v>FLASH</v>
      </c>
      <c r="K6" s="683">
        <f>IncomeState!J6</f>
        <v>0</v>
      </c>
      <c r="L6" s="683">
        <f>IncomeState!K6</f>
        <v>0</v>
      </c>
      <c r="M6" s="683">
        <f>IncomeState!L6</f>
        <v>0</v>
      </c>
      <c r="N6" s="683">
        <f>IncomeState!M6</f>
        <v>0</v>
      </c>
      <c r="O6" s="683">
        <f>IncomeState!N6</f>
        <v>0</v>
      </c>
      <c r="P6" s="683" t="str">
        <f>IncomeState!O6</f>
        <v>TOTAL</v>
      </c>
      <c r="Q6" s="683" t="str">
        <f>IncomeState!P6</f>
        <v>JUNE</v>
      </c>
      <c r="R6" s="683" t="str">
        <f>IncomeState!Q6</f>
        <v>ESTIMATE</v>
      </c>
      <c r="S6" s="242"/>
      <c r="T6" s="455" t="s">
        <v>496</v>
      </c>
    </row>
    <row r="7" spans="1:40" x14ac:dyDescent="0.25">
      <c r="A7" s="454" t="s">
        <v>497</v>
      </c>
      <c r="B7" s="243"/>
      <c r="C7" s="243"/>
      <c r="D7" s="454" t="s">
        <v>591</v>
      </c>
      <c r="E7" s="454" t="s">
        <v>592</v>
      </c>
      <c r="F7" s="454" t="s">
        <v>593</v>
      </c>
      <c r="G7" s="454" t="s">
        <v>594</v>
      </c>
      <c r="H7" s="454" t="s">
        <v>595</v>
      </c>
      <c r="I7" s="454" t="s">
        <v>596</v>
      </c>
      <c r="J7" s="454" t="s">
        <v>597</v>
      </c>
      <c r="K7" s="454" t="s">
        <v>598</v>
      </c>
      <c r="L7" s="454" t="s">
        <v>599</v>
      </c>
      <c r="M7" s="454" t="s">
        <v>600</v>
      </c>
      <c r="N7" s="454" t="s">
        <v>601</v>
      </c>
      <c r="O7" s="454" t="s">
        <v>602</v>
      </c>
      <c r="P7" s="684">
        <f>IncomeState!O7</f>
        <v>2001</v>
      </c>
      <c r="Q7" s="684" t="str">
        <f>IncomeState!P7</f>
        <v>Y-T-D</v>
      </c>
      <c r="R7" s="684" t="str">
        <f>IncomeState!Q7</f>
        <v>R.M.</v>
      </c>
      <c r="S7" s="242"/>
      <c r="T7" s="244" t="s">
        <v>615</v>
      </c>
    </row>
    <row r="8" spans="1:40" x14ac:dyDescent="0.25">
      <c r="A8" s="457" t="s">
        <v>498</v>
      </c>
      <c r="B8" s="245" t="s">
        <v>499</v>
      </c>
      <c r="C8" s="502" t="s">
        <v>500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SUM(D8:I8)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5">
      <c r="A9" s="457" t="s">
        <v>924</v>
      </c>
      <c r="B9" s="252" t="s">
        <v>501</v>
      </c>
      <c r="D9" s="246">
        <f>-'Fuel-Depr-OtherTax'!C13</f>
        <v>4888</v>
      </c>
      <c r="E9" s="246">
        <f>-'Fuel-Depr-OtherTax'!D13</f>
        <v>4666</v>
      </c>
      <c r="F9" s="246">
        <f>-'Fuel-Depr-OtherTax'!E13</f>
        <v>1896</v>
      </c>
      <c r="G9" s="246">
        <f>-'Fuel-Depr-OtherTax'!F13</f>
        <v>-10663</v>
      </c>
      <c r="H9" s="246">
        <f>-'Fuel-Depr-OtherTax'!G13</f>
        <v>327</v>
      </c>
      <c r="I9" s="246">
        <f>-'Fuel-Depr-OtherTax'!H13</f>
        <v>-372</v>
      </c>
      <c r="J9" s="246">
        <f>-'Fuel-Depr-OtherTax'!I13</f>
        <v>-1212</v>
      </c>
      <c r="K9" s="246">
        <f>-'Fuel-Depr-OtherTax'!J13</f>
        <v>2715</v>
      </c>
      <c r="L9" s="246">
        <f>-'Fuel-Depr-OtherTax'!K13</f>
        <v>2800</v>
      </c>
      <c r="M9" s="246">
        <f>-'Fuel-Depr-OtherTax'!L13</f>
        <v>3208</v>
      </c>
      <c r="N9" s="246">
        <f>-'Fuel-Depr-OtherTax'!M13</f>
        <v>3074</v>
      </c>
      <c r="O9" s="246">
        <f>-'Fuel-Depr-OtherTax'!N13</f>
        <v>2749</v>
      </c>
      <c r="P9" s="246">
        <f t="shared" si="0"/>
        <v>14076</v>
      </c>
      <c r="Q9" s="247">
        <f t="shared" ref="Q9:Q71" si="3">SUM(D9:I9)</f>
        <v>742</v>
      </c>
      <c r="R9" s="246">
        <f t="shared" si="1"/>
        <v>13334</v>
      </c>
      <c r="S9" s="247"/>
      <c r="T9" s="531">
        <f t="shared" si="2"/>
        <v>14076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5">
      <c r="A10" s="457" t="s">
        <v>498</v>
      </c>
      <c r="B10" s="252" t="s">
        <v>502</v>
      </c>
      <c r="D10" s="695">
        <f>'Transport-OtherRev'!C20+(-D8-D11)+(D8+D11)</f>
        <v>13915</v>
      </c>
      <c r="E10" s="695">
        <f>'Transport-OtherRev'!D20+(-E8-E11)+(E8+E11)</f>
        <v>18344</v>
      </c>
      <c r="F10" s="695">
        <f>'Transport-OtherRev'!E20+(-F8-F11)+(F8+F11)</f>
        <v>18106</v>
      </c>
      <c r="G10" s="695">
        <f>'Transport-OtherRev'!F20+(-G8-G11)+(G8+G11)</f>
        <v>14923</v>
      </c>
      <c r="H10" s="695">
        <f>'Transport-OtherRev'!G20+(-H8-H11)+(H8+H11)</f>
        <v>16340</v>
      </c>
      <c r="I10" s="695">
        <f>'Transport-OtherRev'!H20+(-I8-I11)+(I8+I11)</f>
        <v>14618</v>
      </c>
      <c r="J10" s="695">
        <f>'Transport-OtherRev'!I20+(-J8-J11)+(J8+J11)</f>
        <v>14327</v>
      </c>
      <c r="K10" s="695">
        <f>'Transport-OtherRev'!J20+(-K8-K11)+(K8+K11)</f>
        <v>13455</v>
      </c>
      <c r="L10" s="695">
        <f>'Transport-OtherRev'!K20+(-L8-L11)+(L8+L11)</f>
        <v>12808</v>
      </c>
      <c r="M10" s="695">
        <f>'Transport-OtherRev'!L20+(-M8-M11)+(M8+M11)</f>
        <v>13286</v>
      </c>
      <c r="N10" s="695">
        <f>'Transport-OtherRev'!M20+(-N8-N11)+(N8+N11)</f>
        <v>12783</v>
      </c>
      <c r="O10" s="695">
        <f>'Transport-OtherRev'!N20+(-O8-O11)+(O8+O11)</f>
        <v>13495</v>
      </c>
      <c r="P10" s="246">
        <f t="shared" si="0"/>
        <v>176400</v>
      </c>
      <c r="Q10" s="247">
        <f t="shared" si="3"/>
        <v>96246</v>
      </c>
      <c r="R10" s="246">
        <f t="shared" si="1"/>
        <v>80154</v>
      </c>
      <c r="S10" s="247"/>
      <c r="T10" s="531">
        <f t="shared" si="2"/>
        <v>176400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5">
      <c r="A11" s="457" t="s">
        <v>498</v>
      </c>
      <c r="B11" s="252" t="s">
        <v>503</v>
      </c>
      <c r="C11" s="502" t="s">
        <v>504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5">
      <c r="A12" s="457" t="s">
        <v>973</v>
      </c>
      <c r="B12" s="252" t="s">
        <v>972</v>
      </c>
      <c r="D12" s="246">
        <f>+'Transport-OtherRev'!C39+'Transport-OtherRev'!C40+'Transport-OtherRev'!C41</f>
        <v>0</v>
      </c>
      <c r="E12" s="246">
        <f>+'Transport-OtherRev'!D39+'Transport-OtherRev'!D40+'Transport-OtherRev'!D41</f>
        <v>0</v>
      </c>
      <c r="F12" s="246">
        <f>+'Transport-OtherRev'!E39+'Transport-OtherRev'!E40+'Transport-OtherRev'!E41</f>
        <v>0</v>
      </c>
      <c r="G12" s="246">
        <f>+'Transport-OtherRev'!F39+'Transport-OtherRev'!F40+'Transport-OtherRev'!F41</f>
        <v>0</v>
      </c>
      <c r="H12" s="246">
        <f>+'Transport-OtherRev'!G39+'Transport-OtherRev'!G40+'Transport-OtherRev'!G41</f>
        <v>0</v>
      </c>
      <c r="I12" s="246">
        <f>+'Transport-OtherRev'!H39+'Transport-OtherRev'!H40+'Transport-OtherRev'!H41</f>
        <v>0</v>
      </c>
      <c r="J12" s="246">
        <f>+'Transport-OtherRev'!I39+'Transport-OtherRev'!I40+'Transport-OtherRev'!I41</f>
        <v>0</v>
      </c>
      <c r="K12" s="246">
        <f>+'Transport-OtherRev'!J39+'Transport-OtherRev'!J40+'Transport-OtherRev'!J41</f>
        <v>0</v>
      </c>
      <c r="L12" s="246">
        <f>+'Transport-OtherRev'!K39+'Transport-OtherRev'!K40+'Transport-OtherRev'!K41</f>
        <v>0</v>
      </c>
      <c r="M12" s="246">
        <f>+'Transport-OtherRev'!L39+'Transport-OtherRev'!L40+'Transport-OtherRev'!L41</f>
        <v>0</v>
      </c>
      <c r="N12" s="246">
        <f>+'Transport-OtherRev'!M39+'Transport-OtherRev'!M40+'Transport-OtherRev'!M41</f>
        <v>0</v>
      </c>
      <c r="O12" s="246">
        <f>+'Transport-OtherRev'!N39+'Transport-OtherRev'!N40+'Transport-OtherRev'!N41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5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5">
      <c r="A14" s="458" t="s">
        <v>922</v>
      </c>
      <c r="B14" s="245" t="s">
        <v>922</v>
      </c>
      <c r="C14" s="502" t="s">
        <v>500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5">
      <c r="A15" s="458" t="s">
        <v>922</v>
      </c>
      <c r="B15" s="245" t="s">
        <v>922</v>
      </c>
      <c r="C15" s="502" t="s">
        <v>500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5">
      <c r="A16" s="458" t="s">
        <v>922</v>
      </c>
      <c r="B16" s="245" t="s">
        <v>922</v>
      </c>
      <c r="C16" s="502" t="s">
        <v>500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5">
      <c r="A17" s="458" t="s">
        <v>505</v>
      </c>
      <c r="B17" s="245" t="s">
        <v>506</v>
      </c>
      <c r="C17" s="502"/>
      <c r="D17" s="478">
        <f>-RegAmort!C41</f>
        <v>-30</v>
      </c>
      <c r="E17" s="478">
        <f>-RegAmort!D41</f>
        <v>-30</v>
      </c>
      <c r="F17" s="478">
        <f>-RegAmort!E41</f>
        <v>-31</v>
      </c>
      <c r="G17" s="478">
        <f>-RegAmort!F41</f>
        <v>-30</v>
      </c>
      <c r="H17" s="478">
        <f>-RegAmort!G41</f>
        <v>-30</v>
      </c>
      <c r="I17" s="478">
        <f>-RegAmort!H41</f>
        <v>-30</v>
      </c>
      <c r="J17" s="478">
        <f>-RegAmort!I41</f>
        <v>-30</v>
      </c>
      <c r="K17" s="478">
        <f>-RegAmort!J41</f>
        <v>-30</v>
      </c>
      <c r="L17" s="478">
        <f>-RegAmort!K41</f>
        <v>-30</v>
      </c>
      <c r="M17" s="478">
        <f>-RegAmort!L41</f>
        <v>-30</v>
      </c>
      <c r="N17" s="478">
        <f>-RegAmort!M41</f>
        <v>-30</v>
      </c>
      <c r="O17" s="478">
        <f>-RegAmort!N41</f>
        <v>-30</v>
      </c>
      <c r="P17" s="246">
        <f t="shared" si="0"/>
        <v>-361</v>
      </c>
      <c r="Q17" s="247">
        <f t="shared" si="3"/>
        <v>-181</v>
      </c>
      <c r="R17" s="246">
        <f t="shared" si="1"/>
        <v>-180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5">
      <c r="A18" s="457" t="s">
        <v>401</v>
      </c>
      <c r="B18" s="253" t="s">
        <v>507</v>
      </c>
      <c r="D18" s="478">
        <f>-RegAmort!C42</f>
        <v>-42</v>
      </c>
      <c r="E18" s="478">
        <f>-RegAmort!D42</f>
        <v>-42</v>
      </c>
      <c r="F18" s="478">
        <f>-RegAmort!E42</f>
        <v>-42</v>
      </c>
      <c r="G18" s="478">
        <f>-RegAmort!F42</f>
        <v>-42</v>
      </c>
      <c r="H18" s="478">
        <f>-RegAmort!G42</f>
        <v>-42</v>
      </c>
      <c r="I18" s="478">
        <f>-RegAmort!H42</f>
        <v>-42</v>
      </c>
      <c r="J18" s="478">
        <f>-RegAmort!I42</f>
        <v>-42</v>
      </c>
      <c r="K18" s="478">
        <f>-RegAmort!J42</f>
        <v>-43</v>
      </c>
      <c r="L18" s="478">
        <f>-RegAmort!K42</f>
        <v>-42</v>
      </c>
      <c r="M18" s="478">
        <f>-RegAmort!L42</f>
        <v>-43</v>
      </c>
      <c r="N18" s="478">
        <f>-RegAmort!M42</f>
        <v>-43</v>
      </c>
      <c r="O18" s="478">
        <f>-RegAmort!N42</f>
        <v>-43</v>
      </c>
      <c r="P18" s="246">
        <f t="shared" si="0"/>
        <v>-508</v>
      </c>
      <c r="Q18" s="247">
        <f t="shared" si="3"/>
        <v>-252</v>
      </c>
      <c r="R18" s="246">
        <f t="shared" si="1"/>
        <v>-256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5">
      <c r="A19" s="457" t="s">
        <v>401</v>
      </c>
      <c r="B19" s="253" t="s">
        <v>508</v>
      </c>
      <c r="D19" s="478">
        <f>-RegAmort!C43</f>
        <v>-10</v>
      </c>
      <c r="E19" s="478">
        <f>-RegAmort!D43</f>
        <v>-10</v>
      </c>
      <c r="F19" s="478">
        <f>-RegAmort!E43</f>
        <v>-10</v>
      </c>
      <c r="G19" s="478">
        <f>-RegAmort!F43</f>
        <v>-10</v>
      </c>
      <c r="H19" s="478">
        <f>-RegAmort!G43</f>
        <v>-10</v>
      </c>
      <c r="I19" s="478">
        <f>-RegAmort!H43</f>
        <v>-10</v>
      </c>
      <c r="J19" s="478">
        <f>-RegAmort!I43</f>
        <v>-10</v>
      </c>
      <c r="K19" s="478">
        <f>-RegAmort!J43</f>
        <v>-10</v>
      </c>
      <c r="L19" s="478">
        <f>-RegAmort!K43</f>
        <v>-11</v>
      </c>
      <c r="M19" s="478">
        <f>-RegAmort!L43</f>
        <v>-10</v>
      </c>
      <c r="N19" s="478">
        <f>-RegAmort!M43</f>
        <v>-11</v>
      </c>
      <c r="O19" s="478">
        <f>-RegAmort!N43</f>
        <v>-10</v>
      </c>
      <c r="P19" s="246">
        <f t="shared" si="0"/>
        <v>-122</v>
      </c>
      <c r="Q19" s="247">
        <f t="shared" si="3"/>
        <v>-60</v>
      </c>
      <c r="R19" s="246">
        <f t="shared" si="1"/>
        <v>-62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5">
      <c r="A20" s="457" t="s">
        <v>401</v>
      </c>
      <c r="B20" s="253" t="s">
        <v>512</v>
      </c>
      <c r="D20" s="478">
        <f>-RegAmort!C44</f>
        <v>-31</v>
      </c>
      <c r="E20" s="478">
        <f>-RegAmort!D44</f>
        <v>-31</v>
      </c>
      <c r="F20" s="478">
        <f>-RegAmort!E44</f>
        <v>-31</v>
      </c>
      <c r="G20" s="478">
        <f>-RegAmort!F44</f>
        <v>-31</v>
      </c>
      <c r="H20" s="478">
        <f>-RegAmort!G44</f>
        <v>-31</v>
      </c>
      <c r="I20" s="478">
        <f>-RegAmort!H44</f>
        <v>-31</v>
      </c>
      <c r="J20" s="478">
        <f>-RegAmort!I44</f>
        <v>-31</v>
      </c>
      <c r="K20" s="478">
        <f>-RegAmort!J44</f>
        <v>-32</v>
      </c>
      <c r="L20" s="478">
        <f>-RegAmort!K44</f>
        <v>-31</v>
      </c>
      <c r="M20" s="478">
        <f>-RegAmort!L44</f>
        <v>-32</v>
      </c>
      <c r="N20" s="478">
        <f>-RegAmort!M44</f>
        <v>-31</v>
      </c>
      <c r="O20" s="478">
        <f>-RegAmort!N44</f>
        <v>-32</v>
      </c>
      <c r="P20" s="246">
        <f t="shared" si="0"/>
        <v>-375</v>
      </c>
      <c r="Q20" s="247">
        <f t="shared" si="3"/>
        <v>-186</v>
      </c>
      <c r="R20" s="246">
        <f t="shared" si="1"/>
        <v>-189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5">
      <c r="A21" s="457" t="s">
        <v>401</v>
      </c>
      <c r="B21" s="253" t="s">
        <v>513</v>
      </c>
      <c r="D21" s="478">
        <f>-RegAmort!C45</f>
        <v>-45</v>
      </c>
      <c r="E21" s="478">
        <f>-RegAmort!D45</f>
        <v>-45</v>
      </c>
      <c r="F21" s="478">
        <f>-RegAmort!E45</f>
        <v>-45</v>
      </c>
      <c r="G21" s="478">
        <f>-RegAmort!F45</f>
        <v>-45</v>
      </c>
      <c r="H21" s="478">
        <f>-RegAmort!G45</f>
        <v>-45</v>
      </c>
      <c r="I21" s="478">
        <f>-RegAmort!H45</f>
        <v>-45</v>
      </c>
      <c r="J21" s="478">
        <f>-RegAmort!I45</f>
        <v>-45</v>
      </c>
      <c r="K21" s="478">
        <f>-RegAmort!J45</f>
        <v>-45</v>
      </c>
      <c r="L21" s="478">
        <f>-RegAmort!K45</f>
        <v>-45</v>
      </c>
      <c r="M21" s="478">
        <f>-RegAmort!L45</f>
        <v>-45</v>
      </c>
      <c r="N21" s="478">
        <f>-RegAmort!M45</f>
        <v>-44</v>
      </c>
      <c r="O21" s="478">
        <f>-RegAmort!N45</f>
        <v>-45</v>
      </c>
      <c r="P21" s="246">
        <f t="shared" si="0"/>
        <v>-539</v>
      </c>
      <c r="Q21" s="247">
        <f t="shared" si="3"/>
        <v>-270</v>
      </c>
      <c r="R21" s="246">
        <f t="shared" si="1"/>
        <v>-269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5">
      <c r="A22" s="457" t="s">
        <v>401</v>
      </c>
      <c r="B22" s="253" t="s">
        <v>514</v>
      </c>
      <c r="D22" s="478">
        <f>-RegAmort!C46</f>
        <v>-53</v>
      </c>
      <c r="E22" s="478">
        <f>-RegAmort!D46</f>
        <v>-53</v>
      </c>
      <c r="F22" s="478">
        <f>-RegAmort!E46</f>
        <v>-53</v>
      </c>
      <c r="G22" s="478">
        <f>-RegAmort!F46</f>
        <v>-53</v>
      </c>
      <c r="H22" s="478">
        <f>-RegAmort!G46</f>
        <v>-53</v>
      </c>
      <c r="I22" s="478">
        <f>-RegAmort!H46</f>
        <v>-53</v>
      </c>
      <c r="J22" s="478">
        <f>-RegAmort!I46</f>
        <v>-53</v>
      </c>
      <c r="K22" s="478">
        <f>-RegAmort!J46</f>
        <v>-52</v>
      </c>
      <c r="L22" s="478">
        <f>-RegAmort!K46</f>
        <v>-53</v>
      </c>
      <c r="M22" s="478">
        <f>-RegAmort!L46</f>
        <v>-53</v>
      </c>
      <c r="N22" s="478">
        <f>-RegAmort!M46</f>
        <v>-52</v>
      </c>
      <c r="O22" s="478">
        <f>-RegAmort!N46</f>
        <v>-53</v>
      </c>
      <c r="P22" s="246">
        <f t="shared" si="0"/>
        <v>-634</v>
      </c>
      <c r="Q22" s="247">
        <f t="shared" si="3"/>
        <v>-318</v>
      </c>
      <c r="R22" s="246">
        <f t="shared" si="1"/>
        <v>-316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5">
      <c r="A23" s="457" t="s">
        <v>401</v>
      </c>
      <c r="B23" s="253" t="s">
        <v>515</v>
      </c>
      <c r="D23" s="478">
        <f>-RegAmort!C47</f>
        <v>-11</v>
      </c>
      <c r="E23" s="478">
        <f>-RegAmort!D47</f>
        <v>-11</v>
      </c>
      <c r="F23" s="478">
        <f>-RegAmort!E47</f>
        <v>-11</v>
      </c>
      <c r="G23" s="478">
        <f>-RegAmort!F47</f>
        <v>-11</v>
      </c>
      <c r="H23" s="478">
        <f>-RegAmort!G47</f>
        <v>-11</v>
      </c>
      <c r="I23" s="478">
        <f>-RegAmort!H47</f>
        <v>-11</v>
      </c>
      <c r="J23" s="478">
        <f>-RegAmort!I47</f>
        <v>-11</v>
      </c>
      <c r="K23" s="478">
        <f>-RegAmort!J47</f>
        <v>-11</v>
      </c>
      <c r="L23" s="478">
        <f>-RegAmort!K47</f>
        <v>-10</v>
      </c>
      <c r="M23" s="478">
        <f>-RegAmort!L47</f>
        <v>-11</v>
      </c>
      <c r="N23" s="478">
        <f>-RegAmort!M47</f>
        <v>-11</v>
      </c>
      <c r="O23" s="478">
        <f>-RegAmort!N47</f>
        <v>-10</v>
      </c>
      <c r="P23" s="246">
        <f t="shared" si="0"/>
        <v>-130</v>
      </c>
      <c r="Q23" s="247">
        <f t="shared" si="3"/>
        <v>-66</v>
      </c>
      <c r="R23" s="246">
        <f t="shared" si="1"/>
        <v>-64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5">
      <c r="A24" s="457" t="s">
        <v>401</v>
      </c>
      <c r="B24" s="253" t="s">
        <v>516</v>
      </c>
      <c r="D24" s="478">
        <f>-RegAmort!C48</f>
        <v>-7</v>
      </c>
      <c r="E24" s="478">
        <f>-RegAmort!D48</f>
        <v>-7</v>
      </c>
      <c r="F24" s="478">
        <f>-RegAmort!E48</f>
        <v>-7</v>
      </c>
      <c r="G24" s="478">
        <f>-RegAmort!F48</f>
        <v>-7</v>
      </c>
      <c r="H24" s="478">
        <f>-RegAmort!G48</f>
        <v>-7</v>
      </c>
      <c r="I24" s="478">
        <f>-RegAmort!H48</f>
        <v>-7</v>
      </c>
      <c r="J24" s="478">
        <f>-RegAmort!I48</f>
        <v>-7</v>
      </c>
      <c r="K24" s="478">
        <f>-RegAmort!J48</f>
        <v>-7</v>
      </c>
      <c r="L24" s="478">
        <f>-RegAmort!K48</f>
        <v>-7</v>
      </c>
      <c r="M24" s="478">
        <f>-RegAmort!L48</f>
        <v>-7</v>
      </c>
      <c r="N24" s="478">
        <f>-RegAmort!M48</f>
        <v>-7</v>
      </c>
      <c r="O24" s="478">
        <f>-RegAmort!N48</f>
        <v>-7</v>
      </c>
      <c r="P24" s="246">
        <f t="shared" si="0"/>
        <v>-84</v>
      </c>
      <c r="Q24" s="247">
        <f t="shared" si="3"/>
        <v>-42</v>
      </c>
      <c r="R24" s="246">
        <f t="shared" si="1"/>
        <v>-42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5">
      <c r="A25" s="458" t="s">
        <v>505</v>
      </c>
      <c r="B25" s="252" t="s">
        <v>517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-60</v>
      </c>
      <c r="R25" s="246">
        <f t="shared" si="1"/>
        <v>-60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5">
      <c r="A26" s="457" t="s">
        <v>401</v>
      </c>
      <c r="B26" s="252" t="s">
        <v>518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-100</v>
      </c>
      <c r="N26" s="246">
        <f>-RegAmort!M33</f>
        <v>-100</v>
      </c>
      <c r="O26" s="246">
        <f>-RegAmort!N33</f>
        <v>-100</v>
      </c>
      <c r="P26" s="246">
        <f>SUM(D26:O26)</f>
        <v>-1172</v>
      </c>
      <c r="Q26" s="247">
        <f t="shared" si="3"/>
        <v>-872</v>
      </c>
      <c r="R26" s="246">
        <f>P26-Q26</f>
        <v>-300</v>
      </c>
      <c r="S26" s="247"/>
      <c r="T26" s="531">
        <f t="shared" si="2"/>
        <v>-1172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5">
      <c r="A27" s="457" t="s">
        <v>975</v>
      </c>
      <c r="B27" s="252" t="s">
        <v>529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1200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1200</v>
      </c>
      <c r="Q27" s="247">
        <f t="shared" si="3"/>
        <v>0</v>
      </c>
      <c r="R27" s="246">
        <f>P27-Q27</f>
        <v>1200</v>
      </c>
      <c r="S27" s="247"/>
      <c r="T27" s="531">
        <f t="shared" si="2"/>
        <v>1200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5">
      <c r="A28" s="458" t="s">
        <v>505</v>
      </c>
      <c r="B28" s="500" t="s">
        <v>530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-643</v>
      </c>
      <c r="R28" s="246">
        <f t="shared" si="1"/>
        <v>-642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5">
      <c r="A29" s="458" t="s">
        <v>922</v>
      </c>
      <c r="B29" s="245" t="s">
        <v>922</v>
      </c>
      <c r="C29" s="502" t="s">
        <v>500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5">
      <c r="A30" s="458" t="s">
        <v>505</v>
      </c>
      <c r="B30" s="500" t="s">
        <v>544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-24</v>
      </c>
      <c r="R30" s="246">
        <f t="shared" ref="R30:R41" si="5">P30-Q30</f>
        <v>-24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5">
      <c r="A31" s="457" t="s">
        <v>924</v>
      </c>
      <c r="B31" s="500" t="s">
        <v>545</v>
      </c>
      <c r="D31" s="246">
        <f>-'Fuel-Depr-OtherTax'!C18</f>
        <v>-50</v>
      </c>
      <c r="E31" s="246">
        <f>-'Fuel-Depr-OtherTax'!D18</f>
        <v>-50</v>
      </c>
      <c r="F31" s="246">
        <f>-'Fuel-Depr-OtherTax'!E18</f>
        <v>-50</v>
      </c>
      <c r="G31" s="246">
        <f>-'Fuel-Depr-OtherTax'!F18</f>
        <v>-50</v>
      </c>
      <c r="H31" s="246">
        <f>-'Fuel-Depr-OtherTax'!G18</f>
        <v>-50</v>
      </c>
      <c r="I31" s="246">
        <f>-'Fuel-Depr-OtherTax'!H18</f>
        <v>-50</v>
      </c>
      <c r="J31" s="246">
        <f>-'Fuel-Depr-OtherTax'!I18</f>
        <v>-50</v>
      </c>
      <c r="K31" s="246">
        <f>-'Fuel-Depr-OtherTax'!J18</f>
        <v>-50</v>
      </c>
      <c r="L31" s="246">
        <f>-'Fuel-Depr-OtherTax'!K18</f>
        <v>-50</v>
      </c>
      <c r="M31" s="246">
        <f>-'Fuel-Depr-OtherTax'!L18</f>
        <v>-50</v>
      </c>
      <c r="N31" s="246">
        <f>-'Fuel-Depr-OtherTax'!M18</f>
        <v>-50</v>
      </c>
      <c r="O31" s="246">
        <f>-'Fuel-Depr-OtherTax'!N18</f>
        <v>-50</v>
      </c>
      <c r="P31" s="246">
        <f t="shared" si="4"/>
        <v>-600</v>
      </c>
      <c r="Q31" s="247">
        <f t="shared" si="3"/>
        <v>-300</v>
      </c>
      <c r="R31" s="246">
        <f t="shared" si="5"/>
        <v>-300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5">
      <c r="A32" s="457" t="s">
        <v>924</v>
      </c>
      <c r="B32" s="245" t="s">
        <v>546</v>
      </c>
      <c r="D32" s="246">
        <f>-'Fuel-Depr-OtherTax'!C19</f>
        <v>-17</v>
      </c>
      <c r="E32" s="246">
        <f>-'Fuel-Depr-OtherTax'!D19</f>
        <v>17</v>
      </c>
      <c r="F32" s="246">
        <f>-'Fuel-Depr-OtherTax'!E19</f>
        <v>-52</v>
      </c>
      <c r="G32" s="246">
        <f>-'Fuel-Depr-OtherTax'!F19</f>
        <v>-17</v>
      </c>
      <c r="H32" s="246">
        <f>-'Fuel-Depr-OtherTax'!G19</f>
        <v>-17</v>
      </c>
      <c r="I32" s="246">
        <f>-'Fuel-Depr-OtherTax'!H19</f>
        <v>-18</v>
      </c>
      <c r="J32" s="246">
        <f>-'Fuel-Depr-OtherTax'!I19</f>
        <v>-17</v>
      </c>
      <c r="K32" s="246">
        <f>-'Fuel-Depr-OtherTax'!J19</f>
        <v>-18</v>
      </c>
      <c r="L32" s="246">
        <f>-'Fuel-Depr-OtherTax'!K19</f>
        <v>-17</v>
      </c>
      <c r="M32" s="246">
        <f>-'Fuel-Depr-OtherTax'!L19</f>
        <v>-17</v>
      </c>
      <c r="N32" s="246">
        <f>-'Fuel-Depr-OtherTax'!M19</f>
        <v>-18</v>
      </c>
      <c r="O32" s="246">
        <f>-'Fuel-Depr-OtherTax'!N19</f>
        <v>-18</v>
      </c>
      <c r="P32" s="246">
        <f t="shared" si="4"/>
        <v>-209</v>
      </c>
      <c r="Q32" s="247">
        <f t="shared" si="3"/>
        <v>-104</v>
      </c>
      <c r="R32" s="246">
        <f t="shared" si="5"/>
        <v>-105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5">
      <c r="A33" s="458" t="s">
        <v>505</v>
      </c>
      <c r="B33" s="445" t="s">
        <v>547</v>
      </c>
      <c r="C33"/>
      <c r="D33" s="246">
        <f>-RegAmort!C51</f>
        <v>-7</v>
      </c>
      <c r="E33" s="246">
        <f>-RegAmort!D51</f>
        <v>-7</v>
      </c>
      <c r="F33" s="246">
        <f>-RegAmort!E51</f>
        <v>-7</v>
      </c>
      <c r="G33" s="246">
        <f>-RegAmort!F51</f>
        <v>-7</v>
      </c>
      <c r="H33" s="246">
        <f>-RegAmort!G51</f>
        <v>-7</v>
      </c>
      <c r="I33" s="246">
        <f>-RegAmort!H51</f>
        <v>-7</v>
      </c>
      <c r="J33" s="246">
        <f>-RegAmort!I51</f>
        <v>-7</v>
      </c>
      <c r="K33" s="246">
        <f>-RegAmort!J51</f>
        <v>-8</v>
      </c>
      <c r="L33" s="246">
        <f>-RegAmort!K51</f>
        <v>-7</v>
      </c>
      <c r="M33" s="246">
        <f>-RegAmort!L51</f>
        <v>-8</v>
      </c>
      <c r="N33" s="246">
        <f>-RegAmort!M51</f>
        <v>-7</v>
      </c>
      <c r="O33" s="246">
        <f>-RegAmort!N51</f>
        <v>-8</v>
      </c>
      <c r="P33" s="246">
        <f t="shared" si="4"/>
        <v>-87</v>
      </c>
      <c r="Q33" s="247">
        <f t="shared" si="3"/>
        <v>-42</v>
      </c>
      <c r="R33" s="246">
        <f t="shared" si="5"/>
        <v>-45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5">
      <c r="A34" s="457" t="s">
        <v>401</v>
      </c>
      <c r="B34" s="548" t="s">
        <v>548</v>
      </c>
      <c r="D34" s="246">
        <f>-RegAmort!C53</f>
        <v>-38</v>
      </c>
      <c r="E34" s="246">
        <f>-RegAmort!D53</f>
        <v>-38</v>
      </c>
      <c r="F34" s="246">
        <f>-RegAmort!E53</f>
        <v>-38</v>
      </c>
      <c r="G34" s="246">
        <f>-RegAmort!F53</f>
        <v>-38</v>
      </c>
      <c r="H34" s="246">
        <f>-RegAmort!G53</f>
        <v>-38</v>
      </c>
      <c r="I34" s="246">
        <f>-RegAmort!H53</f>
        <v>-38</v>
      </c>
      <c r="J34" s="246">
        <f>-RegAmort!I53</f>
        <v>-38</v>
      </c>
      <c r="K34" s="246">
        <f>-RegAmort!J53</f>
        <v>-38</v>
      </c>
      <c r="L34" s="246">
        <f>-RegAmort!K53</f>
        <v>-38</v>
      </c>
      <c r="M34" s="246">
        <f>-RegAmort!L53</f>
        <v>-38</v>
      </c>
      <c r="N34" s="246">
        <f>-RegAmort!M53</f>
        <v>-38</v>
      </c>
      <c r="O34" s="246">
        <f>-RegAmort!N53</f>
        <v>-37</v>
      </c>
      <c r="P34" s="246">
        <f t="shared" si="4"/>
        <v>-455</v>
      </c>
      <c r="Q34" s="247">
        <f t="shared" si="3"/>
        <v>-228</v>
      </c>
      <c r="R34" s="246">
        <f t="shared" si="5"/>
        <v>-227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5">
      <c r="A35" s="458" t="s">
        <v>922</v>
      </c>
      <c r="B35" s="245" t="s">
        <v>922</v>
      </c>
      <c r="C35" s="502" t="s">
        <v>500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5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5">
      <c r="A37" s="457" t="s">
        <v>924</v>
      </c>
      <c r="B37" s="252" t="s">
        <v>549</v>
      </c>
      <c r="D37" s="246">
        <f>SUM('Fuel-Depr-OtherTax'!C16:C21)</f>
        <v>1027</v>
      </c>
      <c r="E37" s="246">
        <f>SUM('Fuel-Depr-OtherTax'!D16:D21)</f>
        <v>993</v>
      </c>
      <c r="F37" s="246">
        <f>SUM('Fuel-Depr-OtherTax'!E16:E21)</f>
        <v>1037</v>
      </c>
      <c r="G37" s="246">
        <f>SUM('Fuel-Depr-OtherTax'!F16:F21)</f>
        <v>1049</v>
      </c>
      <c r="H37" s="246">
        <f>SUM('Fuel-Depr-OtherTax'!G16:G21)</f>
        <v>1006</v>
      </c>
      <c r="I37" s="246">
        <f>SUM('Fuel-Depr-OtherTax'!H16:H21)</f>
        <v>1116</v>
      </c>
      <c r="J37" s="246">
        <f>SUM('Fuel-Depr-OtherTax'!I16:I21)</f>
        <v>1106</v>
      </c>
      <c r="K37" s="246">
        <f>SUM('Fuel-Depr-OtherTax'!J16:J21)</f>
        <v>1156</v>
      </c>
      <c r="L37" s="246">
        <f>SUM('Fuel-Depr-OtherTax'!K16:K21)</f>
        <v>1156</v>
      </c>
      <c r="M37" s="246">
        <f>SUM('Fuel-Depr-OtherTax'!L16:L21)</f>
        <v>1256</v>
      </c>
      <c r="N37" s="246">
        <f>SUM('Fuel-Depr-OtherTax'!M16:M21)</f>
        <v>1256</v>
      </c>
      <c r="O37" s="246">
        <f>SUM('Fuel-Depr-OtherTax'!N16:N21)</f>
        <v>1256</v>
      </c>
      <c r="P37" s="246">
        <f t="shared" si="4"/>
        <v>13414</v>
      </c>
      <c r="Q37" s="247">
        <f t="shared" si="3"/>
        <v>6228</v>
      </c>
      <c r="R37" s="246">
        <f t="shared" si="5"/>
        <v>7186</v>
      </c>
      <c r="S37" s="247"/>
      <c r="T37" s="531">
        <f t="shared" si="6"/>
        <v>13414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5">
      <c r="A38" s="457" t="s">
        <v>924</v>
      </c>
      <c r="B38" s="252" t="s">
        <v>550</v>
      </c>
      <c r="D38" s="246">
        <f>-SUM('Fuel-Depr-OtherTax'!C22:C26)</f>
        <v>-594</v>
      </c>
      <c r="E38" s="246">
        <f>-SUM('Fuel-Depr-OtherTax'!D22:D26)</f>
        <v>-594</v>
      </c>
      <c r="F38" s="246">
        <f>-SUM('Fuel-Depr-OtherTax'!E22:E26)</f>
        <v>-594</v>
      </c>
      <c r="G38" s="246">
        <f>-SUM('Fuel-Depr-OtherTax'!F22:F26)</f>
        <v>-594</v>
      </c>
      <c r="H38" s="246">
        <f>-SUM('Fuel-Depr-OtherTax'!G22:G26)</f>
        <v>-594</v>
      </c>
      <c r="I38" s="246">
        <f>-SUM('Fuel-Depr-OtherTax'!H22:H26)</f>
        <v>-594</v>
      </c>
      <c r="J38" s="246">
        <f>-SUM('Fuel-Depr-OtherTax'!I22:I26)</f>
        <v>-594</v>
      </c>
      <c r="K38" s="246">
        <f>-SUM('Fuel-Depr-OtherTax'!J22:J26)</f>
        <v>-594</v>
      </c>
      <c r="L38" s="246">
        <f>-SUM('Fuel-Depr-OtherTax'!K22:K26)</f>
        <v>-594</v>
      </c>
      <c r="M38" s="246">
        <f>-SUM('Fuel-Depr-OtherTax'!L22:L26)</f>
        <v>-594</v>
      </c>
      <c r="N38" s="246">
        <f>-SUM('Fuel-Depr-OtherTax'!M22:M26)</f>
        <v>-594</v>
      </c>
      <c r="O38" s="246">
        <f>-SUM('Fuel-Depr-OtherTax'!N22:N26)</f>
        <v>-594</v>
      </c>
      <c r="P38" s="246">
        <f t="shared" si="4"/>
        <v>-7128</v>
      </c>
      <c r="Q38" s="247">
        <f t="shared" si="3"/>
        <v>-3564</v>
      </c>
      <c r="R38" s="246">
        <f t="shared" si="5"/>
        <v>-3564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5">
      <c r="A39" s="457" t="s">
        <v>924</v>
      </c>
      <c r="B39" s="252" t="s">
        <v>551</v>
      </c>
      <c r="D39" s="246">
        <f>'Fuel-Depr-OtherTax'!C28</f>
        <v>1621</v>
      </c>
      <c r="E39" s="246">
        <f>'Fuel-Depr-OtherTax'!D28</f>
        <v>1587</v>
      </c>
      <c r="F39" s="246">
        <f>'Fuel-Depr-OtherTax'!E28</f>
        <v>1631</v>
      </c>
      <c r="G39" s="246">
        <f>'Fuel-Depr-OtherTax'!F28</f>
        <v>1643</v>
      </c>
      <c r="H39" s="246">
        <f>'Fuel-Depr-OtherTax'!G28</f>
        <v>1600</v>
      </c>
      <c r="I39" s="246">
        <f>'Fuel-Depr-OtherTax'!H28</f>
        <v>1710</v>
      </c>
      <c r="J39" s="246">
        <f>'Fuel-Depr-OtherTax'!I28</f>
        <v>1700</v>
      </c>
      <c r="K39" s="246">
        <f>'Fuel-Depr-OtherTax'!J28</f>
        <v>1750</v>
      </c>
      <c r="L39" s="246">
        <f>'Fuel-Depr-OtherTax'!K28</f>
        <v>1750</v>
      </c>
      <c r="M39" s="246">
        <f>'Fuel-Depr-OtherTax'!L28</f>
        <v>1850</v>
      </c>
      <c r="N39" s="246">
        <f>'Fuel-Depr-OtherTax'!M28</f>
        <v>1850</v>
      </c>
      <c r="O39" s="246">
        <f>'Fuel-Depr-OtherTax'!N28</f>
        <v>1850</v>
      </c>
      <c r="P39" s="246">
        <f t="shared" si="4"/>
        <v>20542</v>
      </c>
      <c r="Q39" s="247">
        <f t="shared" si="3"/>
        <v>9792</v>
      </c>
      <c r="R39" s="246">
        <f t="shared" si="5"/>
        <v>10750</v>
      </c>
      <c r="S39" s="247"/>
      <c r="T39" s="531">
        <f t="shared" si="6"/>
        <v>20542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5">
      <c r="A40" s="457" t="s">
        <v>924</v>
      </c>
      <c r="B40" s="252" t="s">
        <v>552</v>
      </c>
      <c r="D40" s="246">
        <f>-SUM('Fuel-Depr-OtherTax'!C36:C46)</f>
        <v>-130</v>
      </c>
      <c r="E40" s="246">
        <f>-SUM('Fuel-Depr-OtherTax'!D36:D46)</f>
        <v>-178</v>
      </c>
      <c r="F40" s="246">
        <f>-SUM('Fuel-Depr-OtherTax'!E36:E46)</f>
        <v>-90</v>
      </c>
      <c r="G40" s="246">
        <f>-SUM('Fuel-Depr-OtherTax'!F36:F46)</f>
        <v>-84</v>
      </c>
      <c r="H40" s="246">
        <f>-SUM('Fuel-Depr-OtherTax'!G36:G46)</f>
        <v>-89</v>
      </c>
      <c r="I40" s="246">
        <f>-SUM('Fuel-Depr-OtherTax'!H36:H46)</f>
        <v>-88</v>
      </c>
      <c r="J40" s="246">
        <f>-SUM('Fuel-Depr-OtherTax'!I36:I46)</f>
        <v>-105</v>
      </c>
      <c r="K40" s="246">
        <f>-SUM('Fuel-Depr-OtherTax'!J36:J46)</f>
        <v>-105</v>
      </c>
      <c r="L40" s="246">
        <f>-SUM('Fuel-Depr-OtherTax'!K36:K46)</f>
        <v>-105</v>
      </c>
      <c r="M40" s="246">
        <f>-SUM('Fuel-Depr-OtherTax'!L36:L46)</f>
        <v>-102</v>
      </c>
      <c r="N40" s="246">
        <f>-SUM('Fuel-Depr-OtherTax'!M36:M46)</f>
        <v>-102</v>
      </c>
      <c r="O40" s="246">
        <f>-SUM('Fuel-Depr-OtherTax'!N36:N46)</f>
        <v>-102</v>
      </c>
      <c r="P40" s="246">
        <f t="shared" si="4"/>
        <v>-1280</v>
      </c>
      <c r="Q40" s="247">
        <f t="shared" si="3"/>
        <v>-659</v>
      </c>
      <c r="R40" s="246">
        <f t="shared" si="5"/>
        <v>-621</v>
      </c>
      <c r="S40" s="247"/>
      <c r="T40" s="531">
        <f t="shared" si="6"/>
        <v>-1280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5">
      <c r="A41" s="457" t="s">
        <v>924</v>
      </c>
      <c r="B41" s="252" t="s">
        <v>553</v>
      </c>
      <c r="D41" s="246">
        <f>'Fuel-Depr-OtherTax'!C53</f>
        <v>956</v>
      </c>
      <c r="E41" s="246">
        <f>'Fuel-Depr-OtherTax'!D53</f>
        <v>1007</v>
      </c>
      <c r="F41" s="246">
        <f>'Fuel-Depr-OtherTax'!E53</f>
        <v>914</v>
      </c>
      <c r="G41" s="246">
        <f>'Fuel-Depr-OtherTax'!F53</f>
        <v>909</v>
      </c>
      <c r="H41" s="246">
        <f>'Fuel-Depr-OtherTax'!G53</f>
        <v>913</v>
      </c>
      <c r="I41" s="246">
        <f>'Fuel-Depr-OtherTax'!H53</f>
        <v>917</v>
      </c>
      <c r="J41" s="246">
        <f>'Fuel-Depr-OtherTax'!I53</f>
        <v>930</v>
      </c>
      <c r="K41" s="246">
        <f>'Fuel-Depr-OtherTax'!J53</f>
        <v>930</v>
      </c>
      <c r="L41" s="246">
        <f>'Fuel-Depr-OtherTax'!K53</f>
        <v>930</v>
      </c>
      <c r="M41" s="246">
        <f>'Fuel-Depr-OtherTax'!L53</f>
        <v>927</v>
      </c>
      <c r="N41" s="246">
        <f>'Fuel-Depr-OtherTax'!M53</f>
        <v>927</v>
      </c>
      <c r="O41" s="246">
        <f>'Fuel-Depr-OtherTax'!N53</f>
        <v>927</v>
      </c>
      <c r="P41" s="246">
        <f t="shared" si="4"/>
        <v>11187</v>
      </c>
      <c r="Q41" s="247">
        <f t="shared" si="3"/>
        <v>5616</v>
      </c>
      <c r="R41" s="246">
        <f t="shared" si="5"/>
        <v>5571</v>
      </c>
      <c r="S41" s="247"/>
      <c r="T41" s="531">
        <f t="shared" si="6"/>
        <v>11187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5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5">
      <c r="A43" s="457" t="s">
        <v>554</v>
      </c>
      <c r="B43" s="252" t="s">
        <v>555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5">
      <c r="A44" s="458" t="s">
        <v>975</v>
      </c>
      <c r="B44" s="453" t="s">
        <v>556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5">
      <c r="A45" s="458" t="s">
        <v>975</v>
      </c>
      <c r="B45" s="460" t="s">
        <v>557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5">
      <c r="A46" s="458" t="s">
        <v>975</v>
      </c>
      <c r="B46" s="252" t="s">
        <v>991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-12280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12280</v>
      </c>
      <c r="R46" s="246">
        <f t="shared" si="8"/>
        <v>-12280</v>
      </c>
      <c r="S46" s="247"/>
      <c r="T46" s="531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5">
      <c r="A47" s="457" t="s">
        <v>558</v>
      </c>
      <c r="B47" s="252" t="s">
        <v>559</v>
      </c>
      <c r="D47" s="246">
        <f>-IntDeduct!C37</f>
        <v>0</v>
      </c>
      <c r="E47" s="246">
        <f>-IntDeduct!D37</f>
        <v>0</v>
      </c>
      <c r="F47" s="246">
        <f>-IntDeduct!E37</f>
        <v>0</v>
      </c>
      <c r="G47" s="246">
        <f>-IntDeduct!F37</f>
        <v>0</v>
      </c>
      <c r="H47" s="246">
        <f>-IntDeduct!G37</f>
        <v>0</v>
      </c>
      <c r="I47" s="246">
        <f>-IntDeduct!H37</f>
        <v>0</v>
      </c>
      <c r="J47" s="246">
        <f>-IntDeduct!I37</f>
        <v>0</v>
      </c>
      <c r="K47" s="246">
        <f>-IntDeduct!J37</f>
        <v>0</v>
      </c>
      <c r="L47" s="246">
        <f>-IntDeduct!K37</f>
        <v>0</v>
      </c>
      <c r="M47" s="246">
        <f>-IntDeduct!L37</f>
        <v>0</v>
      </c>
      <c r="N47" s="246">
        <f>-IntDeduct!M37</f>
        <v>0</v>
      </c>
      <c r="O47" s="246">
        <f>-IntDeduct!N37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5">
      <c r="A48" s="457" t="s">
        <v>558</v>
      </c>
      <c r="B48" s="252" t="s">
        <v>560</v>
      </c>
      <c r="D48" s="246">
        <f>-IntDeduct!C38</f>
        <v>0</v>
      </c>
      <c r="E48" s="246">
        <f>-IntDeduct!D38</f>
        <v>0</v>
      </c>
      <c r="F48" s="246">
        <f>-IntDeduct!E38</f>
        <v>0</v>
      </c>
      <c r="G48" s="246">
        <f>-IntDeduct!F38</f>
        <v>0</v>
      </c>
      <c r="H48" s="246">
        <f>-IntDeduct!G38</f>
        <v>0</v>
      </c>
      <c r="I48" s="246">
        <f>-IntDeduct!H38</f>
        <v>0</v>
      </c>
      <c r="J48" s="246">
        <f>-IntDeduct!I38</f>
        <v>0</v>
      </c>
      <c r="K48" s="246">
        <f>-IntDeduct!J38</f>
        <v>0</v>
      </c>
      <c r="L48" s="246">
        <f>-IntDeduct!K38</f>
        <v>0</v>
      </c>
      <c r="M48" s="246">
        <f>-IntDeduct!L38</f>
        <v>0</v>
      </c>
      <c r="N48" s="246">
        <f>-IntDeduct!M38</f>
        <v>0</v>
      </c>
      <c r="O48" s="246">
        <f>-IntDeduct!N38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5">
      <c r="A49" s="457" t="s">
        <v>558</v>
      </c>
      <c r="B49" s="252" t="s">
        <v>948</v>
      </c>
      <c r="C49" s="502" t="s">
        <v>500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5">
      <c r="A51" s="458" t="s">
        <v>975</v>
      </c>
      <c r="B51" s="252" t="s">
        <v>561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-4006</v>
      </c>
      <c r="K51" s="246">
        <f>-IncomeState!J51-SUM(DeferredTax!Y71:Y73)-DeferredTax!Y79</f>
        <v>-3755</v>
      </c>
      <c r="L51" s="246">
        <f>-IncomeState!K51-SUM(DeferredTax!Z71:Z73)-DeferredTax!Z79</f>
        <v>-2072</v>
      </c>
      <c r="M51" s="246">
        <f>-IncomeState!L51-SUM(DeferredTax!AA71:AA73)-DeferredTax!AA79</f>
        <v>-637</v>
      </c>
      <c r="N51" s="246">
        <f>-IncomeState!M51-SUM(DeferredTax!AB71:AB73)-DeferredTax!AB79</f>
        <v>-4438</v>
      </c>
      <c r="O51" s="246">
        <f>-IncomeState!N51-SUM(DeferredTax!AC71:AC73)-DeferredTax!AC79</f>
        <v>-3878</v>
      </c>
      <c r="P51" s="246">
        <f t="shared" si="7"/>
        <v>-47136</v>
      </c>
      <c r="Q51" s="247">
        <f t="shared" si="3"/>
        <v>-28350</v>
      </c>
      <c r="R51" s="246">
        <f t="shared" si="8"/>
        <v>-18786</v>
      </c>
      <c r="S51" s="247"/>
      <c r="T51" s="531">
        <f t="shared" ref="T51:T63" si="9">SUM(D51:O51)</f>
        <v>-47136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5">
      <c r="A52" s="457" t="s">
        <v>519</v>
      </c>
      <c r="B52" s="252" t="s">
        <v>562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5">
      <c r="A53" s="457" t="s">
        <v>519</v>
      </c>
      <c r="B53" s="252" t="s">
        <v>573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135</v>
      </c>
      <c r="K53" s="246">
        <f>DeferredTax!Y84</f>
        <v>127</v>
      </c>
      <c r="L53" s="246">
        <f>DeferredTax!Z84</f>
        <v>5365</v>
      </c>
      <c r="M53" s="246">
        <f>DeferredTax!AA84</f>
        <v>3241</v>
      </c>
      <c r="N53" s="246">
        <f>DeferredTax!AB84</f>
        <v>-730</v>
      </c>
      <c r="O53" s="246">
        <f>DeferredTax!AC84</f>
        <v>45</v>
      </c>
      <c r="P53" s="246">
        <f t="shared" si="7"/>
        <v>4799</v>
      </c>
      <c r="Q53" s="247">
        <f t="shared" si="3"/>
        <v>-3384</v>
      </c>
      <c r="R53" s="246">
        <f t="shared" si="8"/>
        <v>8183</v>
      </c>
      <c r="S53" s="247"/>
      <c r="T53" s="531">
        <f t="shared" si="9"/>
        <v>4799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5">
      <c r="A54" s="457" t="s">
        <v>519</v>
      </c>
      <c r="B54" s="252" t="s">
        <v>574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135</v>
      </c>
      <c r="K54" s="246">
        <f>DeferredTax!Y81</f>
        <v>127</v>
      </c>
      <c r="L54" s="246">
        <f>DeferredTax!Z81</f>
        <v>5365</v>
      </c>
      <c r="M54" s="246">
        <f>DeferredTax!AA81</f>
        <v>3241</v>
      </c>
      <c r="N54" s="246">
        <f>DeferredTax!AB81</f>
        <v>-730</v>
      </c>
      <c r="O54" s="246">
        <f>DeferredTax!AC81</f>
        <v>45</v>
      </c>
      <c r="P54" s="246">
        <f t="shared" si="7"/>
        <v>4799</v>
      </c>
      <c r="Q54" s="247">
        <f t="shared" si="3"/>
        <v>-3384</v>
      </c>
      <c r="R54" s="246">
        <f t="shared" si="8"/>
        <v>8183</v>
      </c>
      <c r="S54" s="247"/>
      <c r="T54" s="531">
        <f t="shared" si="9"/>
        <v>4799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5">
      <c r="A55" s="458" t="s">
        <v>977</v>
      </c>
      <c r="B55" s="252" t="s">
        <v>575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4316</v>
      </c>
      <c r="K55" s="246">
        <f>IncomeState!J54</f>
        <v>4057</v>
      </c>
      <c r="L55" s="246">
        <f>IncomeState!K54</f>
        <v>7612</v>
      </c>
      <c r="M55" s="246">
        <f>IncomeState!L54</f>
        <v>4053</v>
      </c>
      <c r="N55" s="246">
        <f>IncomeState!M54</f>
        <v>3883</v>
      </c>
      <c r="O55" s="246">
        <f>IncomeState!N54</f>
        <v>4098</v>
      </c>
      <c r="P55" s="246">
        <f t="shared" si="7"/>
        <v>54034</v>
      </c>
      <c r="Q55" s="247">
        <f t="shared" si="3"/>
        <v>26015</v>
      </c>
      <c r="R55" s="246">
        <f t="shared" si="8"/>
        <v>28019</v>
      </c>
      <c r="S55" s="247"/>
      <c r="T55" s="531">
        <f t="shared" si="9"/>
        <v>54034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5">
      <c r="A56" s="458" t="s">
        <v>977</v>
      </c>
      <c r="B56" s="252" t="s">
        <v>576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6729</v>
      </c>
      <c r="K56" s="246">
        <f>IncomeState!J56</f>
        <v>6322</v>
      </c>
      <c r="L56" s="246">
        <f>IncomeState!K56</f>
        <v>11911</v>
      </c>
      <c r="M56" s="246">
        <f>IncomeState!L56</f>
        <v>6314</v>
      </c>
      <c r="N56" s="246">
        <f>IncomeState!M56</f>
        <v>6047</v>
      </c>
      <c r="O56" s="246">
        <f>IncomeState!N56</f>
        <v>6386</v>
      </c>
      <c r="P56" s="246">
        <f t="shared" si="7"/>
        <v>84276</v>
      </c>
      <c r="Q56" s="247">
        <f t="shared" si="3"/>
        <v>40567</v>
      </c>
      <c r="R56" s="246">
        <f t="shared" si="8"/>
        <v>43709</v>
      </c>
      <c r="S56" s="247"/>
      <c r="T56" s="531">
        <f t="shared" si="9"/>
        <v>84276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5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5">
      <c r="A58" s="457" t="s">
        <v>554</v>
      </c>
      <c r="B58" s="147" t="s">
        <v>992</v>
      </c>
      <c r="C58" s="502"/>
      <c r="D58" s="478">
        <f>OtherInc!C27</f>
        <v>7</v>
      </c>
      <c r="E58" s="478">
        <f>OtherInc!D27</f>
        <v>7</v>
      </c>
      <c r="F58" s="478">
        <f>OtherInc!E27</f>
        <v>5</v>
      </c>
      <c r="G58" s="478">
        <f>OtherInc!F27</f>
        <v>5</v>
      </c>
      <c r="H58" s="478">
        <f>OtherInc!G27</f>
        <v>4</v>
      </c>
      <c r="I58" s="478">
        <f>OtherInc!H27</f>
        <v>7</v>
      </c>
      <c r="J58" s="478">
        <f>OtherInc!I27</f>
        <v>3</v>
      </c>
      <c r="K58" s="478">
        <f>OtherInc!J27</f>
        <v>10</v>
      </c>
      <c r="L58" s="478">
        <f>OtherInc!K27</f>
        <v>8</v>
      </c>
      <c r="M58" s="478">
        <f>OtherInc!L27</f>
        <v>5</v>
      </c>
      <c r="N58" s="478">
        <f>OtherInc!M27</f>
        <v>8</v>
      </c>
      <c r="O58" s="478">
        <f>OtherInc!N27</f>
        <v>8</v>
      </c>
      <c r="P58" s="246">
        <f t="shared" ref="P58:P70" si="10">SUM(D58:O58)</f>
        <v>77</v>
      </c>
      <c r="Q58" s="247">
        <f t="shared" si="3"/>
        <v>35</v>
      </c>
      <c r="R58" s="246">
        <f t="shared" ref="R58:R70" si="11">P58-Q58</f>
        <v>42</v>
      </c>
      <c r="S58" s="246"/>
      <c r="T58" s="531">
        <f t="shared" si="9"/>
        <v>77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5">
      <c r="A59" s="457" t="s">
        <v>554</v>
      </c>
      <c r="B59" s="147" t="s">
        <v>993</v>
      </c>
      <c r="C59" s="502"/>
      <c r="D59" s="478">
        <f>OtherInc!C28</f>
        <v>-7</v>
      </c>
      <c r="E59" s="478">
        <f>OtherInc!D28</f>
        <v>-7</v>
      </c>
      <c r="F59" s="478">
        <f>OtherInc!E28</f>
        <v>-7</v>
      </c>
      <c r="G59" s="478">
        <f>OtherInc!F28</f>
        <v>-8</v>
      </c>
      <c r="H59" s="478">
        <f>OtherInc!G28</f>
        <v>-7</v>
      </c>
      <c r="I59" s="478">
        <f>OtherInc!H28</f>
        <v>-7</v>
      </c>
      <c r="J59" s="478">
        <f>OtherInc!I28</f>
        <v>-7</v>
      </c>
      <c r="K59" s="478">
        <f>OtherInc!J28</f>
        <v>-7</v>
      </c>
      <c r="L59" s="478">
        <f>OtherInc!K28</f>
        <v>-7</v>
      </c>
      <c r="M59" s="478">
        <f>OtherInc!L28</f>
        <v>-7</v>
      </c>
      <c r="N59" s="478">
        <f>OtherInc!M28</f>
        <v>-7</v>
      </c>
      <c r="O59" s="478">
        <f>OtherInc!N28</f>
        <v>-7</v>
      </c>
      <c r="P59" s="246">
        <f t="shared" si="10"/>
        <v>-85</v>
      </c>
      <c r="Q59" s="247">
        <f t="shared" si="3"/>
        <v>-43</v>
      </c>
      <c r="R59" s="246">
        <f t="shared" si="11"/>
        <v>-42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5">
      <c r="A60" s="457" t="s">
        <v>554</v>
      </c>
      <c r="B60" s="147" t="s">
        <v>1024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0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128</v>
      </c>
      <c r="Q60" s="247">
        <f t="shared" si="3"/>
        <v>128</v>
      </c>
      <c r="R60" s="246">
        <f t="shared" si="11"/>
        <v>0</v>
      </c>
      <c r="S60" s="246"/>
      <c r="T60" s="531">
        <f t="shared" si="9"/>
        <v>128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5">
      <c r="A61" s="457"/>
      <c r="B61" s="453" t="s">
        <v>869</v>
      </c>
      <c r="C61" s="502" t="s">
        <v>500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5">
      <c r="A62" s="457"/>
      <c r="B62" s="453" t="s">
        <v>869</v>
      </c>
      <c r="C62" s="502" t="s">
        <v>500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5">
      <c r="A63" s="458"/>
      <c r="B63" s="453" t="s">
        <v>869</v>
      </c>
      <c r="C63" s="502" t="s">
        <v>500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5">
      <c r="A64" s="457"/>
      <c r="B64" s="453" t="s">
        <v>869</v>
      </c>
      <c r="C64" s="502" t="s">
        <v>500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5">
      <c r="A65" s="457"/>
      <c r="B65" s="453" t="s">
        <v>869</v>
      </c>
      <c r="C65" s="502" t="s">
        <v>500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5">
      <c r="A66" s="457"/>
      <c r="B66" s="453" t="s">
        <v>869</v>
      </c>
      <c r="C66" s="502" t="s">
        <v>500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5">
      <c r="A67" s="458"/>
      <c r="B67" s="453" t="s">
        <v>869</v>
      </c>
      <c r="C67" s="502" t="s">
        <v>500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5">
      <c r="A68" s="458"/>
      <c r="B68" s="453" t="s">
        <v>869</v>
      </c>
      <c r="C68" s="502" t="s">
        <v>500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5">
      <c r="A69" s="457"/>
      <c r="B69" s="453" t="s">
        <v>869</v>
      </c>
      <c r="C69" s="502" t="s">
        <v>500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5">
      <c r="A70" s="457"/>
      <c r="B70" s="453" t="s">
        <v>869</v>
      </c>
      <c r="C70" s="502" t="s">
        <v>500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5">
      <c r="A71" s="457"/>
      <c r="B71" s="453" t="s">
        <v>869</v>
      </c>
      <c r="C71" s="502" t="s">
        <v>500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" customHeight="1" x14ac:dyDescent="0.25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5">
      <c r="A73" s="457"/>
      <c r="B73" s="462" t="s">
        <v>577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22995</v>
      </c>
      <c r="K73" s="461">
        <f t="shared" si="13"/>
        <v>25723</v>
      </c>
      <c r="L73" s="461">
        <f t="shared" si="13"/>
        <v>35385</v>
      </c>
      <c r="M73" s="461">
        <f t="shared" si="13"/>
        <v>35476</v>
      </c>
      <c r="N73" s="461">
        <f t="shared" si="13"/>
        <v>22664</v>
      </c>
      <c r="O73" s="461">
        <f t="shared" si="13"/>
        <v>25714</v>
      </c>
      <c r="P73" s="461">
        <f t="shared" si="13"/>
        <v>322574</v>
      </c>
      <c r="Q73" s="461">
        <f t="shared" si="13"/>
        <v>154617</v>
      </c>
      <c r="R73" s="461">
        <f t="shared" si="13"/>
        <v>167957</v>
      </c>
      <c r="S73" s="251"/>
      <c r="T73" s="531">
        <f t="shared" si="12"/>
        <v>322574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" customHeight="1" x14ac:dyDescent="0.25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5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322574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5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5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5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5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5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5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5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5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5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5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5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5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5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5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5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5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5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5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5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5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5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5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5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556260</xdr:colOff>
                    <xdr:row>2</xdr:row>
                    <xdr:rowOff>99060</xdr:rowOff>
                  </from>
                  <to>
                    <xdr:col>1</xdr:col>
                    <xdr:colOff>1691640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" sqref="I8"/>
    </sheetView>
  </sheetViews>
  <sheetFormatPr defaultColWidth="10.6640625" defaultRowHeight="12.6" x14ac:dyDescent="0.25"/>
  <cols>
    <col min="1" max="1" width="45.6640625" style="1" customWidth="1"/>
    <col min="2" max="2" width="8.6640625" style="731" customWidth="1"/>
    <col min="3" max="14" width="8.6640625" style="1" customWidth="1"/>
    <col min="15" max="17" width="9.6640625" style="1" customWidth="1"/>
    <col min="18" max="20" width="10.6640625" style="1"/>
    <col min="21" max="21" width="35.6640625" style="1" customWidth="1"/>
    <col min="22" max="16384" width="10.6640625" style="1"/>
  </cols>
  <sheetData>
    <row r="1" spans="1:19" ht="13.2" x14ac:dyDescent="0.25">
      <c r="A1" s="552" t="str">
        <f ca="1">CELL("FILENAME")</f>
        <v>P:\Finance\2001CE\[EMTW01CE.XLS]DataBase</v>
      </c>
      <c r="B1" s="723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13.2" x14ac:dyDescent="0.25">
      <c r="A2" s="271" t="s">
        <v>589</v>
      </c>
      <c r="B2" s="723"/>
      <c r="C2" s="475"/>
      <c r="D2" s="272" t="s">
        <v>590</v>
      </c>
      <c r="E2" s="272" t="s">
        <v>590</v>
      </c>
      <c r="F2" s="272" t="s">
        <v>590</v>
      </c>
      <c r="G2" s="485"/>
      <c r="H2" s="272" t="s">
        <v>590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ht="13.2" x14ac:dyDescent="0.25">
      <c r="A3" s="551" t="str">
        <f>IncomeState!A3</f>
        <v>2001 CURRENT ESTIMATE</v>
      </c>
      <c r="B3" s="724">
        <f ca="1">NOW()</f>
        <v>37109.471773495374</v>
      </c>
      <c r="C3" s="553" t="str">
        <f>IncomeState!C6</f>
        <v>ACT.</v>
      </c>
      <c r="D3" s="553" t="str">
        <f>IncomeState!D6</f>
        <v>ACT.</v>
      </c>
      <c r="E3" s="553" t="str">
        <f>IncomeState!E6</f>
        <v>ACT.</v>
      </c>
      <c r="F3" s="553" t="str">
        <f>IncomeState!F6</f>
        <v>ACT.</v>
      </c>
      <c r="G3" s="553" t="str">
        <f>IncomeState!G6</f>
        <v>ACT.</v>
      </c>
      <c r="H3" s="553" t="str">
        <f>IncomeState!H6</f>
        <v>ACT.</v>
      </c>
      <c r="I3" s="553" t="str">
        <f>IncomeState!I6</f>
        <v>FLASH</v>
      </c>
      <c r="J3" s="553">
        <f>IncomeState!J6</f>
        <v>0</v>
      </c>
      <c r="K3" s="553">
        <f>IncomeState!K6</f>
        <v>0</v>
      </c>
      <c r="L3" s="553">
        <f>IncomeState!L6</f>
        <v>0</v>
      </c>
      <c r="M3" s="553">
        <f>IncomeState!M6</f>
        <v>0</v>
      </c>
      <c r="N3" s="553">
        <f>IncomeState!N6</f>
        <v>0</v>
      </c>
      <c r="O3" s="553" t="str">
        <f>IncomeState!O6</f>
        <v>TOTAL</v>
      </c>
      <c r="P3" s="689" t="str">
        <f>IncomeState!P6</f>
        <v>JUNE</v>
      </c>
      <c r="Q3" s="553" t="str">
        <f>IncomeState!Q6</f>
        <v>ESTIMATE</v>
      </c>
      <c r="S3" s="3"/>
    </row>
    <row r="4" spans="1:19" ht="13.2" x14ac:dyDescent="0.25">
      <c r="A4" s="274"/>
      <c r="B4" s="725">
        <f ca="1">NOW()</f>
        <v>37109.471773495374</v>
      </c>
      <c r="C4" s="286" t="s">
        <v>591</v>
      </c>
      <c r="D4" s="286" t="s">
        <v>592</v>
      </c>
      <c r="E4" s="286" t="s">
        <v>593</v>
      </c>
      <c r="F4" s="286" t="s">
        <v>594</v>
      </c>
      <c r="G4" s="286" t="s">
        <v>595</v>
      </c>
      <c r="H4" s="286" t="s">
        <v>596</v>
      </c>
      <c r="I4" s="286" t="s">
        <v>597</v>
      </c>
      <c r="J4" s="286" t="s">
        <v>598</v>
      </c>
      <c r="K4" s="286" t="s">
        <v>599</v>
      </c>
      <c r="L4" s="286" t="s">
        <v>600</v>
      </c>
      <c r="M4" s="286" t="s">
        <v>601</v>
      </c>
      <c r="N4" s="286" t="s">
        <v>602</v>
      </c>
      <c r="O4" s="554">
        <f>IncomeState!O7</f>
        <v>2001</v>
      </c>
      <c r="P4" s="554" t="str">
        <f>IncomeState!P7</f>
        <v>Y-T-D</v>
      </c>
      <c r="Q4" s="554" t="str">
        <f>IncomeState!Q7</f>
        <v>R.M.</v>
      </c>
      <c r="S4" s="3"/>
    </row>
    <row r="5" spans="1:19" ht="3.9" customHeight="1" x14ac:dyDescent="0.25">
      <c r="A5" s="269"/>
      <c r="B5" s="723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ht="13.2" x14ac:dyDescent="0.25">
      <c r="A6" s="456" t="s">
        <v>959</v>
      </c>
      <c r="B6" s="723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ht="13.2" x14ac:dyDescent="0.25">
      <c r="A7" s="280" t="s">
        <v>960</v>
      </c>
      <c r="B7" s="723"/>
      <c r="C7" s="277">
        <v>7173</v>
      </c>
      <c r="D7" s="277">
        <v>5582</v>
      </c>
      <c r="E7" s="277">
        <v>4818</v>
      </c>
      <c r="F7" s="277">
        <v>-4127</v>
      </c>
      <c r="G7" s="277">
        <v>2258</v>
      </c>
      <c r="H7" s="277">
        <v>3206</v>
      </c>
      <c r="I7" s="277">
        <v>3664</v>
      </c>
      <c r="J7" s="277">
        <v>0</v>
      </c>
      <c r="K7" s="277">
        <v>0</v>
      </c>
      <c r="L7" s="277">
        <v>0</v>
      </c>
      <c r="M7" s="277">
        <v>0</v>
      </c>
      <c r="N7" s="277">
        <v>0</v>
      </c>
      <c r="O7" s="279">
        <f>SUM(C7:N7)</f>
        <v>22574</v>
      </c>
      <c r="P7" s="277">
        <f>SUM(C7:G7)</f>
        <v>15704</v>
      </c>
      <c r="Q7" s="279">
        <f>O7-P7</f>
        <v>6870</v>
      </c>
      <c r="R7" s="43"/>
      <c r="S7" s="6"/>
    </row>
    <row r="8" spans="1:19" ht="13.2" x14ac:dyDescent="0.25">
      <c r="A8" s="280" t="s">
        <v>603</v>
      </c>
      <c r="B8" s="723"/>
      <c r="C8" s="277">
        <v>0</v>
      </c>
      <c r="D8" s="277">
        <v>0</v>
      </c>
      <c r="E8" s="277">
        <v>0</v>
      </c>
      <c r="F8" s="277">
        <v>0</v>
      </c>
      <c r="G8" s="277">
        <v>0</v>
      </c>
      <c r="H8" s="277">
        <v>0</v>
      </c>
      <c r="I8" s="277">
        <v>0</v>
      </c>
      <c r="J8" s="277">
        <v>0</v>
      </c>
      <c r="K8" s="277">
        <v>0</v>
      </c>
      <c r="L8" s="277">
        <v>0</v>
      </c>
      <c r="M8" s="277">
        <v>0</v>
      </c>
      <c r="N8" s="277">
        <v>0</v>
      </c>
      <c r="O8" s="279">
        <f>SUM(C8:N8)</f>
        <v>0</v>
      </c>
      <c r="P8" s="277">
        <f>SUM(C8:G8)</f>
        <v>0</v>
      </c>
      <c r="Q8" s="279">
        <f>O8-P8</f>
        <v>0</v>
      </c>
      <c r="R8" s="43"/>
      <c r="S8" s="6"/>
    </row>
    <row r="9" spans="1:19" ht="13.2" x14ac:dyDescent="0.25">
      <c r="A9" s="280" t="s">
        <v>603</v>
      </c>
      <c r="B9" s="723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SUM(C9:G9)</f>
        <v>0</v>
      </c>
      <c r="Q9" s="279">
        <f>O9-P9</f>
        <v>0</v>
      </c>
      <c r="R9" s="43"/>
      <c r="S9" s="6"/>
    </row>
    <row r="10" spans="1:19" ht="13.2" x14ac:dyDescent="0.25">
      <c r="A10" s="643" t="s">
        <v>604</v>
      </c>
      <c r="B10" s="723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SUM(C10:G10)</f>
        <v>0</v>
      </c>
      <c r="Q10" s="281">
        <f>O10-P10</f>
        <v>0</v>
      </c>
      <c r="R10" s="43"/>
      <c r="S10" s="6"/>
    </row>
    <row r="11" spans="1:19" ht="6" customHeight="1" x14ac:dyDescent="0.25">
      <c r="A11" s="275"/>
      <c r="B11" s="723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ht="13.2" x14ac:dyDescent="0.25">
      <c r="A12" s="456" t="s">
        <v>531</v>
      </c>
      <c r="B12" s="726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3664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22574</v>
      </c>
      <c r="P12" s="282">
        <f t="shared" si="0"/>
        <v>15704</v>
      </c>
      <c r="Q12" s="282">
        <f t="shared" si="0"/>
        <v>6870</v>
      </c>
      <c r="R12" s="43"/>
      <c r="S12" s="6"/>
    </row>
    <row r="13" spans="1:19" ht="13.2" x14ac:dyDescent="0.25">
      <c r="A13" s="285"/>
      <c r="B13" s="723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ht="13.2" x14ac:dyDescent="0.25">
      <c r="A14" s="661" t="s">
        <v>961</v>
      </c>
      <c r="B14" s="727"/>
      <c r="C14" s="61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ht="13.2" x14ac:dyDescent="0.25">
      <c r="A15" s="642" t="s">
        <v>957</v>
      </c>
      <c r="B15" s="727"/>
      <c r="C15" s="615">
        <v>0</v>
      </c>
      <c r="D15" s="615">
        <v>0</v>
      </c>
      <c r="E15" s="866">
        <f>200-200</f>
        <v>0</v>
      </c>
      <c r="F15" s="615">
        <v>0</v>
      </c>
      <c r="G15" s="615">
        <v>0</v>
      </c>
      <c r="H15" s="615">
        <v>0</v>
      </c>
      <c r="I15" s="615">
        <v>0</v>
      </c>
      <c r="J15" s="615">
        <v>0</v>
      </c>
      <c r="K15" s="615">
        <v>0</v>
      </c>
      <c r="L15" s="615">
        <v>0</v>
      </c>
      <c r="M15" s="615">
        <v>0</v>
      </c>
      <c r="N15" s="615">
        <v>0</v>
      </c>
      <c r="O15" s="614">
        <f>SUM(C15:N15)</f>
        <v>0</v>
      </c>
      <c r="P15" s="277">
        <f>SUM(C15:G15)</f>
        <v>0</v>
      </c>
      <c r="Q15" s="614">
        <f>O15-P15</f>
        <v>0</v>
      </c>
      <c r="R15" s="43"/>
    </row>
    <row r="16" spans="1:19" ht="13.2" x14ac:dyDescent="0.25">
      <c r="A16" s="642" t="s">
        <v>605</v>
      </c>
      <c r="B16" s="727"/>
      <c r="C16" s="615">
        <f>0</f>
        <v>0</v>
      </c>
      <c r="D16" s="615">
        <f>0</f>
        <v>0</v>
      </c>
      <c r="E16" s="615">
        <f>0</f>
        <v>0</v>
      </c>
      <c r="F16" s="615">
        <f>0</f>
        <v>0</v>
      </c>
      <c r="G16" s="615">
        <f>0</f>
        <v>0</v>
      </c>
      <c r="H16" s="615">
        <f>0</f>
        <v>0</v>
      </c>
      <c r="I16" s="615">
        <f>0</f>
        <v>0</v>
      </c>
      <c r="J16" s="615">
        <f>0</f>
        <v>0</v>
      </c>
      <c r="K16" s="615">
        <f>0</f>
        <v>0</v>
      </c>
      <c r="L16" s="615">
        <f>0</f>
        <v>0</v>
      </c>
      <c r="M16" s="615">
        <f>0</f>
        <v>0</v>
      </c>
      <c r="N16" s="615">
        <f>0</f>
        <v>0</v>
      </c>
      <c r="O16" s="614">
        <f>SUM(C16:N16)</f>
        <v>0</v>
      </c>
      <c r="P16" s="277">
        <f>SUM(C16:G16)</f>
        <v>0</v>
      </c>
      <c r="Q16" s="614">
        <f>O16-P16</f>
        <v>0</v>
      </c>
      <c r="R16" s="43"/>
    </row>
    <row r="17" spans="1:21" ht="13.2" x14ac:dyDescent="0.25">
      <c r="A17" s="642" t="s">
        <v>605</v>
      </c>
      <c r="B17" s="727"/>
      <c r="C17" s="613">
        <v>0</v>
      </c>
      <c r="D17" s="613">
        <v>0</v>
      </c>
      <c r="E17" s="613">
        <v>0</v>
      </c>
      <c r="F17" s="613">
        <v>0</v>
      </c>
      <c r="G17" s="613">
        <v>0</v>
      </c>
      <c r="H17" s="613">
        <v>0</v>
      </c>
      <c r="I17" s="613">
        <v>0</v>
      </c>
      <c r="J17" s="613">
        <v>0</v>
      </c>
      <c r="K17" s="613">
        <v>0</v>
      </c>
      <c r="L17" s="613">
        <v>0</v>
      </c>
      <c r="M17" s="613">
        <v>0</v>
      </c>
      <c r="N17" s="613">
        <v>0</v>
      </c>
      <c r="O17" s="614">
        <f>SUM(C17:N17)</f>
        <v>0</v>
      </c>
      <c r="P17" s="277">
        <f>SUM(C17:G17)</f>
        <v>0</v>
      </c>
      <c r="Q17" s="614">
        <f>O17-P17</f>
        <v>0</v>
      </c>
      <c r="R17" s="43"/>
    </row>
    <row r="18" spans="1:21" ht="13.2" x14ac:dyDescent="0.25">
      <c r="A18" s="643" t="s">
        <v>604</v>
      </c>
      <c r="B18" s="727"/>
      <c r="C18" s="616">
        <v>0</v>
      </c>
      <c r="D18" s="616">
        <v>0</v>
      </c>
      <c r="E18" s="616">
        <v>0</v>
      </c>
      <c r="F18" s="616">
        <v>0</v>
      </c>
      <c r="G18" s="616">
        <v>0</v>
      </c>
      <c r="H18" s="616">
        <v>0</v>
      </c>
      <c r="I18" s="616">
        <v>0</v>
      </c>
      <c r="J18" s="616">
        <v>0</v>
      </c>
      <c r="K18" s="616">
        <v>0</v>
      </c>
      <c r="L18" s="616">
        <v>0</v>
      </c>
      <c r="M18" s="616">
        <v>0</v>
      </c>
      <c r="N18" s="616">
        <v>0</v>
      </c>
      <c r="O18" s="617">
        <f>SUM(C18:N18)</f>
        <v>0</v>
      </c>
      <c r="P18" s="284">
        <f>SUM(C18:G18)</f>
        <v>0</v>
      </c>
      <c r="Q18" s="617">
        <f>O18-P18</f>
        <v>0</v>
      </c>
      <c r="R18" s="43"/>
    </row>
    <row r="19" spans="1:21" ht="6" customHeight="1" x14ac:dyDescent="0.25">
      <c r="A19" s="644"/>
      <c r="B19" s="727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9"/>
      <c r="P19" s="615"/>
      <c r="Q19" s="619"/>
      <c r="R19" s="43"/>
    </row>
    <row r="20" spans="1:21" ht="13.2" x14ac:dyDescent="0.25">
      <c r="A20" s="456" t="s">
        <v>532</v>
      </c>
      <c r="B20" s="728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ht="13.2" x14ac:dyDescent="0.25">
      <c r="A21" s="645"/>
      <c r="B21" s="728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43"/>
    </row>
    <row r="22" spans="1:21" ht="13.2" x14ac:dyDescent="0.25">
      <c r="A22" s="456" t="s">
        <v>962</v>
      </c>
      <c r="B22" s="723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ht="13.2" x14ac:dyDescent="0.25">
      <c r="A23" s="278" t="s">
        <v>608</v>
      </c>
      <c r="B23" s="723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SUM(C23:G23)</f>
        <v>0</v>
      </c>
      <c r="Q23" s="279">
        <f>O23-P23</f>
        <v>0</v>
      </c>
      <c r="R23" s="43"/>
    </row>
    <row r="24" spans="1:21" ht="13.2" x14ac:dyDescent="0.25">
      <c r="A24" s="278" t="s">
        <v>607</v>
      </c>
      <c r="B24" s="723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SUM(C24:G24)</f>
        <v>0</v>
      </c>
      <c r="Q24" s="279">
        <f>O24-P24</f>
        <v>0</v>
      </c>
      <c r="R24" s="43"/>
    </row>
    <row r="25" spans="1:21" ht="13.2" x14ac:dyDescent="0.25">
      <c r="A25" s="278" t="s">
        <v>605</v>
      </c>
      <c r="B25" s="723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SUM(C25:G25)</f>
        <v>0</v>
      </c>
      <c r="Q25" s="279">
        <f>O25-P25</f>
        <v>0</v>
      </c>
      <c r="R25" s="43"/>
    </row>
    <row r="26" spans="1:21" ht="13.2" x14ac:dyDescent="0.25">
      <c r="A26" s="278" t="s">
        <v>605</v>
      </c>
      <c r="B26" s="723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SUM(C26:G26)</f>
        <v>0</v>
      </c>
      <c r="Q26" s="279">
        <f>O26-P26</f>
        <v>0</v>
      </c>
      <c r="R26" s="43"/>
    </row>
    <row r="27" spans="1:21" ht="13.2" x14ac:dyDescent="0.25">
      <c r="A27" s="280" t="s">
        <v>604</v>
      </c>
      <c r="B27" s="723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SUM(C27:G27)</f>
        <v>0</v>
      </c>
      <c r="Q27" s="281">
        <f>O27-P27</f>
        <v>0</v>
      </c>
      <c r="R27" s="45"/>
      <c r="S27" s="7"/>
    </row>
    <row r="28" spans="1:21" ht="6" customHeight="1" x14ac:dyDescent="0.25">
      <c r="A28" s="269"/>
      <c r="B28" s="723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ht="13.2" x14ac:dyDescent="0.25">
      <c r="A29" s="456" t="s">
        <v>963</v>
      </c>
      <c r="B29" s="726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5">
      <c r="A30" s="285"/>
      <c r="B30" s="723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ht="13.2" x14ac:dyDescent="0.25">
      <c r="A31" s="456" t="s">
        <v>667</v>
      </c>
      <c r="B31" s="726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3664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22574</v>
      </c>
      <c r="P31" s="283">
        <f t="shared" si="3"/>
        <v>15704</v>
      </c>
      <c r="Q31" s="283">
        <f t="shared" si="3"/>
        <v>6870</v>
      </c>
      <c r="R31" s="46"/>
      <c r="S31" s="2"/>
    </row>
    <row r="32" spans="1:21" ht="13.2" x14ac:dyDescent="0.25">
      <c r="A32" s="275"/>
      <c r="B32" s="723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ht="13.2" x14ac:dyDescent="0.25">
      <c r="A33" s="49"/>
      <c r="B33" s="72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ht="13.2" x14ac:dyDescent="0.25">
      <c r="A34" s="690" t="s">
        <v>533</v>
      </c>
      <c r="B34" s="72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ht="13.2" x14ac:dyDescent="0.25">
      <c r="A35" s="54" t="s">
        <v>535</v>
      </c>
      <c r="B35" s="730"/>
      <c r="C35" s="52">
        <v>7411</v>
      </c>
      <c r="D35" s="52">
        <v>6470</v>
      </c>
      <c r="E35" s="52">
        <v>4990</v>
      </c>
      <c r="F35" s="889">
        <f>2870-21741</f>
        <v>-18871</v>
      </c>
      <c r="G35" s="889">
        <f>-21741+21741</f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3">
        <f>SUM(C35:N35)</f>
        <v>0</v>
      </c>
      <c r="P35" s="277">
        <f>SUM(C35:G35)</f>
        <v>0</v>
      </c>
      <c r="Q35" s="53">
        <f>O35-P35</f>
        <v>0</v>
      </c>
    </row>
    <row r="36" spans="1:17" ht="13.2" x14ac:dyDescent="0.25">
      <c r="A36" s="51" t="s">
        <v>605</v>
      </c>
      <c r="B36" s="730"/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3">
        <f>SUM(C36:N36)</f>
        <v>0</v>
      </c>
      <c r="P36" s="277">
        <f>SUM(C36:G36)</f>
        <v>0</v>
      </c>
      <c r="Q36" s="53">
        <f>O36-P36</f>
        <v>0</v>
      </c>
    </row>
    <row r="37" spans="1:17" ht="13.2" x14ac:dyDescent="0.25">
      <c r="A37" s="51" t="s">
        <v>605</v>
      </c>
      <c r="B37" s="730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SUM(C37:G37)</f>
        <v>0</v>
      </c>
      <c r="Q37" s="53">
        <f>O37-P37</f>
        <v>0</v>
      </c>
    </row>
    <row r="38" spans="1:17" ht="13.2" x14ac:dyDescent="0.25">
      <c r="A38" s="51" t="s">
        <v>605</v>
      </c>
      <c r="B38" s="730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SUM(C38:G38)</f>
        <v>0</v>
      </c>
      <c r="Q38" s="53">
        <f>O38-P38</f>
        <v>0</v>
      </c>
    </row>
    <row r="39" spans="1:17" ht="13.2" x14ac:dyDescent="0.25">
      <c r="A39" s="643" t="s">
        <v>604</v>
      </c>
      <c r="B39" s="730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SUM(C39:G39)</f>
        <v>0</v>
      </c>
      <c r="Q39" s="55">
        <f>O39-P39</f>
        <v>0</v>
      </c>
    </row>
    <row r="40" spans="1:17" ht="6" customHeight="1" x14ac:dyDescent="0.25">
      <c r="A40" s="48"/>
      <c r="B40" s="73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ht="13.2" x14ac:dyDescent="0.25">
      <c r="A41" s="691" t="s">
        <v>534</v>
      </c>
      <c r="B41" s="730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1348740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1"/>
  <sheetViews>
    <sheetView showGridLines="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I26" sqref="I26"/>
    </sheetView>
  </sheetViews>
  <sheetFormatPr defaultColWidth="10.6640625" defaultRowHeight="12.6" x14ac:dyDescent="0.25"/>
  <cols>
    <col min="1" max="1" width="45.6640625" style="8" customWidth="1"/>
    <col min="2" max="2" width="8.6640625" style="751" customWidth="1"/>
    <col min="3" max="14" width="8.6640625" style="8" customWidth="1"/>
    <col min="15" max="17" width="9.6640625" style="8" customWidth="1"/>
    <col min="18" max="16384" width="10.6640625" style="8"/>
  </cols>
  <sheetData>
    <row r="1" spans="1:22" ht="13.2" x14ac:dyDescent="0.25">
      <c r="A1" s="552" t="str">
        <f ca="1">CELL("FILENAME")</f>
        <v>P:\Finance\2001CE\[EMTW01CE.XLS]DataBase</v>
      </c>
      <c r="B1" s="732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ht="13.2" x14ac:dyDescent="0.25">
      <c r="A2" s="299" t="s">
        <v>611</v>
      </c>
      <c r="B2" s="732"/>
      <c r="C2" s="476"/>
      <c r="D2" s="288" t="s">
        <v>590</v>
      </c>
      <c r="E2" s="288" t="s">
        <v>590</v>
      </c>
      <c r="F2" s="288" t="s">
        <v>590</v>
      </c>
      <c r="G2" s="486"/>
      <c r="H2" s="288" t="s">
        <v>590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ht="13.2" x14ac:dyDescent="0.25">
      <c r="A3" s="555" t="str">
        <f>IncomeState!A3</f>
        <v>2001 CURRENT ESTIMATE</v>
      </c>
      <c r="B3" s="733">
        <f ca="1">NOW()</f>
        <v>37109.471773495374</v>
      </c>
      <c r="C3" s="553" t="str">
        <f>IncomeState!C6</f>
        <v>ACT.</v>
      </c>
      <c r="D3" s="553" t="str">
        <f>IncomeState!D6</f>
        <v>ACT.</v>
      </c>
      <c r="E3" s="553" t="s">
        <v>1022</v>
      </c>
      <c r="F3" s="553" t="str">
        <f>IncomeState!F6</f>
        <v>ACT.</v>
      </c>
      <c r="G3" s="553" t="str">
        <f>IncomeState!G6</f>
        <v>ACT.</v>
      </c>
      <c r="H3" s="553" t="str">
        <f>IncomeState!H6</f>
        <v>ACT.</v>
      </c>
      <c r="I3" s="553" t="str">
        <f>IncomeState!I6</f>
        <v>FLASH</v>
      </c>
      <c r="J3" s="553">
        <f>IncomeState!J6</f>
        <v>0</v>
      </c>
      <c r="K3" s="553">
        <f>IncomeState!K6</f>
        <v>0</v>
      </c>
      <c r="L3" s="553">
        <f>IncomeState!L6</f>
        <v>0</v>
      </c>
      <c r="M3" s="553">
        <f>IncomeState!M6</f>
        <v>0</v>
      </c>
      <c r="N3" s="553">
        <f>IncomeState!N6</f>
        <v>0</v>
      </c>
      <c r="O3" s="553" t="str">
        <f>IncomeState!O6</f>
        <v>TOTAL</v>
      </c>
      <c r="P3" s="553" t="str">
        <f>IncomeState!P6</f>
        <v>JUNE</v>
      </c>
      <c r="Q3" s="553" t="str">
        <f>IncomeState!Q6</f>
        <v>ESTIMATE</v>
      </c>
    </row>
    <row r="4" spans="1:22" ht="13.2" x14ac:dyDescent="0.25">
      <c r="A4" s="290"/>
      <c r="B4" s="734">
        <f ca="1">NOW()</f>
        <v>37109.471773495374</v>
      </c>
      <c r="C4" s="300" t="s">
        <v>591</v>
      </c>
      <c r="D4" s="300" t="s">
        <v>592</v>
      </c>
      <c r="E4" s="300" t="s">
        <v>593</v>
      </c>
      <c r="F4" s="300" t="s">
        <v>594</v>
      </c>
      <c r="G4" s="300" t="s">
        <v>595</v>
      </c>
      <c r="H4" s="300" t="s">
        <v>596</v>
      </c>
      <c r="I4" s="300" t="s">
        <v>597</v>
      </c>
      <c r="J4" s="300" t="s">
        <v>598</v>
      </c>
      <c r="K4" s="300" t="s">
        <v>599</v>
      </c>
      <c r="L4" s="300" t="s">
        <v>600</v>
      </c>
      <c r="M4" s="300" t="s">
        <v>601</v>
      </c>
      <c r="N4" s="300" t="s">
        <v>602</v>
      </c>
      <c r="O4" s="554">
        <f>IncomeState!O7</f>
        <v>2001</v>
      </c>
      <c r="P4" s="554" t="str">
        <f>IncomeState!P7</f>
        <v>Y-T-D</v>
      </c>
      <c r="Q4" s="554" t="str">
        <f>IncomeState!Q7</f>
        <v>R.M.</v>
      </c>
    </row>
    <row r="5" spans="1:22" ht="3.9" customHeight="1" x14ac:dyDescent="0.25">
      <c r="A5" s="287"/>
      <c r="B5" s="732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5">
      <c r="A6" s="840" t="s">
        <v>964</v>
      </c>
      <c r="B6" s="732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ht="13.2" x14ac:dyDescent="0.25">
      <c r="A7" s="303" t="s">
        <v>537</v>
      </c>
      <c r="B7" s="735"/>
      <c r="C7" s="536">
        <v>12612</v>
      </c>
      <c r="D7" s="536">
        <v>17085</v>
      </c>
      <c r="E7" s="536">
        <v>16820</v>
      </c>
      <c r="F7" s="536">
        <v>12196</v>
      </c>
      <c r="G7" s="536">
        <v>12651</v>
      </c>
      <c r="H7" s="536">
        <v>12455</v>
      </c>
      <c r="I7" s="536">
        <v>12812</v>
      </c>
      <c r="J7" s="536">
        <v>12392</v>
      </c>
      <c r="K7" s="536">
        <v>11782</v>
      </c>
      <c r="L7" s="536">
        <v>12202</v>
      </c>
      <c r="M7" s="536">
        <v>11722</v>
      </c>
      <c r="N7" s="536">
        <v>12387</v>
      </c>
      <c r="O7" s="535">
        <f>SUM(C7:N7)</f>
        <v>157116</v>
      </c>
      <c r="P7" s="293">
        <f>SUM(C7:G7)</f>
        <v>71364</v>
      </c>
      <c r="Q7" s="292">
        <f>O7-P7</f>
        <v>85752</v>
      </c>
      <c r="R7" s="10"/>
    </row>
    <row r="8" spans="1:22" ht="13.2" x14ac:dyDescent="0.25">
      <c r="A8" s="911" t="s">
        <v>1085</v>
      </c>
      <c r="B8" s="736"/>
      <c r="C8" s="293">
        <f>0</f>
        <v>0</v>
      </c>
      <c r="D8" s="293">
        <f>0</f>
        <v>0</v>
      </c>
      <c r="E8" s="293">
        <f>0</f>
        <v>0</v>
      </c>
      <c r="F8" s="293">
        <f>0</f>
        <v>0</v>
      </c>
      <c r="G8" s="293">
        <v>0</v>
      </c>
      <c r="H8" s="293">
        <v>0</v>
      </c>
      <c r="I8" s="293">
        <v>0</v>
      </c>
      <c r="J8" s="293">
        <v>0</v>
      </c>
      <c r="K8" s="293">
        <v>0</v>
      </c>
      <c r="L8" s="293">
        <v>0</v>
      </c>
      <c r="M8" s="293">
        <v>0</v>
      </c>
      <c r="N8" s="293">
        <v>0</v>
      </c>
      <c r="O8" s="535">
        <f>SUM(C8:N8)</f>
        <v>0</v>
      </c>
      <c r="P8" s="293">
        <f>SUM(C8:G8)</f>
        <v>0</v>
      </c>
      <c r="Q8" s="292">
        <f>O8-P8</f>
        <v>0</v>
      </c>
      <c r="R8" s="10"/>
    </row>
    <row r="9" spans="1:22" ht="12.75" customHeight="1" x14ac:dyDescent="0.25">
      <c r="A9" s="303" t="s">
        <v>1086</v>
      </c>
      <c r="B9" s="732"/>
      <c r="C9" s="692">
        <v>0</v>
      </c>
      <c r="D9" s="692">
        <v>0</v>
      </c>
      <c r="E9" s="692">
        <v>0</v>
      </c>
      <c r="F9" s="692">
        <v>0</v>
      </c>
      <c r="G9" s="692">
        <v>0</v>
      </c>
      <c r="H9" s="692">
        <v>0</v>
      </c>
      <c r="I9" s="692">
        <v>0</v>
      </c>
      <c r="J9" s="692">
        <v>0</v>
      </c>
      <c r="K9" s="692">
        <v>0</v>
      </c>
      <c r="L9" s="692">
        <v>0</v>
      </c>
      <c r="M9" s="692">
        <v>0</v>
      </c>
      <c r="N9" s="692">
        <v>0</v>
      </c>
      <c r="O9" s="537">
        <f>SUM(C9:N9)</f>
        <v>0</v>
      </c>
      <c r="P9" s="301">
        <f>SUM(C9:G9)</f>
        <v>0</v>
      </c>
      <c r="Q9" s="294">
        <f>O9-P9</f>
        <v>0</v>
      </c>
      <c r="R9" s="10"/>
    </row>
    <row r="10" spans="1:22" ht="3.9" customHeight="1" x14ac:dyDescent="0.25">
      <c r="A10" s="297"/>
      <c r="B10" s="732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ht="13.2" x14ac:dyDescent="0.25">
      <c r="A11" s="459" t="s">
        <v>613</v>
      </c>
      <c r="B11" s="732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12392</v>
      </c>
      <c r="K11" s="537">
        <f t="shared" si="0"/>
        <v>11782</v>
      </c>
      <c r="L11" s="537">
        <f t="shared" si="0"/>
        <v>12202</v>
      </c>
      <c r="M11" s="537">
        <f t="shared" si="0"/>
        <v>11722</v>
      </c>
      <c r="N11" s="537">
        <f t="shared" si="0"/>
        <v>12387</v>
      </c>
      <c r="O11" s="463">
        <f>SUM(O7:O9)</f>
        <v>157116</v>
      </c>
      <c r="P11" s="463">
        <f>SUM(P7:P9)</f>
        <v>71364</v>
      </c>
      <c r="Q11" s="463">
        <f>SUM(Q7:Q9)</f>
        <v>85752</v>
      </c>
      <c r="R11" s="10"/>
    </row>
    <row r="12" spans="1:22" ht="6" customHeight="1" x14ac:dyDescent="0.25">
      <c r="A12" s="287"/>
      <c r="B12" s="732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5">
      <c r="A13" s="840" t="s">
        <v>965</v>
      </c>
      <c r="B13" s="732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ht="13.2" x14ac:dyDescent="0.25">
      <c r="A14" s="303" t="s">
        <v>536</v>
      </c>
      <c r="B14" s="737"/>
      <c r="C14" s="536">
        <v>1303</v>
      </c>
      <c r="D14" s="536">
        <v>1259</v>
      </c>
      <c r="E14" s="536">
        <v>1286</v>
      </c>
      <c r="F14" s="536">
        <v>2727</v>
      </c>
      <c r="G14" s="536">
        <v>3689</v>
      </c>
      <c r="H14" s="536">
        <v>2163</v>
      </c>
      <c r="I14" s="536">
        <v>1515</v>
      </c>
      <c r="J14" s="536">
        <v>1063</v>
      </c>
      <c r="K14" s="536">
        <v>1026</v>
      </c>
      <c r="L14" s="536">
        <v>1084</v>
      </c>
      <c r="M14" s="536">
        <v>1061</v>
      </c>
      <c r="N14" s="536">
        <v>1108</v>
      </c>
      <c r="O14" s="535">
        <f>SUM(C14:N14)</f>
        <v>19284</v>
      </c>
      <c r="P14" s="293">
        <f>SUM(C14:G14)</f>
        <v>10264</v>
      </c>
      <c r="Q14" s="292">
        <f>O14-P14</f>
        <v>9020</v>
      </c>
      <c r="R14" s="10"/>
    </row>
    <row r="15" spans="1:22" ht="13.2" x14ac:dyDescent="0.25">
      <c r="A15" s="911" t="s">
        <v>1085</v>
      </c>
      <c r="B15" s="736"/>
      <c r="C15" s="536">
        <v>0</v>
      </c>
      <c r="D15" s="536">
        <v>0</v>
      </c>
      <c r="E15" s="536">
        <v>0</v>
      </c>
      <c r="F15" s="536">
        <v>0</v>
      </c>
      <c r="G15" s="536">
        <v>0</v>
      </c>
      <c r="H15" s="536">
        <v>0</v>
      </c>
      <c r="I15" s="536">
        <v>0</v>
      </c>
      <c r="J15" s="536">
        <v>0</v>
      </c>
      <c r="K15" s="536">
        <v>0</v>
      </c>
      <c r="L15" s="536">
        <v>0</v>
      </c>
      <c r="M15" s="536">
        <v>0</v>
      </c>
      <c r="N15" s="536">
        <v>0</v>
      </c>
      <c r="O15" s="535">
        <f>SUM(C15:N15)</f>
        <v>0</v>
      </c>
      <c r="P15" s="293">
        <f>SUM(C15:G15)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ht="13.2" x14ac:dyDescent="0.25">
      <c r="A16" s="303" t="s">
        <v>1086</v>
      </c>
      <c r="B16" s="737"/>
      <c r="C16" s="692">
        <v>0</v>
      </c>
      <c r="D16" s="692">
        <f>0</f>
        <v>0</v>
      </c>
      <c r="E16" s="692">
        <f>0</f>
        <v>0</v>
      </c>
      <c r="F16" s="692">
        <f>0</f>
        <v>0</v>
      </c>
      <c r="G16" s="692">
        <f>0</f>
        <v>0</v>
      </c>
      <c r="H16" s="692">
        <f>0</f>
        <v>0</v>
      </c>
      <c r="I16" s="692">
        <f>0</f>
        <v>0</v>
      </c>
      <c r="J16" s="692">
        <f>0</f>
        <v>0</v>
      </c>
      <c r="K16" s="692">
        <f>0</f>
        <v>0</v>
      </c>
      <c r="L16" s="692">
        <f>0</f>
        <v>0</v>
      </c>
      <c r="M16" s="692">
        <f>0</f>
        <v>0</v>
      </c>
      <c r="N16" s="692">
        <f>0</f>
        <v>0</v>
      </c>
      <c r="O16" s="537">
        <f>SUM(C16:N16)</f>
        <v>0</v>
      </c>
      <c r="P16" s="301">
        <f>SUM(C16:G16)</f>
        <v>0</v>
      </c>
      <c r="Q16" s="463">
        <v>0</v>
      </c>
      <c r="R16" s="11"/>
      <c r="S16" s="12"/>
      <c r="T16" s="12"/>
      <c r="U16" s="12"/>
      <c r="V16" s="12"/>
    </row>
    <row r="17" spans="1:22" ht="3.9" customHeight="1" x14ac:dyDescent="0.25">
      <c r="A17" s="297"/>
      <c r="B17" s="7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ht="13.2" x14ac:dyDescent="0.25">
      <c r="A18" s="459" t="s">
        <v>614</v>
      </c>
      <c r="B18" s="737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1515</v>
      </c>
      <c r="J18" s="537">
        <f t="shared" si="1"/>
        <v>1063</v>
      </c>
      <c r="K18" s="537">
        <f t="shared" si="1"/>
        <v>1026</v>
      </c>
      <c r="L18" s="537">
        <f t="shared" si="1"/>
        <v>1084</v>
      </c>
      <c r="M18" s="537">
        <f t="shared" si="1"/>
        <v>1061</v>
      </c>
      <c r="N18" s="537">
        <f t="shared" si="1"/>
        <v>1108</v>
      </c>
      <c r="O18" s="463">
        <f>SUM(O14:O16)</f>
        <v>19284</v>
      </c>
      <c r="P18" s="463">
        <f>SUM(P14:P16)</f>
        <v>10264</v>
      </c>
      <c r="Q18" s="463">
        <f>SUM(Q14:Q16)</f>
        <v>9020</v>
      </c>
      <c r="R18" s="11"/>
      <c r="S18" s="12"/>
      <c r="T18" s="12"/>
      <c r="U18" s="12"/>
      <c r="V18" s="12"/>
    </row>
    <row r="19" spans="1:22" ht="6" customHeight="1" x14ac:dyDescent="0.25">
      <c r="A19" s="287"/>
      <c r="B19" s="732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ht="13.2" x14ac:dyDescent="0.25">
      <c r="A20" s="459" t="s">
        <v>538</v>
      </c>
      <c r="B20" s="738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14327</v>
      </c>
      <c r="J20" s="540">
        <f t="shared" si="2"/>
        <v>13455</v>
      </c>
      <c r="K20" s="540">
        <f t="shared" si="2"/>
        <v>12808</v>
      </c>
      <c r="L20" s="540">
        <f t="shared" si="2"/>
        <v>13286</v>
      </c>
      <c r="M20" s="540">
        <f t="shared" si="2"/>
        <v>12783</v>
      </c>
      <c r="N20" s="540">
        <f t="shared" si="2"/>
        <v>13495</v>
      </c>
      <c r="O20" s="296">
        <f t="shared" si="2"/>
        <v>176400</v>
      </c>
      <c r="P20" s="296">
        <f t="shared" si="2"/>
        <v>81628</v>
      </c>
      <c r="Q20" s="296">
        <f t="shared" si="2"/>
        <v>94772</v>
      </c>
      <c r="R20" s="9"/>
    </row>
    <row r="21" spans="1:22" ht="3.9" customHeight="1" x14ac:dyDescent="0.25">
      <c r="A21" s="287"/>
      <c r="B21" s="732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5">
      <c r="A22" s="302"/>
      <c r="B22" s="737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ht="13.2" x14ac:dyDescent="0.25">
      <c r="A23" s="483" t="s">
        <v>966</v>
      </c>
      <c r="B23" s="732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3">
      <c r="A24" s="671" t="s">
        <v>610</v>
      </c>
      <c r="B24" s="852" t="s">
        <v>974</v>
      </c>
      <c r="C24" s="693">
        <v>-12</v>
      </c>
      <c r="D24" s="693">
        <v>-13</v>
      </c>
      <c r="E24" s="693">
        <v>-12</v>
      </c>
      <c r="F24" s="693">
        <v>-13</v>
      </c>
      <c r="G24" s="693">
        <v>-12</v>
      </c>
      <c r="H24" s="693">
        <v>-13</v>
      </c>
      <c r="I24" s="693">
        <v>-13</v>
      </c>
      <c r="J24" s="693">
        <v>-12</v>
      </c>
      <c r="K24" s="693">
        <v>-13</v>
      </c>
      <c r="L24" s="693">
        <v>-12</v>
      </c>
      <c r="M24" s="693">
        <v>-13</v>
      </c>
      <c r="N24" s="693">
        <v>-12</v>
      </c>
      <c r="O24" s="694">
        <f t="shared" ref="O24:O31" si="3">SUM(C24:N24)</f>
        <v>-150</v>
      </c>
      <c r="P24" s="293">
        <f t="shared" ref="P24:P31" si="4">SUM(C24:G24)</f>
        <v>-62</v>
      </c>
      <c r="Q24" s="694">
        <f t="shared" ref="Q24:Q31" si="5">O24-P24</f>
        <v>-88</v>
      </c>
      <c r="R24" s="15"/>
      <c r="S24" s="14"/>
      <c r="T24" s="14"/>
    </row>
    <row r="25" spans="1:22" ht="12" customHeight="1" x14ac:dyDescent="0.25">
      <c r="A25" s="297" t="s">
        <v>524</v>
      </c>
      <c r="B25" s="736"/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292">
        <f t="shared" si="3"/>
        <v>-185</v>
      </c>
      <c r="P25" s="293">
        <f t="shared" si="4"/>
        <v>-81</v>
      </c>
      <c r="Q25" s="292">
        <f t="shared" si="5"/>
        <v>-104</v>
      </c>
      <c r="R25" s="9"/>
    </row>
    <row r="26" spans="1:22" ht="12" customHeight="1" x14ac:dyDescent="0.25">
      <c r="A26" s="297" t="s">
        <v>539</v>
      </c>
      <c r="B26" s="736"/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3"/>
        <v>-142</v>
      </c>
      <c r="P26" s="293">
        <f t="shared" si="4"/>
        <v>0</v>
      </c>
      <c r="Q26" s="292">
        <f t="shared" si="5"/>
        <v>-142</v>
      </c>
      <c r="R26" s="9"/>
    </row>
    <row r="27" spans="1:22" ht="13.2" x14ac:dyDescent="0.25">
      <c r="A27" s="297" t="s">
        <v>114</v>
      </c>
      <c r="B27" s="850" t="s">
        <v>974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292">
        <f t="shared" si="3"/>
        <v>0</v>
      </c>
      <c r="P27" s="293">
        <f t="shared" si="4"/>
        <v>0</v>
      </c>
      <c r="Q27" s="292">
        <f t="shared" si="5"/>
        <v>0</v>
      </c>
      <c r="R27" s="47"/>
    </row>
    <row r="28" spans="1:22" ht="13.2" x14ac:dyDescent="0.25">
      <c r="A28" s="875" t="s">
        <v>1045</v>
      </c>
      <c r="B28" s="850" t="s">
        <v>974</v>
      </c>
      <c r="C28" s="293">
        <v>0</v>
      </c>
      <c r="D28" s="293">
        <v>0</v>
      </c>
      <c r="E28" s="293">
        <v>-9342</v>
      </c>
      <c r="F28" s="293">
        <v>-367</v>
      </c>
      <c r="G28" s="293">
        <v>0</v>
      </c>
      <c r="H28" s="293">
        <v>-325</v>
      </c>
      <c r="I28" s="293">
        <v>0</v>
      </c>
      <c r="J28" s="293">
        <v>0</v>
      </c>
      <c r="K28" s="293">
        <v>10034</v>
      </c>
      <c r="L28" s="293">
        <v>0</v>
      </c>
      <c r="M28" s="293">
        <v>0</v>
      </c>
      <c r="N28" s="293">
        <v>0</v>
      </c>
      <c r="O28" s="292">
        <f>SUM(C28:N28)</f>
        <v>0</v>
      </c>
      <c r="P28" s="293">
        <f t="shared" si="4"/>
        <v>-9709</v>
      </c>
      <c r="Q28" s="292">
        <f>O28-P28</f>
        <v>9709</v>
      </c>
      <c r="R28" s="47"/>
    </row>
    <row r="29" spans="1:22" ht="13.2" x14ac:dyDescent="0.25">
      <c r="A29" s="875" t="s">
        <v>1047</v>
      </c>
      <c r="B29" s="850" t="s">
        <v>974</v>
      </c>
      <c r="C29" s="293">
        <v>0</v>
      </c>
      <c r="D29" s="293">
        <v>0</v>
      </c>
      <c r="E29" s="293">
        <v>-2198</v>
      </c>
      <c r="F29" s="293">
        <v>-48</v>
      </c>
      <c r="G29" s="293">
        <v>0</v>
      </c>
      <c r="H29" s="293">
        <v>0</v>
      </c>
      <c r="I29" s="293">
        <v>0</v>
      </c>
      <c r="J29" s="293">
        <v>0</v>
      </c>
      <c r="K29" s="293">
        <v>2246</v>
      </c>
      <c r="L29" s="293">
        <v>0</v>
      </c>
      <c r="M29" s="293">
        <v>0</v>
      </c>
      <c r="N29" s="293">
        <v>0</v>
      </c>
      <c r="O29" s="292">
        <f>SUM(C29:N29)</f>
        <v>0</v>
      </c>
      <c r="P29" s="293">
        <f t="shared" si="4"/>
        <v>-2246</v>
      </c>
      <c r="Q29" s="292">
        <f>O29-P29</f>
        <v>2246</v>
      </c>
      <c r="R29" s="47"/>
    </row>
    <row r="30" spans="1:22" ht="12" customHeight="1" x14ac:dyDescent="0.25">
      <c r="A30" s="875" t="s">
        <v>121</v>
      </c>
      <c r="B30" s="732"/>
      <c r="C30" s="293">
        <v>0</v>
      </c>
      <c r="D30" s="293">
        <v>0</v>
      </c>
      <c r="E30" s="536">
        <v>2198</v>
      </c>
      <c r="F30" s="293">
        <v>48</v>
      </c>
      <c r="G30" s="293">
        <v>0</v>
      </c>
      <c r="H30" s="293">
        <v>0</v>
      </c>
      <c r="I30" s="293">
        <v>0</v>
      </c>
      <c r="J30" s="293">
        <v>0</v>
      </c>
      <c r="K30" s="293">
        <v>-2246</v>
      </c>
      <c r="L30" s="293">
        <v>0</v>
      </c>
      <c r="M30" s="293">
        <v>0</v>
      </c>
      <c r="N30" s="293">
        <v>0</v>
      </c>
      <c r="O30" s="292">
        <f t="shared" si="3"/>
        <v>0</v>
      </c>
      <c r="P30" s="293">
        <f t="shared" si="4"/>
        <v>2246</v>
      </c>
      <c r="Q30" s="292">
        <f t="shared" si="5"/>
        <v>-2246</v>
      </c>
      <c r="R30" s="9"/>
    </row>
    <row r="31" spans="1:22" ht="12" customHeight="1" x14ac:dyDescent="0.25">
      <c r="A31" s="643" t="s">
        <v>604</v>
      </c>
      <c r="B31" s="732"/>
      <c r="C31" s="301">
        <v>0</v>
      </c>
      <c r="D31" s="301">
        <v>0</v>
      </c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>
        <v>0</v>
      </c>
      <c r="K31" s="301">
        <v>0</v>
      </c>
      <c r="L31" s="301">
        <v>0</v>
      </c>
      <c r="M31" s="301">
        <v>0</v>
      </c>
      <c r="N31" s="301">
        <v>0</v>
      </c>
      <c r="O31" s="294">
        <f t="shared" si="3"/>
        <v>0</v>
      </c>
      <c r="P31" s="301">
        <f t="shared" si="4"/>
        <v>0</v>
      </c>
      <c r="Q31" s="294">
        <f t="shared" si="5"/>
        <v>0</v>
      </c>
      <c r="R31" s="9"/>
    </row>
    <row r="32" spans="1:22" ht="3.9" customHeight="1" x14ac:dyDescent="0.25">
      <c r="A32" s="287"/>
      <c r="B32" s="732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47"/>
    </row>
    <row r="33" spans="1:19" ht="12.75" customHeight="1" x14ac:dyDescent="0.25">
      <c r="A33" s="459" t="s">
        <v>967</v>
      </c>
      <c r="B33" s="738"/>
      <c r="C33" s="296">
        <f>ROUND(SUM(C24:C32),0)</f>
        <v>-29</v>
      </c>
      <c r="D33" s="296">
        <f t="shared" ref="D33:N33" si="6">ROUND(SUM(D24:D32),0)</f>
        <v>-30</v>
      </c>
      <c r="E33" s="296">
        <f t="shared" si="6"/>
        <v>-9370</v>
      </c>
      <c r="F33" s="296">
        <f t="shared" si="6"/>
        <v>-396</v>
      </c>
      <c r="G33" s="296">
        <f t="shared" si="6"/>
        <v>-27</v>
      </c>
      <c r="H33" s="296">
        <f t="shared" si="6"/>
        <v>-352</v>
      </c>
      <c r="I33" s="296">
        <f t="shared" si="6"/>
        <v>-170</v>
      </c>
      <c r="J33" s="296">
        <f t="shared" si="6"/>
        <v>-27</v>
      </c>
      <c r="K33" s="296">
        <f t="shared" si="6"/>
        <v>10006</v>
      </c>
      <c r="L33" s="296">
        <f t="shared" si="6"/>
        <v>-27</v>
      </c>
      <c r="M33" s="296">
        <f t="shared" si="6"/>
        <v>-28</v>
      </c>
      <c r="N33" s="296">
        <f t="shared" si="6"/>
        <v>-27</v>
      </c>
      <c r="O33" s="296">
        <f>SUM(O24:O31)</f>
        <v>-477</v>
      </c>
      <c r="P33" s="296">
        <f>SUM(P24:P31)</f>
        <v>-9852</v>
      </c>
      <c r="Q33" s="296">
        <f>SUM(Q24:Q31)</f>
        <v>9375</v>
      </c>
      <c r="R33" s="9"/>
      <c r="S33" s="13"/>
    </row>
    <row r="34" spans="1:19" ht="8.1" customHeight="1" x14ac:dyDescent="0.25">
      <c r="A34" s="302"/>
      <c r="B34" s="737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2"/>
      <c r="P34" s="293"/>
      <c r="Q34" s="292"/>
      <c r="R34" s="9"/>
    </row>
    <row r="35" spans="1:19" ht="12.75" customHeight="1" x14ac:dyDescent="0.25">
      <c r="A35" s="459" t="s">
        <v>541</v>
      </c>
      <c r="B35" s="739"/>
      <c r="C35" s="298">
        <f t="shared" ref="C35:Q35" si="7">ROUND(+C20+C33,0)</f>
        <v>13886</v>
      </c>
      <c r="D35" s="298">
        <f t="shared" si="7"/>
        <v>18314</v>
      </c>
      <c r="E35" s="298">
        <f t="shared" si="7"/>
        <v>8736</v>
      </c>
      <c r="F35" s="298">
        <f t="shared" si="7"/>
        <v>14527</v>
      </c>
      <c r="G35" s="298">
        <f t="shared" si="7"/>
        <v>16313</v>
      </c>
      <c r="H35" s="298">
        <f t="shared" si="7"/>
        <v>14266</v>
      </c>
      <c r="I35" s="298">
        <f t="shared" si="7"/>
        <v>14157</v>
      </c>
      <c r="J35" s="298">
        <f t="shared" si="7"/>
        <v>13428</v>
      </c>
      <c r="K35" s="298">
        <f t="shared" si="7"/>
        <v>22814</v>
      </c>
      <c r="L35" s="298">
        <f t="shared" si="7"/>
        <v>13259</v>
      </c>
      <c r="M35" s="298">
        <f t="shared" si="7"/>
        <v>12755</v>
      </c>
      <c r="N35" s="298">
        <f t="shared" si="7"/>
        <v>13468</v>
      </c>
      <c r="O35" s="298">
        <f t="shared" si="7"/>
        <v>175923</v>
      </c>
      <c r="P35" s="298">
        <f t="shared" si="7"/>
        <v>71776</v>
      </c>
      <c r="Q35" s="298">
        <f t="shared" si="7"/>
        <v>104147</v>
      </c>
      <c r="R35" s="9"/>
    </row>
    <row r="38" spans="1:19" ht="13.2" x14ac:dyDescent="0.25">
      <c r="A38" s="661" t="s">
        <v>527</v>
      </c>
      <c r="B38" s="740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</row>
    <row r="39" spans="1:19" ht="13.2" x14ac:dyDescent="0.25">
      <c r="A39" s="642" t="s">
        <v>526</v>
      </c>
      <c r="B39" s="741" t="s">
        <v>617</v>
      </c>
      <c r="C39" s="615">
        <f>0</f>
        <v>0</v>
      </c>
      <c r="D39" s="615">
        <v>0</v>
      </c>
      <c r="E39" s="615">
        <f>0</f>
        <v>0</v>
      </c>
      <c r="F39" s="615">
        <f>0</f>
        <v>0</v>
      </c>
      <c r="G39" s="615">
        <f>0</f>
        <v>0</v>
      </c>
      <c r="H39" s="615">
        <f>0</f>
        <v>0</v>
      </c>
      <c r="I39" s="615">
        <f>0</f>
        <v>0</v>
      </c>
      <c r="J39" s="615">
        <f>0</f>
        <v>0</v>
      </c>
      <c r="K39" s="615">
        <f>0</f>
        <v>0</v>
      </c>
      <c r="L39" s="615">
        <f>0</f>
        <v>0</v>
      </c>
      <c r="M39" s="615">
        <f>0</f>
        <v>0</v>
      </c>
      <c r="N39" s="615">
        <f>0</f>
        <v>0</v>
      </c>
      <c r="O39" s="622">
        <f>SUM(C39:N39)</f>
        <v>0</v>
      </c>
      <c r="P39" s="293">
        <f t="shared" ref="P39:P49" si="8">SUM(C39:G39)</f>
        <v>0</v>
      </c>
      <c r="Q39" s="614">
        <f>O39-P39</f>
        <v>0</v>
      </c>
    </row>
    <row r="40" spans="1:19" ht="13.2" x14ac:dyDescent="0.25">
      <c r="A40" s="642" t="s">
        <v>870</v>
      </c>
      <c r="B40" s="741" t="s">
        <v>617</v>
      </c>
      <c r="C40" s="615">
        <v>0</v>
      </c>
      <c r="D40" s="615">
        <v>0</v>
      </c>
      <c r="E40" s="615">
        <v>0</v>
      </c>
      <c r="F40" s="615">
        <v>0</v>
      </c>
      <c r="G40" s="615">
        <v>0</v>
      </c>
      <c r="H40" s="615">
        <v>0</v>
      </c>
      <c r="I40" s="615">
        <v>0</v>
      </c>
      <c r="J40" s="615">
        <v>0</v>
      </c>
      <c r="K40" s="615">
        <v>0</v>
      </c>
      <c r="L40" s="615">
        <v>0</v>
      </c>
      <c r="M40" s="615">
        <v>0</v>
      </c>
      <c r="N40" s="615">
        <v>0</v>
      </c>
      <c r="O40" s="622">
        <f>SUM(C40:N40)</f>
        <v>0</v>
      </c>
      <c r="P40" s="293">
        <f t="shared" si="8"/>
        <v>0</v>
      </c>
      <c r="Q40" s="614">
        <f>O40-P40</f>
        <v>0</v>
      </c>
    </row>
    <row r="41" spans="1:19" ht="13.2" x14ac:dyDescent="0.25">
      <c r="A41" s="642" t="s">
        <v>605</v>
      </c>
      <c r="B41" s="741" t="s">
        <v>617</v>
      </c>
      <c r="C41" s="615">
        <v>0</v>
      </c>
      <c r="D41" s="615">
        <v>0</v>
      </c>
      <c r="E41" s="615">
        <v>0</v>
      </c>
      <c r="F41" s="615">
        <v>0</v>
      </c>
      <c r="G41" s="615">
        <v>0</v>
      </c>
      <c r="H41" s="615">
        <v>0</v>
      </c>
      <c r="I41" s="615">
        <v>0</v>
      </c>
      <c r="J41" s="615">
        <v>0</v>
      </c>
      <c r="K41" s="615">
        <v>0</v>
      </c>
      <c r="L41" s="615">
        <v>0</v>
      </c>
      <c r="M41" s="615">
        <v>0</v>
      </c>
      <c r="N41" s="615">
        <v>0</v>
      </c>
      <c r="O41" s="622">
        <f>SUM(C41:N41)</f>
        <v>0</v>
      </c>
      <c r="P41" s="293">
        <f t="shared" si="8"/>
        <v>0</v>
      </c>
      <c r="Q41" s="614">
        <f>O41-P41</f>
        <v>0</v>
      </c>
    </row>
    <row r="42" spans="1:19" ht="6" customHeight="1" x14ac:dyDescent="0.25">
      <c r="A42" s="642"/>
      <c r="B42" s="741"/>
      <c r="C42" s="615"/>
      <c r="D42" s="615"/>
      <c r="E42" s="615"/>
      <c r="F42" s="615"/>
      <c r="G42" s="615"/>
      <c r="H42" s="615"/>
      <c r="I42" s="615"/>
      <c r="J42" s="615"/>
      <c r="K42" s="615"/>
      <c r="L42" s="615"/>
      <c r="M42" s="615"/>
      <c r="N42" s="615"/>
      <c r="O42" s="622"/>
      <c r="P42" s="615"/>
      <c r="Q42" s="614"/>
    </row>
    <row r="43" spans="1:19" ht="13.2" x14ac:dyDescent="0.25">
      <c r="A43" s="653" t="s">
        <v>126</v>
      </c>
      <c r="B43" s="742" t="s">
        <v>542</v>
      </c>
      <c r="C43" s="615">
        <v>0</v>
      </c>
      <c r="D43" s="615">
        <v>0</v>
      </c>
      <c r="E43" s="615">
        <v>0</v>
      </c>
      <c r="F43" s="615">
        <v>0</v>
      </c>
      <c r="G43" s="615">
        <v>0</v>
      </c>
      <c r="H43" s="615">
        <v>0</v>
      </c>
      <c r="I43" s="615">
        <v>0</v>
      </c>
      <c r="J43" s="615">
        <v>0</v>
      </c>
      <c r="K43" s="615">
        <v>0</v>
      </c>
      <c r="L43" s="615">
        <v>0</v>
      </c>
      <c r="M43" s="615">
        <v>0</v>
      </c>
      <c r="N43" s="615">
        <v>0</v>
      </c>
      <c r="O43" s="622">
        <f t="shared" ref="O43:O49" si="9">SUM(C43:N43)</f>
        <v>0</v>
      </c>
      <c r="P43" s="293">
        <f t="shared" si="8"/>
        <v>0</v>
      </c>
      <c r="Q43" s="614">
        <f t="shared" ref="Q43:Q49" si="10">O43-P43</f>
        <v>0</v>
      </c>
    </row>
    <row r="44" spans="1:19" ht="13.2" x14ac:dyDescent="0.25">
      <c r="A44" s="642" t="s">
        <v>127</v>
      </c>
      <c r="B44" s="742" t="s">
        <v>542</v>
      </c>
      <c r="C44" s="866">
        <f>-838+838</f>
        <v>0</v>
      </c>
      <c r="D44" s="866">
        <f>-838+838</f>
        <v>0</v>
      </c>
      <c r="E44" s="866">
        <f>838-838</f>
        <v>0</v>
      </c>
      <c r="F44" s="615">
        <v>0</v>
      </c>
      <c r="G44" s="615">
        <v>0</v>
      </c>
      <c r="H44" s="615">
        <v>0</v>
      </c>
      <c r="I44" s="615">
        <v>0</v>
      </c>
      <c r="J44" s="615">
        <v>0</v>
      </c>
      <c r="K44" s="615">
        <v>0</v>
      </c>
      <c r="L44" s="615">
        <v>0</v>
      </c>
      <c r="M44" s="615">
        <v>0</v>
      </c>
      <c r="N44" s="615">
        <v>0</v>
      </c>
      <c r="O44" s="614">
        <f t="shared" si="9"/>
        <v>0</v>
      </c>
      <c r="P44" s="293">
        <f t="shared" si="8"/>
        <v>0</v>
      </c>
      <c r="Q44" s="614">
        <f t="shared" si="10"/>
        <v>0</v>
      </c>
    </row>
    <row r="45" spans="1:19" ht="13.2" x14ac:dyDescent="0.25">
      <c r="A45" s="642" t="s">
        <v>794</v>
      </c>
      <c r="B45" s="742" t="s">
        <v>542</v>
      </c>
      <c r="C45" s="615">
        <v>23</v>
      </c>
      <c r="D45" s="615">
        <v>24</v>
      </c>
      <c r="E45" s="615">
        <v>25</v>
      </c>
      <c r="F45" s="615">
        <v>23</v>
      </c>
      <c r="G45" s="615">
        <v>24</v>
      </c>
      <c r="H45" s="615">
        <v>24</v>
      </c>
      <c r="I45" s="615">
        <v>23</v>
      </c>
      <c r="J45" s="615">
        <v>23</v>
      </c>
      <c r="K45" s="615">
        <v>23</v>
      </c>
      <c r="L45" s="615">
        <v>23</v>
      </c>
      <c r="M45" s="615">
        <v>22</v>
      </c>
      <c r="N45" s="615">
        <v>22</v>
      </c>
      <c r="O45" s="614">
        <f t="shared" si="9"/>
        <v>279</v>
      </c>
      <c r="P45" s="293">
        <f t="shared" si="8"/>
        <v>119</v>
      </c>
      <c r="Q45" s="614">
        <f t="shared" si="10"/>
        <v>160</v>
      </c>
    </row>
    <row r="46" spans="1:19" ht="13.2" x14ac:dyDescent="0.25">
      <c r="A46" s="642" t="s">
        <v>1062</v>
      </c>
      <c r="B46" s="742" t="s">
        <v>542</v>
      </c>
      <c r="C46" s="615">
        <v>0</v>
      </c>
      <c r="D46" s="615">
        <v>0</v>
      </c>
      <c r="E46" s="615">
        <v>0</v>
      </c>
      <c r="F46" s="615">
        <v>0</v>
      </c>
      <c r="G46" s="615">
        <v>54</v>
      </c>
      <c r="H46" s="615">
        <v>0</v>
      </c>
      <c r="I46" s="615">
        <v>0</v>
      </c>
      <c r="J46" s="615">
        <v>0</v>
      </c>
      <c r="K46" s="615">
        <v>0</v>
      </c>
      <c r="L46" s="615">
        <v>0</v>
      </c>
      <c r="M46" s="615">
        <v>0</v>
      </c>
      <c r="N46" s="615">
        <v>0</v>
      </c>
      <c r="O46" s="614">
        <f t="shared" si="9"/>
        <v>54</v>
      </c>
      <c r="P46" s="293">
        <f t="shared" si="8"/>
        <v>54</v>
      </c>
      <c r="Q46" s="614">
        <f t="shared" si="10"/>
        <v>0</v>
      </c>
    </row>
    <row r="47" spans="1:19" ht="13.2" x14ac:dyDescent="0.25">
      <c r="A47" s="642" t="s">
        <v>605</v>
      </c>
      <c r="B47" s="743"/>
      <c r="C47" s="615">
        <v>0</v>
      </c>
      <c r="D47" s="615">
        <v>0</v>
      </c>
      <c r="E47" s="615">
        <v>0</v>
      </c>
      <c r="F47" s="615">
        <v>0</v>
      </c>
      <c r="G47" s="615">
        <v>0</v>
      </c>
      <c r="H47" s="615">
        <v>0</v>
      </c>
      <c r="I47" s="615">
        <v>0</v>
      </c>
      <c r="J47" s="615">
        <v>0</v>
      </c>
      <c r="K47" s="615">
        <v>0</v>
      </c>
      <c r="L47" s="615">
        <v>0</v>
      </c>
      <c r="M47" s="615">
        <v>0</v>
      </c>
      <c r="N47" s="615">
        <v>0</v>
      </c>
      <c r="O47" s="614">
        <f t="shared" si="9"/>
        <v>0</v>
      </c>
      <c r="P47" s="293">
        <f t="shared" si="8"/>
        <v>0</v>
      </c>
      <c r="Q47" s="614">
        <f t="shared" si="10"/>
        <v>0</v>
      </c>
    </row>
    <row r="48" spans="1:19" ht="13.2" x14ac:dyDescent="0.25">
      <c r="A48" s="642" t="s">
        <v>605</v>
      </c>
      <c r="B48" s="743"/>
      <c r="C48" s="615">
        <v>0</v>
      </c>
      <c r="D48" s="615">
        <v>0</v>
      </c>
      <c r="E48" s="615">
        <v>0</v>
      </c>
      <c r="F48" s="615">
        <v>0</v>
      </c>
      <c r="G48" s="615">
        <v>0</v>
      </c>
      <c r="H48" s="615">
        <v>0</v>
      </c>
      <c r="I48" s="615">
        <v>0</v>
      </c>
      <c r="J48" s="615">
        <v>0</v>
      </c>
      <c r="K48" s="615">
        <v>0</v>
      </c>
      <c r="L48" s="615">
        <v>0</v>
      </c>
      <c r="M48" s="615">
        <v>0</v>
      </c>
      <c r="N48" s="615">
        <v>0</v>
      </c>
      <c r="O48" s="614">
        <f t="shared" si="9"/>
        <v>0</v>
      </c>
      <c r="P48" s="293">
        <f t="shared" si="8"/>
        <v>0</v>
      </c>
      <c r="Q48" s="614">
        <f t="shared" si="10"/>
        <v>0</v>
      </c>
    </row>
    <row r="49" spans="1:17" ht="13.2" x14ac:dyDescent="0.25">
      <c r="A49" s="643" t="s">
        <v>604</v>
      </c>
      <c r="B49" s="743"/>
      <c r="C49" s="618">
        <v>0</v>
      </c>
      <c r="D49" s="618">
        <v>0</v>
      </c>
      <c r="E49" s="618">
        <f>0</f>
        <v>0</v>
      </c>
      <c r="F49" s="618">
        <f>0</f>
        <v>0</v>
      </c>
      <c r="G49" s="618">
        <v>0</v>
      </c>
      <c r="H49" s="618">
        <v>0</v>
      </c>
      <c r="I49" s="618">
        <v>0</v>
      </c>
      <c r="J49" s="618">
        <v>0</v>
      </c>
      <c r="K49" s="618">
        <v>0</v>
      </c>
      <c r="L49" s="618">
        <v>0</v>
      </c>
      <c r="M49" s="618">
        <v>0</v>
      </c>
      <c r="N49" s="618">
        <v>0</v>
      </c>
      <c r="O49" s="617">
        <f t="shared" si="9"/>
        <v>0</v>
      </c>
      <c r="P49" s="301">
        <f t="shared" si="8"/>
        <v>0</v>
      </c>
      <c r="Q49" s="617">
        <f t="shared" si="10"/>
        <v>0</v>
      </c>
    </row>
    <row r="50" spans="1:17" ht="6" customHeight="1" x14ac:dyDescent="0.25">
      <c r="A50" s="644"/>
      <c r="B50" s="743"/>
      <c r="C50" s="615"/>
      <c r="D50" s="615"/>
      <c r="E50" s="615"/>
      <c r="F50" s="615"/>
      <c r="G50" s="615"/>
      <c r="H50" s="615"/>
      <c r="I50" s="615"/>
      <c r="J50" s="615"/>
      <c r="K50" s="615"/>
      <c r="L50" s="615"/>
      <c r="M50" s="615"/>
      <c r="N50" s="615"/>
      <c r="O50" s="614"/>
      <c r="P50" s="615"/>
      <c r="Q50" s="614"/>
    </row>
    <row r="51" spans="1:17" ht="13.2" x14ac:dyDescent="0.25">
      <c r="A51" s="646" t="s">
        <v>618</v>
      </c>
      <c r="B51" s="744"/>
      <c r="C51" s="620">
        <f t="shared" ref="C51:Q51" si="11">SUM(C39:C50)</f>
        <v>23</v>
      </c>
      <c r="D51" s="620">
        <f t="shared" si="11"/>
        <v>24</v>
      </c>
      <c r="E51" s="620">
        <f t="shared" si="11"/>
        <v>25</v>
      </c>
      <c r="F51" s="620">
        <f t="shared" si="11"/>
        <v>23</v>
      </c>
      <c r="G51" s="620">
        <f t="shared" si="11"/>
        <v>78</v>
      </c>
      <c r="H51" s="620">
        <f t="shared" si="11"/>
        <v>24</v>
      </c>
      <c r="I51" s="620">
        <f t="shared" si="11"/>
        <v>23</v>
      </c>
      <c r="J51" s="620">
        <f t="shared" si="11"/>
        <v>23</v>
      </c>
      <c r="K51" s="620">
        <f t="shared" si="11"/>
        <v>23</v>
      </c>
      <c r="L51" s="620">
        <f t="shared" si="11"/>
        <v>23</v>
      </c>
      <c r="M51" s="620">
        <f t="shared" si="11"/>
        <v>22</v>
      </c>
      <c r="N51" s="620">
        <f t="shared" si="11"/>
        <v>22</v>
      </c>
      <c r="O51" s="620">
        <f t="shared" si="11"/>
        <v>333</v>
      </c>
      <c r="P51" s="620">
        <f t="shared" si="11"/>
        <v>173</v>
      </c>
      <c r="Q51" s="620">
        <f t="shared" si="11"/>
        <v>160</v>
      </c>
    </row>
    <row r="52" spans="1:17" ht="13.2" x14ac:dyDescent="0.25">
      <c r="A52" s="636"/>
      <c r="B52" s="727"/>
      <c r="C52" s="620"/>
      <c r="D52" s="619"/>
      <c r="E52" s="619"/>
      <c r="F52" s="619"/>
      <c r="G52" s="619"/>
      <c r="H52" s="619"/>
      <c r="I52" s="619"/>
      <c r="J52" s="619"/>
      <c r="K52" s="619"/>
      <c r="L52" s="619"/>
      <c r="M52" s="619"/>
      <c r="N52" s="619"/>
      <c r="O52" s="619"/>
      <c r="P52" s="619"/>
      <c r="Q52" s="619"/>
    </row>
    <row r="53" spans="1:17" ht="13.2" x14ac:dyDescent="0.25">
      <c r="A53" s="636"/>
      <c r="B53" s="727"/>
      <c r="C53" s="620"/>
      <c r="D53" s="619"/>
      <c r="E53" s="619"/>
      <c r="F53" s="619"/>
      <c r="G53" s="619"/>
      <c r="H53" s="619"/>
      <c r="I53" s="619"/>
      <c r="J53" s="619"/>
      <c r="K53" s="619"/>
      <c r="L53" s="619"/>
      <c r="M53" s="619"/>
      <c r="N53" s="619"/>
      <c r="O53" s="619"/>
      <c r="P53" s="619"/>
      <c r="Q53" s="619"/>
    </row>
    <row r="54" spans="1:17" ht="13.2" x14ac:dyDescent="0.25">
      <c r="A54" s="636"/>
      <c r="B54" s="745"/>
      <c r="C54" s="623"/>
      <c r="D54" s="623"/>
      <c r="E54" s="623"/>
      <c r="F54" s="623"/>
      <c r="G54" s="623"/>
      <c r="H54" s="623"/>
      <c r="I54" s="623"/>
      <c r="J54" s="623"/>
      <c r="K54" s="623"/>
      <c r="L54" s="623"/>
      <c r="M54" s="623"/>
      <c r="N54" s="623"/>
      <c r="O54" s="623"/>
      <c r="P54" s="623"/>
      <c r="Q54" s="623"/>
    </row>
    <row r="55" spans="1:17" ht="15" x14ac:dyDescent="0.25">
      <c r="A55" s="647" t="s">
        <v>619</v>
      </c>
      <c r="B55" s="745"/>
      <c r="C55" s="624"/>
      <c r="D55" s="624"/>
      <c r="E55" s="624"/>
      <c r="F55" s="624"/>
      <c r="G55" s="625"/>
      <c r="H55" s="624"/>
      <c r="I55" s="624"/>
      <c r="J55" s="624"/>
      <c r="K55" s="624"/>
      <c r="L55" s="624"/>
      <c r="M55" s="624"/>
      <c r="N55" s="624"/>
      <c r="O55" s="624"/>
      <c r="P55" s="626"/>
      <c r="Q55" s="623"/>
    </row>
    <row r="56" spans="1:17" ht="15" x14ac:dyDescent="0.25">
      <c r="A56" s="648" t="s">
        <v>620</v>
      </c>
      <c r="B56" s="745"/>
      <c r="C56" s="624"/>
      <c r="D56" s="624"/>
      <c r="E56" s="624"/>
      <c r="F56" s="624"/>
      <c r="G56" s="624"/>
      <c r="H56" s="624"/>
      <c r="I56" s="624"/>
      <c r="J56" s="624"/>
      <c r="K56" s="624"/>
      <c r="L56" s="624"/>
      <c r="M56" s="624"/>
      <c r="N56" s="624"/>
      <c r="O56" s="624"/>
      <c r="P56" s="626"/>
      <c r="Q56" s="623"/>
    </row>
    <row r="57" spans="1:17" ht="15" x14ac:dyDescent="0.25">
      <c r="A57" s="649" t="str">
        <f>A3</f>
        <v>2001 CURRENT ESTIMATE</v>
      </c>
      <c r="B57" s="746">
        <f ca="1">NOW()</f>
        <v>37109.471773495374</v>
      </c>
      <c r="C57" s="627" t="str">
        <f>C3</f>
        <v>ACT.</v>
      </c>
      <c r="D57" s="627" t="str">
        <f t="shared" ref="D57:O57" si="12">D3</f>
        <v>ACT.</v>
      </c>
      <c r="E57" s="627" t="str">
        <f t="shared" si="12"/>
        <v>ACT.</v>
      </c>
      <c r="F57" s="627" t="str">
        <f t="shared" si="12"/>
        <v>ACT.</v>
      </c>
      <c r="G57" s="627" t="str">
        <f t="shared" si="12"/>
        <v>ACT.</v>
      </c>
      <c r="H57" s="627" t="str">
        <f t="shared" si="12"/>
        <v>ACT.</v>
      </c>
      <c r="I57" s="627" t="str">
        <f t="shared" si="12"/>
        <v>FLASH</v>
      </c>
      <c r="J57" s="627">
        <f t="shared" si="12"/>
        <v>0</v>
      </c>
      <c r="K57" s="627">
        <f t="shared" si="12"/>
        <v>0</v>
      </c>
      <c r="L57" s="627">
        <f t="shared" si="12"/>
        <v>0</v>
      </c>
      <c r="M57" s="627">
        <f t="shared" si="12"/>
        <v>0</v>
      </c>
      <c r="N57" s="627">
        <f t="shared" si="12"/>
        <v>0</v>
      </c>
      <c r="O57" s="627" t="str">
        <f t="shared" si="12"/>
        <v>TOTAL</v>
      </c>
      <c r="P57" s="628"/>
      <c r="Q57" s="623"/>
    </row>
    <row r="58" spans="1:17" ht="15" x14ac:dyDescent="0.25">
      <c r="A58" s="650"/>
      <c r="B58" s="747">
        <f ca="1">NOW()</f>
        <v>37109.471773495374</v>
      </c>
      <c r="C58" s="629" t="str">
        <f>C4</f>
        <v>JAN</v>
      </c>
      <c r="D58" s="629" t="str">
        <f t="shared" ref="D58:O58" si="13">D4</f>
        <v>FEB</v>
      </c>
      <c r="E58" s="629" t="str">
        <f t="shared" si="13"/>
        <v>MAR</v>
      </c>
      <c r="F58" s="629" t="str">
        <f t="shared" si="13"/>
        <v>APR</v>
      </c>
      <c r="G58" s="629" t="str">
        <f t="shared" si="13"/>
        <v>MAY</v>
      </c>
      <c r="H58" s="629" t="str">
        <f t="shared" si="13"/>
        <v>JUN</v>
      </c>
      <c r="I58" s="629" t="str">
        <f t="shared" si="13"/>
        <v>JUL</v>
      </c>
      <c r="J58" s="629" t="str">
        <f t="shared" si="13"/>
        <v>AUG</v>
      </c>
      <c r="K58" s="629" t="str">
        <f t="shared" si="13"/>
        <v>SEP</v>
      </c>
      <c r="L58" s="629" t="str">
        <f t="shared" si="13"/>
        <v>OCT</v>
      </c>
      <c r="M58" s="629" t="str">
        <f t="shared" si="13"/>
        <v>NOV</v>
      </c>
      <c r="N58" s="629" t="str">
        <f t="shared" si="13"/>
        <v>DEC</v>
      </c>
      <c r="O58" s="629">
        <f t="shared" si="13"/>
        <v>2001</v>
      </c>
      <c r="P58" s="626"/>
      <c r="Q58" s="623"/>
    </row>
    <row r="59" spans="1:17" ht="6" customHeight="1" x14ac:dyDescent="0.25">
      <c r="A59" s="636"/>
      <c r="B59" s="745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0"/>
      <c r="P59" s="626"/>
      <c r="Q59" s="623"/>
    </row>
    <row r="60" spans="1:17" ht="12.75" customHeight="1" x14ac:dyDescent="0.25">
      <c r="A60" s="646" t="s">
        <v>623</v>
      </c>
      <c r="B60" s="745"/>
      <c r="C60" s="623"/>
      <c r="D60" s="623"/>
      <c r="E60" s="623"/>
      <c r="F60" s="623"/>
      <c r="G60" s="623"/>
      <c r="H60" s="623"/>
      <c r="I60" s="623"/>
      <c r="J60" s="623"/>
      <c r="K60" s="623"/>
      <c r="L60" s="623"/>
      <c r="M60" s="623"/>
      <c r="N60" s="623"/>
      <c r="O60" s="623"/>
      <c r="P60" s="626"/>
      <c r="Q60" s="623"/>
    </row>
    <row r="61" spans="1:17" ht="12.75" customHeight="1" x14ac:dyDescent="0.25">
      <c r="A61" s="651" t="s">
        <v>624</v>
      </c>
      <c r="B61" s="745"/>
      <c r="C61" s="631">
        <v>0</v>
      </c>
      <c r="D61" s="631">
        <v>0</v>
      </c>
      <c r="E61" s="631">
        <v>0</v>
      </c>
      <c r="F61" s="631">
        <v>0</v>
      </c>
      <c r="G61" s="631">
        <v>0</v>
      </c>
      <c r="H61" s="631">
        <v>0</v>
      </c>
      <c r="I61" s="631">
        <v>0</v>
      </c>
      <c r="J61" s="631">
        <v>0</v>
      </c>
      <c r="K61" s="631">
        <v>0</v>
      </c>
      <c r="L61" s="631">
        <v>0</v>
      </c>
      <c r="M61" s="631">
        <v>0</v>
      </c>
      <c r="N61" s="631">
        <v>0</v>
      </c>
      <c r="O61" s="614">
        <f>SUM(C61:N61)</f>
        <v>0</v>
      </c>
      <c r="P61" s="626"/>
      <c r="Q61" s="623"/>
    </row>
    <row r="62" spans="1:17" ht="12.75" customHeight="1" x14ac:dyDescent="0.25">
      <c r="A62" s="651" t="s">
        <v>625</v>
      </c>
      <c r="B62" s="745"/>
      <c r="C62" s="631">
        <v>0</v>
      </c>
      <c r="D62" s="631">
        <v>0</v>
      </c>
      <c r="E62" s="631">
        <v>0</v>
      </c>
      <c r="F62" s="631">
        <v>0</v>
      </c>
      <c r="G62" s="631">
        <v>0</v>
      </c>
      <c r="H62" s="631">
        <v>0</v>
      </c>
      <c r="I62" s="631">
        <v>0</v>
      </c>
      <c r="J62" s="631">
        <v>0</v>
      </c>
      <c r="K62" s="631">
        <v>0</v>
      </c>
      <c r="L62" s="631">
        <v>0</v>
      </c>
      <c r="M62" s="631">
        <v>0</v>
      </c>
      <c r="N62" s="631">
        <v>0</v>
      </c>
      <c r="O62" s="614">
        <f>SUM(C62:N62)</f>
        <v>0</v>
      </c>
      <c r="P62" s="626"/>
      <c r="Q62" s="623"/>
    </row>
    <row r="63" spans="1:17" ht="12.75" customHeight="1" x14ac:dyDescent="0.25">
      <c r="A63" s="651" t="s">
        <v>626</v>
      </c>
      <c r="B63" s="745"/>
      <c r="C63" s="632">
        <v>0</v>
      </c>
      <c r="D63" s="632">
        <v>0</v>
      </c>
      <c r="E63" s="632">
        <v>0</v>
      </c>
      <c r="F63" s="632">
        <v>0</v>
      </c>
      <c r="G63" s="632">
        <v>0</v>
      </c>
      <c r="H63" s="632">
        <v>0</v>
      </c>
      <c r="I63" s="632">
        <v>0</v>
      </c>
      <c r="J63" s="632">
        <v>0</v>
      </c>
      <c r="K63" s="632">
        <v>0</v>
      </c>
      <c r="L63" s="632">
        <v>0</v>
      </c>
      <c r="M63" s="632">
        <v>0</v>
      </c>
      <c r="N63" s="632">
        <v>0</v>
      </c>
      <c r="O63" s="617">
        <f>SUM(C63:N63)</f>
        <v>0</v>
      </c>
      <c r="P63" s="626"/>
      <c r="Q63" s="623"/>
    </row>
    <row r="64" spans="1:17" ht="6" customHeight="1" x14ac:dyDescent="0.25">
      <c r="A64" s="636"/>
      <c r="B64" s="745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6"/>
      <c r="Q64" s="623"/>
    </row>
    <row r="65" spans="1:17" ht="12.75" customHeight="1" x14ac:dyDescent="0.25">
      <c r="A65" s="651" t="s">
        <v>627</v>
      </c>
      <c r="B65" s="745"/>
      <c r="C65" s="614">
        <f t="shared" ref="C65:N65" si="14">C61+C62+C63</f>
        <v>0</v>
      </c>
      <c r="D65" s="614">
        <f t="shared" si="14"/>
        <v>0</v>
      </c>
      <c r="E65" s="614">
        <f t="shared" si="14"/>
        <v>0</v>
      </c>
      <c r="F65" s="614">
        <f t="shared" si="14"/>
        <v>0</v>
      </c>
      <c r="G65" s="614">
        <f t="shared" si="14"/>
        <v>0</v>
      </c>
      <c r="H65" s="614">
        <f t="shared" si="14"/>
        <v>0</v>
      </c>
      <c r="I65" s="614">
        <f t="shared" si="14"/>
        <v>0</v>
      </c>
      <c r="J65" s="614">
        <f t="shared" si="14"/>
        <v>0</v>
      </c>
      <c r="K65" s="614">
        <f t="shared" si="14"/>
        <v>0</v>
      </c>
      <c r="L65" s="614">
        <f t="shared" si="14"/>
        <v>0</v>
      </c>
      <c r="M65" s="614">
        <f t="shared" si="14"/>
        <v>0</v>
      </c>
      <c r="N65" s="614">
        <f t="shared" si="14"/>
        <v>0</v>
      </c>
      <c r="O65" s="614">
        <f>SUM(C65:N65)</f>
        <v>0</v>
      </c>
      <c r="P65" s="626"/>
      <c r="Q65" s="623"/>
    </row>
    <row r="66" spans="1:17" ht="6" customHeight="1" x14ac:dyDescent="0.25">
      <c r="A66" s="636"/>
      <c r="B66" s="745"/>
      <c r="C66" s="623"/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26"/>
      <c r="Q66" s="623"/>
    </row>
    <row r="67" spans="1:17" ht="12.75" customHeight="1" x14ac:dyDescent="0.25">
      <c r="A67" s="643" t="s">
        <v>628</v>
      </c>
      <c r="B67" s="745"/>
      <c r="C67" s="633" t="e">
        <f t="shared" ref="C67:O67" si="15">C69/C65</f>
        <v>#DIV/0!</v>
      </c>
      <c r="D67" s="633" t="e">
        <f t="shared" si="15"/>
        <v>#DIV/0!</v>
      </c>
      <c r="E67" s="633" t="e">
        <f t="shared" si="15"/>
        <v>#DIV/0!</v>
      </c>
      <c r="F67" s="633" t="e">
        <f t="shared" si="15"/>
        <v>#DIV/0!</v>
      </c>
      <c r="G67" s="633" t="e">
        <f t="shared" si="15"/>
        <v>#DIV/0!</v>
      </c>
      <c r="H67" s="633" t="e">
        <f t="shared" si="15"/>
        <v>#DIV/0!</v>
      </c>
      <c r="I67" s="633" t="e">
        <f t="shared" si="15"/>
        <v>#DIV/0!</v>
      </c>
      <c r="J67" s="633" t="e">
        <f t="shared" si="15"/>
        <v>#DIV/0!</v>
      </c>
      <c r="K67" s="633" t="e">
        <f t="shared" si="15"/>
        <v>#DIV/0!</v>
      </c>
      <c r="L67" s="633" t="e">
        <f t="shared" si="15"/>
        <v>#DIV/0!</v>
      </c>
      <c r="M67" s="633" t="e">
        <f t="shared" si="15"/>
        <v>#DIV/0!</v>
      </c>
      <c r="N67" s="633" t="e">
        <f t="shared" si="15"/>
        <v>#DIV/0!</v>
      </c>
      <c r="O67" s="633" t="e">
        <f t="shared" si="15"/>
        <v>#DIV/0!</v>
      </c>
      <c r="P67" s="626"/>
      <c r="Q67" s="623"/>
    </row>
    <row r="68" spans="1:17" ht="6" customHeight="1" x14ac:dyDescent="0.25">
      <c r="A68" s="636"/>
      <c r="B68" s="745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3"/>
      <c r="P68" s="626"/>
      <c r="Q68" s="623"/>
    </row>
    <row r="69" spans="1:17" ht="12.75" customHeight="1" x14ac:dyDescent="0.25">
      <c r="A69" s="652" t="s">
        <v>632</v>
      </c>
      <c r="B69" s="748"/>
      <c r="C69" s="634">
        <v>0</v>
      </c>
      <c r="D69" s="634">
        <v>0</v>
      </c>
      <c r="E69" s="634">
        <v>0</v>
      </c>
      <c r="F69" s="634">
        <v>0</v>
      </c>
      <c r="G69" s="634">
        <v>0</v>
      </c>
      <c r="H69" s="634">
        <v>0</v>
      </c>
      <c r="I69" s="634">
        <v>0</v>
      </c>
      <c r="J69" s="634">
        <v>0</v>
      </c>
      <c r="K69" s="634">
        <v>0</v>
      </c>
      <c r="L69" s="634">
        <v>0</v>
      </c>
      <c r="M69" s="634">
        <v>0</v>
      </c>
      <c r="N69" s="634">
        <v>0</v>
      </c>
      <c r="O69" s="635">
        <f>SUM(C69:N69)</f>
        <v>0</v>
      </c>
      <c r="P69" s="626"/>
      <c r="Q69" s="623"/>
    </row>
    <row r="70" spans="1:17" ht="6" customHeight="1" x14ac:dyDescent="0.25">
      <c r="A70" s="636"/>
      <c r="B70" s="745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23"/>
      <c r="P70" s="626"/>
      <c r="Q70" s="623"/>
    </row>
    <row r="71" spans="1:17" ht="12.75" customHeight="1" x14ac:dyDescent="0.25">
      <c r="A71" s="652" t="s">
        <v>633</v>
      </c>
      <c r="B71" s="748"/>
      <c r="C71" s="637">
        <v>0</v>
      </c>
      <c r="D71" s="637">
        <v>0</v>
      </c>
      <c r="E71" s="637">
        <v>0</v>
      </c>
      <c r="F71" s="637">
        <v>0</v>
      </c>
      <c r="G71" s="637">
        <v>0</v>
      </c>
      <c r="H71" s="637">
        <v>0</v>
      </c>
      <c r="I71" s="637">
        <v>0</v>
      </c>
      <c r="J71" s="637">
        <v>0</v>
      </c>
      <c r="K71" s="637">
        <v>0</v>
      </c>
      <c r="L71" s="637">
        <v>0</v>
      </c>
      <c r="M71" s="637">
        <v>0</v>
      </c>
      <c r="N71" s="637">
        <v>0</v>
      </c>
      <c r="O71" s="638">
        <f>SUM(C71:N71)</f>
        <v>0</v>
      </c>
      <c r="P71" s="626"/>
      <c r="Q71" s="623"/>
    </row>
    <row r="72" spans="1:17" ht="6" customHeight="1" x14ac:dyDescent="0.25">
      <c r="A72" s="636"/>
      <c r="B72" s="745"/>
      <c r="C72" s="623"/>
      <c r="D72" s="623"/>
      <c r="E72" s="623"/>
      <c r="F72" s="623"/>
      <c r="G72" s="623"/>
      <c r="H72" s="623"/>
      <c r="I72" s="623"/>
      <c r="J72" s="623"/>
      <c r="K72" s="623"/>
      <c r="L72" s="623"/>
      <c r="M72" s="623"/>
      <c r="N72" s="623"/>
      <c r="O72" s="623"/>
      <c r="P72" s="626"/>
      <c r="Q72" s="623"/>
    </row>
    <row r="73" spans="1:17" ht="12.75" customHeight="1" x14ac:dyDescent="0.25">
      <c r="A73" s="643" t="s">
        <v>634</v>
      </c>
      <c r="B73" s="745"/>
      <c r="C73" s="614">
        <f t="shared" ref="C73:N73" si="16">C69-C71</f>
        <v>0</v>
      </c>
      <c r="D73" s="614">
        <f t="shared" si="16"/>
        <v>0</v>
      </c>
      <c r="E73" s="614">
        <f t="shared" si="16"/>
        <v>0</v>
      </c>
      <c r="F73" s="614">
        <f t="shared" si="16"/>
        <v>0</v>
      </c>
      <c r="G73" s="614">
        <f t="shared" si="16"/>
        <v>0</v>
      </c>
      <c r="H73" s="614">
        <f t="shared" si="16"/>
        <v>0</v>
      </c>
      <c r="I73" s="614">
        <f t="shared" si="16"/>
        <v>0</v>
      </c>
      <c r="J73" s="614">
        <f t="shared" si="16"/>
        <v>0</v>
      </c>
      <c r="K73" s="614">
        <f t="shared" si="16"/>
        <v>0</v>
      </c>
      <c r="L73" s="614">
        <f t="shared" si="16"/>
        <v>0</v>
      </c>
      <c r="M73" s="614">
        <f t="shared" si="16"/>
        <v>0</v>
      </c>
      <c r="N73" s="614">
        <f t="shared" si="16"/>
        <v>0</v>
      </c>
      <c r="O73" s="614">
        <f>SUM(C73:N73)</f>
        <v>0</v>
      </c>
      <c r="P73" s="626"/>
      <c r="Q73" s="623"/>
    </row>
    <row r="74" spans="1:17" ht="12.75" customHeight="1" x14ac:dyDescent="0.25">
      <c r="A74" s="643" t="s">
        <v>635</v>
      </c>
      <c r="B74" s="745"/>
      <c r="C74" s="615">
        <v>0</v>
      </c>
      <c r="D74" s="615">
        <v>0</v>
      </c>
      <c r="E74" s="615">
        <v>0</v>
      </c>
      <c r="F74" s="615">
        <v>0</v>
      </c>
      <c r="G74" s="615">
        <v>0</v>
      </c>
      <c r="H74" s="615">
        <v>0</v>
      </c>
      <c r="I74" s="615">
        <v>0</v>
      </c>
      <c r="J74" s="615">
        <v>0</v>
      </c>
      <c r="K74" s="615">
        <v>0</v>
      </c>
      <c r="L74" s="615">
        <v>0</v>
      </c>
      <c r="M74" s="615">
        <v>0</v>
      </c>
      <c r="N74" s="615">
        <v>0</v>
      </c>
      <c r="O74" s="614">
        <f>SUM(C74:N74)</f>
        <v>0</v>
      </c>
      <c r="P74" s="626"/>
      <c r="Q74" s="623"/>
    </row>
    <row r="75" spans="1:17" ht="12.75" customHeight="1" x14ac:dyDescent="0.25">
      <c r="A75" s="653" t="s">
        <v>605</v>
      </c>
      <c r="B75" s="745"/>
      <c r="C75" s="615">
        <v>0</v>
      </c>
      <c r="D75" s="615">
        <v>0</v>
      </c>
      <c r="E75" s="615">
        <v>0</v>
      </c>
      <c r="F75" s="615">
        <v>0</v>
      </c>
      <c r="G75" s="615">
        <v>0</v>
      </c>
      <c r="H75" s="615">
        <v>0</v>
      </c>
      <c r="I75" s="615">
        <v>0</v>
      </c>
      <c r="J75" s="615">
        <v>0</v>
      </c>
      <c r="K75" s="615">
        <v>0</v>
      </c>
      <c r="L75" s="615">
        <v>0</v>
      </c>
      <c r="M75" s="615">
        <v>0</v>
      </c>
      <c r="N75" s="615">
        <v>0</v>
      </c>
      <c r="O75" s="614">
        <f>SUM(C75:N75)</f>
        <v>0</v>
      </c>
      <c r="P75" s="626"/>
      <c r="Q75" s="623"/>
    </row>
    <row r="76" spans="1:17" ht="12.75" customHeight="1" x14ac:dyDescent="0.25">
      <c r="A76" s="651" t="s">
        <v>636</v>
      </c>
      <c r="B76" s="745"/>
      <c r="C76" s="618">
        <v>0</v>
      </c>
      <c r="D76" s="618">
        <v>0</v>
      </c>
      <c r="E76" s="618">
        <v>0</v>
      </c>
      <c r="F76" s="618">
        <v>0</v>
      </c>
      <c r="G76" s="618">
        <v>0</v>
      </c>
      <c r="H76" s="618">
        <v>0</v>
      </c>
      <c r="I76" s="618">
        <v>0</v>
      </c>
      <c r="J76" s="618">
        <v>0</v>
      </c>
      <c r="K76" s="618">
        <v>0</v>
      </c>
      <c r="L76" s="618">
        <v>0</v>
      </c>
      <c r="M76" s="618">
        <v>0</v>
      </c>
      <c r="N76" s="618">
        <v>0</v>
      </c>
      <c r="O76" s="617">
        <f>SUM(C76:N76)</f>
        <v>0</v>
      </c>
      <c r="P76" s="626"/>
      <c r="Q76" s="623"/>
    </row>
    <row r="77" spans="1:17" ht="6" customHeight="1" x14ac:dyDescent="0.25">
      <c r="A77" s="636"/>
      <c r="B77" s="745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3"/>
      <c r="P77" s="626"/>
      <c r="Q77" s="623"/>
    </row>
    <row r="78" spans="1:17" ht="12.75" customHeight="1" x14ac:dyDescent="0.25">
      <c r="A78" s="645" t="s">
        <v>637</v>
      </c>
      <c r="B78" s="748"/>
      <c r="C78" s="635">
        <f t="shared" ref="C78:N78" si="17">SUM(C73:C76)</f>
        <v>0</v>
      </c>
      <c r="D78" s="635">
        <f t="shared" si="17"/>
        <v>0</v>
      </c>
      <c r="E78" s="635">
        <f t="shared" si="17"/>
        <v>0</v>
      </c>
      <c r="F78" s="635">
        <f t="shared" si="17"/>
        <v>0</v>
      </c>
      <c r="G78" s="635">
        <f t="shared" si="17"/>
        <v>0</v>
      </c>
      <c r="H78" s="635">
        <f t="shared" si="17"/>
        <v>0</v>
      </c>
      <c r="I78" s="635">
        <f t="shared" si="17"/>
        <v>0</v>
      </c>
      <c r="J78" s="635">
        <f t="shared" si="17"/>
        <v>0</v>
      </c>
      <c r="K78" s="635">
        <f t="shared" si="17"/>
        <v>0</v>
      </c>
      <c r="L78" s="635">
        <f t="shared" si="17"/>
        <v>0</v>
      </c>
      <c r="M78" s="635">
        <f t="shared" si="17"/>
        <v>0</v>
      </c>
      <c r="N78" s="635">
        <f t="shared" si="17"/>
        <v>0</v>
      </c>
      <c r="O78" s="635">
        <f>SUM(C78:N78)</f>
        <v>0</v>
      </c>
      <c r="P78" s="626"/>
      <c r="Q78" s="623"/>
    </row>
    <row r="79" spans="1:17" ht="6" customHeight="1" x14ac:dyDescent="0.25">
      <c r="A79" s="636"/>
      <c r="B79" s="745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6"/>
      <c r="Q79" s="623"/>
    </row>
    <row r="80" spans="1:17" ht="12.75" customHeight="1" x14ac:dyDescent="0.25">
      <c r="A80" s="646" t="s">
        <v>638</v>
      </c>
      <c r="B80" s="748"/>
      <c r="C80" s="635">
        <f t="shared" ref="C80:N80" si="18">-1*C78</f>
        <v>0</v>
      </c>
      <c r="D80" s="635">
        <f t="shared" si="18"/>
        <v>0</v>
      </c>
      <c r="E80" s="635">
        <f t="shared" si="18"/>
        <v>0</v>
      </c>
      <c r="F80" s="635">
        <f t="shared" si="18"/>
        <v>0</v>
      </c>
      <c r="G80" s="635">
        <f t="shared" si="18"/>
        <v>0</v>
      </c>
      <c r="H80" s="635">
        <f t="shared" si="18"/>
        <v>0</v>
      </c>
      <c r="I80" s="635">
        <f t="shared" si="18"/>
        <v>0</v>
      </c>
      <c r="J80" s="635">
        <f t="shared" si="18"/>
        <v>0</v>
      </c>
      <c r="K80" s="635">
        <f t="shared" si="18"/>
        <v>0</v>
      </c>
      <c r="L80" s="635">
        <f t="shared" si="18"/>
        <v>0</v>
      </c>
      <c r="M80" s="635">
        <f t="shared" si="18"/>
        <v>0</v>
      </c>
      <c r="N80" s="635">
        <f t="shared" si="18"/>
        <v>0</v>
      </c>
      <c r="O80" s="635">
        <f>SUM(C80:N80)</f>
        <v>0</v>
      </c>
      <c r="P80" s="626"/>
      <c r="Q80" s="623"/>
    </row>
    <row r="81" spans="1:17" ht="12.75" customHeight="1" x14ac:dyDescent="0.25">
      <c r="A81" s="636"/>
      <c r="B81" s="745"/>
      <c r="C81" s="623"/>
      <c r="D81" s="623"/>
      <c r="E81" s="623"/>
      <c r="F81" s="623"/>
      <c r="G81" s="623"/>
      <c r="H81" s="623"/>
      <c r="I81" s="623"/>
      <c r="J81" s="623"/>
      <c r="K81" s="623"/>
      <c r="L81" s="623"/>
      <c r="M81" s="623"/>
      <c r="N81" s="623"/>
      <c r="O81" s="623"/>
      <c r="P81" s="626"/>
      <c r="Q81" s="623"/>
    </row>
    <row r="82" spans="1:17" ht="12.75" customHeight="1" x14ac:dyDescent="0.25">
      <c r="A82" s="654"/>
      <c r="B82" s="74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26"/>
      <c r="Q82" s="623"/>
    </row>
    <row r="83" spans="1:17" ht="12.75" customHeight="1" x14ac:dyDescent="0.25">
      <c r="A83" s="636"/>
      <c r="B83" s="745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23"/>
      <c r="P83" s="626"/>
      <c r="Q83" s="623"/>
    </row>
    <row r="84" spans="1:17" ht="12.75" customHeight="1" x14ac:dyDescent="0.25">
      <c r="A84" s="655" t="s">
        <v>639</v>
      </c>
      <c r="B84" s="685" t="s">
        <v>954</v>
      </c>
      <c r="C84" s="624"/>
      <c r="D84" s="624"/>
      <c r="E84" s="624"/>
      <c r="F84" s="624"/>
      <c r="G84" s="624"/>
      <c r="H84" s="624"/>
      <c r="I84" s="624"/>
      <c r="J84" s="624"/>
      <c r="K84" s="624"/>
      <c r="L84" s="624"/>
      <c r="M84" s="624"/>
      <c r="N84" s="624"/>
      <c r="O84" s="624"/>
      <c r="P84" s="626"/>
      <c r="Q84" s="623"/>
    </row>
    <row r="85" spans="1:17" ht="6" customHeight="1" x14ac:dyDescent="0.25">
      <c r="A85" s="636"/>
      <c r="B85" s="745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6"/>
      <c r="Q85" s="623"/>
    </row>
    <row r="86" spans="1:17" ht="12.75" customHeight="1" x14ac:dyDescent="0.25">
      <c r="A86" s="646" t="s">
        <v>640</v>
      </c>
      <c r="B86" s="745"/>
      <c r="C86" s="614">
        <f t="shared" ref="C86:N86" si="19">B93</f>
        <v>0</v>
      </c>
      <c r="D86" s="614">
        <f t="shared" si="19"/>
        <v>0</v>
      </c>
      <c r="E86" s="614">
        <f t="shared" si="19"/>
        <v>0</v>
      </c>
      <c r="F86" s="614">
        <f t="shared" si="19"/>
        <v>0</v>
      </c>
      <c r="G86" s="614">
        <f t="shared" si="19"/>
        <v>0</v>
      </c>
      <c r="H86" s="614">
        <f t="shared" si="19"/>
        <v>0</v>
      </c>
      <c r="I86" s="614">
        <f t="shared" si="19"/>
        <v>0</v>
      </c>
      <c r="J86" s="614">
        <f t="shared" si="19"/>
        <v>0</v>
      </c>
      <c r="K86" s="614">
        <f t="shared" si="19"/>
        <v>0</v>
      </c>
      <c r="L86" s="614">
        <f t="shared" si="19"/>
        <v>0</v>
      </c>
      <c r="M86" s="614">
        <f t="shared" si="19"/>
        <v>0</v>
      </c>
      <c r="N86" s="614">
        <f t="shared" si="19"/>
        <v>0</v>
      </c>
      <c r="O86" s="623"/>
      <c r="P86" s="626"/>
      <c r="Q86" s="623"/>
    </row>
    <row r="87" spans="1:17" ht="6" customHeight="1" x14ac:dyDescent="0.25">
      <c r="A87" s="636"/>
      <c r="B87" s="745"/>
      <c r="C87" s="623"/>
      <c r="D87" s="623"/>
      <c r="E87" s="623"/>
      <c r="F87" s="623"/>
      <c r="G87" s="623"/>
      <c r="H87" s="623"/>
      <c r="I87" s="623"/>
      <c r="J87" s="623"/>
      <c r="K87" s="623"/>
      <c r="L87" s="623"/>
      <c r="M87" s="623"/>
      <c r="N87" s="623"/>
      <c r="O87" s="623"/>
      <c r="P87" s="626"/>
      <c r="Q87" s="623"/>
    </row>
    <row r="88" spans="1:17" ht="15" customHeight="1" x14ac:dyDescent="0.25">
      <c r="A88" s="653" t="s">
        <v>641</v>
      </c>
      <c r="B88" s="745"/>
      <c r="C88" s="615">
        <v>0</v>
      </c>
      <c r="D88" s="615">
        <v>0</v>
      </c>
      <c r="E88" s="615">
        <v>0</v>
      </c>
      <c r="F88" s="615">
        <v>0</v>
      </c>
      <c r="G88" s="615">
        <v>0</v>
      </c>
      <c r="H88" s="615">
        <v>0</v>
      </c>
      <c r="I88" s="615">
        <v>0</v>
      </c>
      <c r="J88" s="615">
        <v>0</v>
      </c>
      <c r="K88" s="615">
        <v>0</v>
      </c>
      <c r="L88" s="615">
        <v>0</v>
      </c>
      <c r="M88" s="615">
        <v>0</v>
      </c>
      <c r="N88" s="615">
        <v>0</v>
      </c>
      <c r="O88" s="614">
        <f>SUM(C88:N88)</f>
        <v>0</v>
      </c>
      <c r="P88" s="626"/>
      <c r="Q88" s="623"/>
    </row>
    <row r="89" spans="1:17" ht="15" customHeight="1" x14ac:dyDescent="0.25">
      <c r="A89" s="651" t="s">
        <v>642</v>
      </c>
      <c r="B89" s="745"/>
      <c r="C89" s="614">
        <f t="shared" ref="C89:N89" si="20">C80</f>
        <v>0</v>
      </c>
      <c r="D89" s="614">
        <f t="shared" si="20"/>
        <v>0</v>
      </c>
      <c r="E89" s="614">
        <f t="shared" si="20"/>
        <v>0</v>
      </c>
      <c r="F89" s="614">
        <f t="shared" si="20"/>
        <v>0</v>
      </c>
      <c r="G89" s="614">
        <f t="shared" si="20"/>
        <v>0</v>
      </c>
      <c r="H89" s="614">
        <f t="shared" si="20"/>
        <v>0</v>
      </c>
      <c r="I89" s="614">
        <f t="shared" si="20"/>
        <v>0</v>
      </c>
      <c r="J89" s="614">
        <f t="shared" si="20"/>
        <v>0</v>
      </c>
      <c r="K89" s="614">
        <f t="shared" si="20"/>
        <v>0</v>
      </c>
      <c r="L89" s="614">
        <f t="shared" si="20"/>
        <v>0</v>
      </c>
      <c r="M89" s="614">
        <f t="shared" si="20"/>
        <v>0</v>
      </c>
      <c r="N89" s="614">
        <f t="shared" si="20"/>
        <v>0</v>
      </c>
      <c r="O89" s="614">
        <f>SUM(C89:N89)</f>
        <v>0</v>
      </c>
      <c r="P89" s="626"/>
      <c r="Q89" s="623"/>
    </row>
    <row r="90" spans="1:17" ht="15" customHeight="1" x14ac:dyDescent="0.25">
      <c r="A90" s="653" t="s">
        <v>643</v>
      </c>
      <c r="B90" s="745"/>
      <c r="C90" s="615">
        <v>0</v>
      </c>
      <c r="D90" s="615">
        <v>0</v>
      </c>
      <c r="E90" s="615">
        <v>0</v>
      </c>
      <c r="F90" s="615">
        <v>0</v>
      </c>
      <c r="G90" s="615">
        <v>0</v>
      </c>
      <c r="H90" s="615">
        <v>0</v>
      </c>
      <c r="I90" s="615">
        <v>0</v>
      </c>
      <c r="J90" s="615">
        <v>0</v>
      </c>
      <c r="K90" s="615">
        <v>0</v>
      </c>
      <c r="L90" s="615">
        <v>0</v>
      </c>
      <c r="M90" s="615">
        <v>0</v>
      </c>
      <c r="N90" s="615">
        <v>0</v>
      </c>
      <c r="O90" s="614">
        <f>SUM(C90:N90)</f>
        <v>0</v>
      </c>
      <c r="P90" s="626"/>
      <c r="Q90" s="623"/>
    </row>
    <row r="91" spans="1:17" ht="15" customHeight="1" x14ac:dyDescent="0.25">
      <c r="A91" s="651" t="s">
        <v>644</v>
      </c>
      <c r="B91" s="745"/>
      <c r="C91" s="617">
        <f t="shared" ref="C91:N91" si="21">C98</f>
        <v>0</v>
      </c>
      <c r="D91" s="617">
        <f t="shared" si="21"/>
        <v>0</v>
      </c>
      <c r="E91" s="617">
        <f t="shared" si="21"/>
        <v>0</v>
      </c>
      <c r="F91" s="617">
        <f t="shared" si="21"/>
        <v>0</v>
      </c>
      <c r="G91" s="617">
        <f t="shared" si="21"/>
        <v>0</v>
      </c>
      <c r="H91" s="617">
        <f t="shared" si="21"/>
        <v>0</v>
      </c>
      <c r="I91" s="617">
        <f t="shared" si="21"/>
        <v>0</v>
      </c>
      <c r="J91" s="617">
        <f t="shared" si="21"/>
        <v>0</v>
      </c>
      <c r="K91" s="617">
        <f t="shared" si="21"/>
        <v>0</v>
      </c>
      <c r="L91" s="617">
        <f t="shared" si="21"/>
        <v>0</v>
      </c>
      <c r="M91" s="617">
        <f t="shared" si="21"/>
        <v>0</v>
      </c>
      <c r="N91" s="617">
        <f t="shared" si="21"/>
        <v>0</v>
      </c>
      <c r="O91" s="614">
        <f>SUM(C91:N91)</f>
        <v>0</v>
      </c>
      <c r="P91" s="626"/>
      <c r="Q91" s="623"/>
    </row>
    <row r="92" spans="1:17" ht="6" customHeight="1" x14ac:dyDescent="0.25">
      <c r="A92" s="636"/>
      <c r="B92" s="745"/>
      <c r="C92" s="623"/>
      <c r="D92" s="623"/>
      <c r="E92" s="623"/>
      <c r="F92" s="623"/>
      <c r="G92" s="623"/>
      <c r="H92" s="623"/>
      <c r="I92" s="623"/>
      <c r="J92" s="623"/>
      <c r="K92" s="623"/>
      <c r="L92" s="623"/>
      <c r="M92" s="623"/>
      <c r="N92" s="623"/>
      <c r="O92" s="623"/>
      <c r="P92" s="626"/>
      <c r="Q92" s="623"/>
    </row>
    <row r="93" spans="1:17" ht="12.75" customHeight="1" x14ac:dyDescent="0.25">
      <c r="A93" s="646" t="s">
        <v>645</v>
      </c>
      <c r="B93" s="838">
        <v>0</v>
      </c>
      <c r="C93" s="638">
        <f t="shared" ref="C93:N93" si="22">SUM(C86:C91)</f>
        <v>0</v>
      </c>
      <c r="D93" s="638">
        <f t="shared" si="22"/>
        <v>0</v>
      </c>
      <c r="E93" s="638">
        <f t="shared" si="22"/>
        <v>0</v>
      </c>
      <c r="F93" s="638">
        <f t="shared" si="22"/>
        <v>0</v>
      </c>
      <c r="G93" s="638">
        <f t="shared" si="22"/>
        <v>0</v>
      </c>
      <c r="H93" s="638">
        <f t="shared" si="22"/>
        <v>0</v>
      </c>
      <c r="I93" s="638">
        <f t="shared" si="22"/>
        <v>0</v>
      </c>
      <c r="J93" s="638">
        <f t="shared" si="22"/>
        <v>0</v>
      </c>
      <c r="K93" s="638">
        <f t="shared" si="22"/>
        <v>0</v>
      </c>
      <c r="L93" s="638">
        <f t="shared" si="22"/>
        <v>0</v>
      </c>
      <c r="M93" s="638">
        <f t="shared" si="22"/>
        <v>0</v>
      </c>
      <c r="N93" s="638">
        <f t="shared" si="22"/>
        <v>0</v>
      </c>
      <c r="O93" s="638"/>
      <c r="P93" s="626"/>
      <c r="Q93" s="623"/>
    </row>
    <row r="94" spans="1:17" ht="12.75" customHeight="1" x14ac:dyDescent="0.25">
      <c r="A94" s="636"/>
      <c r="B94" s="745"/>
      <c r="C94" s="623"/>
      <c r="D94" s="623"/>
      <c r="E94" s="623"/>
      <c r="F94" s="623"/>
      <c r="G94" s="623"/>
      <c r="H94" s="623"/>
      <c r="I94" s="623"/>
      <c r="J94" s="623"/>
      <c r="K94" s="623"/>
      <c r="L94" s="623"/>
      <c r="M94" s="623"/>
      <c r="N94" s="623"/>
      <c r="O94" s="623"/>
      <c r="P94" s="626"/>
      <c r="Q94" s="623"/>
    </row>
    <row r="95" spans="1:17" ht="12.75" customHeight="1" x14ac:dyDescent="0.25">
      <c r="A95" s="651" t="s">
        <v>646</v>
      </c>
      <c r="B95" s="745"/>
      <c r="C95" s="640">
        <v>0</v>
      </c>
      <c r="D95" s="640">
        <v>0</v>
      </c>
      <c r="E95" s="640">
        <v>0</v>
      </c>
      <c r="F95" s="640">
        <v>0</v>
      </c>
      <c r="G95" s="640">
        <v>0</v>
      </c>
      <c r="H95" s="640">
        <v>0</v>
      </c>
      <c r="I95" s="640">
        <v>0</v>
      </c>
      <c r="J95" s="640">
        <v>0</v>
      </c>
      <c r="K95" s="640">
        <v>0</v>
      </c>
      <c r="L95" s="640">
        <v>0</v>
      </c>
      <c r="M95" s="640">
        <v>0</v>
      </c>
      <c r="N95" s="640">
        <v>0</v>
      </c>
      <c r="O95" s="623"/>
      <c r="P95" s="626"/>
      <c r="Q95" s="623"/>
    </row>
    <row r="96" spans="1:17" ht="12.75" customHeight="1" x14ac:dyDescent="0.25">
      <c r="A96" s="651" t="s">
        <v>647</v>
      </c>
      <c r="B96" s="745"/>
      <c r="C96" s="641">
        <f>ROUND((C95/365)*31,4)</f>
        <v>0</v>
      </c>
      <c r="D96" s="641">
        <f>ROUND((D95/365)*28,4)</f>
        <v>0</v>
      </c>
      <c r="E96" s="641">
        <f>ROUND((E95/365)*31,4)</f>
        <v>0</v>
      </c>
      <c r="F96" s="641">
        <f>ROUND((F95/365)*30,4)</f>
        <v>0</v>
      </c>
      <c r="G96" s="641">
        <f>ROUND((G95/365)*31,4)</f>
        <v>0</v>
      </c>
      <c r="H96" s="641">
        <f>ROUND((H95/365)*30,4)</f>
        <v>0</v>
      </c>
      <c r="I96" s="641">
        <f>ROUND((I95/365)*31,4)</f>
        <v>0</v>
      </c>
      <c r="J96" s="641">
        <f>ROUND((J95/365)*31,4)</f>
        <v>0</v>
      </c>
      <c r="K96" s="641">
        <f>ROUND((K95/365)*30,4)</f>
        <v>0</v>
      </c>
      <c r="L96" s="641">
        <f>ROUND((L95/365)*31,4)</f>
        <v>0</v>
      </c>
      <c r="M96" s="641">
        <f>ROUND((M95/365)*30,4)</f>
        <v>0</v>
      </c>
      <c r="N96" s="641">
        <f>ROUND((N95/365)*31,4)</f>
        <v>0</v>
      </c>
      <c r="O96" s="623"/>
      <c r="P96" s="626"/>
      <c r="Q96" s="623"/>
    </row>
    <row r="97" spans="1:17" ht="12.75" customHeight="1" x14ac:dyDescent="0.25">
      <c r="A97" s="636"/>
      <c r="B97" s="745"/>
      <c r="C97" s="623"/>
      <c r="D97" s="623"/>
      <c r="E97" s="623"/>
      <c r="F97" s="623"/>
      <c r="G97" s="623"/>
      <c r="H97" s="623"/>
      <c r="I97" s="623"/>
      <c r="J97" s="623"/>
      <c r="K97" s="623"/>
      <c r="L97" s="623"/>
      <c r="M97" s="623"/>
      <c r="N97" s="623"/>
      <c r="O97" s="623"/>
      <c r="P97" s="626"/>
      <c r="Q97" s="623"/>
    </row>
    <row r="98" spans="1:17" ht="12.75" customHeight="1" x14ac:dyDescent="0.25">
      <c r="A98" s="646" t="s">
        <v>648</v>
      </c>
      <c r="B98" s="748"/>
      <c r="C98" s="635">
        <f t="shared" ref="C98:N98" si="23">ROUND(B93*C96,0)</f>
        <v>0</v>
      </c>
      <c r="D98" s="635">
        <f t="shared" si="23"/>
        <v>0</v>
      </c>
      <c r="E98" s="635">
        <f t="shared" si="23"/>
        <v>0</v>
      </c>
      <c r="F98" s="635">
        <f t="shared" si="23"/>
        <v>0</v>
      </c>
      <c r="G98" s="635">
        <f t="shared" si="23"/>
        <v>0</v>
      </c>
      <c r="H98" s="635">
        <f t="shared" si="23"/>
        <v>0</v>
      </c>
      <c r="I98" s="635">
        <f t="shared" si="23"/>
        <v>0</v>
      </c>
      <c r="J98" s="635">
        <f t="shared" si="23"/>
        <v>0</v>
      </c>
      <c r="K98" s="635">
        <f t="shared" si="23"/>
        <v>0</v>
      </c>
      <c r="L98" s="635">
        <f t="shared" si="23"/>
        <v>0</v>
      </c>
      <c r="M98" s="635">
        <f t="shared" si="23"/>
        <v>0</v>
      </c>
      <c r="N98" s="635">
        <f t="shared" si="23"/>
        <v>0</v>
      </c>
      <c r="O98" s="635">
        <f>SUM(C98:N98)</f>
        <v>0</v>
      </c>
      <c r="P98" s="626"/>
      <c r="Q98" s="623"/>
    </row>
    <row r="99" spans="1:17" ht="6" customHeight="1" x14ac:dyDescent="0.25">
      <c r="A99" s="636"/>
      <c r="B99" s="745"/>
      <c r="C99" s="623"/>
      <c r="D99" s="623"/>
      <c r="E99" s="623"/>
      <c r="F99" s="623"/>
      <c r="G99" s="623"/>
      <c r="H99" s="623"/>
      <c r="I99" s="623"/>
      <c r="J99" s="623"/>
      <c r="K99" s="623"/>
      <c r="L99" s="623"/>
      <c r="M99" s="623"/>
      <c r="N99" s="623"/>
      <c r="O99" s="623"/>
      <c r="P99" s="626"/>
      <c r="Q99" s="623"/>
    </row>
    <row r="100" spans="1:17" ht="12.75" customHeight="1" x14ac:dyDescent="0.25">
      <c r="A100" s="646" t="s">
        <v>649</v>
      </c>
      <c r="B100" s="745"/>
      <c r="C100" s="614">
        <f>C98</f>
        <v>0</v>
      </c>
      <c r="D100" s="614">
        <f t="shared" ref="D100:N100" si="24">D98+C100</f>
        <v>0</v>
      </c>
      <c r="E100" s="614">
        <f t="shared" si="24"/>
        <v>0</v>
      </c>
      <c r="F100" s="614">
        <f t="shared" si="24"/>
        <v>0</v>
      </c>
      <c r="G100" s="614">
        <f t="shared" si="24"/>
        <v>0</v>
      </c>
      <c r="H100" s="614">
        <f t="shared" si="24"/>
        <v>0</v>
      </c>
      <c r="I100" s="614">
        <f t="shared" si="24"/>
        <v>0</v>
      </c>
      <c r="J100" s="614">
        <f t="shared" si="24"/>
        <v>0</v>
      </c>
      <c r="K100" s="614">
        <f t="shared" si="24"/>
        <v>0</v>
      </c>
      <c r="L100" s="614">
        <f t="shared" si="24"/>
        <v>0</v>
      </c>
      <c r="M100" s="614">
        <f t="shared" si="24"/>
        <v>0</v>
      </c>
      <c r="N100" s="614">
        <f t="shared" si="24"/>
        <v>0</v>
      </c>
      <c r="O100" s="623"/>
      <c r="P100" s="626"/>
      <c r="Q100" s="623"/>
    </row>
    <row r="101" spans="1:17" ht="15" x14ac:dyDescent="0.25">
      <c r="A101" s="307"/>
      <c r="B101" s="750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23"/>
      <c r="P101" s="626"/>
      <c r="Q101" s="623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I20" sqref="I20"/>
    </sheetView>
  </sheetViews>
  <sheetFormatPr defaultColWidth="9.6640625" defaultRowHeight="12.6" x14ac:dyDescent="0.25"/>
  <cols>
    <col min="1" max="1" width="45.6640625" style="16" customWidth="1"/>
    <col min="2" max="2" width="8.6640625" style="762" customWidth="1"/>
    <col min="3" max="14" width="8.6640625" style="16" customWidth="1"/>
    <col min="15" max="17" width="9.6640625" style="16" customWidth="1"/>
    <col min="18" max="18" width="9.6640625" style="16"/>
    <col min="19" max="19" width="9.6640625" style="16" customWidth="1"/>
    <col min="20" max="20" width="9.6640625" style="16"/>
    <col min="21" max="21" width="9.6640625" style="16" customWidth="1"/>
    <col min="22" max="22" width="9.6640625" style="16"/>
    <col min="23" max="23" width="3.6640625" style="16" customWidth="1"/>
    <col min="24" max="24" width="9.6640625" style="16"/>
    <col min="25" max="25" width="9.6640625" style="16" customWidth="1"/>
    <col min="26" max="16384" width="9.6640625" style="16"/>
  </cols>
  <sheetData>
    <row r="1" spans="1:70" ht="12.75" customHeight="1" x14ac:dyDescent="0.3">
      <c r="A1" s="552" t="str">
        <f ca="1">CELL("FILENAME")</f>
        <v>P:\Finance\2001CE\[EMTW01CE.XLS]DataBase</v>
      </c>
      <c r="B1" s="752"/>
      <c r="C1" s="309"/>
      <c r="D1" s="309"/>
      <c r="E1" s="309"/>
      <c r="F1" s="309"/>
      <c r="G1" s="309"/>
      <c r="H1" s="309"/>
      <c r="I1" s="309"/>
      <c r="J1" s="309"/>
      <c r="K1" s="310" t="s">
        <v>650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3">
      <c r="A2" s="314" t="s">
        <v>651</v>
      </c>
      <c r="B2" s="752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3">
      <c r="A3" s="555" t="str">
        <f>IncomeState!A3</f>
        <v>2001 CURRENT ESTIMATE</v>
      </c>
      <c r="B3" s="753">
        <f ca="1">NOW()</f>
        <v>37109.471773495374</v>
      </c>
      <c r="C3" s="556" t="str">
        <f>IncomeState!C6</f>
        <v>ACT.</v>
      </c>
      <c r="D3" s="556" t="str">
        <f>IncomeState!D6</f>
        <v>ACT.</v>
      </c>
      <c r="E3" s="556" t="s">
        <v>1022</v>
      </c>
      <c r="F3" s="556" t="str">
        <f>IncomeState!F6</f>
        <v>ACT.</v>
      </c>
      <c r="G3" s="556" t="str">
        <f>IncomeState!G6</f>
        <v>ACT.</v>
      </c>
      <c r="H3" s="556" t="str">
        <f>IncomeState!H6</f>
        <v>ACT.</v>
      </c>
      <c r="I3" s="556" t="str">
        <f>IncomeState!I6</f>
        <v>FLASH</v>
      </c>
      <c r="J3" s="556">
        <f>IncomeState!J6</f>
        <v>0</v>
      </c>
      <c r="K3" s="556">
        <f>IncomeState!K6</f>
        <v>0</v>
      </c>
      <c r="L3" s="556">
        <f>IncomeState!L6</f>
        <v>0</v>
      </c>
      <c r="M3" s="556">
        <f>IncomeState!M6</f>
        <v>0</v>
      </c>
      <c r="N3" s="556">
        <f>IncomeState!N6</f>
        <v>0</v>
      </c>
      <c r="O3" s="556" t="str">
        <f>IncomeState!O6</f>
        <v>TOTAL</v>
      </c>
      <c r="P3" s="556" t="str">
        <f>IncomeState!P6</f>
        <v>JUNE</v>
      </c>
      <c r="Q3" s="556" t="str">
        <f>IncomeState!Q6</f>
        <v>ESTIMATE</v>
      </c>
      <c r="R3" s="17"/>
      <c r="S3" s="404" t="s">
        <v>894</v>
      </c>
      <c r="T3" s="404" t="s">
        <v>895</v>
      </c>
      <c r="U3" s="404" t="s">
        <v>896</v>
      </c>
      <c r="V3" s="404" t="s">
        <v>897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3">
      <c r="A4" s="317"/>
      <c r="B4" s="754">
        <f ca="1">NOW()</f>
        <v>37109.471773495374</v>
      </c>
      <c r="C4" s="321" t="s">
        <v>591</v>
      </c>
      <c r="D4" s="321" t="s">
        <v>592</v>
      </c>
      <c r="E4" s="321" t="s">
        <v>593</v>
      </c>
      <c r="F4" s="321" t="s">
        <v>594</v>
      </c>
      <c r="G4" s="321" t="s">
        <v>595</v>
      </c>
      <c r="H4" s="321" t="s">
        <v>596</v>
      </c>
      <c r="I4" s="321" t="s">
        <v>597</v>
      </c>
      <c r="J4" s="321" t="s">
        <v>598</v>
      </c>
      <c r="K4" s="321" t="s">
        <v>599</v>
      </c>
      <c r="L4" s="321" t="s">
        <v>600</v>
      </c>
      <c r="M4" s="321" t="s">
        <v>601</v>
      </c>
      <c r="N4" s="321" t="s">
        <v>602</v>
      </c>
      <c r="O4" s="557">
        <f>IncomeState!O7</f>
        <v>2001</v>
      </c>
      <c r="P4" s="557" t="str">
        <f>IncomeState!P7</f>
        <v>Y-T-D</v>
      </c>
      <c r="Q4" s="557" t="str">
        <f>IncomeState!Q7</f>
        <v>R.M.</v>
      </c>
      <c r="R4" s="17"/>
      <c r="S4" s="406" t="s">
        <v>900</v>
      </c>
      <c r="T4" s="406" t="s">
        <v>900</v>
      </c>
      <c r="U4" s="406" t="s">
        <v>900</v>
      </c>
      <c r="V4" s="406" t="s">
        <v>900</v>
      </c>
      <c r="W4" s="17"/>
      <c r="X4" s="406" t="s">
        <v>543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" customHeight="1" x14ac:dyDescent="0.3">
      <c r="A5" s="318"/>
      <c r="B5" s="752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3">
      <c r="A6" s="839" t="s">
        <v>652</v>
      </c>
      <c r="B6" s="752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3">
      <c r="A7" s="860" t="s">
        <v>1027</v>
      </c>
      <c r="B7" s="752"/>
      <c r="C7" s="706">
        <f>172+(-15)</f>
        <v>157</v>
      </c>
      <c r="D7" s="706">
        <f>194+(-26)</f>
        <v>168</v>
      </c>
      <c r="E7" s="706">
        <f>342+(-16)</f>
        <v>326</v>
      </c>
      <c r="F7" s="706">
        <v>312</v>
      </c>
      <c r="G7" s="706">
        <v>157</v>
      </c>
      <c r="H7" s="706">
        <v>228</v>
      </c>
      <c r="I7" s="861">
        <f>165+35-142</f>
        <v>58</v>
      </c>
      <c r="J7" s="861">
        <f>159+41</f>
        <v>200</v>
      </c>
      <c r="K7" s="861">
        <f>167+33</f>
        <v>200</v>
      </c>
      <c r="L7" s="861">
        <f>160+40</f>
        <v>200</v>
      </c>
      <c r="M7" s="861">
        <f>159+41</f>
        <v>200</v>
      </c>
      <c r="N7" s="861">
        <f>161+339</f>
        <v>500</v>
      </c>
      <c r="O7" s="697">
        <f t="shared" ref="O7:O20" si="0">SUM(C7:N7)</f>
        <v>2706</v>
      </c>
      <c r="P7" s="698">
        <f>SUM(C7:E7)</f>
        <v>651</v>
      </c>
      <c r="Q7" s="697">
        <f t="shared" ref="Q7:Q20" si="1">O7-P7</f>
        <v>2055</v>
      </c>
      <c r="R7" s="17"/>
      <c r="S7" s="844">
        <f t="shared" ref="S7:S20" si="2">SUM(C7:E7)</f>
        <v>651</v>
      </c>
      <c r="T7" s="844">
        <f t="shared" ref="T7:T20" si="3">SUM(F7:H7)</f>
        <v>697</v>
      </c>
      <c r="U7" s="844">
        <f t="shared" ref="U7:U20" si="4">SUM(I7:K7)</f>
        <v>458</v>
      </c>
      <c r="V7" s="844">
        <f t="shared" ref="V7:V20" si="5">SUM(L7:N7)</f>
        <v>900</v>
      </c>
      <c r="W7" s="846"/>
      <c r="X7" s="702">
        <f t="shared" ref="X7:X20" si="6">SUM(S7:V7)</f>
        <v>2706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3">
      <c r="A8" s="713" t="s">
        <v>825</v>
      </c>
      <c r="B8" s="752"/>
      <c r="C8" s="706">
        <f>161+(-28)-14</f>
        <v>119</v>
      </c>
      <c r="D8" s="706">
        <f>119+(24)-12</f>
        <v>131</v>
      </c>
      <c r="E8" s="706">
        <f>154-13</f>
        <v>141</v>
      </c>
      <c r="F8" s="706">
        <f>168-36</f>
        <v>132</v>
      </c>
      <c r="G8" s="706">
        <f>168-38</f>
        <v>130</v>
      </c>
      <c r="H8" s="706">
        <f>168-43</f>
        <v>125</v>
      </c>
      <c r="I8" s="706">
        <v>200</v>
      </c>
      <c r="J8" s="706">
        <v>100</v>
      </c>
      <c r="K8" s="706">
        <v>100</v>
      </c>
      <c r="L8" s="706">
        <v>100</v>
      </c>
      <c r="M8" s="706">
        <v>200</v>
      </c>
      <c r="N8" s="706">
        <v>200</v>
      </c>
      <c r="O8" s="697">
        <f t="shared" si="0"/>
        <v>1678</v>
      </c>
      <c r="P8" s="698">
        <f t="shared" ref="P8:P25" si="7">SUM(C8:E8)</f>
        <v>391</v>
      </c>
      <c r="Q8" s="697">
        <f t="shared" si="1"/>
        <v>1287</v>
      </c>
      <c r="R8" s="17"/>
      <c r="S8" s="844">
        <f t="shared" si="2"/>
        <v>391</v>
      </c>
      <c r="T8" s="844">
        <f t="shared" si="3"/>
        <v>387</v>
      </c>
      <c r="U8" s="844">
        <f t="shared" si="4"/>
        <v>400</v>
      </c>
      <c r="V8" s="844">
        <f t="shared" si="5"/>
        <v>500</v>
      </c>
      <c r="W8" s="846"/>
      <c r="X8" s="702">
        <f t="shared" si="6"/>
        <v>1678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3">
      <c r="A9" s="713" t="s">
        <v>653</v>
      </c>
      <c r="B9" s="752"/>
      <c r="C9" s="876">
        <f>1989+(-149)+30-SUM(C10:C12)</f>
        <v>1707</v>
      </c>
      <c r="D9" s="876">
        <f>2158+(-145)+86-SUM(D10:D12)</f>
        <v>1863</v>
      </c>
      <c r="E9" s="876">
        <f>2546+65-SUM(E10:E12)</f>
        <v>2038</v>
      </c>
      <c r="F9" s="876">
        <f>2005-199-SUM(F10:F12)</f>
        <v>1539</v>
      </c>
      <c r="G9" s="876">
        <f>2222+573-SUM(G10:G12)</f>
        <v>2528</v>
      </c>
      <c r="H9" s="876">
        <f>2194+296-SUM(H10:H12)</f>
        <v>2223</v>
      </c>
      <c r="I9" s="876">
        <f>1600-SUM(I10:I12)</f>
        <v>1600</v>
      </c>
      <c r="J9" s="876">
        <f>2100-SUM(J10:J12)</f>
        <v>2100</v>
      </c>
      <c r="K9" s="876">
        <f>2100-SUM(K10:K12)</f>
        <v>2100</v>
      </c>
      <c r="L9" s="876">
        <f>1900-SUM(L10:L12)</f>
        <v>1900</v>
      </c>
      <c r="M9" s="876">
        <f>1800-SUM(M10:M12)</f>
        <v>1800</v>
      </c>
      <c r="N9" s="876">
        <f>1000-SUM(N10:N12)</f>
        <v>1000</v>
      </c>
      <c r="O9" s="697">
        <f>SUM(C9:N9)</f>
        <v>22398</v>
      </c>
      <c r="P9" s="698">
        <f>SUM(C9:E9)</f>
        <v>5608</v>
      </c>
      <c r="Q9" s="697">
        <f t="shared" si="1"/>
        <v>16790</v>
      </c>
      <c r="R9" s="17"/>
      <c r="S9" s="844">
        <f>SUM(C9:E9)</f>
        <v>5608</v>
      </c>
      <c r="T9" s="844">
        <f>SUM(F9:H9)</f>
        <v>6290</v>
      </c>
      <c r="U9" s="844">
        <f>SUM(I9:K9)</f>
        <v>5800</v>
      </c>
      <c r="V9" s="844">
        <f>SUM(L9:N9)</f>
        <v>4700</v>
      </c>
      <c r="W9" s="845"/>
      <c r="X9" s="702">
        <f>SUM(S9:V9)</f>
        <v>22398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3">
      <c r="A10" s="714" t="s">
        <v>654</v>
      </c>
      <c r="B10" s="755"/>
      <c r="C10" s="879">
        <v>83</v>
      </c>
      <c r="D10" s="879">
        <v>156</v>
      </c>
      <c r="E10" s="879">
        <v>187</v>
      </c>
      <c r="F10" s="879">
        <v>187</v>
      </c>
      <c r="G10" s="879">
        <v>187</v>
      </c>
      <c r="H10" s="879">
        <v>187</v>
      </c>
      <c r="I10" s="879">
        <v>0</v>
      </c>
      <c r="J10" s="879">
        <v>0</v>
      </c>
      <c r="K10" s="879">
        <v>0</v>
      </c>
      <c r="L10" s="879">
        <v>0</v>
      </c>
      <c r="M10" s="879">
        <v>0</v>
      </c>
      <c r="N10" s="879">
        <v>0</v>
      </c>
      <c r="O10" s="697">
        <f>SUM(C10:N10)</f>
        <v>987</v>
      </c>
      <c r="P10" s="698">
        <f>SUM(C10:E10)</f>
        <v>426</v>
      </c>
      <c r="Q10" s="697">
        <f t="shared" si="1"/>
        <v>561</v>
      </c>
      <c r="R10" s="17"/>
      <c r="S10" s="844">
        <f>SUM(C10:E10)</f>
        <v>426</v>
      </c>
      <c r="T10" s="844">
        <f>SUM(F10:H10)</f>
        <v>561</v>
      </c>
      <c r="U10" s="844">
        <f>SUM(I10:K10)</f>
        <v>0</v>
      </c>
      <c r="V10" s="844">
        <f>SUM(L10:N10)</f>
        <v>0</v>
      </c>
      <c r="W10" s="845"/>
      <c r="X10" s="702">
        <f>SUM(S10:V10)</f>
        <v>987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3">
      <c r="A11" s="712" t="s">
        <v>487</v>
      </c>
      <c r="B11" s="752"/>
      <c r="C11" s="879">
        <v>75</v>
      </c>
      <c r="D11" s="879">
        <v>75</v>
      </c>
      <c r="E11" s="879">
        <v>75</v>
      </c>
      <c r="F11" s="879">
        <v>75</v>
      </c>
      <c r="G11" s="879">
        <v>75</v>
      </c>
      <c r="H11" s="879">
        <v>75</v>
      </c>
      <c r="I11" s="879">
        <v>0</v>
      </c>
      <c r="J11" s="879">
        <v>0</v>
      </c>
      <c r="K11" s="879">
        <v>0</v>
      </c>
      <c r="L11" s="879">
        <v>0</v>
      </c>
      <c r="M11" s="879">
        <v>0</v>
      </c>
      <c r="N11" s="879">
        <v>0</v>
      </c>
      <c r="O11" s="697">
        <f>SUM(C11:N11)</f>
        <v>450</v>
      </c>
      <c r="P11" s="698">
        <f>SUM(C11:E11)</f>
        <v>225</v>
      </c>
      <c r="Q11" s="697">
        <f t="shared" si="1"/>
        <v>225</v>
      </c>
      <c r="R11" s="17"/>
      <c r="S11" s="844">
        <f>SUM(C11:E11)</f>
        <v>225</v>
      </c>
      <c r="T11" s="844">
        <f>SUM(F11:H11)</f>
        <v>225</v>
      </c>
      <c r="U11" s="844">
        <f>SUM(I11:K11)</f>
        <v>0</v>
      </c>
      <c r="V11" s="844">
        <f>SUM(L11:N11)</f>
        <v>0</v>
      </c>
      <c r="W11" s="845"/>
      <c r="X11" s="702">
        <f>SUM(S11:V11)</f>
        <v>450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3">
      <c r="A12" s="878" t="s">
        <v>1046</v>
      </c>
      <c r="B12" s="756"/>
      <c r="C12" s="879">
        <v>5</v>
      </c>
      <c r="D12" s="879">
        <v>5</v>
      </c>
      <c r="E12" s="859">
        <f>5+200+106</f>
        <v>311</v>
      </c>
      <c r="F12" s="879">
        <v>5</v>
      </c>
      <c r="G12" s="879">
        <v>5</v>
      </c>
      <c r="H12" s="879">
        <v>5</v>
      </c>
      <c r="I12" s="879">
        <v>0</v>
      </c>
      <c r="J12" s="879">
        <v>0</v>
      </c>
      <c r="K12" s="879">
        <v>0</v>
      </c>
      <c r="L12" s="879">
        <v>0</v>
      </c>
      <c r="M12" s="879">
        <v>0</v>
      </c>
      <c r="N12" s="879">
        <v>0</v>
      </c>
      <c r="O12" s="697">
        <f>SUM(C12:N12)</f>
        <v>336</v>
      </c>
      <c r="P12" s="698">
        <f>SUM(C12:E12)</f>
        <v>321</v>
      </c>
      <c r="Q12" s="697">
        <f t="shared" si="1"/>
        <v>15</v>
      </c>
      <c r="R12" s="17"/>
      <c r="S12" s="844">
        <f>SUM(C12:E12)</f>
        <v>321</v>
      </c>
      <c r="T12" s="844">
        <f>SUM(F12:H12)</f>
        <v>15</v>
      </c>
      <c r="U12" s="844">
        <f>SUM(I12:K12)</f>
        <v>0</v>
      </c>
      <c r="V12" s="844">
        <f>SUM(L12:N12)</f>
        <v>0</v>
      </c>
      <c r="W12" s="846"/>
      <c r="X12" s="702">
        <f>SUM(S12:V12)</f>
        <v>336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3">
      <c r="A13" s="722" t="s">
        <v>1013</v>
      </c>
      <c r="B13" s="752"/>
      <c r="C13" s="876">
        <f>216+(178)-67-SUM(C14:C16)</f>
        <v>161</v>
      </c>
      <c r="D13" s="876">
        <f>279+(86)-16-SUM(D14:D16)</f>
        <v>183</v>
      </c>
      <c r="E13" s="876">
        <f>1150+194-SUM(E14:E16)</f>
        <v>297</v>
      </c>
      <c r="F13" s="876">
        <f>372-173-SUM(F14:F16)</f>
        <v>131</v>
      </c>
      <c r="G13" s="876">
        <f>363-219-SUM(G14:G16)</f>
        <v>77</v>
      </c>
      <c r="H13" s="876">
        <f>365-32-SUM(H14:H16)</f>
        <v>266</v>
      </c>
      <c r="I13" s="876">
        <f>400-SUM(I14:I16)</f>
        <v>400</v>
      </c>
      <c r="J13" s="876">
        <f>300-SUM(J14:J16)</f>
        <v>300</v>
      </c>
      <c r="K13" s="876">
        <f>500-SUM(K14:K16)</f>
        <v>500</v>
      </c>
      <c r="L13" s="876">
        <f>500-SUM(L14:L16)</f>
        <v>500</v>
      </c>
      <c r="M13" s="876">
        <f>300-SUM(M14:M16)</f>
        <v>300</v>
      </c>
      <c r="N13" s="876">
        <f>400-SUM(N14:N16)</f>
        <v>400</v>
      </c>
      <c r="O13" s="697">
        <f t="shared" si="0"/>
        <v>3515</v>
      </c>
      <c r="P13" s="698">
        <f t="shared" si="7"/>
        <v>641</v>
      </c>
      <c r="Q13" s="697">
        <f t="shared" si="1"/>
        <v>2874</v>
      </c>
      <c r="R13" s="17"/>
      <c r="S13" s="844">
        <f t="shared" si="2"/>
        <v>641</v>
      </c>
      <c r="T13" s="844">
        <f t="shared" si="3"/>
        <v>474</v>
      </c>
      <c r="U13" s="844">
        <f t="shared" si="4"/>
        <v>1200</v>
      </c>
      <c r="V13" s="844">
        <f t="shared" si="5"/>
        <v>1200</v>
      </c>
      <c r="W13" s="846"/>
      <c r="X13" s="702">
        <f t="shared" si="6"/>
        <v>3515</v>
      </c>
      <c r="Y13" s="20"/>
      <c r="Z13" s="20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3">
      <c r="A14" s="877" t="s">
        <v>656</v>
      </c>
      <c r="B14" s="752"/>
      <c r="C14" s="879">
        <v>89</v>
      </c>
      <c r="D14" s="879">
        <v>89</v>
      </c>
      <c r="E14" s="859">
        <f>41+900</f>
        <v>941</v>
      </c>
      <c r="F14" s="859">
        <f>90-90</f>
        <v>0</v>
      </c>
      <c r="G14" s="859">
        <f>89-89</f>
        <v>0</v>
      </c>
      <c r="H14" s="859">
        <f>41-41</f>
        <v>0</v>
      </c>
      <c r="I14" s="859">
        <f>90-90</f>
        <v>0</v>
      </c>
      <c r="J14" s="859">
        <f>89-89</f>
        <v>0</v>
      </c>
      <c r="K14" s="859">
        <f>41-41</f>
        <v>0</v>
      </c>
      <c r="L14" s="859">
        <f>89-89</f>
        <v>0</v>
      </c>
      <c r="M14" s="859">
        <f>90-90</f>
        <v>0</v>
      </c>
      <c r="N14" s="859">
        <f>41-41</f>
        <v>0</v>
      </c>
      <c r="O14" s="697">
        <f t="shared" si="0"/>
        <v>1119</v>
      </c>
      <c r="P14" s="698">
        <f t="shared" si="7"/>
        <v>1119</v>
      </c>
      <c r="Q14" s="697">
        <f t="shared" si="1"/>
        <v>0</v>
      </c>
      <c r="R14" s="17"/>
      <c r="S14" s="844">
        <f t="shared" si="2"/>
        <v>1119</v>
      </c>
      <c r="T14" s="844">
        <f t="shared" si="3"/>
        <v>0</v>
      </c>
      <c r="U14" s="844">
        <f t="shared" si="4"/>
        <v>0</v>
      </c>
      <c r="V14" s="844">
        <f t="shared" si="5"/>
        <v>0</v>
      </c>
      <c r="W14" s="845"/>
      <c r="X14" s="702">
        <f t="shared" si="6"/>
        <v>1119</v>
      </c>
      <c r="Y14" s="20"/>
      <c r="Z14" s="20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3">
      <c r="A15" s="713" t="s">
        <v>528</v>
      </c>
      <c r="B15" s="752"/>
      <c r="C15" s="879">
        <v>67</v>
      </c>
      <c r="D15" s="879">
        <v>67</v>
      </c>
      <c r="E15" s="879">
        <v>67</v>
      </c>
      <c r="F15" s="879">
        <v>68</v>
      </c>
      <c r="G15" s="879">
        <v>67</v>
      </c>
      <c r="H15" s="879">
        <v>67</v>
      </c>
      <c r="I15" s="879">
        <v>0</v>
      </c>
      <c r="J15" s="879">
        <v>0</v>
      </c>
      <c r="K15" s="879">
        <v>0</v>
      </c>
      <c r="L15" s="879">
        <v>0</v>
      </c>
      <c r="M15" s="879">
        <v>0</v>
      </c>
      <c r="N15" s="879">
        <v>0</v>
      </c>
      <c r="O15" s="697">
        <f t="shared" si="0"/>
        <v>403</v>
      </c>
      <c r="P15" s="698">
        <f t="shared" si="7"/>
        <v>201</v>
      </c>
      <c r="Q15" s="697">
        <f t="shared" si="1"/>
        <v>202</v>
      </c>
      <c r="R15" s="17"/>
      <c r="S15" s="844">
        <f t="shared" si="2"/>
        <v>201</v>
      </c>
      <c r="T15" s="844">
        <f t="shared" si="3"/>
        <v>202</v>
      </c>
      <c r="U15" s="844">
        <f t="shared" si="4"/>
        <v>0</v>
      </c>
      <c r="V15" s="844">
        <f t="shared" si="5"/>
        <v>0</v>
      </c>
      <c r="W15" s="845"/>
      <c r="X15" s="702">
        <f t="shared" si="6"/>
        <v>403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3">
      <c r="A16" s="877" t="s">
        <v>655</v>
      </c>
      <c r="B16" s="852" t="s">
        <v>974</v>
      </c>
      <c r="C16" s="879">
        <v>10</v>
      </c>
      <c r="D16" s="879">
        <v>10</v>
      </c>
      <c r="E16" s="859">
        <f>10+10+10+9</f>
        <v>39</v>
      </c>
      <c r="F16" s="859">
        <f>10-10</f>
        <v>0</v>
      </c>
      <c r="G16" s="859">
        <f>10-10</f>
        <v>0</v>
      </c>
      <c r="H16" s="859">
        <f>9-9</f>
        <v>0</v>
      </c>
      <c r="I16" s="879">
        <v>0</v>
      </c>
      <c r="J16" s="879">
        <v>0</v>
      </c>
      <c r="K16" s="879">
        <v>0</v>
      </c>
      <c r="L16" s="879">
        <v>0</v>
      </c>
      <c r="M16" s="879">
        <v>0</v>
      </c>
      <c r="N16" s="879">
        <v>0</v>
      </c>
      <c r="O16" s="697">
        <f t="shared" si="0"/>
        <v>59</v>
      </c>
      <c r="P16" s="698">
        <f t="shared" si="7"/>
        <v>59</v>
      </c>
      <c r="Q16" s="697">
        <f t="shared" si="1"/>
        <v>0</v>
      </c>
      <c r="R16" s="17"/>
      <c r="S16" s="844">
        <f t="shared" si="2"/>
        <v>59</v>
      </c>
      <c r="T16" s="844">
        <f t="shared" si="3"/>
        <v>0</v>
      </c>
      <c r="U16" s="844">
        <f t="shared" si="4"/>
        <v>0</v>
      </c>
      <c r="V16" s="844">
        <f t="shared" si="5"/>
        <v>0</v>
      </c>
      <c r="W16" s="845"/>
      <c r="X16" s="702">
        <f t="shared" si="6"/>
        <v>59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3">
      <c r="A17" s="871" t="s">
        <v>1029</v>
      </c>
      <c r="B17" s="872"/>
      <c r="C17" s="873">
        <v>0</v>
      </c>
      <c r="D17" s="873">
        <v>0</v>
      </c>
      <c r="E17" s="873">
        <v>0</v>
      </c>
      <c r="F17" s="873">
        <v>0</v>
      </c>
      <c r="G17" s="873">
        <v>0</v>
      </c>
      <c r="H17" s="873">
        <v>0</v>
      </c>
      <c r="I17" s="706">
        <v>0</v>
      </c>
      <c r="J17" s="706">
        <v>0</v>
      </c>
      <c r="K17" s="706">
        <v>0</v>
      </c>
      <c r="L17" s="706">
        <v>0</v>
      </c>
      <c r="M17" s="706">
        <v>0</v>
      </c>
      <c r="N17" s="873">
        <f>-600+600</f>
        <v>0</v>
      </c>
      <c r="O17" s="697">
        <f t="shared" si="0"/>
        <v>0</v>
      </c>
      <c r="P17" s="698">
        <f t="shared" si="7"/>
        <v>0</v>
      </c>
      <c r="Q17" s="697">
        <f t="shared" si="1"/>
        <v>0</v>
      </c>
      <c r="R17" s="697"/>
      <c r="S17" s="844">
        <f t="shared" si="2"/>
        <v>0</v>
      </c>
      <c r="T17" s="844">
        <f t="shared" si="3"/>
        <v>0</v>
      </c>
      <c r="U17" s="844">
        <f t="shared" si="4"/>
        <v>0</v>
      </c>
      <c r="V17" s="844">
        <f t="shared" si="5"/>
        <v>0</v>
      </c>
      <c r="W17" s="845"/>
      <c r="X17" s="702">
        <f t="shared" si="6"/>
        <v>0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3">
      <c r="A18" s="722" t="s">
        <v>1012</v>
      </c>
      <c r="B18" s="752"/>
      <c r="C18" s="706">
        <f>149+46-20</f>
        <v>175</v>
      </c>
      <c r="D18" s="706">
        <f>182+31-4</f>
        <v>209</v>
      </c>
      <c r="E18" s="706">
        <f>345-11</f>
        <v>334</v>
      </c>
      <c r="F18" s="706">
        <f>293-229</f>
        <v>64</v>
      </c>
      <c r="G18" s="706">
        <f>293-84</f>
        <v>209</v>
      </c>
      <c r="H18" s="706">
        <f>291-7</f>
        <v>284</v>
      </c>
      <c r="I18" s="706">
        <v>400</v>
      </c>
      <c r="J18" s="706">
        <v>300</v>
      </c>
      <c r="K18" s="706">
        <v>400</v>
      </c>
      <c r="L18" s="706">
        <v>400</v>
      </c>
      <c r="M18" s="706">
        <v>300</v>
      </c>
      <c r="N18" s="706">
        <v>400</v>
      </c>
      <c r="O18" s="697">
        <f t="shared" si="0"/>
        <v>3475</v>
      </c>
      <c r="P18" s="698">
        <f t="shared" si="7"/>
        <v>718</v>
      </c>
      <c r="Q18" s="697">
        <f t="shared" si="1"/>
        <v>2757</v>
      </c>
      <c r="R18" s="17"/>
      <c r="S18" s="844">
        <f t="shared" si="2"/>
        <v>718</v>
      </c>
      <c r="T18" s="844">
        <f t="shared" si="3"/>
        <v>557</v>
      </c>
      <c r="U18" s="844">
        <f t="shared" si="4"/>
        <v>1100</v>
      </c>
      <c r="V18" s="844">
        <f t="shared" si="5"/>
        <v>1100</v>
      </c>
      <c r="W18" s="846"/>
      <c r="X18" s="702">
        <f t="shared" si="6"/>
        <v>3475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3">
      <c r="A19" s="722" t="s">
        <v>1028</v>
      </c>
      <c r="B19" s="752"/>
      <c r="C19" s="884">
        <f>-73+73</f>
        <v>0</v>
      </c>
      <c r="D19" s="884">
        <f>-36+36</f>
        <v>0</v>
      </c>
      <c r="E19" s="884">
        <f>5-5</f>
        <v>0</v>
      </c>
      <c r="F19" s="884">
        <f t="shared" ref="F19:N19" si="8">5-5</f>
        <v>0</v>
      </c>
      <c r="G19" s="884">
        <f t="shared" si="8"/>
        <v>0</v>
      </c>
      <c r="H19" s="884">
        <f t="shared" si="8"/>
        <v>0</v>
      </c>
      <c r="I19" s="884">
        <f t="shared" si="8"/>
        <v>0</v>
      </c>
      <c r="J19" s="884">
        <f t="shared" si="8"/>
        <v>0</v>
      </c>
      <c r="K19" s="884">
        <f t="shared" si="8"/>
        <v>0</v>
      </c>
      <c r="L19" s="884">
        <f t="shared" si="8"/>
        <v>0</v>
      </c>
      <c r="M19" s="884">
        <f t="shared" si="8"/>
        <v>0</v>
      </c>
      <c r="N19" s="884">
        <f t="shared" si="8"/>
        <v>0</v>
      </c>
      <c r="O19" s="697">
        <f t="shared" si="0"/>
        <v>0</v>
      </c>
      <c r="P19" s="698">
        <f t="shared" si="7"/>
        <v>0</v>
      </c>
      <c r="Q19" s="697">
        <f t="shared" si="1"/>
        <v>0</v>
      </c>
      <c r="R19" s="17"/>
      <c r="S19" s="844">
        <f t="shared" si="2"/>
        <v>0</v>
      </c>
      <c r="T19" s="844">
        <f t="shared" si="3"/>
        <v>0</v>
      </c>
      <c r="U19" s="844">
        <f t="shared" si="4"/>
        <v>0</v>
      </c>
      <c r="V19" s="844">
        <f t="shared" si="5"/>
        <v>0</v>
      </c>
      <c r="W19" s="845"/>
      <c r="X19" s="702">
        <f t="shared" si="6"/>
        <v>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3">
      <c r="A20" s="722" t="s">
        <v>1050</v>
      </c>
      <c r="B20" s="752"/>
      <c r="C20" s="879">
        <v>0</v>
      </c>
      <c r="D20" s="879">
        <v>0</v>
      </c>
      <c r="E20" s="884">
        <f>-350+350</f>
        <v>0</v>
      </c>
      <c r="F20" s="891">
        <f>-211+211</f>
        <v>0</v>
      </c>
      <c r="G20" s="891">
        <f>-211+211</f>
        <v>0</v>
      </c>
      <c r="H20" s="884">
        <f>-350+350-211+211</f>
        <v>0</v>
      </c>
      <c r="I20" s="891">
        <v>-58</v>
      </c>
      <c r="J20" s="891">
        <f>-211+211-200</f>
        <v>-200</v>
      </c>
      <c r="K20" s="891">
        <f>-350+350-211+211-200</f>
        <v>-200</v>
      </c>
      <c r="L20" s="891">
        <f>-211+211-200</f>
        <v>-200</v>
      </c>
      <c r="M20" s="891">
        <f>-211+211-200</f>
        <v>-200</v>
      </c>
      <c r="N20" s="884">
        <f>-350+350-212+212-300</f>
        <v>-300</v>
      </c>
      <c r="O20" s="697">
        <f t="shared" si="0"/>
        <v>-1158</v>
      </c>
      <c r="P20" s="698">
        <f t="shared" si="7"/>
        <v>0</v>
      </c>
      <c r="Q20" s="697">
        <f t="shared" si="1"/>
        <v>-1158</v>
      </c>
      <c r="R20" s="17"/>
      <c r="S20" s="844">
        <f t="shared" si="2"/>
        <v>0</v>
      </c>
      <c r="T20" s="844">
        <f t="shared" si="3"/>
        <v>0</v>
      </c>
      <c r="U20" s="844">
        <f t="shared" si="4"/>
        <v>-458</v>
      </c>
      <c r="V20" s="844">
        <f t="shared" si="5"/>
        <v>-700</v>
      </c>
      <c r="W20" s="845"/>
      <c r="X20" s="702">
        <f t="shared" si="6"/>
        <v>-1158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3">
      <c r="A21" s="722" t="s">
        <v>1015</v>
      </c>
      <c r="B21" s="740"/>
      <c r="C21" s="696"/>
      <c r="D21" s="696"/>
      <c r="E21" s="696"/>
      <c r="F21" s="696"/>
      <c r="G21" s="696"/>
      <c r="H21" s="696"/>
      <c r="I21" s="696"/>
      <c r="J21" s="696"/>
      <c r="K21" s="696"/>
      <c r="L21" s="696"/>
      <c r="M21" s="696"/>
      <c r="N21" s="696"/>
      <c r="O21" s="621"/>
      <c r="P21" s="621"/>
      <c r="Q21" s="621"/>
      <c r="R21" s="17"/>
      <c r="S21" s="844"/>
      <c r="T21" s="844"/>
      <c r="U21" s="844"/>
      <c r="V21" s="844"/>
      <c r="W21" s="846"/>
      <c r="X21" s="702"/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3">
      <c r="A22" s="722" t="s">
        <v>1069</v>
      </c>
      <c r="B22" s="752"/>
      <c r="C22" s="879">
        <v>0</v>
      </c>
      <c r="D22" s="879">
        <v>0</v>
      </c>
      <c r="E22" s="879">
        <v>0</v>
      </c>
      <c r="F22" s="879">
        <v>0</v>
      </c>
      <c r="G22" s="879">
        <v>0</v>
      </c>
      <c r="H22" s="879">
        <v>0</v>
      </c>
      <c r="I22" s="879">
        <v>0</v>
      </c>
      <c r="J22" s="879">
        <v>0</v>
      </c>
      <c r="K22" s="879">
        <v>0</v>
      </c>
      <c r="L22" s="879">
        <v>0</v>
      </c>
      <c r="M22" s="879">
        <v>0</v>
      </c>
      <c r="N22" s="879">
        <v>0</v>
      </c>
      <c r="O22" s="697">
        <f>SUM(C22:N22)</f>
        <v>0</v>
      </c>
      <c r="P22" s="698">
        <f t="shared" si="7"/>
        <v>0</v>
      </c>
      <c r="Q22" s="697">
        <f>O22-P22</f>
        <v>0</v>
      </c>
      <c r="R22" s="17"/>
      <c r="S22" s="844">
        <f>SUM(C22:E22)</f>
        <v>0</v>
      </c>
      <c r="T22" s="844">
        <f>SUM(F22:H22)</f>
        <v>0</v>
      </c>
      <c r="U22" s="844">
        <f>SUM(I22:K22)</f>
        <v>0</v>
      </c>
      <c r="V22" s="844">
        <f>SUM(L22:N22)</f>
        <v>0</v>
      </c>
      <c r="W22" s="845"/>
      <c r="X22" s="702">
        <f>SUM(S22:V22)</f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3">
      <c r="A23" s="722" t="s">
        <v>1016</v>
      </c>
      <c r="B23" s="752"/>
      <c r="C23" s="879">
        <v>0</v>
      </c>
      <c r="D23" s="879">
        <v>0</v>
      </c>
      <c r="E23" s="879">
        <v>0</v>
      </c>
      <c r="F23" s="879">
        <v>0</v>
      </c>
      <c r="G23" s="879">
        <v>0</v>
      </c>
      <c r="H23" s="879">
        <v>0</v>
      </c>
      <c r="I23" s="879">
        <v>0</v>
      </c>
      <c r="J23" s="879">
        <v>0</v>
      </c>
      <c r="K23" s="879">
        <v>0</v>
      </c>
      <c r="L23" s="879">
        <v>0</v>
      </c>
      <c r="M23" s="879">
        <v>0</v>
      </c>
      <c r="N23" s="879">
        <v>0</v>
      </c>
      <c r="O23" s="697">
        <f>SUM(C23:N23)</f>
        <v>0</v>
      </c>
      <c r="P23" s="698">
        <f t="shared" si="7"/>
        <v>0</v>
      </c>
      <c r="Q23" s="697">
        <f>O23-P23</f>
        <v>0</v>
      </c>
      <c r="R23" s="17"/>
      <c r="S23" s="844">
        <f>SUM(C23:E23)</f>
        <v>0</v>
      </c>
      <c r="T23" s="844">
        <f>SUM(F23:H23)</f>
        <v>0</v>
      </c>
      <c r="U23" s="844">
        <f>SUM(I23:K23)</f>
        <v>0</v>
      </c>
      <c r="V23" s="844">
        <f>SUM(L23:N23)</f>
        <v>0</v>
      </c>
      <c r="W23" s="845"/>
      <c r="X23" s="702">
        <f>SUM(S23:V23)</f>
        <v>0</v>
      </c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3">
      <c r="A24" s="722" t="s">
        <v>914</v>
      </c>
      <c r="B24" s="752"/>
      <c r="C24" s="879">
        <v>0</v>
      </c>
      <c r="D24" s="879">
        <v>0</v>
      </c>
      <c r="E24" s="879">
        <v>0</v>
      </c>
      <c r="F24" s="879">
        <v>0</v>
      </c>
      <c r="G24" s="879">
        <v>0</v>
      </c>
      <c r="H24" s="879">
        <v>0</v>
      </c>
      <c r="I24" s="879">
        <v>0</v>
      </c>
      <c r="J24" s="879">
        <v>0</v>
      </c>
      <c r="K24" s="879">
        <v>0</v>
      </c>
      <c r="L24" s="879">
        <v>0</v>
      </c>
      <c r="M24" s="879">
        <v>0</v>
      </c>
      <c r="N24" s="879">
        <v>0</v>
      </c>
      <c r="O24" s="697">
        <f>SUM(C24:N24)</f>
        <v>0</v>
      </c>
      <c r="P24" s="698">
        <f t="shared" si="7"/>
        <v>0</v>
      </c>
      <c r="Q24" s="697">
        <f>O24-P24</f>
        <v>0</v>
      </c>
      <c r="R24" s="17"/>
      <c r="S24" s="844">
        <f>SUM(C24:E24)</f>
        <v>0</v>
      </c>
      <c r="T24" s="844">
        <f>SUM(F24:H24)</f>
        <v>0</v>
      </c>
      <c r="U24" s="844">
        <f>SUM(I24:K24)</f>
        <v>0</v>
      </c>
      <c r="V24" s="844">
        <f>SUM(L24:N24)</f>
        <v>0</v>
      </c>
      <c r="W24" s="845"/>
      <c r="X24" s="702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3">
      <c r="A25" s="715" t="s">
        <v>604</v>
      </c>
      <c r="B25" s="752"/>
      <c r="C25" s="880">
        <f>0</f>
        <v>0</v>
      </c>
      <c r="D25" s="880">
        <f>0</f>
        <v>0</v>
      </c>
      <c r="E25" s="880">
        <f>0</f>
        <v>0</v>
      </c>
      <c r="F25" s="880">
        <f>0</f>
        <v>0</v>
      </c>
      <c r="G25" s="880">
        <f>0</f>
        <v>0</v>
      </c>
      <c r="H25" s="880">
        <f>0</f>
        <v>0</v>
      </c>
      <c r="I25" s="880">
        <f>0</f>
        <v>0</v>
      </c>
      <c r="J25" s="880">
        <f>0</f>
        <v>0</v>
      </c>
      <c r="K25" s="880">
        <f>0</f>
        <v>0</v>
      </c>
      <c r="L25" s="880">
        <f>0</f>
        <v>0</v>
      </c>
      <c r="M25" s="880">
        <f>0</f>
        <v>0</v>
      </c>
      <c r="N25" s="880">
        <f>0</f>
        <v>0</v>
      </c>
      <c r="O25" s="699">
        <f>SUM(C25:N25)</f>
        <v>0</v>
      </c>
      <c r="P25" s="700">
        <f t="shared" si="7"/>
        <v>0</v>
      </c>
      <c r="Q25" s="699">
        <f>O25-P25</f>
        <v>0</v>
      </c>
      <c r="R25" s="22"/>
      <c r="S25" s="847">
        <f>SUM(C25:E25)</f>
        <v>0</v>
      </c>
      <c r="T25" s="847">
        <f>SUM(F25:H25)</f>
        <v>0</v>
      </c>
      <c r="U25" s="847">
        <f>SUM(I25:K25)</f>
        <v>0</v>
      </c>
      <c r="V25" s="847">
        <f>SUM(L25:N25)</f>
        <v>0</v>
      </c>
      <c r="W25" s="845"/>
      <c r="X25" s="701">
        <f>SUM(S25:V25)</f>
        <v>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.9" customHeight="1" x14ac:dyDescent="0.3">
      <c r="A26" s="702"/>
      <c r="B26" s="752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01"/>
      <c r="P26" s="701"/>
      <c r="Q26" s="702"/>
      <c r="R26" s="17"/>
      <c r="S26" s="844"/>
      <c r="T26" s="844"/>
      <c r="U26" s="844"/>
      <c r="V26" s="844"/>
      <c r="W26" s="845"/>
      <c r="X26" s="845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3">
      <c r="A27" s="720" t="s">
        <v>908</v>
      </c>
      <c r="B27" s="757"/>
      <c r="C27" s="703">
        <f t="shared" ref="C27:N27" si="9">ROUND(SUM(C7:C25),0)</f>
        <v>2648</v>
      </c>
      <c r="D27" s="703">
        <f t="shared" si="9"/>
        <v>2956</v>
      </c>
      <c r="E27" s="703">
        <f t="shared" si="9"/>
        <v>4756</v>
      </c>
      <c r="F27" s="703">
        <f t="shared" si="9"/>
        <v>2513</v>
      </c>
      <c r="G27" s="703">
        <f t="shared" si="9"/>
        <v>3435</v>
      </c>
      <c r="H27" s="703">
        <f t="shared" si="9"/>
        <v>3460</v>
      </c>
      <c r="I27" s="703">
        <f t="shared" si="9"/>
        <v>2600</v>
      </c>
      <c r="J27" s="703">
        <f t="shared" si="9"/>
        <v>2800</v>
      </c>
      <c r="K27" s="703">
        <f t="shared" si="9"/>
        <v>3100</v>
      </c>
      <c r="L27" s="703">
        <f t="shared" si="9"/>
        <v>2900</v>
      </c>
      <c r="M27" s="703">
        <f t="shared" si="9"/>
        <v>2600</v>
      </c>
      <c r="N27" s="703">
        <f t="shared" si="9"/>
        <v>2200</v>
      </c>
      <c r="O27" s="703">
        <f>SUM(O7:O25)</f>
        <v>35968</v>
      </c>
      <c r="P27" s="703">
        <f>SUM(P7:P25)</f>
        <v>10360</v>
      </c>
      <c r="Q27" s="703">
        <f>SUM(Q7:Q25)</f>
        <v>25608</v>
      </c>
      <c r="R27" s="17"/>
      <c r="S27" s="703">
        <f>SUM(S7:S25)</f>
        <v>10360</v>
      </c>
      <c r="T27" s="703">
        <f>SUM(T7:T25)</f>
        <v>9408</v>
      </c>
      <c r="U27" s="703">
        <f>SUM(U7:U25)</f>
        <v>8500</v>
      </c>
      <c r="V27" s="703">
        <f>SUM(V7:V25)</f>
        <v>7700</v>
      </c>
      <c r="W27" s="845"/>
      <c r="X27" s="703">
        <f>SUM(X7:X25)</f>
        <v>35968</v>
      </c>
      <c r="Y27" s="17"/>
      <c r="Z27" s="702">
        <f>X27-SUM(S27:V27)</f>
        <v>0</v>
      </c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12.75" customHeight="1" x14ac:dyDescent="0.3">
      <c r="A28" s="716"/>
      <c r="B28" s="752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7"/>
      <c r="R28" s="17"/>
      <c r="S28" s="702"/>
      <c r="T28" s="702"/>
      <c r="U28" s="702"/>
      <c r="V28" s="702"/>
      <c r="W28" s="845"/>
      <c r="X28" s="845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3">
      <c r="A29" s="721" t="s">
        <v>906</v>
      </c>
      <c r="B29" s="758"/>
      <c r="C29" s="704"/>
      <c r="D29" s="704"/>
      <c r="E29" s="704"/>
      <c r="F29" s="704"/>
      <c r="G29" s="704"/>
      <c r="H29" s="704"/>
      <c r="I29" s="704"/>
      <c r="J29" s="704"/>
      <c r="K29" s="704"/>
      <c r="L29" s="704"/>
      <c r="M29" s="704"/>
      <c r="N29" s="704"/>
      <c r="O29" s="697"/>
      <c r="P29" s="697"/>
      <c r="Q29" s="697"/>
      <c r="R29" s="17"/>
      <c r="S29" s="702"/>
      <c r="T29" s="702"/>
      <c r="U29" s="702"/>
      <c r="V29" s="702"/>
      <c r="W29" s="845"/>
      <c r="X29" s="845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3">
      <c r="A30" s="722" t="s">
        <v>1030</v>
      </c>
      <c r="B30" s="874"/>
      <c r="C30" s="706">
        <f>60+3-3</f>
        <v>60</v>
      </c>
      <c r="D30" s="706">
        <f>84+12-12</f>
        <v>84</v>
      </c>
      <c r="E30" s="706">
        <f>77-2</f>
        <v>75</v>
      </c>
      <c r="F30" s="706">
        <f>107-26</f>
        <v>81</v>
      </c>
      <c r="G30" s="706">
        <f>107-40</f>
        <v>67</v>
      </c>
      <c r="H30" s="706">
        <f>107-37</f>
        <v>70</v>
      </c>
      <c r="I30" s="706">
        <v>100</v>
      </c>
      <c r="J30" s="706">
        <v>100</v>
      </c>
      <c r="K30" s="706">
        <v>200</v>
      </c>
      <c r="L30" s="706">
        <v>100</v>
      </c>
      <c r="M30" s="706">
        <v>100</v>
      </c>
      <c r="N30" s="706">
        <v>200</v>
      </c>
      <c r="O30" s="697">
        <f t="shared" ref="O30:O36" si="10">SUM(C30:N30)</f>
        <v>1237</v>
      </c>
      <c r="P30" s="698">
        <f t="shared" ref="P30:P36" si="11">SUM(C30:E30)</f>
        <v>219</v>
      </c>
      <c r="Q30" s="697">
        <f t="shared" ref="Q30:Q36" si="12">O30-P30</f>
        <v>1018</v>
      </c>
      <c r="R30" s="697"/>
      <c r="S30" s="844">
        <f t="shared" ref="S30:S36" si="13">SUM(C30:E30)</f>
        <v>219</v>
      </c>
      <c r="T30" s="844">
        <f t="shared" ref="T30:T36" si="14">SUM(F30:H30)</f>
        <v>218</v>
      </c>
      <c r="U30" s="844">
        <f t="shared" ref="U30:U36" si="15">SUM(I30:K30)</f>
        <v>400</v>
      </c>
      <c r="V30" s="844">
        <f t="shared" ref="V30:V36" si="16">SUM(L30:N30)</f>
        <v>400</v>
      </c>
      <c r="W30" s="845"/>
      <c r="X30" s="702">
        <f t="shared" ref="X30:X36" si="17">SUM(S30:V30)</f>
        <v>1237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3">
      <c r="A31" s="722" t="s">
        <v>1031</v>
      </c>
      <c r="B31" s="874"/>
      <c r="C31" s="706">
        <f>21+2-2</f>
        <v>21</v>
      </c>
      <c r="D31" s="706">
        <f>29+3-3</f>
        <v>29</v>
      </c>
      <c r="E31" s="706">
        <f>31-1</f>
        <v>30</v>
      </c>
      <c r="F31" s="706">
        <v>24</v>
      </c>
      <c r="G31" s="706">
        <v>22</v>
      </c>
      <c r="H31" s="706">
        <v>25</v>
      </c>
      <c r="I31" s="706">
        <v>0</v>
      </c>
      <c r="J31" s="706">
        <v>0</v>
      </c>
      <c r="K31" s="706">
        <v>0</v>
      </c>
      <c r="L31" s="706">
        <v>0</v>
      </c>
      <c r="M31" s="706">
        <v>0</v>
      </c>
      <c r="N31" s="706">
        <v>0</v>
      </c>
      <c r="O31" s="697">
        <f t="shared" si="10"/>
        <v>151</v>
      </c>
      <c r="P31" s="698">
        <f t="shared" si="11"/>
        <v>80</v>
      </c>
      <c r="Q31" s="697">
        <f t="shared" si="12"/>
        <v>71</v>
      </c>
      <c r="R31" s="697"/>
      <c r="S31" s="844">
        <f t="shared" si="13"/>
        <v>80</v>
      </c>
      <c r="T31" s="844">
        <f t="shared" si="14"/>
        <v>71</v>
      </c>
      <c r="U31" s="844">
        <f t="shared" si="15"/>
        <v>0</v>
      </c>
      <c r="V31" s="844">
        <f t="shared" si="16"/>
        <v>0</v>
      </c>
      <c r="W31" s="845"/>
      <c r="X31" s="702">
        <f t="shared" si="17"/>
        <v>151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3">
      <c r="A32" s="722" t="s">
        <v>1032</v>
      </c>
      <c r="B32" s="874"/>
      <c r="C32" s="706">
        <v>193</v>
      </c>
      <c r="D32" s="706">
        <v>155</v>
      </c>
      <c r="E32" s="706">
        <v>163</v>
      </c>
      <c r="F32" s="706">
        <v>108</v>
      </c>
      <c r="G32" s="706">
        <v>127</v>
      </c>
      <c r="H32" s="706">
        <v>225</v>
      </c>
      <c r="I32" s="706">
        <v>0</v>
      </c>
      <c r="J32" s="706">
        <v>0</v>
      </c>
      <c r="K32" s="706">
        <v>-100</v>
      </c>
      <c r="L32" s="706">
        <v>0</v>
      </c>
      <c r="M32" s="706">
        <v>0</v>
      </c>
      <c r="N32" s="706">
        <v>200</v>
      </c>
      <c r="O32" s="697">
        <f t="shared" si="10"/>
        <v>1071</v>
      </c>
      <c r="P32" s="698">
        <f t="shared" si="11"/>
        <v>511</v>
      </c>
      <c r="Q32" s="697">
        <f t="shared" si="12"/>
        <v>560</v>
      </c>
      <c r="R32" s="697"/>
      <c r="S32" s="844">
        <f t="shared" si="13"/>
        <v>511</v>
      </c>
      <c r="T32" s="844">
        <f t="shared" si="14"/>
        <v>460</v>
      </c>
      <c r="U32" s="844">
        <f t="shared" si="15"/>
        <v>-100</v>
      </c>
      <c r="V32" s="844">
        <f t="shared" si="16"/>
        <v>200</v>
      </c>
      <c r="W32" s="845"/>
      <c r="X32" s="702">
        <f t="shared" si="17"/>
        <v>1071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3">
      <c r="A33" s="878" t="s">
        <v>907</v>
      </c>
      <c r="B33" s="740"/>
      <c r="C33" s="884">
        <f>ROUND(455*0.765,0)+50-398</f>
        <v>0</v>
      </c>
      <c r="D33" s="884">
        <f>ROUND(455*0.765,0)+50-398</f>
        <v>0</v>
      </c>
      <c r="E33" s="884">
        <f>ROUND(330*0.765,0)+50-302</f>
        <v>0</v>
      </c>
      <c r="F33" s="884">
        <f>ROUND(455*0.765,0)+50-398</f>
        <v>0</v>
      </c>
      <c r="G33" s="884">
        <f>ROUND(455*0.765,0)+50-398</f>
        <v>0</v>
      </c>
      <c r="H33" s="884">
        <f>ROUND(328*0.765,0)+50-301</f>
        <v>0</v>
      </c>
      <c r="I33" s="884">
        <f>ROUND(455*0.765,0)+50-398</f>
        <v>0</v>
      </c>
      <c r="J33" s="884">
        <f>ROUND(455*0.765,0)+50-398</f>
        <v>0</v>
      </c>
      <c r="K33" s="884">
        <f>ROUND(329*0.765,0)+50-302</f>
        <v>0</v>
      </c>
      <c r="L33" s="884">
        <f>ROUND(455*0.765,0)+50-398</f>
        <v>0</v>
      </c>
      <c r="M33" s="884">
        <f>ROUND(455*0.765,0)+50-398</f>
        <v>0</v>
      </c>
      <c r="N33" s="884">
        <f>ROUND(328*0.765,0)+1+50-302</f>
        <v>0</v>
      </c>
      <c r="O33" s="697">
        <f t="shared" si="10"/>
        <v>0</v>
      </c>
      <c r="P33" s="698">
        <f t="shared" si="11"/>
        <v>0</v>
      </c>
      <c r="Q33" s="697">
        <f t="shared" si="12"/>
        <v>0</v>
      </c>
      <c r="R33" s="17"/>
      <c r="S33" s="844">
        <f t="shared" si="13"/>
        <v>0</v>
      </c>
      <c r="T33" s="844">
        <f t="shared" si="14"/>
        <v>0</v>
      </c>
      <c r="U33" s="844">
        <f t="shared" si="15"/>
        <v>0</v>
      </c>
      <c r="V33" s="844">
        <f t="shared" si="16"/>
        <v>0</v>
      </c>
      <c r="W33" s="845"/>
      <c r="X33" s="702">
        <f t="shared" si="17"/>
        <v>0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3">
      <c r="A34" s="878" t="s">
        <v>1017</v>
      </c>
      <c r="B34" s="740"/>
      <c r="C34" s="884">
        <f>ROUND(455*0.235,0)-107</f>
        <v>0</v>
      </c>
      <c r="D34" s="884">
        <f>ROUND(455*0.235,0)-107</f>
        <v>0</v>
      </c>
      <c r="E34" s="884">
        <f>ROUND(330*0.235,0)-78</f>
        <v>0</v>
      </c>
      <c r="F34" s="884">
        <f>ROUND(455*0.235,0)-107</f>
        <v>0</v>
      </c>
      <c r="G34" s="884">
        <f>ROUND(455*0.235,0)-107</f>
        <v>0</v>
      </c>
      <c r="H34" s="884">
        <f>ROUND(328*0.235,0)-77</f>
        <v>0</v>
      </c>
      <c r="I34" s="884">
        <f>ROUND(455*0.235,0)-107</f>
        <v>0</v>
      </c>
      <c r="J34" s="884">
        <f>ROUND(455*0.235,0)-107</f>
        <v>0</v>
      </c>
      <c r="K34" s="884">
        <f>ROUND(329*0.235,0)-77</f>
        <v>0</v>
      </c>
      <c r="L34" s="884">
        <f>ROUND(455*0.235,0)-107</f>
        <v>0</v>
      </c>
      <c r="M34" s="884">
        <f>ROUND(455*0.235,0)-107</f>
        <v>0</v>
      </c>
      <c r="N34" s="884">
        <f>ROUND(328*0.235,0)-1-76</f>
        <v>0</v>
      </c>
      <c r="O34" s="697">
        <f t="shared" si="10"/>
        <v>0</v>
      </c>
      <c r="P34" s="698">
        <f t="shared" si="11"/>
        <v>0</v>
      </c>
      <c r="Q34" s="697">
        <f t="shared" si="12"/>
        <v>0</v>
      </c>
      <c r="R34" s="17"/>
      <c r="S34" s="844">
        <f t="shared" si="13"/>
        <v>0</v>
      </c>
      <c r="T34" s="844">
        <f t="shared" si="14"/>
        <v>0</v>
      </c>
      <c r="U34" s="844">
        <f t="shared" si="15"/>
        <v>0</v>
      </c>
      <c r="V34" s="844">
        <f t="shared" si="16"/>
        <v>0</v>
      </c>
      <c r="W34" s="845"/>
      <c r="X34" s="702">
        <f t="shared" si="17"/>
        <v>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3">
      <c r="A35" s="722" t="s">
        <v>1014</v>
      </c>
      <c r="B35" s="740"/>
      <c r="C35" s="885">
        <f>-50+50</f>
        <v>0</v>
      </c>
      <c r="D35" s="885">
        <f>-50+50</f>
        <v>0</v>
      </c>
      <c r="E35" s="885">
        <f t="shared" ref="E35:M35" si="18">-50+50</f>
        <v>0</v>
      </c>
      <c r="F35" s="885">
        <f t="shared" si="18"/>
        <v>0</v>
      </c>
      <c r="G35" s="885">
        <f t="shared" si="18"/>
        <v>0</v>
      </c>
      <c r="H35" s="885">
        <f t="shared" si="18"/>
        <v>0</v>
      </c>
      <c r="I35" s="885">
        <f t="shared" si="18"/>
        <v>0</v>
      </c>
      <c r="J35" s="885">
        <f t="shared" si="18"/>
        <v>0</v>
      </c>
      <c r="K35" s="885">
        <f t="shared" si="18"/>
        <v>0</v>
      </c>
      <c r="L35" s="885">
        <f t="shared" si="18"/>
        <v>0</v>
      </c>
      <c r="M35" s="885">
        <f t="shared" si="18"/>
        <v>0</v>
      </c>
      <c r="N35" s="885">
        <f>-50+50</f>
        <v>0</v>
      </c>
      <c r="O35" s="697">
        <f t="shared" si="10"/>
        <v>0</v>
      </c>
      <c r="P35" s="698">
        <f t="shared" si="11"/>
        <v>0</v>
      </c>
      <c r="Q35" s="697">
        <f t="shared" si="12"/>
        <v>0</v>
      </c>
      <c r="R35" s="17"/>
      <c r="S35" s="844">
        <f t="shared" si="13"/>
        <v>0</v>
      </c>
      <c r="T35" s="844">
        <f t="shared" si="14"/>
        <v>0</v>
      </c>
      <c r="U35" s="844">
        <f t="shared" si="15"/>
        <v>0</v>
      </c>
      <c r="V35" s="844">
        <f t="shared" si="16"/>
        <v>0</v>
      </c>
      <c r="W35" s="845"/>
      <c r="X35" s="702">
        <f t="shared" si="17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3">
      <c r="A36" s="717" t="s">
        <v>658</v>
      </c>
      <c r="B36" s="740"/>
      <c r="C36" s="711">
        <f>0</f>
        <v>0</v>
      </c>
      <c r="D36" s="711">
        <f>0</f>
        <v>0</v>
      </c>
      <c r="E36" s="711">
        <f>0</f>
        <v>0</v>
      </c>
      <c r="F36" s="711">
        <f>0</f>
        <v>0</v>
      </c>
      <c r="G36" s="711">
        <f>0</f>
        <v>0</v>
      </c>
      <c r="H36" s="711">
        <f>0</f>
        <v>0</v>
      </c>
      <c r="I36" s="711">
        <f>0</f>
        <v>0</v>
      </c>
      <c r="J36" s="711">
        <f>0</f>
        <v>0</v>
      </c>
      <c r="K36" s="711">
        <f>0</f>
        <v>0</v>
      </c>
      <c r="L36" s="711">
        <f>0</f>
        <v>0</v>
      </c>
      <c r="M36" s="711">
        <f>0</f>
        <v>0</v>
      </c>
      <c r="N36" s="711">
        <f>0</f>
        <v>0</v>
      </c>
      <c r="O36" s="699">
        <f t="shared" si="10"/>
        <v>0</v>
      </c>
      <c r="P36" s="700">
        <f t="shared" si="11"/>
        <v>0</v>
      </c>
      <c r="Q36" s="699">
        <f t="shared" si="12"/>
        <v>0</v>
      </c>
      <c r="R36" s="17"/>
      <c r="S36" s="847">
        <f t="shared" si="13"/>
        <v>0</v>
      </c>
      <c r="T36" s="847">
        <f t="shared" si="14"/>
        <v>0</v>
      </c>
      <c r="U36" s="847">
        <f t="shared" si="15"/>
        <v>0</v>
      </c>
      <c r="V36" s="847">
        <f t="shared" si="16"/>
        <v>0</v>
      </c>
      <c r="W36" s="845"/>
      <c r="X36" s="701">
        <f t="shared" si="17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3.9" customHeight="1" x14ac:dyDescent="0.3">
      <c r="A37" s="702"/>
      <c r="B37" s="752"/>
      <c r="C37" s="701"/>
      <c r="D37" s="701"/>
      <c r="E37" s="701"/>
      <c r="F37" s="701"/>
      <c r="G37" s="701"/>
      <c r="H37" s="701"/>
      <c r="I37" s="701"/>
      <c r="J37" s="701"/>
      <c r="K37" s="701"/>
      <c r="L37" s="701"/>
      <c r="M37" s="701"/>
      <c r="N37" s="701"/>
      <c r="O37" s="701"/>
      <c r="P37" s="701"/>
      <c r="Q37" s="702"/>
      <c r="R37" s="17"/>
      <c r="S37" s="844"/>
      <c r="T37" s="844"/>
      <c r="U37" s="844"/>
      <c r="V37" s="844"/>
      <c r="W37" s="845"/>
      <c r="X37" s="845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12.75" customHeight="1" x14ac:dyDescent="0.3">
      <c r="A38" s="720" t="s">
        <v>911</v>
      </c>
      <c r="B38" s="759"/>
      <c r="C38" s="705">
        <f>SUM(C30:C36)</f>
        <v>274</v>
      </c>
      <c r="D38" s="705">
        <f>SUM(D30:D36)</f>
        <v>268</v>
      </c>
      <c r="E38" s="705">
        <f>SUM(E30:E36)</f>
        <v>268</v>
      </c>
      <c r="F38" s="705">
        <f t="shared" ref="F38:X38" si="19">SUM(F30:F36)</f>
        <v>213</v>
      </c>
      <c r="G38" s="705">
        <f t="shared" si="19"/>
        <v>216</v>
      </c>
      <c r="H38" s="705">
        <f t="shared" si="19"/>
        <v>320</v>
      </c>
      <c r="I38" s="705">
        <f t="shared" si="19"/>
        <v>100</v>
      </c>
      <c r="J38" s="705">
        <f t="shared" si="19"/>
        <v>100</v>
      </c>
      <c r="K38" s="705">
        <f t="shared" si="19"/>
        <v>100</v>
      </c>
      <c r="L38" s="705">
        <f t="shared" si="19"/>
        <v>100</v>
      </c>
      <c r="M38" s="705">
        <f t="shared" si="19"/>
        <v>100</v>
      </c>
      <c r="N38" s="705">
        <f t="shared" si="19"/>
        <v>400</v>
      </c>
      <c r="O38" s="705">
        <f t="shared" si="19"/>
        <v>2459</v>
      </c>
      <c r="P38" s="705">
        <f t="shared" si="19"/>
        <v>810</v>
      </c>
      <c r="Q38" s="705">
        <f t="shared" si="19"/>
        <v>1649</v>
      </c>
      <c r="R38" s="17"/>
      <c r="S38" s="705">
        <f t="shared" si="19"/>
        <v>810</v>
      </c>
      <c r="T38" s="705">
        <f t="shared" si="19"/>
        <v>749</v>
      </c>
      <c r="U38" s="705">
        <f t="shared" si="19"/>
        <v>300</v>
      </c>
      <c r="V38" s="705">
        <f t="shared" si="19"/>
        <v>600</v>
      </c>
      <c r="W38" s="845"/>
      <c r="X38" s="705">
        <f t="shared" si="19"/>
        <v>2459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3">
      <c r="A39" s="718"/>
      <c r="B39" s="752"/>
      <c r="C39" s="697"/>
      <c r="D39" s="697"/>
      <c r="E39" s="697"/>
      <c r="F39" s="697"/>
      <c r="G39" s="697"/>
      <c r="H39" s="697"/>
      <c r="I39" s="697"/>
      <c r="J39" s="697"/>
      <c r="K39" s="697"/>
      <c r="L39" s="697"/>
      <c r="M39" s="697"/>
      <c r="N39" s="697"/>
      <c r="O39" s="697"/>
      <c r="P39" s="697"/>
      <c r="Q39" s="697"/>
      <c r="R39" s="17"/>
      <c r="S39" s="702"/>
      <c r="T39" s="702"/>
      <c r="U39" s="702"/>
      <c r="V39" s="702"/>
      <c r="W39" s="845"/>
      <c r="X39" s="845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3">
      <c r="A40" s="720" t="s">
        <v>909</v>
      </c>
      <c r="B40" s="752"/>
      <c r="C40" s="697"/>
      <c r="D40" s="697"/>
      <c r="E40" s="697"/>
      <c r="F40" s="697"/>
      <c r="G40" s="697"/>
      <c r="H40" s="697"/>
      <c r="I40" s="697"/>
      <c r="J40" s="697"/>
      <c r="K40" s="697"/>
      <c r="L40" s="697"/>
      <c r="M40" s="697"/>
      <c r="N40" s="697"/>
      <c r="O40" s="697"/>
      <c r="P40" s="697"/>
      <c r="Q40" s="697"/>
      <c r="R40" s="17"/>
      <c r="S40" s="702"/>
      <c r="T40" s="702"/>
      <c r="U40" s="702"/>
      <c r="V40" s="702"/>
      <c r="W40" s="846"/>
      <c r="X40" s="846"/>
      <c r="Y40" s="20"/>
      <c r="Z40" s="20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3">
      <c r="A41" s="722" t="s">
        <v>910</v>
      </c>
      <c r="B41" s="752"/>
      <c r="C41" s="876">
        <f>519+(-16)-C42</f>
        <v>528</v>
      </c>
      <c r="D41" s="876">
        <f>542+(-36)-D42</f>
        <v>531</v>
      </c>
      <c r="E41" s="876">
        <f>286-E42</f>
        <v>311</v>
      </c>
      <c r="F41" s="876">
        <f>428-F42</f>
        <v>453</v>
      </c>
      <c r="G41" s="876">
        <f>428-G42</f>
        <v>453</v>
      </c>
      <c r="H41" s="876">
        <f>428-H42</f>
        <v>453</v>
      </c>
      <c r="I41" s="876">
        <f>400-I42</f>
        <v>425</v>
      </c>
      <c r="J41" s="876">
        <f>400-J42</f>
        <v>425</v>
      </c>
      <c r="K41" s="876">
        <f>400-K42</f>
        <v>425</v>
      </c>
      <c r="L41" s="876">
        <f>400-L42</f>
        <v>425</v>
      </c>
      <c r="M41" s="876">
        <f>500-M42</f>
        <v>525</v>
      </c>
      <c r="N41" s="876">
        <f>400-N42</f>
        <v>425</v>
      </c>
      <c r="O41" s="697">
        <f>SUM(C41:N41)</f>
        <v>5379</v>
      </c>
      <c r="P41" s="698">
        <f>SUM(C41:E41)</f>
        <v>1370</v>
      </c>
      <c r="Q41" s="697">
        <f>O41-P41</f>
        <v>4009</v>
      </c>
      <c r="R41" s="17"/>
      <c r="S41" s="844">
        <f>SUM(C41:E41)</f>
        <v>1370</v>
      </c>
      <c r="T41" s="844">
        <f>SUM(F41:H41)</f>
        <v>1359</v>
      </c>
      <c r="U41" s="844">
        <f>SUM(I41:K41)</f>
        <v>1275</v>
      </c>
      <c r="V41" s="844">
        <f>SUM(L41:N41)</f>
        <v>1375</v>
      </c>
      <c r="W41" s="845"/>
      <c r="X41" s="702">
        <f>SUM(S41:V41)</f>
        <v>5379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3">
      <c r="A42" s="722" t="s">
        <v>1033</v>
      </c>
      <c r="B42" s="756"/>
      <c r="C42" s="706">
        <v>-25</v>
      </c>
      <c r="D42" s="706">
        <v>-25</v>
      </c>
      <c r="E42" s="706">
        <v>-25</v>
      </c>
      <c r="F42" s="706">
        <v>-25</v>
      </c>
      <c r="G42" s="706">
        <v>-25</v>
      </c>
      <c r="H42" s="706">
        <v>-25</v>
      </c>
      <c r="I42" s="706">
        <v>-25</v>
      </c>
      <c r="J42" s="706">
        <v>-25</v>
      </c>
      <c r="K42" s="706">
        <v>-25</v>
      </c>
      <c r="L42" s="706">
        <v>-25</v>
      </c>
      <c r="M42" s="706">
        <v>-25</v>
      </c>
      <c r="N42" s="706">
        <v>-25</v>
      </c>
      <c r="O42" s="697">
        <f>SUM(C42:N42)</f>
        <v>-300</v>
      </c>
      <c r="P42" s="698">
        <f>SUM(C42:E42)</f>
        <v>-75</v>
      </c>
      <c r="Q42" s="697">
        <f>O42-P42</f>
        <v>-225</v>
      </c>
      <c r="R42" s="17"/>
      <c r="S42" s="844">
        <f>SUM(C42:E42)</f>
        <v>-75</v>
      </c>
      <c r="T42" s="844">
        <f>SUM(F42:H42)</f>
        <v>-75</v>
      </c>
      <c r="U42" s="844">
        <f>SUM(I42:K42)</f>
        <v>-75</v>
      </c>
      <c r="V42" s="844">
        <f>SUM(L42:N42)</f>
        <v>-75</v>
      </c>
      <c r="W42" s="845"/>
      <c r="X42" s="702">
        <f>SUM(S42:V42)</f>
        <v>-300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3">
      <c r="A43" s="722" t="s">
        <v>540</v>
      </c>
      <c r="B43" s="752"/>
      <c r="C43" s="706">
        <f>0</f>
        <v>0</v>
      </c>
      <c r="D43" s="706">
        <f>0</f>
        <v>0</v>
      </c>
      <c r="E43" s="706">
        <f>0</f>
        <v>0</v>
      </c>
      <c r="F43" s="706">
        <f>0</f>
        <v>0</v>
      </c>
      <c r="G43" s="706">
        <f>0</f>
        <v>0</v>
      </c>
      <c r="H43" s="706">
        <f>0</f>
        <v>0</v>
      </c>
      <c r="I43" s="706">
        <f>0</f>
        <v>0</v>
      </c>
      <c r="J43" s="706">
        <f>0</f>
        <v>0</v>
      </c>
      <c r="K43" s="706">
        <f>0</f>
        <v>0</v>
      </c>
      <c r="L43" s="706">
        <f>0</f>
        <v>0</v>
      </c>
      <c r="M43" s="706">
        <f>0</f>
        <v>0</v>
      </c>
      <c r="N43" s="706">
        <f>0</f>
        <v>0</v>
      </c>
      <c r="O43" s="697">
        <f>SUM(C43:N43)</f>
        <v>0</v>
      </c>
      <c r="P43" s="698">
        <f>SUM(C43:E43)</f>
        <v>0</v>
      </c>
      <c r="Q43" s="697">
        <f>O43-P43</f>
        <v>0</v>
      </c>
      <c r="R43" s="17"/>
      <c r="S43" s="844">
        <f>SUM(C43:E43)</f>
        <v>0</v>
      </c>
      <c r="T43" s="844">
        <f>SUM(F43:H43)</f>
        <v>0</v>
      </c>
      <c r="U43" s="844">
        <f>SUM(I43:K43)</f>
        <v>0</v>
      </c>
      <c r="V43" s="844">
        <f>SUM(L43:N43)</f>
        <v>0</v>
      </c>
      <c r="W43" s="845"/>
      <c r="X43" s="702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3">
      <c r="A44" s="714" t="s">
        <v>657</v>
      </c>
      <c r="B44" s="752"/>
      <c r="C44" s="711">
        <f>0</f>
        <v>0</v>
      </c>
      <c r="D44" s="711">
        <f>0</f>
        <v>0</v>
      </c>
      <c r="E44" s="711">
        <f>0</f>
        <v>0</v>
      </c>
      <c r="F44" s="711">
        <f>0</f>
        <v>0</v>
      </c>
      <c r="G44" s="711">
        <f>0</f>
        <v>0</v>
      </c>
      <c r="H44" s="711">
        <f>0</f>
        <v>0</v>
      </c>
      <c r="I44" s="711">
        <f>0</f>
        <v>0</v>
      </c>
      <c r="J44" s="711">
        <f>0</f>
        <v>0</v>
      </c>
      <c r="K44" s="711">
        <f>0</f>
        <v>0</v>
      </c>
      <c r="L44" s="711">
        <f>0</f>
        <v>0</v>
      </c>
      <c r="M44" s="711">
        <f>0</f>
        <v>0</v>
      </c>
      <c r="N44" s="711">
        <f>0</f>
        <v>0</v>
      </c>
      <c r="O44" s="699">
        <f>SUM(C44:N44)</f>
        <v>0</v>
      </c>
      <c r="P44" s="700">
        <f>SUM(C44:E44)</f>
        <v>0</v>
      </c>
      <c r="Q44" s="699">
        <f>O44-P44</f>
        <v>0</v>
      </c>
      <c r="R44" s="17"/>
      <c r="S44" s="847">
        <f>SUM(C44:E44)</f>
        <v>0</v>
      </c>
      <c r="T44" s="847">
        <f>SUM(F44:H44)</f>
        <v>0</v>
      </c>
      <c r="U44" s="847">
        <f>SUM(I44:K44)</f>
        <v>0</v>
      </c>
      <c r="V44" s="847">
        <f>SUM(L44:N44)</f>
        <v>0</v>
      </c>
      <c r="W44" s="845"/>
      <c r="X44" s="701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" customHeight="1" x14ac:dyDescent="0.3">
      <c r="A45" s="702"/>
      <c r="B45" s="75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2"/>
      <c r="P45" s="702"/>
      <c r="Q45" s="702"/>
      <c r="R45" s="17"/>
      <c r="S45" s="844"/>
      <c r="T45" s="844"/>
      <c r="U45" s="844"/>
      <c r="V45" s="844"/>
      <c r="W45" s="845"/>
      <c r="X45" s="845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3">
      <c r="A46" s="720" t="s">
        <v>912</v>
      </c>
      <c r="B46" s="759"/>
      <c r="C46" s="699">
        <f t="shared" ref="C46:N46" si="20">SUM(C41:C44)</f>
        <v>503</v>
      </c>
      <c r="D46" s="699">
        <f t="shared" si="20"/>
        <v>506</v>
      </c>
      <c r="E46" s="699">
        <f t="shared" si="20"/>
        <v>286</v>
      </c>
      <c r="F46" s="699">
        <f t="shared" si="20"/>
        <v>428</v>
      </c>
      <c r="G46" s="699">
        <f t="shared" si="20"/>
        <v>428</v>
      </c>
      <c r="H46" s="699">
        <f t="shared" si="20"/>
        <v>428</v>
      </c>
      <c r="I46" s="699">
        <f t="shared" si="20"/>
        <v>400</v>
      </c>
      <c r="J46" s="699">
        <f t="shared" si="20"/>
        <v>400</v>
      </c>
      <c r="K46" s="699">
        <f t="shared" si="20"/>
        <v>400</v>
      </c>
      <c r="L46" s="699">
        <f t="shared" si="20"/>
        <v>400</v>
      </c>
      <c r="M46" s="699">
        <f t="shared" si="20"/>
        <v>500</v>
      </c>
      <c r="N46" s="699">
        <f t="shared" si="20"/>
        <v>400</v>
      </c>
      <c r="O46" s="699">
        <f>SUM(O40:O44)</f>
        <v>5079</v>
      </c>
      <c r="P46" s="699">
        <f>SUM(P40:P44)</f>
        <v>1295</v>
      </c>
      <c r="Q46" s="699">
        <f>SUM(Q40:Q44)</f>
        <v>3784</v>
      </c>
      <c r="R46" s="17"/>
      <c r="S46" s="699">
        <f>SUM(S41:S44)</f>
        <v>1295</v>
      </c>
      <c r="T46" s="699">
        <f>SUM(T41:T44)</f>
        <v>1284</v>
      </c>
      <c r="U46" s="699">
        <f>SUM(U41:U44)</f>
        <v>1200</v>
      </c>
      <c r="V46" s="699">
        <f>SUM(V41:V44)</f>
        <v>1300</v>
      </c>
      <c r="W46" s="845"/>
      <c r="X46" s="699">
        <f>SUM(X41:X44)</f>
        <v>5079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3">
      <c r="A47" s="719"/>
      <c r="B47" s="757"/>
      <c r="C47" s="707"/>
      <c r="D47" s="707"/>
      <c r="E47" s="707"/>
      <c r="F47" s="707"/>
      <c r="G47" s="707"/>
      <c r="H47" s="707"/>
      <c r="I47" s="707"/>
      <c r="J47" s="707"/>
      <c r="K47" s="707"/>
      <c r="L47" s="707"/>
      <c r="M47" s="707"/>
      <c r="N47" s="707"/>
      <c r="O47" s="707"/>
      <c r="P47" s="707"/>
      <c r="Q47" s="697"/>
      <c r="R47" s="17"/>
      <c r="S47" s="844"/>
      <c r="T47" s="844"/>
      <c r="U47" s="844"/>
      <c r="V47" s="844"/>
      <c r="W47" s="845"/>
      <c r="X47" s="846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3">
      <c r="A48" s="720" t="s">
        <v>913</v>
      </c>
      <c r="B48" s="757"/>
      <c r="C48" s="703">
        <f t="shared" ref="C48:N48" si="21">ROUND(C46+C38,0)</f>
        <v>777</v>
      </c>
      <c r="D48" s="703">
        <f t="shared" si="21"/>
        <v>774</v>
      </c>
      <c r="E48" s="703">
        <f t="shared" si="21"/>
        <v>554</v>
      </c>
      <c r="F48" s="703">
        <f t="shared" si="21"/>
        <v>641</v>
      </c>
      <c r="G48" s="703">
        <f t="shared" si="21"/>
        <v>644</v>
      </c>
      <c r="H48" s="703">
        <f t="shared" si="21"/>
        <v>748</v>
      </c>
      <c r="I48" s="703">
        <f t="shared" si="21"/>
        <v>500</v>
      </c>
      <c r="J48" s="703">
        <f t="shared" si="21"/>
        <v>500</v>
      </c>
      <c r="K48" s="703">
        <f t="shared" si="21"/>
        <v>500</v>
      </c>
      <c r="L48" s="703">
        <f t="shared" si="21"/>
        <v>500</v>
      </c>
      <c r="M48" s="703">
        <f t="shared" si="21"/>
        <v>600</v>
      </c>
      <c r="N48" s="703">
        <f t="shared" si="21"/>
        <v>800</v>
      </c>
      <c r="O48" s="703">
        <f>O46+O38</f>
        <v>7538</v>
      </c>
      <c r="P48" s="703">
        <f>P46+P38</f>
        <v>2105</v>
      </c>
      <c r="Q48" s="703">
        <f>Q46+Q38</f>
        <v>5433</v>
      </c>
      <c r="R48" s="17"/>
      <c r="S48" s="848">
        <f>S38+S46</f>
        <v>2105</v>
      </c>
      <c r="T48" s="848">
        <f>T38+T46</f>
        <v>2033</v>
      </c>
      <c r="U48" s="848">
        <f>U38+U46</f>
        <v>1500</v>
      </c>
      <c r="V48" s="848">
        <f>V38+V46</f>
        <v>1900</v>
      </c>
      <c r="W48" s="845"/>
      <c r="X48" s="848">
        <f>X38+X46</f>
        <v>7538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3">
      <c r="A49" s="716"/>
      <c r="B49" s="752"/>
      <c r="C49" s="699"/>
      <c r="D49" s="699"/>
      <c r="E49" s="699"/>
      <c r="F49" s="699"/>
      <c r="G49" s="699"/>
      <c r="H49" s="699"/>
      <c r="I49" s="699"/>
      <c r="J49" s="699"/>
      <c r="K49" s="699"/>
      <c r="L49" s="699"/>
      <c r="M49" s="699"/>
      <c r="N49" s="699"/>
      <c r="O49" s="699"/>
      <c r="P49" s="699"/>
      <c r="Q49" s="699"/>
      <c r="R49" s="17"/>
      <c r="S49" s="844"/>
      <c r="T49" s="844"/>
      <c r="U49" s="844"/>
      <c r="V49" s="844"/>
      <c r="W49" s="845"/>
      <c r="X49" s="845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3">
      <c r="A50" s="720" t="s">
        <v>1018</v>
      </c>
      <c r="B50" s="757"/>
      <c r="C50" s="708">
        <f t="shared" ref="C50:N50" si="22">C27+C48</f>
        <v>3425</v>
      </c>
      <c r="D50" s="708">
        <f t="shared" si="22"/>
        <v>3730</v>
      </c>
      <c r="E50" s="708">
        <f t="shared" si="22"/>
        <v>5310</v>
      </c>
      <c r="F50" s="708">
        <f t="shared" si="22"/>
        <v>3154</v>
      </c>
      <c r="G50" s="708">
        <f t="shared" si="22"/>
        <v>4079</v>
      </c>
      <c r="H50" s="708">
        <f t="shared" si="22"/>
        <v>4208</v>
      </c>
      <c r="I50" s="708">
        <f t="shared" si="22"/>
        <v>3100</v>
      </c>
      <c r="J50" s="708">
        <f t="shared" si="22"/>
        <v>3300</v>
      </c>
      <c r="K50" s="708">
        <f t="shared" si="22"/>
        <v>3600</v>
      </c>
      <c r="L50" s="708">
        <f t="shared" si="22"/>
        <v>3400</v>
      </c>
      <c r="M50" s="708">
        <f t="shared" si="22"/>
        <v>3200</v>
      </c>
      <c r="N50" s="708">
        <f t="shared" si="22"/>
        <v>3000</v>
      </c>
      <c r="O50" s="709">
        <f>SUM(C50:N50)</f>
        <v>43506</v>
      </c>
      <c r="P50" s="709">
        <f>P48+P27</f>
        <v>12465</v>
      </c>
      <c r="Q50" s="709">
        <f>Q48+Q27</f>
        <v>31041</v>
      </c>
      <c r="R50" s="17"/>
      <c r="S50" s="849">
        <f>S27+S48</f>
        <v>12465</v>
      </c>
      <c r="T50" s="849">
        <f>T27+T48</f>
        <v>11441</v>
      </c>
      <c r="U50" s="849">
        <f>U27+U48</f>
        <v>10000</v>
      </c>
      <c r="V50" s="849">
        <f>V27+V48</f>
        <v>9600</v>
      </c>
      <c r="W50" s="845"/>
      <c r="X50" s="849">
        <f>X27+X48</f>
        <v>43506</v>
      </c>
      <c r="Y50" s="697">
        <f>X50-O50</f>
        <v>0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3">
      <c r="A51" s="710"/>
      <c r="B51" s="760"/>
      <c r="C51" s="710"/>
      <c r="D51" s="710"/>
      <c r="E51" s="710"/>
      <c r="F51" s="710"/>
      <c r="G51" s="710"/>
      <c r="H51" s="710"/>
      <c r="I51" s="710"/>
      <c r="J51" s="710"/>
      <c r="K51" s="710"/>
      <c r="L51" s="710"/>
      <c r="M51" s="710"/>
      <c r="N51" s="710"/>
      <c r="O51" s="710"/>
      <c r="P51" s="710"/>
      <c r="Q51" s="702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3">
      <c r="A52" s="720" t="s">
        <v>1019</v>
      </c>
      <c r="B52" s="761"/>
      <c r="C52" s="863">
        <v>3815</v>
      </c>
      <c r="D52" s="863">
        <v>3828</v>
      </c>
      <c r="E52" s="863">
        <v>3254</v>
      </c>
      <c r="F52" s="863">
        <v>3780</v>
      </c>
      <c r="G52" s="863">
        <v>3899</v>
      </c>
      <c r="H52" s="863">
        <v>3534</v>
      </c>
      <c r="I52" s="863">
        <v>3997</v>
      </c>
      <c r="J52" s="863">
        <v>3990</v>
      </c>
      <c r="K52" s="863">
        <v>3764</v>
      </c>
      <c r="L52" s="863">
        <v>3850</v>
      </c>
      <c r="M52" s="863">
        <v>3869</v>
      </c>
      <c r="N52" s="863">
        <v>3021</v>
      </c>
      <c r="O52" s="699">
        <f>SUM(C52:N52)</f>
        <v>44601</v>
      </c>
      <c r="P52" s="700">
        <f>SUM(C52:E52)</f>
        <v>10897</v>
      </c>
      <c r="Q52" s="699">
        <f>O52-P52</f>
        <v>33704</v>
      </c>
      <c r="R52" s="17"/>
      <c r="S52" s="847">
        <f>SUM(C52:E52)</f>
        <v>10897</v>
      </c>
      <c r="T52" s="847">
        <f>SUM(F52:H52)</f>
        <v>11213</v>
      </c>
      <c r="U52" s="847">
        <f>SUM(I52:K52)</f>
        <v>11751</v>
      </c>
      <c r="V52" s="847">
        <f>SUM(L52:N52)</f>
        <v>10740</v>
      </c>
      <c r="W52" s="845"/>
      <c r="X52" s="701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3">
      <c r="A53" s="17"/>
      <c r="B53" s="761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3">
      <c r="A54" s="862" t="s">
        <v>1020</v>
      </c>
      <c r="B54" s="761"/>
      <c r="C54" s="701">
        <f>C50-C52</f>
        <v>-390</v>
      </c>
      <c r="D54" s="701">
        <f t="shared" ref="D54:X54" si="23">D50-D52</f>
        <v>-98</v>
      </c>
      <c r="E54" s="701">
        <f t="shared" si="23"/>
        <v>2056</v>
      </c>
      <c r="F54" s="701">
        <f t="shared" si="23"/>
        <v>-626</v>
      </c>
      <c r="G54" s="701">
        <f t="shared" si="23"/>
        <v>180</v>
      </c>
      <c r="H54" s="701">
        <f t="shared" si="23"/>
        <v>674</v>
      </c>
      <c r="I54" s="701">
        <f t="shared" si="23"/>
        <v>-897</v>
      </c>
      <c r="J54" s="701">
        <f t="shared" si="23"/>
        <v>-690</v>
      </c>
      <c r="K54" s="701">
        <f t="shared" si="23"/>
        <v>-164</v>
      </c>
      <c r="L54" s="701">
        <f t="shared" si="23"/>
        <v>-450</v>
      </c>
      <c r="M54" s="701">
        <f t="shared" si="23"/>
        <v>-669</v>
      </c>
      <c r="N54" s="701">
        <f t="shared" si="23"/>
        <v>-21</v>
      </c>
      <c r="O54" s="701">
        <f t="shared" si="23"/>
        <v>-1095</v>
      </c>
      <c r="P54" s="701">
        <f t="shared" si="23"/>
        <v>1568</v>
      </c>
      <c r="Q54" s="701">
        <f t="shared" si="23"/>
        <v>-2663</v>
      </c>
      <c r="R54" s="17"/>
      <c r="S54" s="701">
        <f t="shared" si="23"/>
        <v>1568</v>
      </c>
      <c r="T54" s="701">
        <f t="shared" si="23"/>
        <v>228</v>
      </c>
      <c r="U54" s="701">
        <f t="shared" si="23"/>
        <v>-1751</v>
      </c>
      <c r="V54" s="701">
        <f t="shared" si="23"/>
        <v>-1140</v>
      </c>
      <c r="W54" s="17"/>
      <c r="X54" s="701">
        <f t="shared" si="23"/>
        <v>-1095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6" x14ac:dyDescent="0.3">
      <c r="A55" s="17"/>
      <c r="B55" s="761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" customHeight="1" x14ac:dyDescent="0.3">
      <c r="A56" s="17"/>
      <c r="B56" s="76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6" x14ac:dyDescent="0.3">
      <c r="A57" s="17"/>
      <c r="B57" s="761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6" x14ac:dyDescent="0.3">
      <c r="A58" s="17"/>
      <c r="B58" s="761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6" x14ac:dyDescent="0.3">
      <c r="A59" s="17"/>
      <c r="B59" s="761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6" x14ac:dyDescent="0.3">
      <c r="A60" s="17"/>
      <c r="B60" s="761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6" x14ac:dyDescent="0.3">
      <c r="A61" s="17"/>
      <c r="B61" s="761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6" x14ac:dyDescent="0.3">
      <c r="A62" s="17"/>
      <c r="B62" s="7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6" x14ac:dyDescent="0.3">
      <c r="A63" s="17"/>
      <c r="B63" s="7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6" x14ac:dyDescent="0.3">
      <c r="A64" s="17"/>
      <c r="B64" s="7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6" x14ac:dyDescent="0.3">
      <c r="A65" s="17"/>
      <c r="B65" s="761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6" x14ac:dyDescent="0.3">
      <c r="A66" s="17"/>
      <c r="B66" s="761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6" x14ac:dyDescent="0.3">
      <c r="A67" s="17"/>
      <c r="B67" s="761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6" x14ac:dyDescent="0.3">
      <c r="A68" s="17"/>
      <c r="B68" s="761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6" x14ac:dyDescent="0.3">
      <c r="A69" s="17"/>
      <c r="B69" s="761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6" x14ac:dyDescent="0.3">
      <c r="A70" s="17"/>
      <c r="B70" s="761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6" x14ac:dyDescent="0.3">
      <c r="A71" s="17"/>
      <c r="B71" s="76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6" x14ac:dyDescent="0.3">
      <c r="A72" s="17"/>
      <c r="B72" s="76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6" x14ac:dyDescent="0.3">
      <c r="A73" s="17"/>
      <c r="B73" s="7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6" x14ac:dyDescent="0.3">
      <c r="A74" s="17"/>
      <c r="B74" s="761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6" x14ac:dyDescent="0.3">
      <c r="A75" s="17"/>
      <c r="B75" s="761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6" x14ac:dyDescent="0.3">
      <c r="A76" s="17"/>
      <c r="B76" s="761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6" x14ac:dyDescent="0.3">
      <c r="A77" s="17"/>
      <c r="B77" s="761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6" x14ac:dyDescent="0.3">
      <c r="A78" s="17"/>
      <c r="B78" s="761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6" x14ac:dyDescent="0.3">
      <c r="A79" s="17"/>
      <c r="B79" s="761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6" x14ac:dyDescent="0.3">
      <c r="A80" s="17"/>
      <c r="B80" s="761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6" x14ac:dyDescent="0.3">
      <c r="A81" s="17"/>
      <c r="B81" s="761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6" x14ac:dyDescent="0.3">
      <c r="A82" s="17"/>
      <c r="B82" s="761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6" x14ac:dyDescent="0.3">
      <c r="A83" s="17"/>
      <c r="B83" s="761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6" x14ac:dyDescent="0.3">
      <c r="A84" s="17"/>
      <c r="B84" s="76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6" x14ac:dyDescent="0.3">
      <c r="A85" s="17"/>
      <c r="B85" s="761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6" x14ac:dyDescent="0.3">
      <c r="A86" s="17"/>
      <c r="B86" s="761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6" x14ac:dyDescent="0.3">
      <c r="A87" s="17"/>
      <c r="B87" s="761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6" x14ac:dyDescent="0.3">
      <c r="A88" s="17"/>
      <c r="B88" s="761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6" x14ac:dyDescent="0.3">
      <c r="A89" s="17"/>
      <c r="B89" s="761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6" x14ac:dyDescent="0.3">
      <c r="A90" s="17"/>
      <c r="B90" s="761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6" x14ac:dyDescent="0.3">
      <c r="A91" s="17"/>
      <c r="B91" s="761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6" x14ac:dyDescent="0.3">
      <c r="A92" s="17"/>
      <c r="B92" s="761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6" x14ac:dyDescent="0.3">
      <c r="A93" s="17"/>
      <c r="B93" s="761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6" x14ac:dyDescent="0.3">
      <c r="A94" s="17"/>
      <c r="B94" s="761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6" x14ac:dyDescent="0.3">
      <c r="A95" s="17"/>
      <c r="B95" s="761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6" x14ac:dyDescent="0.3">
      <c r="A96" s="17"/>
      <c r="B96" s="76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6" x14ac:dyDescent="0.3">
      <c r="A97" s="17"/>
      <c r="B97" s="761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6" x14ac:dyDescent="0.3">
      <c r="A98" s="17"/>
      <c r="B98" s="761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6" x14ac:dyDescent="0.3">
      <c r="A99" s="17"/>
      <c r="B99" s="761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6" x14ac:dyDescent="0.3">
      <c r="A100" s="17"/>
      <c r="B100" s="761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6" x14ac:dyDescent="0.3">
      <c r="A101" s="17"/>
      <c r="B101" s="761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6" x14ac:dyDescent="0.3">
      <c r="A102" s="17"/>
      <c r="B102" s="761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6" x14ac:dyDescent="0.3">
      <c r="A103" s="17"/>
      <c r="B103" s="761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6" x14ac:dyDescent="0.3">
      <c r="A104" s="17"/>
      <c r="B104" s="761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6" x14ac:dyDescent="0.3">
      <c r="A105" s="17"/>
      <c r="B105" s="761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6" x14ac:dyDescent="0.3">
      <c r="A106" s="17"/>
      <c r="B106" s="761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6" x14ac:dyDescent="0.3">
      <c r="A107" s="17"/>
      <c r="B107" s="761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6" x14ac:dyDescent="0.3">
      <c r="A108" s="17"/>
      <c r="B108" s="761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6" x14ac:dyDescent="0.3">
      <c r="A109" s="17"/>
      <c r="B109" s="761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6" x14ac:dyDescent="0.3">
      <c r="A110" s="17"/>
      <c r="B110" s="761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6" x14ac:dyDescent="0.3">
      <c r="A111" s="17"/>
      <c r="B111" s="761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6" x14ac:dyDescent="0.3">
      <c r="A112" s="17"/>
      <c r="B112" s="761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6" x14ac:dyDescent="0.3">
      <c r="A113" s="17"/>
      <c r="B113" s="761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6" x14ac:dyDescent="0.3">
      <c r="A114" s="17"/>
      <c r="B114" s="761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6" x14ac:dyDescent="0.3">
      <c r="A115" s="17"/>
      <c r="B115" s="761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6" x14ac:dyDescent="0.3">
      <c r="A116" s="17"/>
      <c r="B116" s="761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6" x14ac:dyDescent="0.3">
      <c r="A117" s="17"/>
      <c r="B117" s="761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6" x14ac:dyDescent="0.3">
      <c r="A118" s="17"/>
      <c r="B118" s="761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6" x14ac:dyDescent="0.3">
      <c r="A119" s="17"/>
      <c r="B119" s="761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6" x14ac:dyDescent="0.3">
      <c r="A120" s="17"/>
      <c r="B120" s="761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6640625" defaultRowHeight="13.2" x14ac:dyDescent="0.25"/>
  <cols>
    <col min="1" max="1" width="45.6640625" style="58" customWidth="1"/>
    <col min="2" max="2" width="8.6640625" style="95" customWidth="1"/>
    <col min="3" max="15" width="8.6640625" style="58" customWidth="1"/>
    <col min="16" max="16" width="9.6640625" style="58" customWidth="1"/>
    <col min="17" max="18" width="8.6640625" style="58" customWidth="1"/>
    <col min="19" max="21" width="9.6640625" style="58" customWidth="1"/>
    <col min="22" max="22" width="35.6640625" style="58" customWidth="1"/>
    <col min="23" max="36" width="10.6640625" style="58"/>
    <col min="37" max="38" width="8.6640625" style="58" customWidth="1"/>
    <col min="39" max="42" width="9.6640625" style="58" customWidth="1"/>
    <col min="43" max="43" width="35.6640625" style="58" customWidth="1"/>
    <col min="44" max="57" width="10.6640625" style="58"/>
    <col min="58" max="59" width="8.6640625" style="58" customWidth="1"/>
    <col min="60" max="67" width="9.6640625" style="58" customWidth="1"/>
    <col min="68" max="16384" width="10.6640625" style="58"/>
  </cols>
  <sheetData>
    <row r="1" spans="1:17" x14ac:dyDescent="0.25">
      <c r="A1" s="552" t="str">
        <f ca="1">CELL("FILENAME")</f>
        <v>P:\Finance\2001CE\[EMTW01CE.XLS]DataBase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5">
      <c r="A2" s="327" t="s">
        <v>589</v>
      </c>
    </row>
    <row r="3" spans="1:17" x14ac:dyDescent="0.25">
      <c r="A3" s="555" t="str">
        <f>IncomeState!A3</f>
        <v>2001 CURRENT ESTIMATE</v>
      </c>
      <c r="B3" s="763">
        <f ca="1">NOW()</f>
        <v>37109.471773495374</v>
      </c>
      <c r="C3" s="323" t="s">
        <v>659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" customHeight="1" x14ac:dyDescent="0.25">
      <c r="A4" s="62"/>
      <c r="B4" s="764">
        <f ca="1">NOW()</f>
        <v>37109.471773495374</v>
      </c>
      <c r="C4" s="328" t="s">
        <v>660</v>
      </c>
      <c r="D4" s="329" t="s">
        <v>591</v>
      </c>
      <c r="E4" s="329" t="s">
        <v>592</v>
      </c>
      <c r="F4" s="329" t="s">
        <v>593</v>
      </c>
      <c r="G4" s="329" t="s">
        <v>594</v>
      </c>
      <c r="H4" s="329" t="s">
        <v>595</v>
      </c>
      <c r="I4" s="329" t="s">
        <v>596</v>
      </c>
      <c r="J4" s="329" t="s">
        <v>597</v>
      </c>
      <c r="K4" s="329" t="s">
        <v>598</v>
      </c>
      <c r="L4" s="329" t="s">
        <v>599</v>
      </c>
      <c r="M4" s="329" t="s">
        <v>600</v>
      </c>
      <c r="N4" s="329" t="s">
        <v>601</v>
      </c>
      <c r="O4" s="329" t="s">
        <v>602</v>
      </c>
      <c r="P4" s="330">
        <v>2001</v>
      </c>
    </row>
    <row r="5" spans="1:17" ht="3.9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5">
      <c r="A6" s="337" t="s">
        <v>661</v>
      </c>
      <c r="B6" s="765"/>
    </row>
    <row r="7" spans="1:17" x14ac:dyDescent="0.25">
      <c r="A7" s="68" t="s">
        <v>662</v>
      </c>
      <c r="B7" s="765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5">
      <c r="A8" s="338" t="s">
        <v>663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5">
      <c r="A9" s="338" t="s">
        <v>664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" customHeight="1" x14ac:dyDescent="0.25">
      <c r="A10" s="332"/>
    </row>
    <row r="11" spans="1:17" x14ac:dyDescent="0.25">
      <c r="A11" s="68" t="s">
        <v>627</v>
      </c>
      <c r="B11" s="765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" customHeight="1" x14ac:dyDescent="0.25">
      <c r="A12" s="332"/>
    </row>
    <row r="13" spans="1:17" x14ac:dyDescent="0.25">
      <c r="A13" s="338" t="s">
        <v>665</v>
      </c>
      <c r="B13" s="765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" customHeight="1" x14ac:dyDescent="0.25">
      <c r="A14" s="332"/>
    </row>
    <row r="15" spans="1:17" x14ac:dyDescent="0.25">
      <c r="A15" s="337" t="s">
        <v>666</v>
      </c>
      <c r="B15" s="766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5">
      <c r="A16" s="332"/>
    </row>
    <row r="17" spans="1:17" x14ac:dyDescent="0.25">
      <c r="A17" s="337" t="s">
        <v>670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5">
      <c r="A18" s="67"/>
      <c r="B18" s="765"/>
    </row>
    <row r="19" spans="1:17" x14ac:dyDescent="0.25">
      <c r="A19" s="68" t="s">
        <v>671</v>
      </c>
      <c r="B19" s="765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5">
      <c r="A20" s="78" t="s">
        <v>605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5">
      <c r="A21" s="78" t="s">
        <v>605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5">
      <c r="A22" s="68" t="s">
        <v>636</v>
      </c>
      <c r="B22" s="765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" customHeight="1" x14ac:dyDescent="0.25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5">
      <c r="A24" s="333" t="s">
        <v>637</v>
      </c>
      <c r="B24" s="766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5">
      <c r="A25" s="334"/>
      <c r="B25" s="766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5">
      <c r="A26" s="339" t="s">
        <v>672</v>
      </c>
      <c r="B26" s="766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5">
      <c r="A27" s="332"/>
    </row>
    <row r="28" spans="1:17" x14ac:dyDescent="0.25">
      <c r="A28" s="335"/>
      <c r="B28" s="767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5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5">
      <c r="A30" s="340" t="s">
        <v>673</v>
      </c>
      <c r="B30" s="765"/>
      <c r="C30" s="686" t="s">
        <v>525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" customHeight="1" x14ac:dyDescent="0.25">
      <c r="A31" s="67"/>
      <c r="B31" s="765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5">
      <c r="A32" s="331" t="s">
        <v>640</v>
      </c>
      <c r="B32" s="765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5">
      <c r="A33" s="332"/>
    </row>
    <row r="34" spans="1:16" x14ac:dyDescent="0.25">
      <c r="A34" s="98" t="s">
        <v>674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5">
      <c r="A35" s="80"/>
      <c r="B35" s="765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5">
      <c r="A36" s="98" t="s">
        <v>675</v>
      </c>
      <c r="B36" s="765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5">
      <c r="A37" s="67"/>
      <c r="B37" s="765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5">
      <c r="A38" s="68" t="s">
        <v>676</v>
      </c>
      <c r="B38" s="765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5">
      <c r="A39" s="67"/>
      <c r="B39" s="76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5">
      <c r="A40" s="68" t="s">
        <v>677</v>
      </c>
      <c r="B40" s="765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" customHeight="1" x14ac:dyDescent="0.25">
      <c r="A41" s="67"/>
      <c r="B41" s="7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5">
      <c r="A42" s="331" t="s">
        <v>645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5">
      <c r="A43" s="67"/>
      <c r="B43" s="765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5">
      <c r="A45" s="338" t="s">
        <v>678</v>
      </c>
      <c r="B45" s="765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5">
      <c r="A46" s="68" t="s">
        <v>647</v>
      </c>
      <c r="B46" s="765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5">
      <c r="A47" s="67"/>
      <c r="B47" s="765"/>
    </row>
    <row r="48" spans="1:16" x14ac:dyDescent="0.25">
      <c r="A48" s="66" t="s">
        <v>648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5">
      <c r="A49" s="67"/>
      <c r="B49" s="765"/>
    </row>
    <row r="50" spans="1:59" x14ac:dyDescent="0.25">
      <c r="A50" s="66" t="s">
        <v>649</v>
      </c>
      <c r="B50" s="765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5">
      <c r="B52" s="768"/>
    </row>
    <row r="53" spans="1:59" x14ac:dyDescent="0.25">
      <c r="A53" s="558" t="str">
        <f ca="1">A1</f>
        <v>P:\Finance\2001CE\[EMTW01CE.XLS]DataBase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679</v>
      </c>
    </row>
    <row r="54" spans="1:59" x14ac:dyDescent="0.25">
      <c r="A54" s="327" t="s">
        <v>609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5">
      <c r="A55" s="342" t="str">
        <f>A3</f>
        <v>2001 CURRENT ESTIMATE</v>
      </c>
      <c r="B55" s="763">
        <f ca="1">NOW()</f>
        <v>37109.471773495374</v>
      </c>
      <c r="C55" s="61" t="s">
        <v>680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" customHeight="1" x14ac:dyDescent="0.25">
      <c r="A56" s="62"/>
      <c r="B56" s="764">
        <f ca="1">NOW()</f>
        <v>37109.471773495374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681</v>
      </c>
      <c r="AT56" s="92" t="s">
        <v>682</v>
      </c>
      <c r="AU56" s="92" t="s">
        <v>682</v>
      </c>
      <c r="AV56" s="68" t="s">
        <v>683</v>
      </c>
      <c r="AW56" s="67"/>
      <c r="AX56" s="67"/>
      <c r="AY56" s="67"/>
      <c r="AZ56" s="67"/>
      <c r="BA56" s="78" t="s">
        <v>681</v>
      </c>
      <c r="BB56" s="92" t="s">
        <v>682</v>
      </c>
      <c r="BC56" s="92" t="s">
        <v>682</v>
      </c>
      <c r="BD56" s="92" t="s">
        <v>682</v>
      </c>
      <c r="BE56" s="92" t="s">
        <v>682</v>
      </c>
    </row>
    <row r="57" spans="1:59" ht="3.9" customHeight="1" x14ac:dyDescent="0.25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37109.471773495374</v>
      </c>
      <c r="AS57" s="94" t="s">
        <v>684</v>
      </c>
      <c r="AT57" s="94" t="s">
        <v>684</v>
      </c>
      <c r="AU57" s="94" t="s">
        <v>684</v>
      </c>
      <c r="AV57" s="94" t="s">
        <v>684</v>
      </c>
      <c r="AW57" s="94" t="s">
        <v>684</v>
      </c>
      <c r="AX57" s="94" t="s">
        <v>684</v>
      </c>
      <c r="AY57" s="94" t="s">
        <v>684</v>
      </c>
      <c r="AZ57" s="94" t="s">
        <v>684</v>
      </c>
      <c r="BA57" s="94" t="s">
        <v>684</v>
      </c>
      <c r="BB57" s="94" t="s">
        <v>684</v>
      </c>
      <c r="BC57" s="94" t="s">
        <v>684</v>
      </c>
      <c r="BD57" s="94" t="s">
        <v>684</v>
      </c>
      <c r="BE57" s="95" t="s">
        <v>685</v>
      </c>
    </row>
    <row r="58" spans="1:59" x14ac:dyDescent="0.25">
      <c r="A58" s="331" t="s">
        <v>686</v>
      </c>
      <c r="B58" s="765"/>
    </row>
    <row r="59" spans="1:59" x14ac:dyDescent="0.25">
      <c r="A59" s="68" t="s">
        <v>624</v>
      </c>
      <c r="B59" s="765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5">
      <c r="A60" s="338" t="s">
        <v>687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5">
      <c r="A61" s="338" t="s">
        <v>688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" customHeight="1" x14ac:dyDescent="0.25">
      <c r="A62" s="80"/>
    </row>
    <row r="63" spans="1:59" x14ac:dyDescent="0.25">
      <c r="A63" s="68" t="s">
        <v>627</v>
      </c>
      <c r="B63" s="765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689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" customHeight="1" x14ac:dyDescent="0.25">
      <c r="A64" s="80"/>
    </row>
    <row r="65" spans="1:59" x14ac:dyDescent="0.25">
      <c r="A65" s="338" t="s">
        <v>690</v>
      </c>
      <c r="B65" s="765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691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" customHeight="1" x14ac:dyDescent="0.25"/>
    <row r="67" spans="1:59" x14ac:dyDescent="0.25">
      <c r="A67" s="338" t="s">
        <v>692</v>
      </c>
      <c r="B67" s="766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5">
      <c r="A68" s="78" t="s">
        <v>693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5">
      <c r="A69" s="78" t="s">
        <v>606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" customHeight="1" x14ac:dyDescent="0.25"/>
    <row r="71" spans="1:59" x14ac:dyDescent="0.25">
      <c r="A71" s="337" t="s">
        <v>694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5">
      <c r="A72" s="67"/>
      <c r="B72" s="76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5">
      <c r="A73" s="339" t="s">
        <v>695</v>
      </c>
    </row>
    <row r="74" spans="1:59" x14ac:dyDescent="0.25">
      <c r="A74" s="98" t="s">
        <v>696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5">
      <c r="A75" s="98" t="s">
        <v>697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5">
      <c r="A76" s="98" t="s">
        <v>698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5">
      <c r="A77" s="98" t="s">
        <v>699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5">
      <c r="A78" s="98" t="s">
        <v>700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5">
      <c r="A79" s="98" t="s">
        <v>701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5">
      <c r="A80" s="98" t="s">
        <v>606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" customHeight="1" x14ac:dyDescent="0.25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5">
      <c r="A82" s="337" t="s">
        <v>702</v>
      </c>
      <c r="B82" s="766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5">
      <c r="Q83" s="77"/>
      <c r="R83" s="96"/>
      <c r="AL83" s="77"/>
    </row>
    <row r="84" spans="1:59" x14ac:dyDescent="0.25">
      <c r="A84" s="68" t="s">
        <v>671</v>
      </c>
      <c r="B84" s="765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5">
      <c r="A85" s="78" t="s">
        <v>703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5">
      <c r="A86" s="78" t="s">
        <v>605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5">
      <c r="A87" s="68" t="s">
        <v>636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" customHeight="1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5">
      <c r="A89" s="57" t="str">
        <f>A24</f>
        <v xml:space="preserve">      TOTAL OVER / (UNDER) RECOVERY</v>
      </c>
      <c r="B89" s="769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5">
      <c r="A90" s="67"/>
      <c r="B90" s="76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5">
      <c r="A91" s="337" t="s">
        <v>704</v>
      </c>
      <c r="B91" s="766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5">
      <c r="R92" s="77"/>
    </row>
    <row r="93" spans="1:59" x14ac:dyDescent="0.25">
      <c r="A93" s="331" t="s">
        <v>705</v>
      </c>
      <c r="B93" s="765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" customHeight="1" x14ac:dyDescent="0.25">
      <c r="A94" s="67"/>
      <c r="B94" s="765"/>
    </row>
    <row r="95" spans="1:59" x14ac:dyDescent="0.25">
      <c r="A95" s="331" t="s">
        <v>706</v>
      </c>
      <c r="B95" s="765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5">
      <c r="A96" s="67"/>
      <c r="B96" s="765"/>
      <c r="AW96" s="80"/>
      <c r="AX96" s="80"/>
      <c r="AY96" s="80"/>
      <c r="AZ96" s="80"/>
    </row>
    <row r="97" spans="1:59" ht="5.25" customHeight="1" x14ac:dyDescent="0.25">
      <c r="A97" s="82"/>
      <c r="B97" s="767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5"/>
    <row r="99" spans="1:59" x14ac:dyDescent="0.25">
      <c r="A99" s="343" t="s">
        <v>707</v>
      </c>
      <c r="B99" s="770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" customHeight="1" x14ac:dyDescent="0.25">
      <c r="A100" s="332"/>
      <c r="B100" s="771"/>
    </row>
    <row r="101" spans="1:59" x14ac:dyDescent="0.25">
      <c r="A101" s="331" t="s">
        <v>640</v>
      </c>
      <c r="B101" s="765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5">
      <c r="A102" s="332"/>
      <c r="B102" s="771"/>
      <c r="C102" s="332"/>
    </row>
    <row r="103" spans="1:59" x14ac:dyDescent="0.25">
      <c r="A103" s="98" t="s">
        <v>708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5">
      <c r="A104" s="67"/>
      <c r="B104" s="765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5">
      <c r="A105" s="68" t="s">
        <v>709</v>
      </c>
      <c r="B105" s="765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5">
      <c r="A106" s="67"/>
      <c r="B106" s="765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5">
      <c r="A107" s="68" t="s">
        <v>710</v>
      </c>
      <c r="B107" s="765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5">
      <c r="A108" s="67"/>
      <c r="B108" s="765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5">
      <c r="A109" s="68" t="s">
        <v>677</v>
      </c>
      <c r="B109" s="765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" customHeight="1" x14ac:dyDescent="0.25">
      <c r="A110" s="67"/>
      <c r="B110" s="765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5">
      <c r="A111" s="331" t="s">
        <v>645</v>
      </c>
      <c r="B111" s="771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5">
      <c r="A113" s="67"/>
      <c r="B113" s="765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5">
      <c r="A114" s="68" t="s">
        <v>711</v>
      </c>
      <c r="B114" s="765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5">
      <c r="A115" s="68" t="s">
        <v>647</v>
      </c>
      <c r="B115" s="765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5">
      <c r="A116" s="67"/>
      <c r="B116" s="765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5">
      <c r="A117" s="66" t="s">
        <v>648</v>
      </c>
      <c r="B117" s="766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5">
      <c r="A118" s="67"/>
      <c r="B118" s="765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5">
      <c r="A119" s="66" t="s">
        <v>649</v>
      </c>
      <c r="B119" s="765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5">
      <c r="B120" s="768"/>
    </row>
    <row r="121" spans="1:57" customFormat="1" x14ac:dyDescent="0.25">
      <c r="B121" s="768"/>
    </row>
    <row r="122" spans="1:57" x14ac:dyDescent="0.25">
      <c r="A122" s="558" t="str">
        <f ca="1">A1</f>
        <v>P:\Finance\2001CE\[EMTW01CE.XLS]DataBase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5">
      <c r="A123" s="327" t="s">
        <v>712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5">
      <c r="A124" s="342" t="str">
        <f>A3</f>
        <v>2001 CURRENT ESTIMATE</v>
      </c>
      <c r="B124" s="763">
        <f ca="1">NOW()</f>
        <v>37109.471773495374</v>
      </c>
      <c r="C124" s="61" t="s">
        <v>713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" customHeight="1" x14ac:dyDescent="0.25">
      <c r="A125" s="62"/>
      <c r="B125" s="764">
        <f ca="1">NOW()</f>
        <v>37109.471773495374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" customHeight="1" x14ac:dyDescent="0.25"/>
    <row r="127" spans="1:57" x14ac:dyDescent="0.25">
      <c r="A127" s="344" t="s">
        <v>714</v>
      </c>
      <c r="B127" s="94"/>
      <c r="C127" s="63" t="str">
        <f>C30</f>
        <v>12/31/99</v>
      </c>
    </row>
    <row r="128" spans="1:57" ht="3.9" customHeight="1" x14ac:dyDescent="0.25">
      <c r="A128" s="345"/>
      <c r="B128" s="771"/>
      <c r="C128" s="332"/>
    </row>
    <row r="129" spans="1:56" x14ac:dyDescent="0.25">
      <c r="A129" s="331" t="s">
        <v>640</v>
      </c>
      <c r="B129" s="771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5">
      <c r="A130" s="332"/>
      <c r="B130" s="771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5">
      <c r="A131" s="68" t="s">
        <v>715</v>
      </c>
      <c r="B131" s="771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5">
      <c r="A132" s="67"/>
      <c r="B132" s="765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5">
      <c r="A133" s="68" t="s">
        <v>710</v>
      </c>
      <c r="B133" s="771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5">
      <c r="A134" s="332"/>
      <c r="B134" s="771"/>
      <c r="C134" s="332"/>
    </row>
    <row r="135" spans="1:56" x14ac:dyDescent="0.25">
      <c r="A135" s="68" t="s">
        <v>716</v>
      </c>
      <c r="B135" s="771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5">
      <c r="A136" s="332"/>
      <c r="B136" s="771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5">
      <c r="A137" s="68" t="s">
        <v>677</v>
      </c>
      <c r="B137" s="771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" customHeight="1" x14ac:dyDescent="0.25">
      <c r="A138" s="332"/>
      <c r="B138" s="771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5">
      <c r="A139" s="331" t="s">
        <v>645</v>
      </c>
      <c r="B139" s="771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5">
      <c r="A142" s="68" t="s">
        <v>711</v>
      </c>
      <c r="B142" s="765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5">
      <c r="A143" s="68" t="s">
        <v>647</v>
      </c>
      <c r="B143" s="765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5">
      <c r="A144" s="67"/>
      <c r="B144" s="765"/>
    </row>
    <row r="145" spans="1:56" x14ac:dyDescent="0.25">
      <c r="A145" s="66" t="s">
        <v>717</v>
      </c>
      <c r="B145" s="766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5">
      <c r="A146" s="67"/>
      <c r="B146" s="765"/>
    </row>
    <row r="147" spans="1:56" x14ac:dyDescent="0.25">
      <c r="A147" s="66" t="s">
        <v>649</v>
      </c>
      <c r="B147" s="765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5">
      <c r="B150" s="768"/>
    </row>
    <row r="151" spans="1:56" customFormat="1" x14ac:dyDescent="0.25">
      <c r="B151" s="768"/>
    </row>
    <row r="152" spans="1:56" customFormat="1" x14ac:dyDescent="0.25">
      <c r="B152" s="768"/>
    </row>
    <row r="153" spans="1:56" x14ac:dyDescent="0.25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5">
      <c r="A154" s="558" t="str">
        <f ca="1">A1</f>
        <v>P:\Finance\2001CE\[EMTW01CE.XLS]DataBase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5">
      <c r="A155" s="327" t="s">
        <v>718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5">
      <c r="A156" s="342" t="str">
        <f>A3</f>
        <v>2001 CURRENT ESTIMATE</v>
      </c>
      <c r="B156" s="763">
        <f ca="1">NOW()</f>
        <v>37109.471773495374</v>
      </c>
      <c r="C156" s="61" t="s">
        <v>719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" customHeight="1" x14ac:dyDescent="0.25">
      <c r="A157" s="62"/>
      <c r="B157" s="764">
        <f ca="1">NOW()</f>
        <v>37109.471773495374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" customHeight="1" x14ac:dyDescent="0.25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5">
      <c r="A159" s="337" t="s">
        <v>720</v>
      </c>
      <c r="B159" s="765"/>
    </row>
    <row r="160" spans="1:56" x14ac:dyDescent="0.25">
      <c r="A160" s="68" t="s">
        <v>624</v>
      </c>
      <c r="B160" s="765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5">
      <c r="A161" s="338" t="s">
        <v>687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5">
      <c r="A162" s="338" t="s">
        <v>688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" customHeight="1" x14ac:dyDescent="0.25">
      <c r="A163" s="80"/>
    </row>
    <row r="164" spans="1:17" x14ac:dyDescent="0.25">
      <c r="A164" s="68" t="s">
        <v>627</v>
      </c>
      <c r="B164" s="765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" customHeight="1" x14ac:dyDescent="0.25">
      <c r="A165" s="332"/>
    </row>
    <row r="166" spans="1:17" x14ac:dyDescent="0.25">
      <c r="A166" s="338" t="s">
        <v>721</v>
      </c>
      <c r="B166" s="765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" customHeight="1" x14ac:dyDescent="0.25">
      <c r="A167" s="332"/>
    </row>
    <row r="168" spans="1:17" x14ac:dyDescent="0.25">
      <c r="A168" s="337" t="s">
        <v>722</v>
      </c>
      <c r="B168" s="766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5">
      <c r="A169" s="67"/>
      <c r="B169" s="76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5">
      <c r="A170" s="337" t="s">
        <v>723</v>
      </c>
      <c r="B170" s="766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5">
      <c r="Q171" s="77"/>
    </row>
    <row r="172" spans="1:17" x14ac:dyDescent="0.25">
      <c r="A172" s="68" t="s">
        <v>671</v>
      </c>
      <c r="B172" s="765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5">
      <c r="A173" s="78" t="s">
        <v>605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5">
      <c r="A174" s="78" t="s">
        <v>605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5">
      <c r="A175" s="68" t="s">
        <v>636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" customHeight="1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5">
      <c r="A177" s="333" t="s">
        <v>637</v>
      </c>
      <c r="B177" s="769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5">
      <c r="A178" s="67"/>
      <c r="B178" s="76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5">
      <c r="A179" s="337" t="s">
        <v>724</v>
      </c>
      <c r="B179" s="766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5">
      <c r="A180" s="67"/>
      <c r="B180" s="765"/>
    </row>
    <row r="181" spans="1:17" x14ac:dyDescent="0.25">
      <c r="A181" s="82"/>
      <c r="B181" s="767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5">
      <c r="A183" s="346" t="s">
        <v>725</v>
      </c>
      <c r="B183" s="765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" customHeight="1" x14ac:dyDescent="0.25">
      <c r="A184" s="67"/>
      <c r="B184" s="765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5">
      <c r="A185" s="331" t="s">
        <v>640</v>
      </c>
      <c r="B185" s="765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5">
      <c r="A186" s="332"/>
      <c r="B186" s="771"/>
      <c r="C186" s="332"/>
    </row>
    <row r="187" spans="1:17" x14ac:dyDescent="0.25">
      <c r="A187" s="78" t="s">
        <v>708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5">
      <c r="A188" s="67"/>
      <c r="B188" s="765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5">
      <c r="A189" s="68" t="s">
        <v>642</v>
      </c>
      <c r="B189" s="765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5">
      <c r="A190" s="67"/>
      <c r="B190" s="765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5">
      <c r="A191" s="338" t="s">
        <v>726</v>
      </c>
      <c r="B191" s="765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5">
      <c r="A192" s="67"/>
      <c r="B192" s="765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5">
      <c r="A193" s="68" t="s">
        <v>677</v>
      </c>
      <c r="B193" s="765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" customHeight="1" x14ac:dyDescent="0.25">
      <c r="A194" s="67"/>
      <c r="B194" s="765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5">
      <c r="A195" s="331" t="s">
        <v>645</v>
      </c>
      <c r="B195" s="771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5">
      <c r="A196" s="67"/>
      <c r="B196" s="765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5">
      <c r="A198" s="68" t="s">
        <v>711</v>
      </c>
      <c r="B198" s="765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5">
      <c r="A199" s="68" t="s">
        <v>647</v>
      </c>
      <c r="B199" s="765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5">
      <c r="A200" s="67"/>
      <c r="B200" s="765"/>
    </row>
    <row r="201" spans="1:17" x14ac:dyDescent="0.25">
      <c r="A201" s="66" t="s">
        <v>648</v>
      </c>
      <c r="B201" s="766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5">
      <c r="A202" s="67"/>
      <c r="B202" s="765"/>
    </row>
    <row r="203" spans="1:17" x14ac:dyDescent="0.25">
      <c r="A203" s="66" t="s">
        <v>649</v>
      </c>
      <c r="B203" s="765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5">
      <c r="B204" s="768"/>
    </row>
    <row r="205" spans="1:17" customFormat="1" x14ac:dyDescent="0.25">
      <c r="B205" s="768"/>
    </row>
    <row r="206" spans="1:17" customFormat="1" x14ac:dyDescent="0.25">
      <c r="B206" s="768"/>
    </row>
    <row r="207" spans="1:17" x14ac:dyDescent="0.25">
      <c r="A207" s="558" t="str">
        <f ca="1">A1</f>
        <v>P:\Finance\2001CE\[EMTW01CE.XLS]DataBase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5">
      <c r="A208" s="327" t="s">
        <v>727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5">
      <c r="A209" s="342" t="str">
        <f>A3</f>
        <v>2001 CURRENT ESTIMATE</v>
      </c>
      <c r="B209" s="763">
        <f ca="1">NOW()</f>
        <v>37109.471773495374</v>
      </c>
      <c r="C209" s="61" t="s">
        <v>728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" customHeight="1" x14ac:dyDescent="0.25">
      <c r="A210" s="62"/>
      <c r="B210" s="764">
        <f ca="1">NOW()</f>
        <v>37109.471773495374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" customHeight="1" x14ac:dyDescent="0.25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5">
      <c r="A212" s="331" t="s">
        <v>729</v>
      </c>
      <c r="B212" s="765"/>
    </row>
    <row r="213" spans="1:17" x14ac:dyDescent="0.25">
      <c r="A213" s="68" t="s">
        <v>624</v>
      </c>
      <c r="B213" s="765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5">
      <c r="A214" s="338" t="s">
        <v>687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5">
      <c r="A215" s="338" t="s">
        <v>688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" customHeight="1" x14ac:dyDescent="0.25"/>
    <row r="217" spans="1:17" x14ac:dyDescent="0.25">
      <c r="A217" s="68" t="s">
        <v>627</v>
      </c>
      <c r="B217" s="765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" customHeight="1" x14ac:dyDescent="0.25"/>
    <row r="219" spans="1:17" x14ac:dyDescent="0.25">
      <c r="A219" s="68" t="s">
        <v>730</v>
      </c>
      <c r="B219" s="765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" customHeight="1" x14ac:dyDescent="0.25"/>
    <row r="221" spans="1:17" x14ac:dyDescent="0.25">
      <c r="A221" s="337" t="s">
        <v>731</v>
      </c>
      <c r="B221" s="766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5">
      <c r="A222" s="67"/>
      <c r="B222" s="765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5">
      <c r="A223" s="337" t="s">
        <v>732</v>
      </c>
      <c r="B223" s="766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5"/>
    <row r="225" spans="1:17" x14ac:dyDescent="0.25">
      <c r="A225" s="68" t="s">
        <v>671</v>
      </c>
      <c r="B225" s="765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5">
      <c r="A226" s="78" t="s">
        <v>605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5">
      <c r="A227" s="98" t="s">
        <v>733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5">
      <c r="A228" s="68" t="s">
        <v>636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" customHeight="1" x14ac:dyDescent="0.25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5">
      <c r="A230" s="333" t="s">
        <v>637</v>
      </c>
      <c r="B230" s="772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5">
      <c r="A231" s="67"/>
      <c r="B231" s="765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5">
      <c r="A232" s="331" t="s">
        <v>734</v>
      </c>
      <c r="B232" s="773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5">
      <c r="A233" s="67"/>
      <c r="B233" s="765"/>
      <c r="C233" s="332"/>
    </row>
    <row r="234" spans="1:17" x14ac:dyDescent="0.25">
      <c r="A234" s="82"/>
      <c r="B234" s="767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5">
      <c r="A235" s="332"/>
      <c r="B235" s="771"/>
      <c r="C235" s="332"/>
    </row>
    <row r="236" spans="1:17" x14ac:dyDescent="0.25">
      <c r="A236" s="343" t="s">
        <v>735</v>
      </c>
      <c r="B236" s="765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" customHeight="1" x14ac:dyDescent="0.25">
      <c r="A237" s="67"/>
      <c r="B237" s="765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5">
      <c r="A238" s="331" t="s">
        <v>640</v>
      </c>
      <c r="B238" s="765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5">
      <c r="A239" s="332"/>
      <c r="B239" s="771"/>
      <c r="C239" s="332"/>
    </row>
    <row r="240" spans="1:17" x14ac:dyDescent="0.25">
      <c r="A240" s="78" t="s">
        <v>641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5">
      <c r="A241" s="67"/>
      <c r="B241" s="765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5">
      <c r="A242" s="68" t="s">
        <v>642</v>
      </c>
      <c r="B242" s="765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5">
      <c r="A243" s="67"/>
      <c r="B243" s="765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5">
      <c r="A244" s="338" t="s">
        <v>736</v>
      </c>
      <c r="B244" s="765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5">
      <c r="A245" s="67"/>
      <c r="B245" s="765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5">
      <c r="A246" s="68" t="s">
        <v>644</v>
      </c>
      <c r="B246" s="765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" customHeight="1" x14ac:dyDescent="0.25">
      <c r="A247" s="67"/>
      <c r="B247" s="765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5">
      <c r="A248" s="331" t="s">
        <v>645</v>
      </c>
      <c r="B248" s="771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5">
      <c r="A249" s="67"/>
      <c r="B249" s="765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5">
      <c r="A251" s="68" t="s">
        <v>646</v>
      </c>
      <c r="B251" s="765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5">
      <c r="A252" s="68" t="s">
        <v>647</v>
      </c>
      <c r="B252" s="765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5">
      <c r="A253" s="67"/>
      <c r="B253" s="765"/>
    </row>
    <row r="254" spans="1:17" x14ac:dyDescent="0.25">
      <c r="A254" s="66" t="s">
        <v>648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5">
      <c r="A255" s="67"/>
      <c r="B255" s="765"/>
    </row>
    <row r="256" spans="1:17" x14ac:dyDescent="0.25">
      <c r="A256" s="66" t="s">
        <v>649</v>
      </c>
      <c r="B256" s="765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5">
      <c r="B257" s="768"/>
    </row>
    <row r="258" spans="1:56" customFormat="1" x14ac:dyDescent="0.25">
      <c r="B258" s="768"/>
    </row>
    <row r="259" spans="1:56" customFormat="1" x14ac:dyDescent="0.25">
      <c r="B259" s="768"/>
    </row>
    <row r="260" spans="1:56" x14ac:dyDescent="0.25">
      <c r="A260" s="558" t="str">
        <f ca="1">A1</f>
        <v>P:\Finance\2001CE\[EMTW01CE.XLS]DataBase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5">
      <c r="A261" s="327" t="s">
        <v>737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5">
      <c r="A262" s="342" t="str">
        <f>A3</f>
        <v>2001 CURRENT ESTIMATE</v>
      </c>
      <c r="B262" s="763">
        <f ca="1">NOW()</f>
        <v>37109.471773495374</v>
      </c>
      <c r="C262" s="61" t="s">
        <v>738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" customHeight="1" x14ac:dyDescent="0.25">
      <c r="A263" s="62"/>
      <c r="B263" s="764">
        <f ca="1">NOW()</f>
        <v>37109.471773495374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" customHeight="1" x14ac:dyDescent="0.25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5">
      <c r="A265" s="331" t="s">
        <v>739</v>
      </c>
      <c r="B265" s="765"/>
    </row>
    <row r="266" spans="1:56" x14ac:dyDescent="0.25">
      <c r="A266" s="68" t="s">
        <v>624</v>
      </c>
      <c r="B266" s="765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5">
      <c r="A267" s="338" t="s">
        <v>687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5">
      <c r="A268" s="338" t="s">
        <v>688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" customHeight="1" x14ac:dyDescent="0.25"/>
    <row r="270" spans="1:56" x14ac:dyDescent="0.25">
      <c r="A270" s="68" t="s">
        <v>627</v>
      </c>
      <c r="B270" s="765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5"/>
    <row r="272" spans="1:56" x14ac:dyDescent="0.25">
      <c r="A272" s="338" t="s">
        <v>690</v>
      </c>
      <c r="B272" s="765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" customHeight="1" x14ac:dyDescent="0.25"/>
    <row r="274" spans="1:18" x14ac:dyDescent="0.25">
      <c r="A274" s="338" t="s">
        <v>740</v>
      </c>
      <c r="B274" s="765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5">
      <c r="A275" s="78" t="s">
        <v>693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5">
      <c r="A276" s="78" t="s">
        <v>606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" customHeight="1" x14ac:dyDescent="0.25">
      <c r="A277" s="59"/>
    </row>
    <row r="278" spans="1:18" x14ac:dyDescent="0.25">
      <c r="A278" s="337" t="s">
        <v>741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5">
      <c r="A279" s="345"/>
    </row>
    <row r="280" spans="1:18" x14ac:dyDescent="0.25">
      <c r="A280" s="337" t="s">
        <v>742</v>
      </c>
      <c r="B280" s="765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5">
      <c r="A281" s="98" t="s">
        <v>743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5">
      <c r="A282" s="98" t="s">
        <v>606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" customHeight="1" x14ac:dyDescent="0.25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5">
      <c r="A284" s="337" t="s">
        <v>744</v>
      </c>
      <c r="B284" s="766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5">
      <c r="Q285" s="77"/>
    </row>
    <row r="286" spans="1:18" x14ac:dyDescent="0.25">
      <c r="A286" s="68" t="s">
        <v>671</v>
      </c>
      <c r="B286" s="765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5">
      <c r="A287" s="98" t="s">
        <v>745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5">
      <c r="A288" s="78" t="s">
        <v>605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5">
      <c r="A289" s="68" t="s">
        <v>636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" customHeight="1" x14ac:dyDescent="0.25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5">
      <c r="A291" s="333" t="s">
        <v>637</v>
      </c>
      <c r="B291" s="769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5">
      <c r="A292" s="67"/>
      <c r="B292" s="765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5">
      <c r="A293" s="337" t="s">
        <v>746</v>
      </c>
      <c r="B293" s="766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5">
      <c r="A294" s="67"/>
      <c r="B294" s="765"/>
    </row>
    <row r="295" spans="1:17" x14ac:dyDescent="0.25">
      <c r="A295" s="82"/>
      <c r="B295" s="767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5">
      <c r="A297" s="346" t="s">
        <v>747</v>
      </c>
      <c r="B297" s="765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" customHeight="1" x14ac:dyDescent="0.25">
      <c r="A298" s="67"/>
      <c r="B298" s="765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5">
      <c r="A299" s="331" t="s">
        <v>640</v>
      </c>
      <c r="B299" s="765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5">
      <c r="A300" s="332"/>
    </row>
    <row r="301" spans="1:17" x14ac:dyDescent="0.25">
      <c r="A301" s="78" t="s">
        <v>708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5">
      <c r="A302" s="67"/>
      <c r="B302" s="765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5">
      <c r="A303" s="338" t="s">
        <v>748</v>
      </c>
      <c r="B303" s="765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5">
      <c r="A304" s="67"/>
      <c r="B304" s="765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5">
      <c r="A305" s="338" t="s">
        <v>726</v>
      </c>
      <c r="B305" s="765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5">
      <c r="A306" s="67"/>
      <c r="B306" s="765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5">
      <c r="A307" s="68" t="s">
        <v>677</v>
      </c>
      <c r="B307" s="765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" customHeight="1" x14ac:dyDescent="0.25">
      <c r="A308" s="67"/>
      <c r="B308" s="765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5">
      <c r="A309" s="331" t="s">
        <v>645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5">
      <c r="A310" s="67"/>
      <c r="B310" s="765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5">
      <c r="A312" s="68" t="s">
        <v>711</v>
      </c>
      <c r="B312" s="765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5">
      <c r="A313" s="68" t="s">
        <v>647</v>
      </c>
      <c r="B313" s="765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5">
      <c r="A314" s="67"/>
      <c r="B314" s="765"/>
    </row>
    <row r="315" spans="1:17" x14ac:dyDescent="0.25">
      <c r="A315" s="66" t="s">
        <v>648</v>
      </c>
      <c r="B315" s="766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5">
      <c r="A316" s="67"/>
      <c r="B316" s="765"/>
    </row>
    <row r="317" spans="1:17" x14ac:dyDescent="0.25">
      <c r="A317" s="66" t="s">
        <v>649</v>
      </c>
      <c r="B317" s="765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5">
      <c r="B318" s="768"/>
    </row>
    <row r="319" spans="1:17" customFormat="1" ht="5.25" customHeight="1" x14ac:dyDescent="0.25">
      <c r="B319" s="768"/>
    </row>
    <row r="320" spans="1:17" customFormat="1" ht="5.25" customHeight="1" x14ac:dyDescent="0.25">
      <c r="B320" s="768"/>
    </row>
    <row r="321" spans="1:16" x14ac:dyDescent="0.25">
      <c r="A321" s="558" t="str">
        <f ca="1">A1</f>
        <v>P:\Finance\2001CE\[EMTW01CE.XLS]DataBase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5">
      <c r="A322" s="327" t="s">
        <v>749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5">
      <c r="A323" s="342" t="str">
        <f>A3</f>
        <v>2001 CURRENT ESTIMATE</v>
      </c>
      <c r="B323" s="763">
        <f ca="1">NOW()</f>
        <v>37109.471773495374</v>
      </c>
      <c r="C323" s="61" t="s">
        <v>750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" customHeight="1" x14ac:dyDescent="0.25">
      <c r="A324" s="62"/>
      <c r="B324" s="764">
        <f ca="1">NOW()</f>
        <v>37109.471773495374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" customHeight="1" x14ac:dyDescent="0.25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5">
      <c r="A326" s="331" t="s">
        <v>751</v>
      </c>
      <c r="B326" s="765"/>
    </row>
    <row r="327" spans="1:16" x14ac:dyDescent="0.25">
      <c r="A327" s="68" t="s">
        <v>624</v>
      </c>
      <c r="B327" s="765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5">
      <c r="A328" s="338" t="s">
        <v>687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5">
      <c r="A329" s="338" t="s">
        <v>688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" customHeight="1" x14ac:dyDescent="0.25"/>
    <row r="331" spans="1:16" x14ac:dyDescent="0.25">
      <c r="A331" s="68" t="s">
        <v>627</v>
      </c>
      <c r="B331" s="765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" customHeight="1" x14ac:dyDescent="0.25"/>
    <row r="333" spans="1:16" x14ac:dyDescent="0.25">
      <c r="A333" s="338" t="s">
        <v>752</v>
      </c>
      <c r="B333" s="765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" customHeight="1" x14ac:dyDescent="0.25"/>
    <row r="335" spans="1:16" x14ac:dyDescent="0.25">
      <c r="A335" s="338" t="s">
        <v>753</v>
      </c>
      <c r="B335" s="765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5">
      <c r="A336" s="78" t="s">
        <v>693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5">
      <c r="A337" s="98" t="s">
        <v>754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5">
      <c r="A338" s="78" t="s">
        <v>606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5">
      <c r="A339" s="78" t="s">
        <v>606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" customHeight="1" x14ac:dyDescent="0.25"/>
    <row r="341" spans="1:16" x14ac:dyDescent="0.25">
      <c r="A341" s="337" t="s">
        <v>755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5">
      <c r="A342" s="345"/>
    </row>
    <row r="343" spans="1:16" x14ac:dyDescent="0.25">
      <c r="A343" s="337" t="s">
        <v>756</v>
      </c>
      <c r="B343" s="765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5">
      <c r="A344" s="98" t="s">
        <v>757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5">
      <c r="A345" s="78" t="s">
        <v>760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5">
      <c r="A346" s="78" t="s">
        <v>606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5">
      <c r="A347" s="78" t="s">
        <v>606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" customHeight="1" x14ac:dyDescent="0.25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5">
      <c r="A349" s="337" t="s">
        <v>761</v>
      </c>
      <c r="B349" s="766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5"/>
    <row r="351" spans="1:16" x14ac:dyDescent="0.25">
      <c r="A351" s="68" t="s">
        <v>671</v>
      </c>
      <c r="B351" s="765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5">
      <c r="A352" s="78" t="s">
        <v>605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5">
      <c r="A353" s="78" t="s">
        <v>605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5">
      <c r="A354" s="68" t="s">
        <v>636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" customHeight="1" x14ac:dyDescent="0.25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5">
      <c r="A356" s="57" t="s">
        <v>637</v>
      </c>
      <c r="B356" s="769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5">
      <c r="A357" s="67"/>
      <c r="B357" s="765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5">
      <c r="A358" s="66" t="s">
        <v>762</v>
      </c>
      <c r="B358" s="766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5">
      <c r="A359" s="67"/>
      <c r="B359" s="765"/>
    </row>
    <row r="360" spans="1:16" ht="6" customHeight="1" x14ac:dyDescent="0.25">
      <c r="A360" s="82"/>
      <c r="B360" s="767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5"/>
    <row r="362" spans="1:16" x14ac:dyDescent="0.25">
      <c r="A362" s="343" t="s">
        <v>763</v>
      </c>
      <c r="B362" s="765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" customHeight="1" x14ac:dyDescent="0.25">
      <c r="A363" s="67"/>
      <c r="B363" s="765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5">
      <c r="A364" s="331" t="s">
        <v>640</v>
      </c>
      <c r="B364" s="765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5">
      <c r="A365" s="332"/>
    </row>
    <row r="366" spans="1:16" x14ac:dyDescent="0.25">
      <c r="A366" s="98" t="s">
        <v>708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5">
      <c r="A367" s="67"/>
      <c r="B367" s="765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5">
      <c r="A368" s="338" t="s">
        <v>748</v>
      </c>
      <c r="B368" s="765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5">
      <c r="A369" s="67"/>
      <c r="B369" s="765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5">
      <c r="A370" s="338" t="s">
        <v>764</v>
      </c>
      <c r="B370" s="765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5">
      <c r="A371" s="67"/>
      <c r="B371" s="765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5">
      <c r="A372" s="68" t="s">
        <v>677</v>
      </c>
      <c r="B372" s="765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" customHeight="1" x14ac:dyDescent="0.25">
      <c r="A373" s="67"/>
      <c r="B373" s="765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5">
      <c r="A374" s="331" t="s">
        <v>645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5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5"/>
    <row r="377" spans="1:16" x14ac:dyDescent="0.25">
      <c r="A377" s="68" t="s">
        <v>765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5">
      <c r="A378" s="68" t="s">
        <v>647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5">
      <c r="A379" s="67"/>
      <c r="C379" s="67"/>
    </row>
    <row r="380" spans="1:16" x14ac:dyDescent="0.25">
      <c r="A380" s="66" t="s">
        <v>648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5">
      <c r="A381" s="67"/>
      <c r="B381" s="765"/>
    </row>
    <row r="382" spans="1:16" x14ac:dyDescent="0.25">
      <c r="A382" s="66" t="s">
        <v>649</v>
      </c>
      <c r="B382" s="765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5">
      <c r="B384" s="768"/>
    </row>
    <row r="385" spans="1:16" customFormat="1" x14ac:dyDescent="0.25">
      <c r="B385" s="768"/>
    </row>
    <row r="386" spans="1:16" x14ac:dyDescent="0.25">
      <c r="A386" s="558" t="str">
        <f ca="1">A1</f>
        <v>P:\Finance\2001CE\[EMTW01CE.XLS]DataBase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5">
      <c r="A387" s="327" t="s">
        <v>766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5">
      <c r="A388" s="342" t="str">
        <f>A3</f>
        <v>2001 CURRENT ESTIMATE</v>
      </c>
      <c r="B388" s="763">
        <f ca="1">NOW()</f>
        <v>37109.471773495374</v>
      </c>
      <c r="C388" s="61" t="s">
        <v>750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5">
      <c r="A389" s="62"/>
      <c r="B389" s="764">
        <f ca="1">NOW()</f>
        <v>37109.471773495374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" customHeight="1" x14ac:dyDescent="0.25"/>
    <row r="391" spans="1:16" x14ac:dyDescent="0.25">
      <c r="A391" s="343" t="s">
        <v>767</v>
      </c>
      <c r="B391" s="765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" customHeight="1" x14ac:dyDescent="0.25">
      <c r="A392" s="67"/>
      <c r="B392" s="765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5">
      <c r="A393" s="331" t="s">
        <v>640</v>
      </c>
      <c r="B393" s="765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5"/>
    <row r="395" spans="1:16" x14ac:dyDescent="0.25">
      <c r="A395" s="98" t="s">
        <v>708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5">
      <c r="A396" s="67"/>
      <c r="B396" s="765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5">
      <c r="A397" s="338" t="s">
        <v>748</v>
      </c>
      <c r="B397" s="765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5">
      <c r="A398" s="67"/>
      <c r="B398" s="765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5">
      <c r="A399" s="338" t="s">
        <v>768</v>
      </c>
      <c r="B399" s="765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5">
      <c r="A400" s="67"/>
      <c r="B400" s="765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5">
      <c r="A401" s="68" t="s">
        <v>677</v>
      </c>
      <c r="B401" s="765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" customHeight="1" x14ac:dyDescent="0.25">
      <c r="A402" s="67"/>
      <c r="B402" s="765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5">
      <c r="A403" s="331" t="s">
        <v>645</v>
      </c>
      <c r="B403" s="771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5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5">
      <c r="A405" s="68" t="s">
        <v>646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5">
      <c r="A406" s="68" t="s">
        <v>647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5">
      <c r="A407" s="67"/>
      <c r="C407" s="67"/>
    </row>
    <row r="408" spans="1:16" x14ac:dyDescent="0.25">
      <c r="A408" s="331" t="s">
        <v>648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5">
      <c r="A409" s="67"/>
      <c r="B409" s="765"/>
    </row>
    <row r="410" spans="1:16" x14ac:dyDescent="0.25">
      <c r="A410" s="331" t="s">
        <v>649</v>
      </c>
      <c r="B410" s="765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5">
      <c r="A413" s="343" t="s">
        <v>769</v>
      </c>
      <c r="B413" s="765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" customHeight="1" x14ac:dyDescent="0.25">
      <c r="A414" s="67"/>
      <c r="B414" s="765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5">
      <c r="A415" s="331" t="s">
        <v>640</v>
      </c>
      <c r="B415" s="765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5"/>
    <row r="417" spans="1:16" x14ac:dyDescent="0.25">
      <c r="A417" s="78" t="s">
        <v>770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5">
      <c r="A418" s="67"/>
      <c r="B418" s="765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5">
      <c r="A419" s="338" t="s">
        <v>771</v>
      </c>
      <c r="B419" s="765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5">
      <c r="A420" s="67"/>
      <c r="B420" s="765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5">
      <c r="A421" s="68" t="s">
        <v>772</v>
      </c>
      <c r="B421" s="765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5">
      <c r="A422" s="67"/>
      <c r="B422" s="765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5">
      <c r="A423" s="68" t="s">
        <v>677</v>
      </c>
      <c r="B423" s="765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" customHeight="1" x14ac:dyDescent="0.25">
      <c r="A424" s="67"/>
      <c r="B424" s="765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5">
      <c r="A425" s="331" t="s">
        <v>645</v>
      </c>
      <c r="B425" s="771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5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5">
      <c r="A427" s="68" t="s">
        <v>773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5">
      <c r="A428" s="68" t="s">
        <v>647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5">
      <c r="A429" s="67"/>
      <c r="C429" s="67"/>
    </row>
    <row r="430" spans="1:16" x14ac:dyDescent="0.25">
      <c r="A430" s="331" t="s">
        <v>648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5">
      <c r="A431" s="67"/>
      <c r="B431" s="765"/>
    </row>
    <row r="432" spans="1:16" x14ac:dyDescent="0.25">
      <c r="A432" s="331" t="s">
        <v>649</v>
      </c>
      <c r="B432" s="765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5">
      <c r="A433" s="332"/>
    </row>
    <row r="434" spans="1:16" x14ac:dyDescent="0.25">
      <c r="A434" s="332"/>
    </row>
    <row r="435" spans="1:16" x14ac:dyDescent="0.25">
      <c r="A435" s="343" t="s">
        <v>774</v>
      </c>
      <c r="B435" s="765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" customHeight="1" x14ac:dyDescent="0.25">
      <c r="A436" s="67"/>
      <c r="B436" s="765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5">
      <c r="A437" s="331" t="s">
        <v>640</v>
      </c>
      <c r="B437" s="765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5"/>
    <row r="439" spans="1:16" x14ac:dyDescent="0.25">
      <c r="A439" s="78" t="s">
        <v>770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5">
      <c r="A440" s="67"/>
      <c r="B440" s="765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5">
      <c r="A441" s="68" t="s">
        <v>642</v>
      </c>
      <c r="B441" s="765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5">
      <c r="A442" s="67"/>
      <c r="B442" s="765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5">
      <c r="A443" s="68" t="s">
        <v>772</v>
      </c>
      <c r="B443" s="765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5">
      <c r="A444" s="67"/>
      <c r="B444" s="765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5">
      <c r="A445" s="68" t="s">
        <v>677</v>
      </c>
      <c r="B445" s="765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" customHeight="1" x14ac:dyDescent="0.25">
      <c r="A446" s="67"/>
      <c r="B446" s="765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5">
      <c r="A447" s="331" t="s">
        <v>645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5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5">
      <c r="A449" s="68" t="s">
        <v>765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5">
      <c r="A450" s="68" t="s">
        <v>647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5">
      <c r="A451" s="67"/>
      <c r="C451" s="67"/>
    </row>
    <row r="452" spans="1:16" x14ac:dyDescent="0.25">
      <c r="A452" s="66" t="s">
        <v>648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5">
      <c r="A453" s="67"/>
      <c r="B453" s="765"/>
    </row>
    <row r="454" spans="1:16" x14ac:dyDescent="0.25">
      <c r="A454" s="66" t="s">
        <v>649</v>
      </c>
      <c r="B454" s="765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5">
      <c r="B456" s="774"/>
    </row>
    <row r="458" spans="1:16" x14ac:dyDescent="0.25">
      <c r="A458" s="558" t="str">
        <f ca="1">A1</f>
        <v>P:\Finance\2001CE\[EMTW01CE.XLS]DataBase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5">
      <c r="A459" s="327" t="s">
        <v>775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5">
      <c r="A460" s="342" t="str">
        <f>A3</f>
        <v>2001 CURRENT ESTIMATE</v>
      </c>
      <c r="B460" s="763">
        <f ca="1">NOW()</f>
        <v>37109.471773495374</v>
      </c>
      <c r="C460" s="61" t="s">
        <v>776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" customHeight="1" x14ac:dyDescent="0.25">
      <c r="A461" s="62"/>
      <c r="B461" s="764">
        <f ca="1">NOW()</f>
        <v>37109.471773495374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" customHeight="1" x14ac:dyDescent="0.25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5">
      <c r="A463" s="337" t="s">
        <v>777</v>
      </c>
      <c r="B463" s="765"/>
    </row>
    <row r="464" spans="1:16" x14ac:dyDescent="0.25">
      <c r="A464" s="68" t="s">
        <v>624</v>
      </c>
      <c r="B464" s="765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5">
      <c r="A465" s="338" t="s">
        <v>687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5">
      <c r="A466" s="338" t="s">
        <v>688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" customHeight="1" x14ac:dyDescent="0.25"/>
    <row r="468" spans="1:16" x14ac:dyDescent="0.25">
      <c r="A468" s="68" t="s">
        <v>627</v>
      </c>
      <c r="B468" s="765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" customHeight="1" x14ac:dyDescent="0.25"/>
    <row r="470" spans="1:16" x14ac:dyDescent="0.25">
      <c r="A470" s="68" t="s">
        <v>778</v>
      </c>
      <c r="B470" s="765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" customHeight="1" x14ac:dyDescent="0.25"/>
    <row r="472" spans="1:16" x14ac:dyDescent="0.25">
      <c r="A472" s="338" t="s">
        <v>779</v>
      </c>
      <c r="B472" s="765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5">
      <c r="A473" s="78" t="s">
        <v>606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5">
      <c r="A474" s="78" t="s">
        <v>606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" customHeight="1" x14ac:dyDescent="0.25"/>
    <row r="476" spans="1:16" x14ac:dyDescent="0.25">
      <c r="A476" s="337" t="s">
        <v>780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5">
      <c r="A477" s="345"/>
    </row>
    <row r="478" spans="1:16" x14ac:dyDescent="0.25">
      <c r="A478" s="337" t="s">
        <v>781</v>
      </c>
      <c r="B478" s="765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5">
      <c r="A479" s="98" t="s">
        <v>782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5">
      <c r="A480" s="98" t="s">
        <v>783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5">
      <c r="A481" s="98" t="s">
        <v>606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5">
      <c r="A482" s="98" t="s">
        <v>606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" customHeight="1" x14ac:dyDescent="0.25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5">
      <c r="A484" s="337" t="s">
        <v>784</v>
      </c>
      <c r="B484" s="766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5"/>
    <row r="486" spans="1:16" x14ac:dyDescent="0.25">
      <c r="A486" s="68" t="s">
        <v>671</v>
      </c>
      <c r="B486" s="765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5">
      <c r="A487" s="78" t="s">
        <v>785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5">
      <c r="A488" s="78" t="s">
        <v>605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5">
      <c r="A489" s="68" t="s">
        <v>636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" customHeight="1" x14ac:dyDescent="0.25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5">
      <c r="A491" s="333" t="s">
        <v>637</v>
      </c>
      <c r="B491" s="769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5">
      <c r="A492" s="67"/>
      <c r="B492" s="765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5">
      <c r="A493" s="337" t="s">
        <v>786</v>
      </c>
      <c r="B493" s="766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5">
      <c r="A494" s="67"/>
      <c r="B494" s="765"/>
    </row>
    <row r="495" spans="1:16" x14ac:dyDescent="0.25">
      <c r="A495" s="82"/>
      <c r="B495" s="767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5">
      <c r="A496" s="332"/>
    </row>
    <row r="497" spans="1:16" x14ac:dyDescent="0.25">
      <c r="A497" s="343" t="s">
        <v>787</v>
      </c>
      <c r="B497" s="765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" customHeight="1" x14ac:dyDescent="0.25">
      <c r="A498" s="67"/>
      <c r="B498" s="765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5">
      <c r="A499" s="331" t="s">
        <v>640</v>
      </c>
      <c r="B499" s="765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5">
      <c r="A500" s="332"/>
    </row>
    <row r="501" spans="1:16" x14ac:dyDescent="0.25">
      <c r="A501" s="98" t="s">
        <v>788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5">
      <c r="A502" s="67"/>
      <c r="B502" s="765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5">
      <c r="A503" s="338" t="s">
        <v>748</v>
      </c>
      <c r="B503" s="765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5">
      <c r="A504" s="67"/>
      <c r="B504" s="765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5">
      <c r="A505" s="338" t="s">
        <v>736</v>
      </c>
      <c r="B505" s="765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5">
      <c r="A506" s="67"/>
      <c r="B506" s="765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5">
      <c r="A507" s="68" t="s">
        <v>677</v>
      </c>
      <c r="B507" s="765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" customHeight="1" x14ac:dyDescent="0.25">
      <c r="A508" s="67"/>
      <c r="B508" s="765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5">
      <c r="A509" s="331" t="s">
        <v>645</v>
      </c>
      <c r="B509" s="771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5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5">
      <c r="A512" s="68" t="s">
        <v>711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5">
      <c r="A513" s="68" t="s">
        <v>647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5">
      <c r="A514" s="67"/>
      <c r="C514" s="67"/>
    </row>
    <row r="515" spans="1:16" x14ac:dyDescent="0.25">
      <c r="A515" s="331" t="s">
        <v>648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5">
      <c r="A516" s="67"/>
      <c r="B516" s="765"/>
    </row>
    <row r="517" spans="1:16" x14ac:dyDescent="0.25">
      <c r="A517" s="331" t="s">
        <v>649</v>
      </c>
      <c r="B517" s="765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5">
      <c r="B519" s="768"/>
    </row>
    <row r="520" spans="1:16" x14ac:dyDescent="0.25">
      <c r="A520" s="342" t="str">
        <f ca="1">A1</f>
        <v>P:\Finance\2001CE\[EMTW01CE.XLS]DataBase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5">
      <c r="A521" s="327" t="s">
        <v>789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5">
      <c r="A522" s="342" t="str">
        <f>A3</f>
        <v>2001 CURRENT ESTIMATE</v>
      </c>
      <c r="B522" s="763">
        <f ca="1">NOW()</f>
        <v>37109.471773495374</v>
      </c>
      <c r="C522" s="61" t="s">
        <v>790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" customHeight="1" x14ac:dyDescent="0.25">
      <c r="A523" s="62"/>
      <c r="B523" s="764">
        <f ca="1">NOW()</f>
        <v>37109.471773495374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" customHeight="1" x14ac:dyDescent="0.25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5">
      <c r="A525" s="331" t="s">
        <v>791</v>
      </c>
      <c r="B525" s="765"/>
    </row>
    <row r="526" spans="1:16" x14ac:dyDescent="0.25">
      <c r="A526" s="68" t="s">
        <v>624</v>
      </c>
      <c r="B526" s="765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5">
      <c r="A527" s="338" t="s">
        <v>687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5">
      <c r="A528" s="338" t="s">
        <v>688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" customHeight="1" x14ac:dyDescent="0.25"/>
    <row r="530" spans="1:16" x14ac:dyDescent="0.25">
      <c r="A530" s="68" t="s">
        <v>627</v>
      </c>
      <c r="B530" s="765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" customHeight="1" x14ac:dyDescent="0.25"/>
    <row r="532" spans="1:16" x14ac:dyDescent="0.25">
      <c r="A532" s="338" t="s">
        <v>792</v>
      </c>
      <c r="B532" s="765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" customHeight="1" x14ac:dyDescent="0.25"/>
    <row r="534" spans="1:16" x14ac:dyDescent="0.25">
      <c r="A534" s="337" t="s">
        <v>793</v>
      </c>
      <c r="B534" s="766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5">
      <c r="A535" s="67"/>
      <c r="B535" s="765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5">
      <c r="A536" s="337" t="s">
        <v>795</v>
      </c>
      <c r="B536" s="766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5"/>
    <row r="538" spans="1:16" x14ac:dyDescent="0.25">
      <c r="A538" s="68" t="s">
        <v>671</v>
      </c>
      <c r="B538" s="765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5">
      <c r="A539" s="78" t="s">
        <v>605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5">
      <c r="A540" s="78" t="s">
        <v>605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5">
      <c r="A541" s="68" t="s">
        <v>636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" customHeight="1" x14ac:dyDescent="0.25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5">
      <c r="A543" s="333" t="s">
        <v>637</v>
      </c>
      <c r="B543" s="769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5">
      <c r="A544" s="67"/>
      <c r="B544" s="765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5">
      <c r="A545" s="331" t="s">
        <v>796</v>
      </c>
      <c r="B545" s="766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5">
      <c r="A546" s="67"/>
      <c r="B546" s="765"/>
    </row>
    <row r="547" spans="1:16" x14ac:dyDescent="0.25">
      <c r="A547" s="82"/>
      <c r="B547" s="767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5">
      <c r="A548" s="332"/>
    </row>
    <row r="549" spans="1:16" x14ac:dyDescent="0.25">
      <c r="A549" s="343" t="s">
        <v>797</v>
      </c>
      <c r="B549" s="765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" customHeight="1" x14ac:dyDescent="0.25">
      <c r="A550" s="67"/>
      <c r="B550" s="765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5">
      <c r="A551" s="331" t="s">
        <v>640</v>
      </c>
      <c r="B551" s="765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5">
      <c r="A552" s="332"/>
    </row>
    <row r="553" spans="1:16" x14ac:dyDescent="0.25">
      <c r="A553" s="78" t="s">
        <v>641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5">
      <c r="A554" s="67"/>
      <c r="B554" s="765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5">
      <c r="A555" s="338" t="s">
        <v>748</v>
      </c>
      <c r="B555" s="765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5">
      <c r="A556" s="67"/>
      <c r="B556" s="765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5">
      <c r="A557" s="338" t="s">
        <v>736</v>
      </c>
      <c r="B557" s="765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5">
      <c r="A558" s="67"/>
      <c r="B558" s="765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5">
      <c r="A559" s="68" t="s">
        <v>644</v>
      </c>
      <c r="B559" s="765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" customHeight="1" x14ac:dyDescent="0.25">
      <c r="A560" s="67"/>
      <c r="B560" s="765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5">
      <c r="A561" s="331" t="s">
        <v>645</v>
      </c>
      <c r="B561" s="771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5">
      <c r="A562" s="67"/>
      <c r="B562" s="765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5">
      <c r="A564" s="68" t="s">
        <v>711</v>
      </c>
      <c r="B564" s="765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5">
      <c r="A565" s="68" t="s">
        <v>647</v>
      </c>
      <c r="B565" s="765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5">
      <c r="A566" s="67"/>
      <c r="B566" s="765"/>
    </row>
    <row r="567" spans="1:16" x14ac:dyDescent="0.25">
      <c r="A567" s="331" t="s">
        <v>648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5">
      <c r="A568" s="67"/>
      <c r="B568" s="765"/>
    </row>
    <row r="569" spans="1:16" x14ac:dyDescent="0.25">
      <c r="A569" s="331" t="s">
        <v>649</v>
      </c>
      <c r="B569" s="765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5">
      <c r="B571" s="768"/>
    </row>
    <row r="572" spans="1:16" x14ac:dyDescent="0.25">
      <c r="A572" s="342" t="str">
        <f ca="1">A1</f>
        <v>P:\Finance\2001CE\[EMTW01CE.XLS]DataBase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5">
      <c r="A573" s="327" t="s">
        <v>798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5">
      <c r="A574" s="342" t="str">
        <f>A3</f>
        <v>2001 CURRENT ESTIMATE</v>
      </c>
      <c r="B574" s="763">
        <f ca="1">NOW()</f>
        <v>37109.471773495374</v>
      </c>
      <c r="C574" s="61" t="s">
        <v>799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" customHeight="1" x14ac:dyDescent="0.25">
      <c r="A575" s="62"/>
      <c r="B575" s="764">
        <f ca="1">NOW()</f>
        <v>37109.471773495374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" customHeight="1" x14ac:dyDescent="0.25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5">
      <c r="A577" s="331" t="s">
        <v>800</v>
      </c>
      <c r="B577" s="765"/>
    </row>
    <row r="578" spans="1:16" x14ac:dyDescent="0.25">
      <c r="A578" s="68" t="s">
        <v>624</v>
      </c>
      <c r="B578" s="765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5">
      <c r="A579" s="338" t="s">
        <v>687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5">
      <c r="A580" s="338" t="s">
        <v>688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" customHeight="1" x14ac:dyDescent="0.25"/>
    <row r="582" spans="1:16" x14ac:dyDescent="0.25">
      <c r="A582" s="68" t="s">
        <v>627</v>
      </c>
      <c r="B582" s="765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" customHeight="1" x14ac:dyDescent="0.25"/>
    <row r="584" spans="1:16" x14ac:dyDescent="0.25">
      <c r="A584" s="338" t="s">
        <v>801</v>
      </c>
      <c r="B584" s="765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" customHeight="1" x14ac:dyDescent="0.25"/>
    <row r="586" spans="1:16" x14ac:dyDescent="0.25">
      <c r="A586" s="337" t="s">
        <v>802</v>
      </c>
      <c r="B586" s="766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5">
      <c r="A587" s="67"/>
      <c r="B587" s="765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5">
      <c r="A588" s="337" t="s">
        <v>803</v>
      </c>
      <c r="B588" s="766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5">
      <c r="A590" s="68" t="s">
        <v>671</v>
      </c>
      <c r="B590" s="765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5">
      <c r="A591" s="78" t="s">
        <v>605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5">
      <c r="A592" s="78" t="s">
        <v>605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5">
      <c r="A593" s="68" t="s">
        <v>636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" customHeight="1" x14ac:dyDescent="0.25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5">
      <c r="A595" s="333" t="s">
        <v>637</v>
      </c>
      <c r="B595" s="769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5">
      <c r="A596" s="67"/>
      <c r="B596" s="765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5">
      <c r="A597" s="331" t="s">
        <v>804</v>
      </c>
      <c r="B597" s="766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5">
      <c r="A598" s="67"/>
      <c r="B598" s="765"/>
    </row>
    <row r="599" spans="1:16" x14ac:dyDescent="0.25">
      <c r="A599" s="82"/>
      <c r="B599" s="767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5">
      <c r="A600" s="332"/>
    </row>
    <row r="601" spans="1:16" x14ac:dyDescent="0.25">
      <c r="A601" s="343" t="s">
        <v>805</v>
      </c>
      <c r="B601" s="765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" customHeight="1" x14ac:dyDescent="0.25">
      <c r="A602" s="67"/>
      <c r="B602" s="765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5">
      <c r="A603" s="331" t="s">
        <v>640</v>
      </c>
      <c r="B603" s="765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5"/>
    <row r="605" spans="1:16" x14ac:dyDescent="0.25">
      <c r="A605" s="78" t="s">
        <v>641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5">
      <c r="A606" s="67"/>
      <c r="B606" s="765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5">
      <c r="A607" s="338" t="s">
        <v>748</v>
      </c>
      <c r="B607" s="765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5">
      <c r="A608" s="67"/>
      <c r="B608" s="765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5">
      <c r="A609" s="78" t="s">
        <v>643</v>
      </c>
      <c r="B609" s="765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5">
      <c r="A610" s="67"/>
      <c r="B610" s="765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5">
      <c r="A611" s="68" t="s">
        <v>644</v>
      </c>
      <c r="B611" s="765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" customHeight="1" x14ac:dyDescent="0.25">
      <c r="A612" s="67"/>
      <c r="B612" s="765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5">
      <c r="A613" s="331" t="s">
        <v>645</v>
      </c>
      <c r="B613" s="771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5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5">
      <c r="A616" s="68" t="s">
        <v>711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5">
      <c r="A617" s="68" t="s">
        <v>647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5">
      <c r="A618" s="67"/>
      <c r="C618" s="67"/>
    </row>
    <row r="619" spans="1:16" x14ac:dyDescent="0.25">
      <c r="A619" s="66" t="s">
        <v>648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5">
      <c r="A620" s="67"/>
      <c r="B620" s="765"/>
    </row>
    <row r="621" spans="1:16" x14ac:dyDescent="0.25">
      <c r="A621" s="66" t="s">
        <v>649</v>
      </c>
      <c r="B621" s="765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5">
      <c r="A623" s="342" t="str">
        <f ca="1">A1</f>
        <v>P:\Finance\2001CE\[EMTW01CE.XLS]DataBase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5">
      <c r="A624" s="326" t="s">
        <v>806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5">
      <c r="A625" s="342" t="str">
        <f>A3</f>
        <v>2001 CURRENT ESTIMATE</v>
      </c>
      <c r="B625" s="763">
        <f ca="1">NOW()</f>
        <v>37109.471773495374</v>
      </c>
      <c r="C625" s="482" t="s">
        <v>807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5">
      <c r="A626" s="62"/>
      <c r="B626" s="764">
        <f ca="1">NOW()</f>
        <v>37109.471773495374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" customHeight="1" x14ac:dyDescent="0.25"/>
    <row r="628" spans="1:16" x14ac:dyDescent="0.25">
      <c r="A628" s="343" t="s">
        <v>808</v>
      </c>
      <c r="B628" s="765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" customHeight="1" x14ac:dyDescent="0.25">
      <c r="A629" s="67"/>
      <c r="B629" s="765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5">
      <c r="A630" s="331" t="s">
        <v>640</v>
      </c>
      <c r="B630" s="765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5"/>
    <row r="632" spans="1:16" x14ac:dyDescent="0.25">
      <c r="A632" s="78" t="s">
        <v>641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5">
      <c r="A633" s="67"/>
      <c r="B633" s="765"/>
    </row>
    <row r="634" spans="1:16" x14ac:dyDescent="0.25">
      <c r="A634" s="338" t="s">
        <v>1063</v>
      </c>
      <c r="B634" s="765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5">
      <c r="A635" s="67"/>
      <c r="B635" s="765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5">
      <c r="A636" s="78" t="s">
        <v>643</v>
      </c>
      <c r="B636" s="765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5">
      <c r="A637" s="67"/>
      <c r="B637" s="765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5">
      <c r="A638" s="68" t="s">
        <v>644</v>
      </c>
      <c r="B638" s="765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" customHeight="1" x14ac:dyDescent="0.25">
      <c r="A639" s="67"/>
      <c r="B639" s="765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5">
      <c r="A640" s="331" t="s">
        <v>645</v>
      </c>
      <c r="B640" s="771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5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5">
      <c r="A643" s="68" t="s">
        <v>711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5">
      <c r="A644" s="68" t="s">
        <v>647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5">
      <c r="A645" s="67"/>
      <c r="C645" s="67"/>
    </row>
    <row r="646" spans="1:16" x14ac:dyDescent="0.25">
      <c r="A646" s="66" t="s">
        <v>648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5">
      <c r="A647" s="67"/>
      <c r="B647" s="765"/>
    </row>
    <row r="648" spans="1:16" x14ac:dyDescent="0.25">
      <c r="A648" s="66" t="s">
        <v>649</v>
      </c>
      <c r="B648" s="765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5">
      <c r="A655" s="107"/>
    </row>
    <row r="656" spans="1:16" x14ac:dyDescent="0.25">
      <c r="A656" s="107"/>
    </row>
    <row r="657" spans="1:1" x14ac:dyDescent="0.25">
      <c r="A657" s="107"/>
    </row>
    <row r="658" spans="1:1" x14ac:dyDescent="0.25">
      <c r="A658" s="107"/>
    </row>
    <row r="659" spans="1:1" x14ac:dyDescent="0.25">
      <c r="A659" s="107"/>
    </row>
    <row r="660" spans="1:1" x14ac:dyDescent="0.25">
      <c r="A660" s="107"/>
    </row>
    <row r="661" spans="1:1" x14ac:dyDescent="0.25">
      <c r="A661" s="107"/>
    </row>
    <row r="662" spans="1:1" x14ac:dyDescent="0.25">
      <c r="A662" s="107"/>
    </row>
    <row r="663" spans="1:1" x14ac:dyDescent="0.25">
      <c r="A663" s="107"/>
    </row>
    <row r="664" spans="1:1" x14ac:dyDescent="0.25">
      <c r="A664" s="107"/>
    </row>
    <row r="665" spans="1:1" x14ac:dyDescent="0.25">
      <c r="A665" s="107"/>
    </row>
    <row r="668" spans="1:1" x14ac:dyDescent="0.25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1"/>
  <sheetViews>
    <sheetView showGridLines="0" topLeftCell="A28" workbookViewId="0">
      <pane xSplit="2" ySplit="3" topLeftCell="E31" activePane="bottomRight" state="frozen"/>
      <selection activeCell="A28" sqref="A28"/>
      <selection pane="topRight" activeCell="C28" sqref="C28"/>
      <selection pane="bottomLeft" activeCell="A31" sqref="A31"/>
      <selection pane="bottomRight" activeCell="I35" sqref="I35"/>
    </sheetView>
  </sheetViews>
  <sheetFormatPr defaultColWidth="10.6640625" defaultRowHeight="13.2" x14ac:dyDescent="0.25"/>
  <cols>
    <col min="1" max="1" width="45.6640625" style="109" customWidth="1"/>
    <col min="2" max="2" width="8.6640625" style="783" customWidth="1"/>
    <col min="3" max="14" width="8.6640625" style="109" customWidth="1"/>
    <col min="15" max="17" width="9.6640625" style="109" customWidth="1"/>
    <col min="18" max="16384" width="10.6640625" style="109"/>
  </cols>
  <sheetData>
    <row r="1" spans="1:18" x14ac:dyDescent="0.25">
      <c r="A1" s="552" t="str">
        <f ca="1">CELL("FILENAME")</f>
        <v>P:\Finance\2001CE\[EMTW01CE.XLS]DataBase</v>
      </c>
    </row>
    <row r="2" spans="1:18" x14ac:dyDescent="0.25">
      <c r="A2" s="375" t="s">
        <v>616</v>
      </c>
      <c r="C2" s="110" t="s">
        <v>590</v>
      </c>
      <c r="D2" s="110" t="s">
        <v>590</v>
      </c>
      <c r="E2" s="110" t="s">
        <v>590</v>
      </c>
      <c r="F2" s="110" t="s">
        <v>590</v>
      </c>
      <c r="G2" s="488"/>
      <c r="H2" s="110" t="s">
        <v>590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5">
      <c r="A3" s="555" t="str">
        <f>IncomeState!A3</f>
        <v>2001 CURRENT ESTIMATE</v>
      </c>
      <c r="B3" s="784">
        <f ca="1">NOW()</f>
        <v>37109.471773495374</v>
      </c>
      <c r="C3" s="562" t="str">
        <f>IncomeState!C6</f>
        <v>ACT.</v>
      </c>
      <c r="D3" s="562" t="str">
        <f>IncomeState!D6</f>
        <v>ACT.</v>
      </c>
      <c r="E3" s="562" t="str">
        <f>IncomeState!E6</f>
        <v>ACT.</v>
      </c>
      <c r="F3" s="562" t="str">
        <f>IncomeState!F6</f>
        <v>ACT.</v>
      </c>
      <c r="G3" s="562" t="str">
        <f>IncomeState!G6</f>
        <v>ACT.</v>
      </c>
      <c r="H3" s="562" t="str">
        <f>IncomeState!H6</f>
        <v>ACT.</v>
      </c>
      <c r="I3" s="562" t="str">
        <f>IncomeState!I6</f>
        <v>FLASH</v>
      </c>
      <c r="J3" s="562">
        <f>IncomeState!J6</f>
        <v>0</v>
      </c>
      <c r="K3" s="562">
        <f>IncomeState!K6</f>
        <v>0</v>
      </c>
      <c r="L3" s="562">
        <f>IncomeState!L6</f>
        <v>0</v>
      </c>
      <c r="M3" s="562">
        <f>IncomeState!M6</f>
        <v>0</v>
      </c>
      <c r="N3" s="562">
        <f>IncomeState!N6</f>
        <v>0</v>
      </c>
      <c r="O3" s="562" t="str">
        <f>IncomeState!O6</f>
        <v>TOTAL</v>
      </c>
      <c r="P3" s="562" t="str">
        <f>IncomeState!P6</f>
        <v>JUNE</v>
      </c>
      <c r="Q3" s="562" t="str">
        <f>IncomeState!Q6</f>
        <v>ESTIMATE</v>
      </c>
      <c r="R3" s="112"/>
    </row>
    <row r="4" spans="1:18" x14ac:dyDescent="0.25">
      <c r="A4" s="114"/>
      <c r="B4" s="785">
        <f ca="1">NOW()</f>
        <v>37109.471773495374</v>
      </c>
      <c r="C4" s="376" t="s">
        <v>591</v>
      </c>
      <c r="D4" s="376" t="s">
        <v>592</v>
      </c>
      <c r="E4" s="376" t="s">
        <v>593</v>
      </c>
      <c r="F4" s="376" t="s">
        <v>594</v>
      </c>
      <c r="G4" s="376" t="s">
        <v>595</v>
      </c>
      <c r="H4" s="376" t="s">
        <v>596</v>
      </c>
      <c r="I4" s="376" t="s">
        <v>597</v>
      </c>
      <c r="J4" s="376" t="s">
        <v>598</v>
      </c>
      <c r="K4" s="376" t="s">
        <v>599</v>
      </c>
      <c r="L4" s="376" t="s">
        <v>600</v>
      </c>
      <c r="M4" s="376" t="s">
        <v>601</v>
      </c>
      <c r="N4" s="376" t="s">
        <v>602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16"/>
    </row>
    <row r="5" spans="1:18" ht="3.9" customHeight="1" x14ac:dyDescent="0.25"/>
    <row r="6" spans="1:18" x14ac:dyDescent="0.25">
      <c r="A6" s="378" t="s">
        <v>840</v>
      </c>
    </row>
    <row r="7" spans="1:18" ht="3.9" customHeight="1" x14ac:dyDescent="0.25">
      <c r="A7" s="117"/>
    </row>
    <row r="8" spans="1:18" x14ac:dyDescent="0.25">
      <c r="A8" s="253" t="s">
        <v>968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" customHeight="1" x14ac:dyDescent="0.25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5">
      <c r="A10" s="253" t="s">
        <v>969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5">
      <c r="A11" s="253" t="s">
        <v>916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5">
      <c r="A12" s="253" t="s">
        <v>841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5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5">
      <c r="A14" s="253" t="s">
        <v>970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5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5">
      <c r="A16" s="253" t="s">
        <v>842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5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5">
      <c r="A18" s="253" t="s">
        <v>843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5">
      <c r="A19" s="253" t="s">
        <v>844</v>
      </c>
      <c r="C19" s="656">
        <f t="shared" ref="C19:N19" si="4">ROUND(C8*C16,0)</f>
        <v>0</v>
      </c>
      <c r="D19" s="656">
        <f t="shared" si="4"/>
        <v>0</v>
      </c>
      <c r="E19" s="656">
        <f t="shared" si="4"/>
        <v>0</v>
      </c>
      <c r="F19" s="656">
        <f t="shared" si="4"/>
        <v>0</v>
      </c>
      <c r="G19" s="656">
        <f t="shared" si="4"/>
        <v>0</v>
      </c>
      <c r="H19" s="656">
        <f t="shared" si="4"/>
        <v>0</v>
      </c>
      <c r="I19" s="656">
        <f t="shared" si="4"/>
        <v>0</v>
      </c>
      <c r="J19" s="656">
        <f t="shared" si="4"/>
        <v>0</v>
      </c>
      <c r="K19" s="656">
        <f t="shared" si="4"/>
        <v>0</v>
      </c>
      <c r="L19" s="656">
        <f t="shared" si="4"/>
        <v>0</v>
      </c>
      <c r="M19" s="656">
        <f t="shared" si="4"/>
        <v>0</v>
      </c>
      <c r="N19" s="656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" customHeight="1" x14ac:dyDescent="0.25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5">
      <c r="A21" s="380" t="s">
        <v>845</v>
      </c>
      <c r="B21" s="786"/>
      <c r="C21" s="656">
        <f t="shared" ref="C21:N21" si="5">SUM(C18:C19)</f>
        <v>0</v>
      </c>
      <c r="D21" s="656">
        <f t="shared" si="5"/>
        <v>0</v>
      </c>
      <c r="E21" s="656">
        <f t="shared" si="5"/>
        <v>0</v>
      </c>
      <c r="F21" s="656">
        <f t="shared" si="5"/>
        <v>0</v>
      </c>
      <c r="G21" s="656">
        <f t="shared" si="5"/>
        <v>0</v>
      </c>
      <c r="H21" s="656">
        <f t="shared" si="5"/>
        <v>0</v>
      </c>
      <c r="I21" s="656">
        <f t="shared" si="5"/>
        <v>0</v>
      </c>
      <c r="J21" s="656">
        <f t="shared" si="5"/>
        <v>0</v>
      </c>
      <c r="K21" s="656">
        <f t="shared" si="5"/>
        <v>0</v>
      </c>
      <c r="L21" s="656">
        <f t="shared" si="5"/>
        <v>0</v>
      </c>
      <c r="M21" s="656">
        <f t="shared" si="5"/>
        <v>0</v>
      </c>
      <c r="N21" s="656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5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5">
      <c r="A23" s="253" t="s">
        <v>971</v>
      </c>
      <c r="C23" s="836">
        <v>0</v>
      </c>
      <c r="D23" s="836">
        <v>0</v>
      </c>
      <c r="E23" s="836">
        <v>0</v>
      </c>
      <c r="F23" s="836">
        <v>0</v>
      </c>
      <c r="G23" s="836">
        <v>0</v>
      </c>
      <c r="H23" s="836">
        <v>0</v>
      </c>
      <c r="I23" s="836">
        <v>0</v>
      </c>
      <c r="J23" s="836">
        <v>0</v>
      </c>
      <c r="K23" s="836">
        <v>0</v>
      </c>
      <c r="L23" s="836">
        <v>0</v>
      </c>
      <c r="M23" s="836">
        <v>0</v>
      </c>
      <c r="N23" s="836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5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5">
      <c r="A25" s="378" t="s">
        <v>846</v>
      </c>
      <c r="B25" s="787"/>
      <c r="C25" s="657">
        <f>C21+C23</f>
        <v>0</v>
      </c>
      <c r="D25" s="657">
        <f t="shared" ref="D25:Q25" si="6">D21+D23</f>
        <v>0</v>
      </c>
      <c r="E25" s="657">
        <f t="shared" si="6"/>
        <v>0</v>
      </c>
      <c r="F25" s="657">
        <f t="shared" si="6"/>
        <v>0</v>
      </c>
      <c r="G25" s="657">
        <f t="shared" si="6"/>
        <v>0</v>
      </c>
      <c r="H25" s="657">
        <f t="shared" si="6"/>
        <v>0</v>
      </c>
      <c r="I25" s="657">
        <f t="shared" si="6"/>
        <v>0</v>
      </c>
      <c r="J25" s="657">
        <f t="shared" si="6"/>
        <v>0</v>
      </c>
      <c r="K25" s="657">
        <f t="shared" si="6"/>
        <v>0</v>
      </c>
      <c r="L25" s="657">
        <f t="shared" si="6"/>
        <v>0</v>
      </c>
      <c r="M25" s="657">
        <f t="shared" si="6"/>
        <v>0</v>
      </c>
      <c r="N25" s="657">
        <f t="shared" si="6"/>
        <v>0</v>
      </c>
      <c r="O25" s="657">
        <f t="shared" si="6"/>
        <v>0</v>
      </c>
      <c r="P25" s="657">
        <f t="shared" si="6"/>
        <v>0</v>
      </c>
      <c r="Q25" s="657">
        <f t="shared" si="6"/>
        <v>0</v>
      </c>
      <c r="R25" s="112"/>
      <c r="S25" s="112"/>
      <c r="T25" s="112"/>
      <c r="U25" s="112"/>
    </row>
    <row r="26" spans="1:21" ht="12.75" customHeight="1" x14ac:dyDescent="0.25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5">
      <c r="A27" s="841"/>
      <c r="B27" s="842"/>
      <c r="C27" s="843"/>
      <c r="D27" s="843"/>
      <c r="E27" s="843"/>
      <c r="F27" s="843"/>
      <c r="G27" s="843"/>
      <c r="H27" s="843"/>
      <c r="I27" s="843"/>
      <c r="J27" s="843"/>
      <c r="K27" s="843"/>
      <c r="L27" s="843"/>
      <c r="M27" s="843"/>
      <c r="N27" s="843"/>
      <c r="O27" s="843"/>
      <c r="P27" s="843"/>
      <c r="Q27" s="843"/>
    </row>
    <row r="28" spans="1:21" ht="12.75" customHeight="1" x14ac:dyDescent="0.25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5">
      <c r="A29" s="111"/>
      <c r="B29" s="787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FLASH</v>
      </c>
      <c r="J29" s="113">
        <f t="shared" si="7"/>
        <v>0</v>
      </c>
      <c r="K29" s="113">
        <f t="shared" si="7"/>
        <v>0</v>
      </c>
      <c r="L29" s="113">
        <f t="shared" si="7"/>
        <v>0</v>
      </c>
      <c r="M29" s="113">
        <f t="shared" si="7"/>
        <v>0</v>
      </c>
      <c r="N29" s="113">
        <f t="shared" si="7"/>
        <v>0</v>
      </c>
      <c r="O29" s="113" t="str">
        <f t="shared" si="7"/>
        <v>TOTAL</v>
      </c>
      <c r="P29" s="113" t="str">
        <f t="shared" si="7"/>
        <v>JUNE</v>
      </c>
      <c r="Q29" s="113" t="str">
        <f t="shared" si="7"/>
        <v>ESTIMATE</v>
      </c>
      <c r="R29" s="112"/>
      <c r="S29" s="112"/>
    </row>
    <row r="30" spans="1:21" x14ac:dyDescent="0.25">
      <c r="A30" s="111"/>
      <c r="B30" s="787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5">
      <c r="A31" s="377" t="s">
        <v>847</v>
      </c>
    </row>
    <row r="32" spans="1:21" x14ac:dyDescent="0.25">
      <c r="A32" s="500" t="s">
        <v>920</v>
      </c>
      <c r="B32" s="852" t="s">
        <v>974</v>
      </c>
      <c r="C32" s="119">
        <v>10</v>
      </c>
      <c r="D32" s="119">
        <v>10</v>
      </c>
      <c r="E32" s="119">
        <v>10</v>
      </c>
      <c r="F32" s="119">
        <v>10</v>
      </c>
      <c r="G32" s="119">
        <v>10</v>
      </c>
      <c r="H32" s="119">
        <v>10</v>
      </c>
      <c r="I32" s="119">
        <v>10</v>
      </c>
      <c r="J32" s="119">
        <v>10</v>
      </c>
      <c r="K32" s="119">
        <v>10</v>
      </c>
      <c r="L32" s="119">
        <v>10</v>
      </c>
      <c r="M32" s="119">
        <v>10</v>
      </c>
      <c r="N32" s="119">
        <v>10</v>
      </c>
      <c r="O32" s="118">
        <f>SUM(C32:N32)</f>
        <v>120</v>
      </c>
      <c r="P32" s="119">
        <f>SUM(C32:E32)</f>
        <v>30</v>
      </c>
      <c r="Q32" s="118">
        <f>(O32-P32)</f>
        <v>90</v>
      </c>
    </row>
    <row r="33" spans="1:17" x14ac:dyDescent="0.25">
      <c r="A33" s="882" t="s">
        <v>919</v>
      </c>
      <c r="B33" s="852" t="s">
        <v>974</v>
      </c>
      <c r="C33" s="119">
        <v>97</v>
      </c>
      <c r="D33" s="119">
        <v>97</v>
      </c>
      <c r="E33" s="881">
        <f>97+581</f>
        <v>678</v>
      </c>
      <c r="F33" s="881">
        <f>97-97</f>
        <v>0</v>
      </c>
      <c r="G33" s="881">
        <f>97-97</f>
        <v>0</v>
      </c>
      <c r="H33" s="881">
        <f>97-97</f>
        <v>0</v>
      </c>
      <c r="I33" s="881">
        <f>97-97</f>
        <v>0</v>
      </c>
      <c r="J33" s="881">
        <f>96-96</f>
        <v>0</v>
      </c>
      <c r="K33" s="881">
        <f>96-96</f>
        <v>0</v>
      </c>
      <c r="L33" s="119">
        <v>100</v>
      </c>
      <c r="M33" s="119">
        <v>100</v>
      </c>
      <c r="N33" s="119">
        <v>100</v>
      </c>
      <c r="O33" s="118">
        <f>SUM(C33:N33)</f>
        <v>1172</v>
      </c>
      <c r="P33" s="119">
        <f t="shared" ref="P33:P55" si="9">SUM(C33:E33)</f>
        <v>872</v>
      </c>
      <c r="Q33" s="118">
        <f>(O33-P33)</f>
        <v>300</v>
      </c>
    </row>
    <row r="34" spans="1:17" x14ac:dyDescent="0.25">
      <c r="A34" s="500" t="s">
        <v>918</v>
      </c>
      <c r="C34" s="533">
        <v>238</v>
      </c>
      <c r="D34" s="533">
        <v>175</v>
      </c>
      <c r="E34" s="533">
        <v>195</v>
      </c>
      <c r="F34" s="533">
        <v>176</v>
      </c>
      <c r="G34" s="533">
        <v>169</v>
      </c>
      <c r="H34" s="890">
        <v>150</v>
      </c>
      <c r="I34" s="533">
        <v>170</v>
      </c>
      <c r="J34" s="533">
        <v>210</v>
      </c>
      <c r="K34" s="533">
        <v>189</v>
      </c>
      <c r="L34" s="533">
        <v>210</v>
      </c>
      <c r="M34" s="533">
        <v>209</v>
      </c>
      <c r="N34" s="533">
        <v>235</v>
      </c>
      <c r="O34" s="118">
        <f>SUM(C34:N34)</f>
        <v>2326</v>
      </c>
      <c r="P34" s="119">
        <f t="shared" si="9"/>
        <v>608</v>
      </c>
      <c r="Q34" s="118">
        <f t="shared" ref="Q34:Q44" si="10">(O34-P34)</f>
        <v>1718</v>
      </c>
    </row>
    <row r="35" spans="1:17" x14ac:dyDescent="0.25">
      <c r="A35" s="380" t="s">
        <v>848</v>
      </c>
      <c r="B35" s="786"/>
      <c r="C35" s="533">
        <v>0</v>
      </c>
      <c r="D35" s="533">
        <v>0</v>
      </c>
      <c r="E35" s="533">
        <v>0</v>
      </c>
      <c r="F35" s="533">
        <v>0</v>
      </c>
      <c r="G35" s="533">
        <v>0</v>
      </c>
      <c r="H35" s="533">
        <v>0</v>
      </c>
      <c r="I35" s="533">
        <v>0</v>
      </c>
      <c r="J35" s="533">
        <v>0</v>
      </c>
      <c r="K35" s="533">
        <v>0</v>
      </c>
      <c r="L35" s="533">
        <v>0</v>
      </c>
      <c r="M35" s="533">
        <v>0</v>
      </c>
      <c r="N35" s="533">
        <v>0</v>
      </c>
      <c r="O35" s="118">
        <f t="shared" ref="O35:O44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5">
      <c r="A36" s="253" t="s">
        <v>578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5">
      <c r="A37" s="253" t="s">
        <v>917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5">
      <c r="A38" s="500" t="s">
        <v>994</v>
      </c>
      <c r="B38" s="852" t="s">
        <v>974</v>
      </c>
      <c r="C38" s="533">
        <v>107</v>
      </c>
      <c r="D38" s="533">
        <v>108</v>
      </c>
      <c r="E38" s="533">
        <v>107</v>
      </c>
      <c r="F38" s="533">
        <v>107</v>
      </c>
      <c r="G38" s="533">
        <v>107</v>
      </c>
      <c r="H38" s="533">
        <v>107</v>
      </c>
      <c r="I38" s="533">
        <v>107</v>
      </c>
      <c r="J38" s="533">
        <v>107</v>
      </c>
      <c r="K38" s="533">
        <v>107</v>
      </c>
      <c r="L38" s="533">
        <v>107</v>
      </c>
      <c r="M38" s="533">
        <v>107</v>
      </c>
      <c r="N38" s="533">
        <v>107</v>
      </c>
      <c r="O38" s="118">
        <f t="shared" si="11"/>
        <v>1285</v>
      </c>
      <c r="P38" s="119">
        <f t="shared" si="9"/>
        <v>322</v>
      </c>
      <c r="Q38" s="118">
        <f t="shared" si="10"/>
        <v>963</v>
      </c>
    </row>
    <row r="39" spans="1:17" x14ac:dyDescent="0.25">
      <c r="A39" s="500" t="s">
        <v>921</v>
      </c>
      <c r="B39" s="852" t="s">
        <v>974</v>
      </c>
      <c r="C39" s="119">
        <f>4</f>
        <v>4</v>
      </c>
      <c r="D39" s="119">
        <v>4</v>
      </c>
      <c r="E39" s="119">
        <v>4</v>
      </c>
      <c r="F39" s="119">
        <v>4</v>
      </c>
      <c r="G39" s="119">
        <v>4</v>
      </c>
      <c r="H39" s="119">
        <v>4</v>
      </c>
      <c r="I39" s="119">
        <v>4</v>
      </c>
      <c r="J39" s="119">
        <v>4</v>
      </c>
      <c r="K39" s="119">
        <v>4</v>
      </c>
      <c r="L39" s="119">
        <v>4</v>
      </c>
      <c r="M39" s="119">
        <v>4</v>
      </c>
      <c r="N39" s="119">
        <v>4</v>
      </c>
      <c r="O39" s="118">
        <f t="shared" si="11"/>
        <v>48</v>
      </c>
      <c r="P39" s="119">
        <f t="shared" si="9"/>
        <v>12</v>
      </c>
      <c r="Q39" s="118">
        <f t="shared" si="10"/>
        <v>36</v>
      </c>
    </row>
    <row r="40" spans="1:17" x14ac:dyDescent="0.25">
      <c r="A40" s="500" t="s">
        <v>995</v>
      </c>
      <c r="C40" s="119">
        <f>0</f>
        <v>0</v>
      </c>
      <c r="D40" s="119">
        <v>0</v>
      </c>
      <c r="E40" s="119">
        <v>0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8">
        <f t="shared" si="11"/>
        <v>0</v>
      </c>
      <c r="P40" s="119">
        <f t="shared" si="9"/>
        <v>0</v>
      </c>
      <c r="Q40" s="118">
        <f t="shared" si="10"/>
        <v>0</v>
      </c>
    </row>
    <row r="41" spans="1:17" x14ac:dyDescent="0.25">
      <c r="A41" s="501" t="s">
        <v>849</v>
      </c>
      <c r="B41" s="852" t="s">
        <v>974</v>
      </c>
      <c r="C41" s="119">
        <v>30</v>
      </c>
      <c r="D41" s="119">
        <v>30</v>
      </c>
      <c r="E41" s="119">
        <v>31</v>
      </c>
      <c r="F41" s="119">
        <v>30</v>
      </c>
      <c r="G41" s="119">
        <v>30</v>
      </c>
      <c r="H41" s="119">
        <v>30</v>
      </c>
      <c r="I41" s="119">
        <v>30</v>
      </c>
      <c r="J41" s="119">
        <v>30</v>
      </c>
      <c r="K41" s="119">
        <v>30</v>
      </c>
      <c r="L41" s="119">
        <v>30</v>
      </c>
      <c r="M41" s="119">
        <v>30</v>
      </c>
      <c r="N41" s="119">
        <v>30</v>
      </c>
      <c r="O41" s="118">
        <f t="shared" si="11"/>
        <v>361</v>
      </c>
      <c r="P41" s="119">
        <f t="shared" si="9"/>
        <v>91</v>
      </c>
      <c r="Q41" s="118">
        <f t="shared" si="10"/>
        <v>270</v>
      </c>
    </row>
    <row r="42" spans="1:17" x14ac:dyDescent="0.25">
      <c r="A42" s="253" t="s">
        <v>850</v>
      </c>
      <c r="B42" s="852" t="s">
        <v>974</v>
      </c>
      <c r="C42" s="119">
        <v>42</v>
      </c>
      <c r="D42" s="119">
        <v>42</v>
      </c>
      <c r="E42" s="119">
        <v>42</v>
      </c>
      <c r="F42" s="119">
        <v>42</v>
      </c>
      <c r="G42" s="119">
        <v>42</v>
      </c>
      <c r="H42" s="119">
        <v>42</v>
      </c>
      <c r="I42" s="119">
        <v>42</v>
      </c>
      <c r="J42" s="119">
        <v>43</v>
      </c>
      <c r="K42" s="119">
        <v>42</v>
      </c>
      <c r="L42" s="119">
        <v>43</v>
      </c>
      <c r="M42" s="119">
        <v>43</v>
      </c>
      <c r="N42" s="119">
        <v>43</v>
      </c>
      <c r="O42" s="118">
        <f t="shared" si="11"/>
        <v>508</v>
      </c>
      <c r="P42" s="119">
        <f t="shared" si="9"/>
        <v>126</v>
      </c>
      <c r="Q42" s="118">
        <f t="shared" si="10"/>
        <v>382</v>
      </c>
    </row>
    <row r="43" spans="1:17" x14ac:dyDescent="0.25">
      <c r="A43" s="253" t="s">
        <v>851</v>
      </c>
      <c r="B43" s="852" t="s">
        <v>974</v>
      </c>
      <c r="C43" s="494">
        <v>10</v>
      </c>
      <c r="D43" s="494">
        <v>10</v>
      </c>
      <c r="E43" s="494">
        <v>10</v>
      </c>
      <c r="F43" s="494">
        <v>10</v>
      </c>
      <c r="G43" s="494">
        <v>10</v>
      </c>
      <c r="H43" s="494">
        <v>10</v>
      </c>
      <c r="I43" s="494">
        <v>10</v>
      </c>
      <c r="J43" s="494">
        <v>10</v>
      </c>
      <c r="K43" s="494">
        <v>11</v>
      </c>
      <c r="L43" s="494">
        <v>10</v>
      </c>
      <c r="M43" s="494">
        <v>11</v>
      </c>
      <c r="N43" s="494">
        <v>10</v>
      </c>
      <c r="O43" s="118">
        <f t="shared" si="11"/>
        <v>122</v>
      </c>
      <c r="P43" s="119">
        <f t="shared" si="9"/>
        <v>30</v>
      </c>
      <c r="Q43" s="118">
        <f t="shared" si="10"/>
        <v>92</v>
      </c>
    </row>
    <row r="44" spans="1:17" x14ac:dyDescent="0.25">
      <c r="A44" s="253" t="s">
        <v>852</v>
      </c>
      <c r="B44" s="852" t="s">
        <v>974</v>
      </c>
      <c r="C44" s="119">
        <v>31</v>
      </c>
      <c r="D44" s="119">
        <v>31</v>
      </c>
      <c r="E44" s="119">
        <v>31</v>
      </c>
      <c r="F44" s="119">
        <f>32-1</f>
        <v>31</v>
      </c>
      <c r="G44" s="119">
        <v>31</v>
      </c>
      <c r="H44" s="119">
        <v>31</v>
      </c>
      <c r="I44" s="119">
        <v>31</v>
      </c>
      <c r="J44" s="119">
        <v>32</v>
      </c>
      <c r="K44" s="119">
        <v>31</v>
      </c>
      <c r="L44" s="119">
        <v>32</v>
      </c>
      <c r="M44" s="119">
        <v>31</v>
      </c>
      <c r="N44" s="119">
        <v>32</v>
      </c>
      <c r="O44" s="118">
        <f t="shared" si="11"/>
        <v>375</v>
      </c>
      <c r="P44" s="119">
        <f t="shared" si="9"/>
        <v>93</v>
      </c>
      <c r="Q44" s="118">
        <f t="shared" si="10"/>
        <v>282</v>
      </c>
    </row>
    <row r="45" spans="1:17" x14ac:dyDescent="0.25">
      <c r="A45" s="253" t="s">
        <v>853</v>
      </c>
      <c r="B45" s="852" t="s">
        <v>974</v>
      </c>
      <c r="C45" s="119">
        <v>45</v>
      </c>
      <c r="D45" s="119">
        <v>45</v>
      </c>
      <c r="E45" s="119">
        <v>45</v>
      </c>
      <c r="F45" s="119">
        <v>45</v>
      </c>
      <c r="G45" s="119">
        <v>45</v>
      </c>
      <c r="H45" s="119">
        <v>45</v>
      </c>
      <c r="I45" s="119">
        <v>45</v>
      </c>
      <c r="J45" s="119">
        <v>45</v>
      </c>
      <c r="K45" s="119">
        <v>45</v>
      </c>
      <c r="L45" s="119">
        <v>45</v>
      </c>
      <c r="M45" s="119">
        <v>44</v>
      </c>
      <c r="N45" s="119">
        <v>45</v>
      </c>
      <c r="O45" s="118">
        <f t="shared" ref="O45:O52" si="12">SUM(C45:N45)</f>
        <v>539</v>
      </c>
      <c r="P45" s="119">
        <f t="shared" si="9"/>
        <v>135</v>
      </c>
      <c r="Q45" s="118">
        <f t="shared" ref="Q45:Q53" si="13">(O45-P45)</f>
        <v>404</v>
      </c>
    </row>
    <row r="46" spans="1:17" x14ac:dyDescent="0.25">
      <c r="A46" s="253" t="s">
        <v>854</v>
      </c>
      <c r="B46" s="852" t="s">
        <v>974</v>
      </c>
      <c r="C46" s="119">
        <v>53</v>
      </c>
      <c r="D46" s="119">
        <v>53</v>
      </c>
      <c r="E46" s="119">
        <v>53</v>
      </c>
      <c r="F46" s="119">
        <f>53</f>
        <v>53</v>
      </c>
      <c r="G46" s="119">
        <v>53</v>
      </c>
      <c r="H46" s="119">
        <v>53</v>
      </c>
      <c r="I46" s="119">
        <v>53</v>
      </c>
      <c r="J46" s="119">
        <v>52</v>
      </c>
      <c r="K46" s="119">
        <v>53</v>
      </c>
      <c r="L46" s="119">
        <v>53</v>
      </c>
      <c r="M46" s="119">
        <v>52</v>
      </c>
      <c r="N46" s="119">
        <v>53</v>
      </c>
      <c r="O46" s="118">
        <f t="shared" si="12"/>
        <v>634</v>
      </c>
      <c r="P46" s="119">
        <f t="shared" si="9"/>
        <v>159</v>
      </c>
      <c r="Q46" s="118">
        <f t="shared" si="13"/>
        <v>475</v>
      </c>
    </row>
    <row r="47" spans="1:17" x14ac:dyDescent="0.25">
      <c r="A47" s="253" t="s">
        <v>855</v>
      </c>
      <c r="B47" s="852" t="s">
        <v>974</v>
      </c>
      <c r="C47" s="119">
        <v>11</v>
      </c>
      <c r="D47" s="119">
        <v>11</v>
      </c>
      <c r="E47" s="119">
        <v>11</v>
      </c>
      <c r="F47" s="119">
        <v>11</v>
      </c>
      <c r="G47" s="119">
        <v>11</v>
      </c>
      <c r="H47" s="119">
        <v>11</v>
      </c>
      <c r="I47" s="119">
        <v>11</v>
      </c>
      <c r="J47" s="119">
        <v>11</v>
      </c>
      <c r="K47" s="119">
        <v>10</v>
      </c>
      <c r="L47" s="119">
        <v>11</v>
      </c>
      <c r="M47" s="119">
        <v>11</v>
      </c>
      <c r="N47" s="119">
        <v>10</v>
      </c>
      <c r="O47" s="118">
        <f t="shared" si="12"/>
        <v>130</v>
      </c>
      <c r="P47" s="119">
        <f t="shared" si="9"/>
        <v>33</v>
      </c>
      <c r="Q47" s="118">
        <f t="shared" si="13"/>
        <v>97</v>
      </c>
    </row>
    <row r="48" spans="1:17" x14ac:dyDescent="0.25">
      <c r="A48" s="253" t="s">
        <v>856</v>
      </c>
      <c r="B48" s="852" t="s">
        <v>974</v>
      </c>
      <c r="C48" s="542">
        <v>7</v>
      </c>
      <c r="D48" s="119">
        <v>7</v>
      </c>
      <c r="E48" s="119">
        <v>7</v>
      </c>
      <c r="F48" s="119">
        <v>7</v>
      </c>
      <c r="G48" s="119">
        <v>7</v>
      </c>
      <c r="H48" s="119">
        <v>7</v>
      </c>
      <c r="I48" s="119">
        <v>7</v>
      </c>
      <c r="J48" s="119">
        <v>7</v>
      </c>
      <c r="K48" s="119">
        <v>7</v>
      </c>
      <c r="L48" s="119">
        <v>7</v>
      </c>
      <c r="M48" s="119">
        <v>7</v>
      </c>
      <c r="N48" s="119">
        <v>7</v>
      </c>
      <c r="O48" s="118">
        <f t="shared" si="12"/>
        <v>84</v>
      </c>
      <c r="P48" s="119">
        <f t="shared" si="9"/>
        <v>21</v>
      </c>
      <c r="Q48" s="118">
        <f t="shared" si="13"/>
        <v>63</v>
      </c>
    </row>
    <row r="49" spans="1:19" x14ac:dyDescent="0.25">
      <c r="A49" s="253" t="s">
        <v>857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8"/>
      <c r="P49" s="119"/>
      <c r="Q49" s="118"/>
    </row>
    <row r="50" spans="1:19" x14ac:dyDescent="0.25">
      <c r="A50" s="253" t="s">
        <v>947</v>
      </c>
      <c r="C50" s="119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8">
        <f t="shared" si="12"/>
        <v>0</v>
      </c>
      <c r="P50" s="119">
        <f t="shared" si="9"/>
        <v>0</v>
      </c>
      <c r="Q50" s="118">
        <f t="shared" si="13"/>
        <v>0</v>
      </c>
    </row>
    <row r="51" spans="1:19" x14ac:dyDescent="0.25">
      <c r="A51" s="253" t="s">
        <v>858</v>
      </c>
      <c r="B51" s="852" t="s">
        <v>974</v>
      </c>
      <c r="C51" s="119">
        <v>7</v>
      </c>
      <c r="D51" s="119">
        <v>7</v>
      </c>
      <c r="E51" s="119">
        <v>7</v>
      </c>
      <c r="F51" s="119">
        <v>7</v>
      </c>
      <c r="G51" s="119">
        <v>7</v>
      </c>
      <c r="H51" s="119">
        <v>7</v>
      </c>
      <c r="I51" s="119">
        <v>7</v>
      </c>
      <c r="J51" s="119">
        <v>8</v>
      </c>
      <c r="K51" s="119">
        <v>7</v>
      </c>
      <c r="L51" s="119">
        <v>8</v>
      </c>
      <c r="M51" s="119">
        <v>7</v>
      </c>
      <c r="N51" s="119">
        <v>8</v>
      </c>
      <c r="O51" s="118">
        <f t="shared" si="12"/>
        <v>87</v>
      </c>
      <c r="P51" s="119">
        <f t="shared" si="9"/>
        <v>21</v>
      </c>
      <c r="Q51" s="118">
        <f t="shared" si="13"/>
        <v>66</v>
      </c>
    </row>
    <row r="52" spans="1:19" x14ac:dyDescent="0.25">
      <c r="A52" s="253" t="s">
        <v>859</v>
      </c>
      <c r="C52" s="119">
        <v>0</v>
      </c>
      <c r="D52" s="119">
        <v>0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8">
        <f t="shared" si="12"/>
        <v>0</v>
      </c>
      <c r="P52" s="119">
        <f t="shared" si="9"/>
        <v>0</v>
      </c>
      <c r="Q52" s="118">
        <f t="shared" si="13"/>
        <v>0</v>
      </c>
    </row>
    <row r="53" spans="1:19" x14ac:dyDescent="0.25">
      <c r="A53" s="253" t="s">
        <v>860</v>
      </c>
      <c r="B53" s="852" t="s">
        <v>974</v>
      </c>
      <c r="C53" s="119">
        <v>38</v>
      </c>
      <c r="D53" s="119">
        <v>38</v>
      </c>
      <c r="E53" s="119">
        <v>38</v>
      </c>
      <c r="F53" s="119">
        <f>38</f>
        <v>38</v>
      </c>
      <c r="G53" s="119">
        <v>38</v>
      </c>
      <c r="H53" s="119">
        <v>38</v>
      </c>
      <c r="I53" s="119">
        <v>38</v>
      </c>
      <c r="J53" s="119">
        <v>38</v>
      </c>
      <c r="K53" s="119">
        <v>38</v>
      </c>
      <c r="L53" s="119">
        <v>38</v>
      </c>
      <c r="M53" s="119">
        <v>38</v>
      </c>
      <c r="N53" s="119">
        <v>37</v>
      </c>
      <c r="O53" s="118">
        <f>SUM(C53:N53)</f>
        <v>455</v>
      </c>
      <c r="P53" s="119">
        <f t="shared" si="9"/>
        <v>114</v>
      </c>
      <c r="Q53" s="118">
        <f t="shared" si="13"/>
        <v>341</v>
      </c>
    </row>
    <row r="54" spans="1:19" x14ac:dyDescent="0.25">
      <c r="A54" s="253" t="s">
        <v>540</v>
      </c>
      <c r="C54" s="119">
        <v>0</v>
      </c>
      <c r="D54" s="119">
        <v>0</v>
      </c>
      <c r="E54" s="119">
        <v>0</v>
      </c>
      <c r="F54" s="119">
        <v>0</v>
      </c>
      <c r="G54" s="119">
        <v>0</v>
      </c>
      <c r="H54" s="119">
        <v>0</v>
      </c>
      <c r="I54" s="119">
        <v>0</v>
      </c>
      <c r="J54" s="119">
        <v>0</v>
      </c>
      <c r="K54" s="119">
        <v>0</v>
      </c>
      <c r="L54" s="119">
        <v>0</v>
      </c>
      <c r="M54" s="119">
        <v>0</v>
      </c>
      <c r="N54" s="119">
        <v>0</v>
      </c>
      <c r="O54" s="118">
        <f>SUM(C54:N54)</f>
        <v>0</v>
      </c>
      <c r="P54" s="119">
        <f t="shared" si="9"/>
        <v>0</v>
      </c>
      <c r="Q54" s="118">
        <f>(O54-P54)</f>
        <v>0</v>
      </c>
      <c r="R54" s="118"/>
    </row>
    <row r="55" spans="1:19" x14ac:dyDescent="0.25">
      <c r="A55" s="253" t="s">
        <v>604</v>
      </c>
      <c r="C55" s="259">
        <v>0</v>
      </c>
      <c r="D55" s="259">
        <v>0</v>
      </c>
      <c r="E55" s="259">
        <v>0</v>
      </c>
      <c r="F55" s="259">
        <v>0</v>
      </c>
      <c r="G55" s="259">
        <v>0</v>
      </c>
      <c r="H55" s="259">
        <v>0</v>
      </c>
      <c r="I55" s="259">
        <v>0</v>
      </c>
      <c r="J55" s="259">
        <v>0</v>
      </c>
      <c r="K55" s="259">
        <v>0</v>
      </c>
      <c r="L55" s="259">
        <v>0</v>
      </c>
      <c r="M55" s="259">
        <v>0</v>
      </c>
      <c r="N55" s="259">
        <v>0</v>
      </c>
      <c r="O55" s="120">
        <f>SUM(C55:N55)</f>
        <v>0</v>
      </c>
      <c r="P55" s="259">
        <f t="shared" si="9"/>
        <v>0</v>
      </c>
      <c r="Q55" s="120">
        <f>(O55-P55)</f>
        <v>0</v>
      </c>
    </row>
    <row r="56" spans="1:19" ht="3.9" customHeight="1" x14ac:dyDescent="0.25"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  <c r="Q56" s="118"/>
    </row>
    <row r="57" spans="1:19" x14ac:dyDescent="0.25">
      <c r="A57" s="378" t="s">
        <v>955</v>
      </c>
      <c r="B57" s="787"/>
      <c r="C57" s="121">
        <f t="shared" ref="C57:Q57" si="14">SUM(C32:C55)</f>
        <v>730</v>
      </c>
      <c r="D57" s="121">
        <f t="shared" si="14"/>
        <v>668</v>
      </c>
      <c r="E57" s="121">
        <f t="shared" si="14"/>
        <v>1269</v>
      </c>
      <c r="F57" s="121">
        <f t="shared" si="14"/>
        <v>571</v>
      </c>
      <c r="G57" s="121">
        <f t="shared" si="14"/>
        <v>564</v>
      </c>
      <c r="H57" s="121">
        <f t="shared" si="14"/>
        <v>545</v>
      </c>
      <c r="I57" s="121">
        <f t="shared" si="14"/>
        <v>565</v>
      </c>
      <c r="J57" s="121">
        <f t="shared" si="14"/>
        <v>607</v>
      </c>
      <c r="K57" s="121">
        <f t="shared" si="14"/>
        <v>584</v>
      </c>
      <c r="L57" s="121">
        <f t="shared" si="14"/>
        <v>708</v>
      </c>
      <c r="M57" s="121">
        <f t="shared" si="14"/>
        <v>704</v>
      </c>
      <c r="N57" s="121">
        <f t="shared" si="14"/>
        <v>731</v>
      </c>
      <c r="O57" s="121">
        <f t="shared" si="14"/>
        <v>8246</v>
      </c>
      <c r="P57" s="121">
        <f t="shared" si="14"/>
        <v>2667</v>
      </c>
      <c r="Q57" s="121">
        <f t="shared" si="14"/>
        <v>5579</v>
      </c>
      <c r="R57" s="112"/>
      <c r="S57" s="112"/>
    </row>
    <row r="58" spans="1:19" ht="8.1" customHeight="1" x14ac:dyDescent="0.25"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P58" s="117"/>
    </row>
    <row r="61" spans="1:19" x14ac:dyDescent="0.25">
      <c r="A61" s="122"/>
    </row>
    <row r="62" spans="1:19" x14ac:dyDescent="0.25">
      <c r="A62" s="117"/>
    </row>
    <row r="63" spans="1:19" x14ac:dyDescent="0.25">
      <c r="A63" s="117"/>
    </row>
    <row r="64" spans="1:19" x14ac:dyDescent="0.25">
      <c r="A64" s="122"/>
    </row>
    <row r="65" spans="1:17" x14ac:dyDescent="0.25">
      <c r="A65" s="117"/>
    </row>
    <row r="66" spans="1:17" x14ac:dyDescent="0.25">
      <c r="A66" s="117"/>
    </row>
    <row r="67" spans="1:17" x14ac:dyDescent="0.25">
      <c r="A67" s="117"/>
    </row>
    <row r="68" spans="1:17" x14ac:dyDescent="0.25">
      <c r="A68" s="117"/>
    </row>
    <row r="69" spans="1:17" x14ac:dyDescent="0.25">
      <c r="A69" s="117"/>
    </row>
    <row r="70" spans="1:17" x14ac:dyDescent="0.25">
      <c r="A70" s="253" t="s">
        <v>861</v>
      </c>
      <c r="C70" s="118">
        <f>Trackers!D17</f>
        <v>0</v>
      </c>
      <c r="D70" s="118">
        <f>Trackers!E17</f>
        <v>0</v>
      </c>
      <c r="E70" s="118">
        <f>Trackers!F17</f>
        <v>0</v>
      </c>
      <c r="F70" s="118">
        <f>Trackers!G17</f>
        <v>0</v>
      </c>
      <c r="G70" s="118">
        <f>Trackers!H17</f>
        <v>0</v>
      </c>
      <c r="H70" s="118">
        <f>Trackers!I17</f>
        <v>0</v>
      </c>
      <c r="I70" s="118">
        <f>Trackers!J17</f>
        <v>0</v>
      </c>
      <c r="J70" s="118">
        <f>Trackers!K17</f>
        <v>0</v>
      </c>
      <c r="K70" s="118">
        <f>Trackers!L17</f>
        <v>0</v>
      </c>
      <c r="L70" s="118">
        <f>Trackers!M17</f>
        <v>0</v>
      </c>
      <c r="M70" s="118">
        <f>Trackers!N17</f>
        <v>0</v>
      </c>
      <c r="N70" s="118">
        <f>Trackers!O17</f>
        <v>0</v>
      </c>
      <c r="O70" s="118">
        <f>SUM(C70:N70)</f>
        <v>0</v>
      </c>
      <c r="P70" s="119">
        <f>SUM(C70:I70)</f>
        <v>0</v>
      </c>
      <c r="Q70" s="118">
        <f>(O70-P70)</f>
        <v>0</v>
      </c>
    </row>
    <row r="71" spans="1:17" x14ac:dyDescent="0.25">
      <c r="A71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C5" sqref="C5"/>
    </sheetView>
  </sheetViews>
  <sheetFormatPr defaultColWidth="10.6640625" defaultRowHeight="12.6" x14ac:dyDescent="0.25"/>
  <cols>
    <col min="1" max="1" width="45.6640625" style="23" customWidth="1"/>
    <col min="2" max="2" width="8.6640625" style="782" customWidth="1"/>
    <col min="3" max="14" width="8.6640625" style="23" customWidth="1"/>
    <col min="15" max="17" width="9.6640625" style="23" customWidth="1"/>
    <col min="18" max="24" width="8.6640625" style="23" customWidth="1"/>
    <col min="25" max="35" width="10.6640625" style="23"/>
    <col min="36" max="36" width="30.6640625" style="23" customWidth="1"/>
    <col min="37" max="16384" width="10.6640625" style="23"/>
  </cols>
  <sheetData>
    <row r="1" spans="1:50" ht="13.2" x14ac:dyDescent="0.25">
      <c r="A1" s="552" t="str">
        <f ca="1">CELL("FILENAME")</f>
        <v>P:\Finance\2001CE\[EMTW01CE.XLS]DataBase</v>
      </c>
      <c r="B1" s="775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3.2" x14ac:dyDescent="0.25">
      <c r="A2" s="367" t="s">
        <v>809</v>
      </c>
      <c r="B2" s="775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3.2" x14ac:dyDescent="0.25">
      <c r="A3" s="555" t="str">
        <f>IncomeState!A3</f>
        <v>2001 CURRENT ESTIMATE</v>
      </c>
      <c r="B3" s="776">
        <f ca="1">NOW()</f>
        <v>37109.471773495374</v>
      </c>
      <c r="C3" s="559" t="str">
        <f>IncomeState!C6</f>
        <v>ACT.</v>
      </c>
      <c r="D3" s="559" t="str">
        <f>IncomeState!D6</f>
        <v>ACT.</v>
      </c>
      <c r="E3" s="559" t="str">
        <f>IncomeState!E6</f>
        <v>ACT.</v>
      </c>
      <c r="F3" s="559" t="str">
        <f>IncomeState!F6</f>
        <v>ACT.</v>
      </c>
      <c r="G3" s="559" t="str">
        <f>IncomeState!G6</f>
        <v>ACT.</v>
      </c>
      <c r="H3" s="559" t="str">
        <f>IncomeState!H6</f>
        <v>ACT.</v>
      </c>
      <c r="I3" s="559" t="str">
        <f>IncomeState!I6</f>
        <v>FLASH</v>
      </c>
      <c r="J3" s="559">
        <f>IncomeState!J6</f>
        <v>0</v>
      </c>
      <c r="K3" s="559">
        <f>IncomeState!K6</f>
        <v>0</v>
      </c>
      <c r="L3" s="559">
        <f>IncomeState!L6</f>
        <v>0</v>
      </c>
      <c r="M3" s="559">
        <f>IncomeState!M6</f>
        <v>0</v>
      </c>
      <c r="N3" s="559">
        <f>IncomeState!N6</f>
        <v>0</v>
      </c>
      <c r="O3" s="559" t="str">
        <f>IncomeState!O6</f>
        <v>TOTAL</v>
      </c>
      <c r="P3" s="559" t="str">
        <f>IncomeState!P6</f>
        <v>JUNE</v>
      </c>
      <c r="Q3" s="559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ht="13.2" x14ac:dyDescent="0.25">
      <c r="A4" s="354"/>
      <c r="B4" s="777">
        <f ca="1">NOW()</f>
        <v>37109.471773495374</v>
      </c>
      <c r="C4" s="368" t="s">
        <v>591</v>
      </c>
      <c r="D4" s="368" t="s">
        <v>592</v>
      </c>
      <c r="E4" s="368" t="s">
        <v>593</v>
      </c>
      <c r="F4" s="368" t="s">
        <v>594</v>
      </c>
      <c r="G4" s="368" t="s">
        <v>595</v>
      </c>
      <c r="H4" s="368" t="s">
        <v>596</v>
      </c>
      <c r="I4" s="368" t="s">
        <v>597</v>
      </c>
      <c r="J4" s="368" t="s">
        <v>598</v>
      </c>
      <c r="K4" s="368" t="s">
        <v>599</v>
      </c>
      <c r="L4" s="368" t="s">
        <v>600</v>
      </c>
      <c r="M4" s="368" t="s">
        <v>601</v>
      </c>
      <c r="N4" s="368" t="s">
        <v>602</v>
      </c>
      <c r="O4" s="560">
        <f>IncomeState!O7</f>
        <v>2001</v>
      </c>
      <c r="P4" s="560" t="str">
        <f>IncomeState!P7</f>
        <v>Y-T-D</v>
      </c>
      <c r="Q4" s="560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" customHeight="1" x14ac:dyDescent="0.25">
      <c r="A5" s="351"/>
      <c r="B5" s="775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ht="13.2" x14ac:dyDescent="0.25">
      <c r="A6" s="369" t="s">
        <v>810</v>
      </c>
      <c r="B6" s="775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ht="13.2" x14ac:dyDescent="0.25">
      <c r="A7" s="374" t="s">
        <v>811</v>
      </c>
      <c r="B7" s="77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ht="13.2" x14ac:dyDescent="0.25">
      <c r="A8" s="359" t="str">
        <f>Trackers!A74</f>
        <v xml:space="preserve">      Many Islands (Canadian) FULLY ASSIGNED</v>
      </c>
      <c r="B8" s="853" t="s">
        <v>996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SUM(C8:E8)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ht="13.2" x14ac:dyDescent="0.25">
      <c r="A9" s="359" t="str">
        <f>Trackers!A75</f>
        <v xml:space="preserve">      Great Lakes FULLY ASSIGNED</v>
      </c>
      <c r="B9" s="853" t="s">
        <v>996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SUM(C9:E9)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ht="13.2" x14ac:dyDescent="0.25">
      <c r="A10" s="359" t="str">
        <f>Trackers!A76</f>
        <v xml:space="preserve">      Trailblazer System (Including WIC)</v>
      </c>
      <c r="B10" s="853" t="s">
        <v>996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ht="13.2" x14ac:dyDescent="0.25">
      <c r="A11" s="359" t="str">
        <f>Trackers!A77</f>
        <v xml:space="preserve">      Settlement Credit</v>
      </c>
      <c r="B11" s="853" t="s">
        <v>996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ht="13.2" x14ac:dyDescent="0.25">
      <c r="A12" s="359" t="str">
        <f>Trackers!A78</f>
        <v xml:space="preserve">      Rocky Mountain (Questar)</v>
      </c>
      <c r="B12" s="853" t="s">
        <v>996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ht="13.2" x14ac:dyDescent="0.25">
      <c r="A13" s="359" t="str">
        <f>Trackers!A79</f>
        <v xml:space="preserve">      Gulf Coast / Dakota Gas (Columbia Gulf / HPL)</v>
      </c>
      <c r="B13" s="853" t="s">
        <v>996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4" customFormat="1" ht="13.2" x14ac:dyDescent="0.25">
      <c r="A14" s="543" t="str">
        <f>Trackers!A80</f>
        <v xml:space="preserve">      Other</v>
      </c>
      <c r="B14" s="853" t="s">
        <v>996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" customHeight="1" x14ac:dyDescent="0.25">
      <c r="A15" s="351"/>
      <c r="B15" s="775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ht="13.2" x14ac:dyDescent="0.25">
      <c r="A16" s="365" t="s">
        <v>812</v>
      </c>
      <c r="B16" s="779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5">
      <c r="A17" s="357"/>
      <c r="B17" s="775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ht="13.2" x14ac:dyDescent="0.25">
      <c r="A18" s="374" t="s">
        <v>813</v>
      </c>
      <c r="B18" s="775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ht="13.2" x14ac:dyDescent="0.25">
      <c r="A19" s="363" t="str">
        <f>Trackers!A281</f>
        <v xml:space="preserve">      ANR (4.2) Storage</v>
      </c>
      <c r="B19" s="853" t="s">
        <v>996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SUM(C19:E19)</f>
        <v>0</v>
      </c>
      <c r="Q19" s="359">
        <f>(O19-P19)</f>
        <v>0</v>
      </c>
    </row>
    <row r="20" spans="1:50" ht="13.2" x14ac:dyDescent="0.25">
      <c r="A20" s="363" t="str">
        <f>Trackers!A282</f>
        <v xml:space="preserve">      Other</v>
      </c>
      <c r="B20" s="853" t="s">
        <v>996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SUM(C20:E20)</f>
        <v>0</v>
      </c>
      <c r="Q20" s="360">
        <f>(O20-P20)</f>
        <v>0</v>
      </c>
      <c r="R20" s="33"/>
    </row>
    <row r="21" spans="1:50" ht="3.9" customHeight="1" x14ac:dyDescent="0.25">
      <c r="A21" s="351"/>
      <c r="B21" s="775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ht="13.2" x14ac:dyDescent="0.25">
      <c r="A22" s="365" t="s">
        <v>814</v>
      </c>
      <c r="B22" s="775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5">
      <c r="A23" s="357"/>
      <c r="B23" s="775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ht="13.2" x14ac:dyDescent="0.25">
      <c r="A24" s="374" t="s">
        <v>815</v>
      </c>
      <c r="B24" s="775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ht="13.2" x14ac:dyDescent="0.25">
      <c r="A25" s="365" t="s">
        <v>863</v>
      </c>
      <c r="B25" s="775"/>
      <c r="C25" s="358">
        <v>0</v>
      </c>
      <c r="D25" s="358">
        <v>0</v>
      </c>
      <c r="E25" s="358">
        <v>0</v>
      </c>
      <c r="F25" s="358">
        <v>0</v>
      </c>
      <c r="G25" s="358">
        <v>0</v>
      </c>
      <c r="H25" s="358">
        <v>0</v>
      </c>
      <c r="I25" s="358">
        <v>0</v>
      </c>
      <c r="J25" s="358">
        <v>0</v>
      </c>
      <c r="K25" s="358">
        <v>0</v>
      </c>
      <c r="L25" s="358">
        <v>0</v>
      </c>
      <c r="M25" s="358">
        <v>0</v>
      </c>
      <c r="N25" s="358">
        <v>0</v>
      </c>
      <c r="O25" s="359">
        <f>SUM(C25:N25)</f>
        <v>0</v>
      </c>
      <c r="P25" s="358">
        <f>SUM(C25:E25)</f>
        <v>0</v>
      </c>
      <c r="Q25" s="359">
        <f>(O25-P25)</f>
        <v>0</v>
      </c>
      <c r="R25" s="31"/>
    </row>
    <row r="26" spans="1:50" s="26" customFormat="1" ht="13.2" x14ac:dyDescent="0.25">
      <c r="A26" s="365" t="s">
        <v>606</v>
      </c>
      <c r="B26" s="779"/>
      <c r="C26" s="561">
        <v>0</v>
      </c>
      <c r="D26" s="561">
        <v>0</v>
      </c>
      <c r="E26" s="561">
        <v>0</v>
      </c>
      <c r="F26" s="561">
        <v>0</v>
      </c>
      <c r="G26" s="561">
        <v>0</v>
      </c>
      <c r="H26" s="561">
        <v>0</v>
      </c>
      <c r="I26" s="561">
        <v>0</v>
      </c>
      <c r="J26" s="561">
        <v>0</v>
      </c>
      <c r="K26" s="561">
        <v>0</v>
      </c>
      <c r="L26" s="561">
        <v>0</v>
      </c>
      <c r="M26" s="561">
        <v>0</v>
      </c>
      <c r="N26" s="561">
        <v>0</v>
      </c>
      <c r="O26" s="543">
        <f>SUM(C26:N26)</f>
        <v>0</v>
      </c>
      <c r="P26" s="358">
        <f>SUM(C26:E26)</f>
        <v>0</v>
      </c>
      <c r="Q26" s="543">
        <f>(O26-P26)</f>
        <v>0</v>
      </c>
    </row>
    <row r="27" spans="1:50" ht="13.2" x14ac:dyDescent="0.25">
      <c r="A27" s="365" t="s">
        <v>606</v>
      </c>
      <c r="B27" s="775"/>
      <c r="C27" s="358">
        <v>0</v>
      </c>
      <c r="D27" s="358">
        <v>0</v>
      </c>
      <c r="E27" s="358">
        <v>0</v>
      </c>
      <c r="F27" s="358">
        <v>0</v>
      </c>
      <c r="G27" s="358">
        <v>0</v>
      </c>
      <c r="H27" s="358">
        <v>0</v>
      </c>
      <c r="I27" s="358">
        <v>0</v>
      </c>
      <c r="J27" s="358">
        <v>0</v>
      </c>
      <c r="K27" s="358">
        <v>0</v>
      </c>
      <c r="L27" s="358">
        <v>0</v>
      </c>
      <c r="M27" s="358">
        <v>0</v>
      </c>
      <c r="N27" s="358">
        <v>0</v>
      </c>
      <c r="O27" s="359">
        <f>SUM(C27:N27)</f>
        <v>0</v>
      </c>
      <c r="P27" s="358">
        <f>SUM(C27:E27)</f>
        <v>0</v>
      </c>
      <c r="Q27" s="359">
        <f>(O27-P27)</f>
        <v>0</v>
      </c>
      <c r="R27" s="31"/>
    </row>
    <row r="28" spans="1:50" ht="13.2" x14ac:dyDescent="0.25">
      <c r="A28" s="365" t="s">
        <v>816</v>
      </c>
      <c r="B28" s="775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SUM(C28:E28)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" customHeight="1" x14ac:dyDescent="0.25">
      <c r="A29" s="365"/>
      <c r="B29" s="775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ht="13.2" x14ac:dyDescent="0.25">
      <c r="A30" s="373" t="s">
        <v>817</v>
      </c>
      <c r="B30" s="775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5">
      <c r="A31" s="357"/>
      <c r="B31" s="775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ht="13.2" x14ac:dyDescent="0.25">
      <c r="A32" s="372" t="s">
        <v>915</v>
      </c>
      <c r="B32" s="779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5">
      <c r="A33" s="357"/>
      <c r="B33" s="775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ht="13.2" x14ac:dyDescent="0.25">
      <c r="A34" s="356" t="s">
        <v>818</v>
      </c>
      <c r="B34" s="775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SUM(C34:E34)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ht="13.2" x14ac:dyDescent="0.25">
      <c r="A35" s="356" t="s">
        <v>819</v>
      </c>
      <c r="B35" s="775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SUM(C35:E35)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5">
      <c r="A36" s="357"/>
      <c r="B36" s="775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ht="13.2" x14ac:dyDescent="0.25">
      <c r="A37" s="372" t="s">
        <v>820</v>
      </c>
      <c r="B37" s="775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ht="13.2" x14ac:dyDescent="0.25">
      <c r="A38" s="365" t="s">
        <v>821</v>
      </c>
      <c r="B38" s="780" t="s">
        <v>612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SUM(C38:E38)</f>
        <v>0</v>
      </c>
      <c r="Q38" s="359">
        <f t="shared" ref="Q38:Q43" si="10">(O38-P38)</f>
        <v>0</v>
      </c>
      <c r="R38" s="31"/>
    </row>
    <row r="39" spans="1:46" ht="13.2" x14ac:dyDescent="0.25">
      <c r="A39" s="365" t="s">
        <v>822</v>
      </c>
      <c r="B39" s="853" t="s">
        <v>996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ht="13.2" x14ac:dyDescent="0.25">
      <c r="A40" s="365" t="s">
        <v>823</v>
      </c>
      <c r="B40" s="853" t="s">
        <v>996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ht="13.2" x14ac:dyDescent="0.25">
      <c r="A41" s="365" t="s">
        <v>824</v>
      </c>
      <c r="B41" s="853" t="s">
        <v>996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ht="13.2" x14ac:dyDescent="0.25">
      <c r="A42" s="365" t="s">
        <v>826</v>
      </c>
      <c r="B42" s="853" t="s">
        <v>996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ht="13.2" x14ac:dyDescent="0.25">
      <c r="A43" s="365" t="s">
        <v>827</v>
      </c>
      <c r="B43" s="780" t="s">
        <v>612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" customHeight="1" x14ac:dyDescent="0.25">
      <c r="A44" s="351"/>
      <c r="B44" s="775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ht="13.2" x14ac:dyDescent="0.25">
      <c r="A45" s="372" t="s">
        <v>828</v>
      </c>
      <c r="B45" s="781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5">
      <c r="A46" s="357"/>
      <c r="B46" s="775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ht="13.2" x14ac:dyDescent="0.25">
      <c r="A47" s="372" t="s">
        <v>829</v>
      </c>
      <c r="B47" s="775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ht="13.2" x14ac:dyDescent="0.25">
      <c r="A48" s="365" t="s">
        <v>821</v>
      </c>
      <c r="B48" s="780" t="s">
        <v>612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SUM(C48:E48)</f>
        <v>0</v>
      </c>
      <c r="Q48" s="359">
        <f t="shared" ref="Q48:Q55" si="14">(O48-P48)</f>
        <v>0</v>
      </c>
    </row>
    <row r="49" spans="1:24" ht="13.2" x14ac:dyDescent="0.25">
      <c r="A49" s="365" t="s">
        <v>822</v>
      </c>
      <c r="B49" s="853" t="s">
        <v>996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ht="13.2" x14ac:dyDescent="0.25">
      <c r="A50" s="365" t="s">
        <v>830</v>
      </c>
      <c r="B50" s="853" t="s">
        <v>996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ht="13.2" x14ac:dyDescent="0.25">
      <c r="A51" s="365" t="s">
        <v>831</v>
      </c>
      <c r="B51" s="853" t="s">
        <v>996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ht="13.2" x14ac:dyDescent="0.25">
      <c r="A52" s="365" t="s">
        <v>832</v>
      </c>
      <c r="B52" s="853" t="s">
        <v>996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ht="13.2" x14ac:dyDescent="0.25">
      <c r="A53" s="365" t="s">
        <v>833</v>
      </c>
      <c r="B53" s="853" t="s">
        <v>996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ht="13.2" x14ac:dyDescent="0.25">
      <c r="A54" s="365" t="s">
        <v>834</v>
      </c>
      <c r="B54" s="853" t="s">
        <v>996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ht="13.2" x14ac:dyDescent="0.25">
      <c r="A55" s="365" t="s">
        <v>835</v>
      </c>
      <c r="B55" s="853" t="s">
        <v>996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" customHeight="1" x14ac:dyDescent="0.25">
      <c r="A56" s="351"/>
      <c r="B56" s="775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ht="13.2" x14ac:dyDescent="0.25">
      <c r="A57" s="372" t="s">
        <v>836</v>
      </c>
      <c r="B57" s="779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5">
      <c r="A58" s="357"/>
      <c r="B58" s="778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5">
      <c r="A59" s="306" t="s">
        <v>997</v>
      </c>
      <c r="B59" s="778"/>
      <c r="C59" s="854">
        <v>0</v>
      </c>
      <c r="D59" s="854">
        <v>0</v>
      </c>
      <c r="E59" s="854">
        <v>0</v>
      </c>
      <c r="F59" s="854">
        <v>0</v>
      </c>
      <c r="G59" s="854">
        <v>0</v>
      </c>
      <c r="H59" s="854">
        <v>0</v>
      </c>
      <c r="I59" s="854">
        <v>0</v>
      </c>
      <c r="J59" s="854">
        <v>0</v>
      </c>
      <c r="K59" s="854">
        <v>0</v>
      </c>
      <c r="L59" s="854">
        <v>0</v>
      </c>
      <c r="M59" s="854">
        <v>0</v>
      </c>
      <c r="N59" s="854">
        <v>0</v>
      </c>
      <c r="O59" s="359">
        <f>SUM(C59:N59)</f>
        <v>0</v>
      </c>
      <c r="P59" s="358">
        <f>SUM(C59:E59)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5">
      <c r="A60" s="365" t="s">
        <v>998</v>
      </c>
      <c r="B60" s="853" t="s">
        <v>996</v>
      </c>
      <c r="C60" s="470">
        <f>'Transport-OtherRev'!C71</f>
        <v>0</v>
      </c>
      <c r="D60" s="470">
        <f>'Transport-OtherRev'!D71</f>
        <v>0</v>
      </c>
      <c r="E60" s="470">
        <f>'Transport-OtherRev'!E71</f>
        <v>0</v>
      </c>
      <c r="F60" s="470">
        <f>'Transport-OtherRev'!F71</f>
        <v>0</v>
      </c>
      <c r="G60" s="470">
        <f>'Transport-OtherRev'!G71</f>
        <v>0</v>
      </c>
      <c r="H60" s="470">
        <f>'Transport-OtherRev'!H71</f>
        <v>0</v>
      </c>
      <c r="I60" s="470">
        <f>'Transport-OtherRev'!I71</f>
        <v>0</v>
      </c>
      <c r="J60" s="470">
        <f>'Transport-OtherRev'!J71</f>
        <v>0</v>
      </c>
      <c r="K60" s="470">
        <f>'Transport-OtherRev'!K71</f>
        <v>0</v>
      </c>
      <c r="L60" s="470">
        <f>'Transport-OtherRev'!L71</f>
        <v>0</v>
      </c>
      <c r="M60" s="470">
        <f>'Transport-OtherRev'!M71</f>
        <v>0</v>
      </c>
      <c r="N60" s="470">
        <f>'Transport-OtherRev'!N71</f>
        <v>0</v>
      </c>
      <c r="O60" s="359">
        <f>SUM(C60:N60)</f>
        <v>0</v>
      </c>
      <c r="P60" s="358">
        <f>SUM(C60:E60)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5">
      <c r="A61" s="365" t="s">
        <v>999</v>
      </c>
      <c r="B61" s="853" t="s">
        <v>996</v>
      </c>
      <c r="C61" s="305">
        <f>-'Transport-OtherRev'!C80</f>
        <v>0</v>
      </c>
      <c r="D61" s="305">
        <f>-'Transport-OtherRev'!D80</f>
        <v>0</v>
      </c>
      <c r="E61" s="305">
        <f>-'Transport-OtherRev'!E80</f>
        <v>0</v>
      </c>
      <c r="F61" s="305">
        <f>-'Transport-OtherRev'!F80</f>
        <v>0</v>
      </c>
      <c r="G61" s="305">
        <f>-'Transport-OtherRev'!G80</f>
        <v>0</v>
      </c>
      <c r="H61" s="305">
        <f>-'Transport-OtherRev'!H80</f>
        <v>0</v>
      </c>
      <c r="I61" s="305">
        <f>-'Transport-OtherRev'!I80</f>
        <v>0</v>
      </c>
      <c r="J61" s="305">
        <f>-'Transport-OtherRev'!J80</f>
        <v>0</v>
      </c>
      <c r="K61" s="305">
        <f>-'Transport-OtherRev'!K80</f>
        <v>0</v>
      </c>
      <c r="L61" s="305">
        <f>-'Transport-OtherRev'!L80</f>
        <v>0</v>
      </c>
      <c r="M61" s="305">
        <f>-'Transport-OtherRev'!M80</f>
        <v>0</v>
      </c>
      <c r="N61" s="305">
        <f>-'Transport-OtherRev'!N80</f>
        <v>0</v>
      </c>
      <c r="O61" s="360">
        <f>SUM(C61:N61)</f>
        <v>0</v>
      </c>
      <c r="P61" s="364">
        <f>SUM(C61:E61)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" customHeight="1" x14ac:dyDescent="0.25">
      <c r="A62" s="357"/>
      <c r="B62" s="778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5">
      <c r="A63" s="372" t="s">
        <v>838</v>
      </c>
      <c r="B63" s="778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5">
      <c r="A64" s="357"/>
      <c r="B64" s="778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5">
      <c r="A65" s="369" t="s">
        <v>839</v>
      </c>
      <c r="B65" s="779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5">
      <c r="A66" s="351"/>
      <c r="B66" s="775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>
        <f>SUM(C66:N66)</f>
        <v>0</v>
      </c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5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5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5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5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5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5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5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5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5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5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5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5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5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5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5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5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5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5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8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2"/>
  <sheetViews>
    <sheetView showGridLines="0" workbookViewId="0">
      <pane xSplit="2" ySplit="4" topLeftCell="G5" activePane="bottomRight" state="frozen"/>
      <selection activeCell="AA56" sqref="AA56"/>
      <selection pane="topRight" activeCell="AA56" sqref="AA56"/>
      <selection pane="bottomLeft" activeCell="AA56" sqref="AA56"/>
      <selection pane="bottomRight" activeCell="I8" sqref="I8"/>
    </sheetView>
  </sheetViews>
  <sheetFormatPr defaultColWidth="10.6640625" defaultRowHeight="13.2" x14ac:dyDescent="0.25"/>
  <cols>
    <col min="1" max="1" width="45.6640625" style="123" customWidth="1"/>
    <col min="2" max="14" width="8.6640625" style="123" customWidth="1"/>
    <col min="15" max="17" width="9.6640625" style="123" customWidth="1"/>
    <col min="18" max="16384" width="10.6640625" style="123"/>
  </cols>
  <sheetData>
    <row r="1" spans="1:19" x14ac:dyDescent="0.25">
      <c r="A1" s="552" t="str">
        <f ca="1">CELL("FILENAME")</f>
        <v>P:\Finance\2001CE\[EMTW01CE.XLS]DataBase</v>
      </c>
    </row>
    <row r="2" spans="1:19" x14ac:dyDescent="0.25">
      <c r="A2" s="381" t="s">
        <v>862</v>
      </c>
      <c r="C2" s="124" t="s">
        <v>590</v>
      </c>
      <c r="D2" s="124" t="s">
        <v>590</v>
      </c>
      <c r="E2" s="124" t="s">
        <v>590</v>
      </c>
      <c r="F2" s="125"/>
      <c r="G2" s="489"/>
      <c r="H2" s="124" t="s">
        <v>590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5">
      <c r="A3" s="555" t="str">
        <f>IncomeState!A3</f>
        <v>2001 CURRENT ESTIMATE</v>
      </c>
      <c r="B3" s="788">
        <f ca="1">NOW()</f>
        <v>37109.471773379628</v>
      </c>
      <c r="C3" s="564" t="str">
        <f>IncomeState!C6</f>
        <v>ACT.</v>
      </c>
      <c r="D3" s="564" t="str">
        <f>IncomeState!D6</f>
        <v>ACT.</v>
      </c>
      <c r="E3" s="564" t="str">
        <f>IncomeState!E6</f>
        <v>ACT.</v>
      </c>
      <c r="F3" s="564" t="str">
        <f>IncomeState!F6</f>
        <v>ACT.</v>
      </c>
      <c r="G3" s="564" t="str">
        <f>IncomeState!G6</f>
        <v>ACT.</v>
      </c>
      <c r="H3" s="564" t="str">
        <f>IncomeState!H6</f>
        <v>ACT.</v>
      </c>
      <c r="I3" s="564" t="str">
        <f>IncomeState!I6</f>
        <v>FLASH</v>
      </c>
      <c r="J3" s="564">
        <f>IncomeState!J6</f>
        <v>0</v>
      </c>
      <c r="K3" s="564">
        <f>IncomeState!K6</f>
        <v>0</v>
      </c>
      <c r="L3" s="564">
        <f>IncomeState!L6</f>
        <v>0</v>
      </c>
      <c r="M3" s="564">
        <f>IncomeState!M6</f>
        <v>0</v>
      </c>
      <c r="N3" s="564">
        <f>IncomeState!N6</f>
        <v>0</v>
      </c>
      <c r="O3" s="564" t="str">
        <f>IncomeState!O6</f>
        <v>TOTAL</v>
      </c>
      <c r="P3" s="564" t="str">
        <f>IncomeState!P6</f>
        <v>JUNE</v>
      </c>
      <c r="Q3" s="564" t="str">
        <f>IncomeState!Q6</f>
        <v>ESTIMATE</v>
      </c>
      <c r="R3" s="126"/>
      <c r="S3" s="126"/>
    </row>
    <row r="4" spans="1:19" x14ac:dyDescent="0.25">
      <c r="A4" s="382"/>
      <c r="B4" s="789">
        <f ca="1">NOW()</f>
        <v>37109.471773379628</v>
      </c>
      <c r="C4" s="385" t="s">
        <v>591</v>
      </c>
      <c r="D4" s="385" t="s">
        <v>592</v>
      </c>
      <c r="E4" s="385" t="s">
        <v>593</v>
      </c>
      <c r="F4" s="385" t="s">
        <v>594</v>
      </c>
      <c r="G4" s="385" t="s">
        <v>595</v>
      </c>
      <c r="H4" s="385" t="s">
        <v>596</v>
      </c>
      <c r="I4" s="385" t="s">
        <v>597</v>
      </c>
      <c r="J4" s="385" t="s">
        <v>598</v>
      </c>
      <c r="K4" s="385" t="s">
        <v>599</v>
      </c>
      <c r="L4" s="385" t="s">
        <v>600</v>
      </c>
      <c r="M4" s="385" t="s">
        <v>601</v>
      </c>
      <c r="N4" s="385" t="s">
        <v>602</v>
      </c>
      <c r="O4" s="565">
        <f>IncomeState!O7</f>
        <v>2001</v>
      </c>
      <c r="P4" s="565" t="str">
        <f>IncomeState!P7</f>
        <v>Y-T-D</v>
      </c>
      <c r="Q4" s="565" t="str">
        <f>IncomeState!Q7</f>
        <v>R.M.</v>
      </c>
      <c r="R4" s="126"/>
      <c r="S4" s="126"/>
    </row>
    <row r="5" spans="1:19" ht="3.9" customHeight="1" x14ac:dyDescent="0.25">
      <c r="A5" s="383"/>
      <c r="B5" s="790"/>
    </row>
    <row r="6" spans="1:19" x14ac:dyDescent="0.25">
      <c r="A6" s="384" t="s">
        <v>927</v>
      </c>
      <c r="B6" s="791"/>
    </row>
    <row r="7" spans="1:19" x14ac:dyDescent="0.25">
      <c r="A7" s="549" t="s">
        <v>925</v>
      </c>
      <c r="B7" s="792"/>
      <c r="C7" s="128">
        <v>-4940</v>
      </c>
      <c r="D7" s="868">
        <f>-3633-1</f>
        <v>-3634</v>
      </c>
      <c r="E7" s="128">
        <f>-3808</f>
        <v>-3808</v>
      </c>
      <c r="F7" s="868">
        <f>-3274+21741</f>
        <v>18467</v>
      </c>
      <c r="G7" s="868">
        <f>-408+21742-21741</f>
        <v>-407</v>
      </c>
      <c r="H7" s="128">
        <v>379</v>
      </c>
      <c r="I7" s="128">
        <v>1204</v>
      </c>
      <c r="J7" s="128">
        <v>-2828</v>
      </c>
      <c r="K7" s="128">
        <v>-2903</v>
      </c>
      <c r="L7" s="128">
        <v>-3318</v>
      </c>
      <c r="M7" s="128">
        <v>-3193</v>
      </c>
      <c r="N7" s="128">
        <v>-2891</v>
      </c>
      <c r="O7" s="129">
        <f>SUM(C7:N7)</f>
        <v>-7872</v>
      </c>
      <c r="P7" s="128">
        <f>SUM(C7:E7)</f>
        <v>-12382</v>
      </c>
      <c r="Q7" s="129">
        <f>(O7-P7)</f>
        <v>4510</v>
      </c>
    </row>
    <row r="8" spans="1:19" x14ac:dyDescent="0.25">
      <c r="A8" s="566" t="s">
        <v>926</v>
      </c>
      <c r="B8" s="792"/>
      <c r="C8" s="128">
        <v>52</v>
      </c>
      <c r="D8" s="128">
        <v>-1032</v>
      </c>
      <c r="E8" s="128">
        <v>-138</v>
      </c>
      <c r="F8" s="128">
        <v>413</v>
      </c>
      <c r="G8" s="128">
        <v>80</v>
      </c>
      <c r="H8" s="128">
        <v>-760</v>
      </c>
      <c r="I8" s="128">
        <v>-995</v>
      </c>
      <c r="J8" s="128">
        <v>113</v>
      </c>
      <c r="K8" s="128">
        <v>103</v>
      </c>
      <c r="L8" s="128">
        <v>110</v>
      </c>
      <c r="M8" s="128">
        <v>119</v>
      </c>
      <c r="N8" s="128">
        <v>142</v>
      </c>
      <c r="O8" s="129">
        <f>SUM(C8:N8)</f>
        <v>-1793</v>
      </c>
      <c r="P8" s="128">
        <f>SUM(C8:E8)</f>
        <v>-1118</v>
      </c>
      <c r="Q8" s="129">
        <f>(O8-P8)</f>
        <v>-675</v>
      </c>
    </row>
    <row r="9" spans="1:19" x14ac:dyDescent="0.25">
      <c r="A9" s="131" t="s">
        <v>1049</v>
      </c>
      <c r="B9" s="768"/>
      <c r="C9" s="128">
        <v>0</v>
      </c>
      <c r="D9" s="128">
        <f>0</f>
        <v>0</v>
      </c>
      <c r="E9" s="128">
        <v>1100</v>
      </c>
      <c r="F9" s="128">
        <v>-402</v>
      </c>
      <c r="G9" s="128">
        <f>0</f>
        <v>0</v>
      </c>
      <c r="H9" s="868">
        <f>763-10</f>
        <v>753</v>
      </c>
      <c r="I9" s="128">
        <v>1003</v>
      </c>
      <c r="J9" s="128">
        <f>0</f>
        <v>0</v>
      </c>
      <c r="K9" s="128">
        <f>0</f>
        <v>0</v>
      </c>
      <c r="L9" s="128">
        <f>0</f>
        <v>0</v>
      </c>
      <c r="M9" s="128">
        <f>0</f>
        <v>0</v>
      </c>
      <c r="N9" s="128">
        <f>0</f>
        <v>0</v>
      </c>
      <c r="O9" s="129">
        <f>SUM(C9:N9)</f>
        <v>2454</v>
      </c>
      <c r="P9" s="128">
        <f>SUM(C9:E9)</f>
        <v>1100</v>
      </c>
      <c r="Q9" s="129">
        <f>(O9-P9)</f>
        <v>1354</v>
      </c>
    </row>
    <row r="10" spans="1:19" x14ac:dyDescent="0.25">
      <c r="A10" s="131" t="s">
        <v>1051</v>
      </c>
      <c r="B10" s="768"/>
      <c r="C10" s="128">
        <f>0</f>
        <v>0</v>
      </c>
      <c r="D10" s="128">
        <f>0</f>
        <v>0</v>
      </c>
      <c r="E10" s="128">
        <v>950</v>
      </c>
      <c r="F10" s="128">
        <f>-7815</f>
        <v>-7815</v>
      </c>
      <c r="G10" s="128">
        <f>0</f>
        <v>0</v>
      </c>
      <c r="H10" s="128">
        <f>0</f>
        <v>0</v>
      </c>
      <c r="I10" s="128">
        <f>0</f>
        <v>0</v>
      </c>
      <c r="J10" s="128">
        <f>0</f>
        <v>0</v>
      </c>
      <c r="K10" s="128">
        <f>0</f>
        <v>0</v>
      </c>
      <c r="L10" s="128">
        <f>0</f>
        <v>0</v>
      </c>
      <c r="M10" s="128">
        <f>0</f>
        <v>0</v>
      </c>
      <c r="N10" s="128">
        <f>0</f>
        <v>0</v>
      </c>
      <c r="O10" s="129">
        <f>SUM(C10:N10)</f>
        <v>-6865</v>
      </c>
      <c r="P10" s="128">
        <f>SUM(C10:E10)</f>
        <v>950</v>
      </c>
      <c r="Q10" s="129">
        <f>(O10-P10)</f>
        <v>-7815</v>
      </c>
    </row>
    <row r="11" spans="1:19" x14ac:dyDescent="0.25">
      <c r="A11" s="131" t="s">
        <v>604</v>
      </c>
      <c r="B11" s="791"/>
      <c r="C11" s="260">
        <f>0</f>
        <v>0</v>
      </c>
      <c r="D11" s="260">
        <f>0</f>
        <v>0</v>
      </c>
      <c r="E11" s="260">
        <f>0</f>
        <v>0</v>
      </c>
      <c r="F11" s="260">
        <f>0</f>
        <v>0</v>
      </c>
      <c r="G11" s="260">
        <f>0</f>
        <v>0</v>
      </c>
      <c r="H11" s="260">
        <f>0</f>
        <v>0</v>
      </c>
      <c r="I11" s="260">
        <f>0</f>
        <v>0</v>
      </c>
      <c r="J11" s="260">
        <f>0</f>
        <v>0</v>
      </c>
      <c r="K11" s="260">
        <f>0</f>
        <v>0</v>
      </c>
      <c r="L11" s="260">
        <f>0</f>
        <v>0</v>
      </c>
      <c r="M11" s="260">
        <f>0</f>
        <v>0</v>
      </c>
      <c r="N11" s="260">
        <f>0</f>
        <v>0</v>
      </c>
      <c r="O11" s="130">
        <f>SUM(C11:N11)</f>
        <v>0</v>
      </c>
      <c r="P11" s="260">
        <f>SUM(C11:E11)</f>
        <v>0</v>
      </c>
      <c r="Q11" s="130">
        <f>(O11-P11)</f>
        <v>0</v>
      </c>
    </row>
    <row r="12" spans="1:19" ht="3.9" customHeight="1" x14ac:dyDescent="0.25">
      <c r="B12" s="790"/>
      <c r="C12" s="134"/>
      <c r="D12" s="134"/>
      <c r="E12" s="134"/>
      <c r="F12" s="128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1:19" x14ac:dyDescent="0.25">
      <c r="A13" s="386" t="s">
        <v>923</v>
      </c>
      <c r="B13" s="124"/>
      <c r="C13" s="132">
        <f t="shared" ref="C13:Q13" si="0">ROUND(SUM(C7:C11),0)</f>
        <v>-4888</v>
      </c>
      <c r="D13" s="132">
        <f t="shared" si="0"/>
        <v>-4666</v>
      </c>
      <c r="E13" s="132">
        <f t="shared" si="0"/>
        <v>-1896</v>
      </c>
      <c r="F13" s="132">
        <f t="shared" si="0"/>
        <v>10663</v>
      </c>
      <c r="G13" s="132">
        <f t="shared" si="0"/>
        <v>-327</v>
      </c>
      <c r="H13" s="132">
        <f t="shared" si="0"/>
        <v>372</v>
      </c>
      <c r="I13" s="132">
        <f t="shared" si="0"/>
        <v>1212</v>
      </c>
      <c r="J13" s="132">
        <f t="shared" si="0"/>
        <v>-2715</v>
      </c>
      <c r="K13" s="132">
        <f t="shared" si="0"/>
        <v>-2800</v>
      </c>
      <c r="L13" s="132">
        <f t="shared" si="0"/>
        <v>-3208</v>
      </c>
      <c r="M13" s="132">
        <f t="shared" si="0"/>
        <v>-3074</v>
      </c>
      <c r="N13" s="132">
        <f t="shared" si="0"/>
        <v>-2749</v>
      </c>
      <c r="O13" s="132">
        <f t="shared" si="0"/>
        <v>-14076</v>
      </c>
      <c r="P13" s="132">
        <f t="shared" si="0"/>
        <v>-11450</v>
      </c>
      <c r="Q13" s="132">
        <f t="shared" si="0"/>
        <v>-2626</v>
      </c>
      <c r="R13" s="126"/>
    </row>
    <row r="14" spans="1:19" x14ac:dyDescent="0.25">
      <c r="A14" s="127"/>
      <c r="B14" s="791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5"/>
      <c r="P14" s="128"/>
      <c r="Q14" s="135"/>
    </row>
    <row r="15" spans="1:19" x14ac:dyDescent="0.25">
      <c r="A15" s="567" t="s">
        <v>928</v>
      </c>
      <c r="B15" s="790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</row>
    <row r="16" spans="1:19" x14ac:dyDescent="0.25">
      <c r="A16" s="131" t="s">
        <v>933</v>
      </c>
      <c r="B16" s="790"/>
      <c r="C16" s="128">
        <v>949</v>
      </c>
      <c r="D16" s="128">
        <v>950</v>
      </c>
      <c r="E16" s="128">
        <v>924</v>
      </c>
      <c r="F16" s="128">
        <v>972</v>
      </c>
      <c r="G16" s="128">
        <v>928</v>
      </c>
      <c r="H16" s="128">
        <v>1037</v>
      </c>
      <c r="I16" s="128">
        <v>1029</v>
      </c>
      <c r="J16" s="128">
        <v>1077</v>
      </c>
      <c r="K16" s="128">
        <v>1078</v>
      </c>
      <c r="L16" s="128">
        <v>1179</v>
      </c>
      <c r="M16" s="128">
        <v>1177</v>
      </c>
      <c r="N16" s="128">
        <v>1178</v>
      </c>
      <c r="O16" s="129">
        <f t="shared" ref="O16:O23" si="1">SUM(C16:N16)</f>
        <v>12478</v>
      </c>
      <c r="P16" s="128">
        <f t="shared" ref="P16:P26" si="2">SUM(C16:E16)</f>
        <v>2823</v>
      </c>
      <c r="Q16" s="129">
        <f t="shared" ref="Q16:Q23" si="3">O16-P16</f>
        <v>9655</v>
      </c>
    </row>
    <row r="17" spans="1:20" x14ac:dyDescent="0.25">
      <c r="A17" s="131" t="s">
        <v>932</v>
      </c>
      <c r="B17" s="853" t="s">
        <v>996</v>
      </c>
      <c r="C17" s="128">
        <v>11</v>
      </c>
      <c r="D17" s="128">
        <v>10</v>
      </c>
      <c r="E17" s="128">
        <v>11</v>
      </c>
      <c r="F17" s="128">
        <v>10</v>
      </c>
      <c r="G17" s="128">
        <v>11</v>
      </c>
      <c r="H17" s="128">
        <v>11</v>
      </c>
      <c r="I17" s="128">
        <v>10</v>
      </c>
      <c r="J17" s="128">
        <v>11</v>
      </c>
      <c r="K17" s="128">
        <v>11</v>
      </c>
      <c r="L17" s="128">
        <v>10</v>
      </c>
      <c r="M17" s="128">
        <v>11</v>
      </c>
      <c r="N17" s="128">
        <v>10</v>
      </c>
      <c r="O17" s="129">
        <f t="shared" si="1"/>
        <v>127</v>
      </c>
      <c r="P17" s="128">
        <f t="shared" si="2"/>
        <v>32</v>
      </c>
      <c r="Q17" s="129">
        <f t="shared" si="3"/>
        <v>95</v>
      </c>
    </row>
    <row r="18" spans="1:20" x14ac:dyDescent="0.25">
      <c r="A18" s="131" t="s">
        <v>931</v>
      </c>
      <c r="B18" s="855" t="s">
        <v>1000</v>
      </c>
      <c r="C18" s="128">
        <v>50</v>
      </c>
      <c r="D18" s="128">
        <v>50</v>
      </c>
      <c r="E18" s="128">
        <v>50</v>
      </c>
      <c r="F18" s="128">
        <v>50</v>
      </c>
      <c r="G18" s="128">
        <v>50</v>
      </c>
      <c r="H18" s="128">
        <v>50</v>
      </c>
      <c r="I18" s="128">
        <v>50</v>
      </c>
      <c r="J18" s="128">
        <v>50</v>
      </c>
      <c r="K18" s="128">
        <v>50</v>
      </c>
      <c r="L18" s="128">
        <v>50</v>
      </c>
      <c r="M18" s="128">
        <v>50</v>
      </c>
      <c r="N18" s="128">
        <v>50</v>
      </c>
      <c r="O18" s="129">
        <f t="shared" si="1"/>
        <v>600</v>
      </c>
      <c r="P18" s="128">
        <f t="shared" si="2"/>
        <v>150</v>
      </c>
      <c r="Q18" s="129">
        <f t="shared" si="3"/>
        <v>450</v>
      </c>
    </row>
    <row r="19" spans="1:20" x14ac:dyDescent="0.25">
      <c r="A19" s="131" t="s">
        <v>930</v>
      </c>
      <c r="B19" s="855" t="s">
        <v>1000</v>
      </c>
      <c r="C19" s="128">
        <v>17</v>
      </c>
      <c r="D19" s="128">
        <v>-17</v>
      </c>
      <c r="E19" s="128">
        <v>52</v>
      </c>
      <c r="F19" s="128">
        <v>17</v>
      </c>
      <c r="G19" s="128">
        <v>17</v>
      </c>
      <c r="H19" s="128">
        <v>18</v>
      </c>
      <c r="I19" s="128">
        <v>17</v>
      </c>
      <c r="J19" s="128">
        <v>18</v>
      </c>
      <c r="K19" s="128">
        <v>17</v>
      </c>
      <c r="L19" s="128">
        <v>17</v>
      </c>
      <c r="M19" s="128">
        <v>18</v>
      </c>
      <c r="N19" s="128">
        <v>18</v>
      </c>
      <c r="O19" s="129">
        <f t="shared" si="1"/>
        <v>209</v>
      </c>
      <c r="P19" s="128">
        <f t="shared" si="2"/>
        <v>52</v>
      </c>
      <c r="Q19" s="129">
        <f t="shared" si="3"/>
        <v>157</v>
      </c>
    </row>
    <row r="20" spans="1:20" x14ac:dyDescent="0.25">
      <c r="A20" s="549" t="s">
        <v>929</v>
      </c>
      <c r="B20" s="790"/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9">
        <f>SUM(C20:N20)</f>
        <v>0</v>
      </c>
      <c r="P20" s="128">
        <f t="shared" si="2"/>
        <v>0</v>
      </c>
      <c r="Q20" s="129">
        <f>O20-P20</f>
        <v>0</v>
      </c>
    </row>
    <row r="21" spans="1:20" x14ac:dyDescent="0.25">
      <c r="A21" s="549" t="s">
        <v>929</v>
      </c>
      <c r="B21" s="790"/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9">
        <f t="shared" si="1"/>
        <v>0</v>
      </c>
      <c r="P21" s="128">
        <f t="shared" si="2"/>
        <v>0</v>
      </c>
      <c r="Q21" s="129">
        <f t="shared" si="3"/>
        <v>0</v>
      </c>
    </row>
    <row r="22" spans="1:20" x14ac:dyDescent="0.25">
      <c r="A22" s="131" t="s">
        <v>934</v>
      </c>
      <c r="B22" s="790"/>
      <c r="C22" s="128">
        <v>94</v>
      </c>
      <c r="D22" s="128">
        <v>94</v>
      </c>
      <c r="E22" s="128">
        <v>94</v>
      </c>
      <c r="F22" s="128">
        <v>94</v>
      </c>
      <c r="G22" s="128">
        <v>94</v>
      </c>
      <c r="H22" s="128">
        <v>94</v>
      </c>
      <c r="I22" s="128">
        <v>94</v>
      </c>
      <c r="J22" s="128">
        <v>94</v>
      </c>
      <c r="K22" s="128">
        <v>94</v>
      </c>
      <c r="L22" s="128">
        <v>94</v>
      </c>
      <c r="M22" s="128">
        <v>94</v>
      </c>
      <c r="N22" s="128">
        <v>94</v>
      </c>
      <c r="O22" s="129">
        <f t="shared" si="1"/>
        <v>1128</v>
      </c>
      <c r="P22" s="128">
        <f t="shared" si="2"/>
        <v>282</v>
      </c>
      <c r="Q22" s="129">
        <f t="shared" si="3"/>
        <v>846</v>
      </c>
    </row>
    <row r="23" spans="1:20" x14ac:dyDescent="0.25">
      <c r="A23" s="131" t="s">
        <v>935</v>
      </c>
      <c r="B23" s="790"/>
      <c r="C23" s="128">
        <v>500</v>
      </c>
      <c r="D23" s="128">
        <v>500</v>
      </c>
      <c r="E23" s="128">
        <f>500</f>
        <v>500</v>
      </c>
      <c r="F23" s="128">
        <f>500</f>
        <v>500</v>
      </c>
      <c r="G23" s="128">
        <f>500</f>
        <v>500</v>
      </c>
      <c r="H23" s="128">
        <f>500</f>
        <v>500</v>
      </c>
      <c r="I23" s="128">
        <f>500</f>
        <v>500</v>
      </c>
      <c r="J23" s="128">
        <f>500</f>
        <v>500</v>
      </c>
      <c r="K23" s="128">
        <f>500</f>
        <v>500</v>
      </c>
      <c r="L23" s="128">
        <f>500</f>
        <v>500</v>
      </c>
      <c r="M23" s="128">
        <f>500</f>
        <v>500</v>
      </c>
      <c r="N23" s="128">
        <f>500</f>
        <v>500</v>
      </c>
      <c r="O23" s="129">
        <f t="shared" si="1"/>
        <v>6000</v>
      </c>
      <c r="P23" s="128">
        <f t="shared" si="2"/>
        <v>1500</v>
      </c>
      <c r="Q23" s="129">
        <f t="shared" si="3"/>
        <v>4500</v>
      </c>
    </row>
    <row r="24" spans="1:20" x14ac:dyDescent="0.25">
      <c r="A24" s="549" t="s">
        <v>929</v>
      </c>
      <c r="B24" s="790"/>
      <c r="C24" s="128">
        <v>0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9">
        <f>SUM(C24:N24)</f>
        <v>0</v>
      </c>
      <c r="P24" s="128">
        <f t="shared" si="2"/>
        <v>0</v>
      </c>
      <c r="Q24" s="129">
        <f>O24-P24</f>
        <v>0</v>
      </c>
    </row>
    <row r="25" spans="1:20" x14ac:dyDescent="0.25">
      <c r="A25" s="549" t="s">
        <v>929</v>
      </c>
      <c r="B25" s="790"/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28">
        <v>0</v>
      </c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8">
        <v>0</v>
      </c>
      <c r="O25" s="129">
        <f>SUM(C25:N25)</f>
        <v>0</v>
      </c>
      <c r="P25" s="128">
        <f t="shared" si="2"/>
        <v>0</v>
      </c>
      <c r="Q25" s="129">
        <f>O25-P25</f>
        <v>0</v>
      </c>
    </row>
    <row r="26" spans="1:20" x14ac:dyDescent="0.25">
      <c r="A26" s="131" t="s">
        <v>604</v>
      </c>
      <c r="B26" s="790"/>
      <c r="C26" s="260">
        <v>0</v>
      </c>
      <c r="D26" s="260">
        <v>0</v>
      </c>
      <c r="E26" s="260">
        <v>0</v>
      </c>
      <c r="F26" s="260">
        <v>0</v>
      </c>
      <c r="G26" s="260">
        <v>0</v>
      </c>
      <c r="H26" s="260">
        <v>0</v>
      </c>
      <c r="I26" s="260">
        <v>0</v>
      </c>
      <c r="J26" s="260">
        <v>0</v>
      </c>
      <c r="K26" s="260">
        <v>0</v>
      </c>
      <c r="L26" s="260">
        <v>0</v>
      </c>
      <c r="M26" s="260">
        <v>0</v>
      </c>
      <c r="N26" s="260">
        <v>0</v>
      </c>
      <c r="O26" s="130">
        <f>SUM(C26:N26)</f>
        <v>0</v>
      </c>
      <c r="P26" s="260">
        <f t="shared" si="2"/>
        <v>0</v>
      </c>
      <c r="Q26" s="130">
        <f>O26-P26</f>
        <v>0</v>
      </c>
    </row>
    <row r="27" spans="1:20" ht="3.9" customHeight="1" x14ac:dyDescent="0.25">
      <c r="A27"/>
      <c r="B27" s="790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5"/>
      <c r="P27" s="128"/>
      <c r="Q27" s="135"/>
      <c r="R27" s="133"/>
      <c r="S27" s="133"/>
      <c r="T27" s="133"/>
    </row>
    <row r="28" spans="1:20" x14ac:dyDescent="0.25">
      <c r="A28" s="567" t="s">
        <v>864</v>
      </c>
      <c r="B28" s="793"/>
      <c r="C28" s="132">
        <f t="shared" ref="C28:Q28" si="4">SUM(C16:C26)</f>
        <v>1621</v>
      </c>
      <c r="D28" s="132">
        <f t="shared" si="4"/>
        <v>1587</v>
      </c>
      <c r="E28" s="132">
        <f t="shared" si="4"/>
        <v>1631</v>
      </c>
      <c r="F28" s="132">
        <f t="shared" si="4"/>
        <v>1643</v>
      </c>
      <c r="G28" s="132">
        <f t="shared" si="4"/>
        <v>1600</v>
      </c>
      <c r="H28" s="132">
        <f t="shared" si="4"/>
        <v>1710</v>
      </c>
      <c r="I28" s="132">
        <f t="shared" si="4"/>
        <v>1700</v>
      </c>
      <c r="J28" s="132">
        <f t="shared" si="4"/>
        <v>1750</v>
      </c>
      <c r="K28" s="132">
        <f t="shared" si="4"/>
        <v>1750</v>
      </c>
      <c r="L28" s="132">
        <f t="shared" si="4"/>
        <v>1850</v>
      </c>
      <c r="M28" s="132">
        <f t="shared" si="4"/>
        <v>1850</v>
      </c>
      <c r="N28" s="132">
        <f t="shared" si="4"/>
        <v>1850</v>
      </c>
      <c r="O28" s="132">
        <f t="shared" si="4"/>
        <v>20542</v>
      </c>
      <c r="P28" s="132">
        <f t="shared" si="4"/>
        <v>4839</v>
      </c>
      <c r="Q28" s="132">
        <f t="shared" si="4"/>
        <v>15703</v>
      </c>
      <c r="R28" s="126"/>
      <c r="S28" s="126"/>
    </row>
    <row r="29" spans="1:20" x14ac:dyDescent="0.25">
      <c r="A29" s="383"/>
      <c r="B29" s="790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5"/>
      <c r="P29" s="128"/>
      <c r="Q29" s="135"/>
    </row>
    <row r="30" spans="1:20" x14ac:dyDescent="0.25">
      <c r="A30" s="386" t="s">
        <v>942</v>
      </c>
      <c r="B30" s="790"/>
      <c r="C30" s="135"/>
      <c r="D30" s="135"/>
      <c r="E30" s="135"/>
      <c r="F30" s="135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5">
      <c r="A31" s="131" t="s">
        <v>936</v>
      </c>
      <c r="B31" s="790"/>
      <c r="C31" s="128">
        <v>722</v>
      </c>
      <c r="D31" s="128">
        <v>722</v>
      </c>
      <c r="E31" s="128">
        <v>722</v>
      </c>
      <c r="F31" s="128">
        <v>722</v>
      </c>
      <c r="G31" s="128">
        <v>722</v>
      </c>
      <c r="H31" s="128">
        <v>722</v>
      </c>
      <c r="I31" s="128">
        <v>722</v>
      </c>
      <c r="J31" s="128">
        <v>722</v>
      </c>
      <c r="K31" s="128">
        <v>722</v>
      </c>
      <c r="L31" s="128">
        <v>722</v>
      </c>
      <c r="M31" s="128">
        <v>722</v>
      </c>
      <c r="N31" s="128">
        <v>722</v>
      </c>
      <c r="O31" s="129">
        <f t="shared" ref="O31:O51" si="5">SUM(C31:N31)</f>
        <v>8664</v>
      </c>
      <c r="P31" s="128">
        <f t="shared" ref="P31:P51" si="6">SUM(C31:E31)</f>
        <v>2166</v>
      </c>
      <c r="Q31" s="129">
        <f t="shared" ref="Q31:Q51" si="7">O31-P31</f>
        <v>6498</v>
      </c>
    </row>
    <row r="32" spans="1:20" x14ac:dyDescent="0.25">
      <c r="A32" s="549" t="s">
        <v>937</v>
      </c>
      <c r="B32" s="790"/>
      <c r="C32" s="128">
        <v>0</v>
      </c>
      <c r="D32" s="128">
        <v>0</v>
      </c>
      <c r="E32" s="128">
        <f>-100+100-100+100</f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9">
        <f t="shared" si="5"/>
        <v>0</v>
      </c>
      <c r="P32" s="128">
        <f t="shared" si="6"/>
        <v>0</v>
      </c>
      <c r="Q32" s="129">
        <f t="shared" si="7"/>
        <v>0</v>
      </c>
    </row>
    <row r="33" spans="1:17" x14ac:dyDescent="0.25">
      <c r="A33" s="549" t="s">
        <v>929</v>
      </c>
      <c r="B33" s="790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6"/>
        <v>0</v>
      </c>
      <c r="Q33" s="129">
        <f>O33-P33</f>
        <v>0</v>
      </c>
    </row>
    <row r="34" spans="1:17" x14ac:dyDescent="0.25">
      <c r="A34" s="131" t="s">
        <v>938</v>
      </c>
      <c r="B34" s="790"/>
      <c r="C34" s="128">
        <v>96</v>
      </c>
      <c r="D34" s="128">
        <v>96</v>
      </c>
      <c r="E34" s="128">
        <v>96</v>
      </c>
      <c r="F34" s="128">
        <v>96</v>
      </c>
      <c r="G34" s="128">
        <v>96</v>
      </c>
      <c r="H34" s="128">
        <v>96</v>
      </c>
      <c r="I34" s="128">
        <v>96</v>
      </c>
      <c r="J34" s="128">
        <v>96</v>
      </c>
      <c r="K34" s="128">
        <v>96</v>
      </c>
      <c r="L34" s="128">
        <v>96</v>
      </c>
      <c r="M34" s="128">
        <v>96</v>
      </c>
      <c r="N34" s="128">
        <v>96</v>
      </c>
      <c r="O34" s="129">
        <f t="shared" si="5"/>
        <v>1152</v>
      </c>
      <c r="P34" s="128">
        <f t="shared" si="6"/>
        <v>288</v>
      </c>
      <c r="Q34" s="129">
        <f t="shared" si="7"/>
        <v>864</v>
      </c>
    </row>
    <row r="35" spans="1:17" x14ac:dyDescent="0.25">
      <c r="A35" s="131" t="s">
        <v>1034</v>
      </c>
      <c r="B35" s="790"/>
    </row>
    <row r="36" spans="1:17" x14ac:dyDescent="0.25">
      <c r="A36" s="549" t="s">
        <v>1035</v>
      </c>
      <c r="B36" s="790"/>
      <c r="C36" s="128">
        <f>14+1-1</f>
        <v>14</v>
      </c>
      <c r="D36" s="128">
        <f>20+7+1</f>
        <v>28</v>
      </c>
      <c r="E36" s="128">
        <v>6</v>
      </c>
      <c r="F36" s="128">
        <f>9-3</f>
        <v>6</v>
      </c>
      <c r="G36" s="128">
        <f>8-2</f>
        <v>6</v>
      </c>
      <c r="H36" s="128">
        <f>8-2</f>
        <v>6</v>
      </c>
      <c r="I36" s="128">
        <f>8-2</f>
        <v>6</v>
      </c>
      <c r="J36" s="128">
        <f>8-2</f>
        <v>6</v>
      </c>
      <c r="K36" s="128">
        <f>8-2</f>
        <v>6</v>
      </c>
      <c r="L36" s="128">
        <v>5</v>
      </c>
      <c r="M36" s="128">
        <v>5</v>
      </c>
      <c r="N36" s="128">
        <v>5</v>
      </c>
      <c r="O36" s="129">
        <f>SUM(C36:N36)</f>
        <v>99</v>
      </c>
      <c r="P36" s="128">
        <f t="shared" si="6"/>
        <v>48</v>
      </c>
      <c r="Q36" s="129">
        <f>O36-P36</f>
        <v>51</v>
      </c>
    </row>
    <row r="37" spans="1:17" x14ac:dyDescent="0.25">
      <c r="A37" s="549" t="s">
        <v>1036</v>
      </c>
      <c r="B37" s="790"/>
      <c r="C37" s="128">
        <v>17</v>
      </c>
      <c r="D37" s="128">
        <f>18-1</f>
        <v>17</v>
      </c>
      <c r="E37" s="128">
        <v>9</v>
      </c>
      <c r="F37" s="128">
        <f t="shared" ref="F37:K37" si="8">0+9</f>
        <v>9</v>
      </c>
      <c r="G37" s="128">
        <f t="shared" si="8"/>
        <v>9</v>
      </c>
      <c r="H37" s="128">
        <f t="shared" si="8"/>
        <v>9</v>
      </c>
      <c r="I37" s="128">
        <f t="shared" si="8"/>
        <v>9</v>
      </c>
      <c r="J37" s="128">
        <f t="shared" si="8"/>
        <v>9</v>
      </c>
      <c r="K37" s="128">
        <f t="shared" si="8"/>
        <v>9</v>
      </c>
      <c r="L37" s="128">
        <v>8</v>
      </c>
      <c r="M37" s="128">
        <v>8</v>
      </c>
      <c r="N37" s="128">
        <v>8</v>
      </c>
      <c r="O37" s="129">
        <f t="shared" si="5"/>
        <v>121</v>
      </c>
      <c r="P37" s="128">
        <f t="shared" si="6"/>
        <v>43</v>
      </c>
      <c r="Q37" s="129">
        <f t="shared" si="7"/>
        <v>78</v>
      </c>
    </row>
    <row r="38" spans="1:17" x14ac:dyDescent="0.25">
      <c r="A38" s="549" t="s">
        <v>1037</v>
      </c>
      <c r="B38" s="790"/>
      <c r="C38" s="128">
        <f>84-32+25</f>
        <v>77</v>
      </c>
      <c r="D38" s="128">
        <f>117-65+57</f>
        <v>109</v>
      </c>
      <c r="E38" s="128">
        <f>52+9</f>
        <v>61</v>
      </c>
      <c r="F38" s="128">
        <f>51+9</f>
        <v>60</v>
      </c>
      <c r="G38" s="128">
        <f>52+12</f>
        <v>64</v>
      </c>
      <c r="H38" s="128">
        <f>52+13</f>
        <v>65</v>
      </c>
      <c r="I38" s="128">
        <v>65</v>
      </c>
      <c r="J38" s="128">
        <v>65</v>
      </c>
      <c r="K38" s="128">
        <v>65</v>
      </c>
      <c r="L38" s="128">
        <v>65</v>
      </c>
      <c r="M38" s="128">
        <v>65</v>
      </c>
      <c r="N38" s="128">
        <v>65</v>
      </c>
      <c r="O38" s="129">
        <f t="shared" si="5"/>
        <v>826</v>
      </c>
      <c r="P38" s="128">
        <f t="shared" si="6"/>
        <v>247</v>
      </c>
      <c r="Q38" s="129">
        <f t="shared" si="7"/>
        <v>579</v>
      </c>
    </row>
    <row r="39" spans="1:17" x14ac:dyDescent="0.25">
      <c r="A39" s="549" t="s">
        <v>1038</v>
      </c>
      <c r="B39" s="790"/>
      <c r="C39" s="128">
        <f>9-12+19</f>
        <v>16</v>
      </c>
      <c r="D39" s="128">
        <f>14-17+21</f>
        <v>18</v>
      </c>
      <c r="E39" s="128">
        <f>-3+11</f>
        <v>8</v>
      </c>
      <c r="F39" s="128">
        <f>-3+9</f>
        <v>6</v>
      </c>
      <c r="G39" s="128">
        <f>-3+10</f>
        <v>7</v>
      </c>
      <c r="H39" s="128">
        <f>-3+8</f>
        <v>5</v>
      </c>
      <c r="I39" s="128">
        <f>-3+8</f>
        <v>5</v>
      </c>
      <c r="J39" s="128">
        <f>-3+8</f>
        <v>5</v>
      </c>
      <c r="K39" s="128">
        <f>-3+8</f>
        <v>5</v>
      </c>
      <c r="L39" s="128">
        <v>4</v>
      </c>
      <c r="M39" s="128">
        <v>4</v>
      </c>
      <c r="N39" s="128">
        <v>4</v>
      </c>
      <c r="O39" s="129">
        <f t="shared" si="5"/>
        <v>87</v>
      </c>
      <c r="P39" s="128">
        <f t="shared" si="6"/>
        <v>42</v>
      </c>
      <c r="Q39" s="129">
        <f t="shared" si="7"/>
        <v>45</v>
      </c>
    </row>
    <row r="40" spans="1:17" x14ac:dyDescent="0.25">
      <c r="A40" s="549" t="s">
        <v>1043</v>
      </c>
      <c r="B40" s="790"/>
      <c r="C40" s="128">
        <v>0</v>
      </c>
      <c r="D40" s="868">
        <f>80-80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6"/>
        <v>0</v>
      </c>
      <c r="Q40" s="129">
        <f>O40-P40</f>
        <v>0</v>
      </c>
    </row>
    <row r="41" spans="1:17" x14ac:dyDescent="0.25">
      <c r="A41" s="871" t="s">
        <v>1070</v>
      </c>
      <c r="B41" s="790"/>
      <c r="C41" s="867">
        <v>-15</v>
      </c>
      <c r="D41" s="867">
        <v>-36</v>
      </c>
      <c r="E41" s="867">
        <v>-12</v>
      </c>
      <c r="F41" s="867">
        <v>-11</v>
      </c>
      <c r="G41" s="867">
        <v>-10</v>
      </c>
      <c r="H41" s="867">
        <v>-22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867">
        <v>0</v>
      </c>
      <c r="O41" s="129">
        <f>SUM(C41:N41)</f>
        <v>-106</v>
      </c>
      <c r="P41" s="128">
        <f t="shared" si="6"/>
        <v>-63</v>
      </c>
      <c r="Q41" s="129">
        <f>O41-P41</f>
        <v>-43</v>
      </c>
    </row>
    <row r="42" spans="1:17" x14ac:dyDescent="0.25">
      <c r="A42" s="549" t="s">
        <v>1039</v>
      </c>
      <c r="B42" s="790"/>
      <c r="C42" s="128">
        <f>10+2</f>
        <v>12</v>
      </c>
      <c r="D42" s="128">
        <f>19+6-1</f>
        <v>24</v>
      </c>
      <c r="E42" s="128">
        <v>10</v>
      </c>
      <c r="F42" s="128">
        <f>1+8</f>
        <v>9</v>
      </c>
      <c r="G42" s="128">
        <f>1+7</f>
        <v>8</v>
      </c>
      <c r="H42" s="128">
        <f>47-27</f>
        <v>20</v>
      </c>
      <c r="I42" s="128">
        <v>15</v>
      </c>
      <c r="J42" s="128">
        <v>15</v>
      </c>
      <c r="K42" s="128">
        <v>15</v>
      </c>
      <c r="L42" s="128">
        <v>15</v>
      </c>
      <c r="M42" s="128">
        <v>15</v>
      </c>
      <c r="N42" s="128">
        <v>15</v>
      </c>
      <c r="O42" s="129">
        <f t="shared" si="5"/>
        <v>173</v>
      </c>
      <c r="P42" s="128">
        <f t="shared" si="6"/>
        <v>46</v>
      </c>
      <c r="Q42" s="129">
        <f t="shared" si="7"/>
        <v>127</v>
      </c>
    </row>
    <row r="43" spans="1:17" x14ac:dyDescent="0.25">
      <c r="A43" s="549" t="s">
        <v>1040</v>
      </c>
      <c r="B43" s="790"/>
      <c r="C43" s="128">
        <f>4-4+4</f>
        <v>4</v>
      </c>
      <c r="D43" s="128">
        <f>12-12+12</f>
        <v>12</v>
      </c>
      <c r="E43" s="128">
        <f>-100+100-100+100+3</f>
        <v>3</v>
      </c>
      <c r="F43" s="128">
        <f>0+2</f>
        <v>2</v>
      </c>
      <c r="G43" s="128">
        <f>0+2</f>
        <v>2</v>
      </c>
      <c r="H43" s="128">
        <f>0+2</f>
        <v>2</v>
      </c>
      <c r="I43" s="128">
        <f t="shared" ref="I43:N43" si="9">0+2</f>
        <v>2</v>
      </c>
      <c r="J43" s="128">
        <f t="shared" si="9"/>
        <v>2</v>
      </c>
      <c r="K43" s="128">
        <f t="shared" si="9"/>
        <v>2</v>
      </c>
      <c r="L43" s="128">
        <f t="shared" si="9"/>
        <v>2</v>
      </c>
      <c r="M43" s="128">
        <f t="shared" si="9"/>
        <v>2</v>
      </c>
      <c r="N43" s="128">
        <f t="shared" si="9"/>
        <v>2</v>
      </c>
      <c r="O43" s="129">
        <f t="shared" si="5"/>
        <v>37</v>
      </c>
      <c r="P43" s="128">
        <f t="shared" si="6"/>
        <v>19</v>
      </c>
      <c r="Q43" s="129">
        <f t="shared" si="7"/>
        <v>18</v>
      </c>
    </row>
    <row r="44" spans="1:17" x14ac:dyDescent="0.25">
      <c r="A44" s="549" t="s">
        <v>1041</v>
      </c>
      <c r="B44" s="790"/>
      <c r="C44" s="128">
        <f>3-3+3</f>
        <v>3</v>
      </c>
      <c r="D44" s="128">
        <f>3-3+3</f>
        <v>3</v>
      </c>
      <c r="E44" s="128">
        <f>-100+100-100+100+2</f>
        <v>2</v>
      </c>
      <c r="F44" s="128">
        <f>0+1</f>
        <v>1</v>
      </c>
      <c r="G44" s="128">
        <f>0+1</f>
        <v>1</v>
      </c>
      <c r="H44" s="128">
        <f>0+1</f>
        <v>1</v>
      </c>
      <c r="I44" s="128">
        <f t="shared" ref="I44:N44" si="10">0+1</f>
        <v>1</v>
      </c>
      <c r="J44" s="128">
        <f t="shared" si="10"/>
        <v>1</v>
      </c>
      <c r="K44" s="128">
        <f t="shared" si="10"/>
        <v>1</v>
      </c>
      <c r="L44" s="128">
        <f t="shared" si="10"/>
        <v>1</v>
      </c>
      <c r="M44" s="128">
        <f t="shared" si="10"/>
        <v>1</v>
      </c>
      <c r="N44" s="128">
        <f t="shared" si="10"/>
        <v>1</v>
      </c>
      <c r="O44" s="129">
        <f t="shared" si="5"/>
        <v>17</v>
      </c>
      <c r="P44" s="128">
        <f t="shared" si="6"/>
        <v>8</v>
      </c>
      <c r="Q44" s="129">
        <f t="shared" si="7"/>
        <v>9</v>
      </c>
    </row>
    <row r="45" spans="1:17" x14ac:dyDescent="0.25">
      <c r="A45" s="549" t="s">
        <v>1042</v>
      </c>
      <c r="B45" s="790"/>
      <c r="C45" s="128">
        <f>2-2+2</f>
        <v>2</v>
      </c>
      <c r="D45" s="128">
        <f>3-3+3</f>
        <v>3</v>
      </c>
      <c r="E45" s="128">
        <f>-100+100-100+100+3</f>
        <v>3</v>
      </c>
      <c r="F45" s="128">
        <f>0+2</f>
        <v>2</v>
      </c>
      <c r="G45" s="128">
        <f>0+2</f>
        <v>2</v>
      </c>
      <c r="H45" s="128">
        <f>0+2</f>
        <v>2</v>
      </c>
      <c r="I45" s="128">
        <f t="shared" ref="I45:N45" si="11">0+2</f>
        <v>2</v>
      </c>
      <c r="J45" s="128">
        <f t="shared" si="11"/>
        <v>2</v>
      </c>
      <c r="K45" s="128">
        <f t="shared" si="11"/>
        <v>2</v>
      </c>
      <c r="L45" s="128">
        <f t="shared" si="11"/>
        <v>2</v>
      </c>
      <c r="M45" s="128">
        <f t="shared" si="11"/>
        <v>2</v>
      </c>
      <c r="N45" s="128">
        <f t="shared" si="11"/>
        <v>2</v>
      </c>
      <c r="O45" s="129">
        <f t="shared" si="5"/>
        <v>26</v>
      </c>
      <c r="P45" s="128">
        <f t="shared" si="6"/>
        <v>8</v>
      </c>
      <c r="Q45" s="129">
        <f t="shared" si="7"/>
        <v>18</v>
      </c>
    </row>
    <row r="46" spans="1:17" x14ac:dyDescent="0.25">
      <c r="A46" s="549" t="s">
        <v>1044</v>
      </c>
      <c r="B46" s="790"/>
      <c r="C46" s="868">
        <f>130-130</f>
        <v>0</v>
      </c>
      <c r="D46" s="868">
        <f>98-98</f>
        <v>0</v>
      </c>
      <c r="E46" s="868">
        <f>90-90</f>
        <v>0</v>
      </c>
      <c r="F46" s="868">
        <f>100-100</f>
        <v>0</v>
      </c>
      <c r="G46" s="868">
        <f>100-100</f>
        <v>0</v>
      </c>
      <c r="H46" s="868">
        <f>100-100</f>
        <v>0</v>
      </c>
      <c r="I46" s="868">
        <f>100-100</f>
        <v>0</v>
      </c>
      <c r="J46" s="868">
        <f>100-100</f>
        <v>0</v>
      </c>
      <c r="K46" s="868">
        <f>95-95</f>
        <v>0</v>
      </c>
      <c r="L46" s="868">
        <f>90-90</f>
        <v>0</v>
      </c>
      <c r="M46" s="868">
        <f>90-90</f>
        <v>0</v>
      </c>
      <c r="N46" s="868">
        <f>85-85</f>
        <v>0</v>
      </c>
      <c r="O46" s="129">
        <f t="shared" si="5"/>
        <v>0</v>
      </c>
      <c r="P46" s="128">
        <f t="shared" si="6"/>
        <v>0</v>
      </c>
      <c r="Q46" s="129">
        <f t="shared" si="7"/>
        <v>0</v>
      </c>
    </row>
    <row r="47" spans="1:17" x14ac:dyDescent="0.25">
      <c r="A47" s="131" t="s">
        <v>939</v>
      </c>
      <c r="B47" s="790"/>
      <c r="C47" s="128">
        <v>7</v>
      </c>
      <c r="D47" s="128">
        <v>11</v>
      </c>
      <c r="E47" s="128">
        <v>7</v>
      </c>
      <c r="F47" s="128">
        <f>5+2</f>
        <v>7</v>
      </c>
      <c r="G47" s="128">
        <f>5+2</f>
        <v>7</v>
      </c>
      <c r="H47" s="128">
        <f t="shared" ref="H47:N47" si="12">5+2</f>
        <v>7</v>
      </c>
      <c r="I47" s="128">
        <f t="shared" si="12"/>
        <v>7</v>
      </c>
      <c r="J47" s="128">
        <f t="shared" si="12"/>
        <v>7</v>
      </c>
      <c r="K47" s="128">
        <f t="shared" si="12"/>
        <v>7</v>
      </c>
      <c r="L47" s="128">
        <f t="shared" si="12"/>
        <v>7</v>
      </c>
      <c r="M47" s="128">
        <f t="shared" si="12"/>
        <v>7</v>
      </c>
      <c r="N47" s="128">
        <f t="shared" si="12"/>
        <v>7</v>
      </c>
      <c r="O47" s="129">
        <f t="shared" si="5"/>
        <v>88</v>
      </c>
      <c r="P47" s="128">
        <f t="shared" si="6"/>
        <v>25</v>
      </c>
      <c r="Q47" s="129">
        <f t="shared" si="7"/>
        <v>63</v>
      </c>
    </row>
    <row r="48" spans="1:17" x14ac:dyDescent="0.25">
      <c r="A48" s="131" t="s">
        <v>940</v>
      </c>
      <c r="B48" s="790"/>
      <c r="C48" s="128">
        <v>0</v>
      </c>
      <c r="D48" s="128">
        <v>0</v>
      </c>
      <c r="E48" s="128">
        <v>0</v>
      </c>
      <c r="F48" s="128">
        <v>0</v>
      </c>
      <c r="G48" s="128">
        <v>0</v>
      </c>
      <c r="H48" s="128">
        <v>0</v>
      </c>
      <c r="I48" s="128">
        <v>0</v>
      </c>
      <c r="J48" s="128">
        <v>0</v>
      </c>
      <c r="K48" s="128">
        <v>0</v>
      </c>
      <c r="L48" s="128">
        <v>0</v>
      </c>
      <c r="M48" s="128">
        <v>0</v>
      </c>
      <c r="N48" s="128">
        <v>0</v>
      </c>
      <c r="O48" s="129">
        <f t="shared" si="5"/>
        <v>0</v>
      </c>
      <c r="P48" s="128">
        <f t="shared" si="6"/>
        <v>0</v>
      </c>
      <c r="Q48" s="129">
        <f t="shared" si="7"/>
        <v>0</v>
      </c>
    </row>
    <row r="49" spans="1:22" x14ac:dyDescent="0.25">
      <c r="A49" s="131" t="s">
        <v>941</v>
      </c>
      <c r="B49" s="790"/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9">
        <f t="shared" si="5"/>
        <v>0</v>
      </c>
      <c r="P49" s="128">
        <f t="shared" si="6"/>
        <v>0</v>
      </c>
      <c r="Q49" s="129">
        <f t="shared" si="7"/>
        <v>0</v>
      </c>
    </row>
    <row r="50" spans="1:22" x14ac:dyDescent="0.25">
      <c r="A50" s="131" t="s">
        <v>605</v>
      </c>
      <c r="B50" s="790"/>
      <c r="C50" s="128">
        <v>1</v>
      </c>
      <c r="D50" s="128">
        <v>0</v>
      </c>
      <c r="E50" s="128">
        <v>-1</v>
      </c>
      <c r="F50" s="128">
        <v>0</v>
      </c>
      <c r="G50" s="128">
        <v>-1</v>
      </c>
      <c r="H50" s="128">
        <v>4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9">
        <f t="shared" si="5"/>
        <v>3</v>
      </c>
      <c r="P50" s="128">
        <f t="shared" si="6"/>
        <v>0</v>
      </c>
      <c r="Q50" s="129">
        <f t="shared" si="7"/>
        <v>3</v>
      </c>
    </row>
    <row r="51" spans="1:22" x14ac:dyDescent="0.25">
      <c r="A51" s="131" t="s">
        <v>604</v>
      </c>
      <c r="B51" s="790"/>
      <c r="C51" s="260">
        <v>0</v>
      </c>
      <c r="D51" s="260">
        <v>0</v>
      </c>
      <c r="E51" s="260">
        <v>0</v>
      </c>
      <c r="F51" s="260">
        <v>0</v>
      </c>
      <c r="G51" s="260">
        <v>0</v>
      </c>
      <c r="H51" s="260">
        <v>0</v>
      </c>
      <c r="I51" s="260">
        <v>0</v>
      </c>
      <c r="J51" s="260">
        <v>0</v>
      </c>
      <c r="K51" s="260">
        <v>0</v>
      </c>
      <c r="L51" s="260">
        <v>0</v>
      </c>
      <c r="M51" s="260">
        <v>0</v>
      </c>
      <c r="N51" s="260">
        <v>0</v>
      </c>
      <c r="O51" s="130">
        <f t="shared" si="5"/>
        <v>0</v>
      </c>
      <c r="P51" s="260">
        <f t="shared" si="6"/>
        <v>0</v>
      </c>
      <c r="Q51" s="130">
        <f t="shared" si="7"/>
        <v>0</v>
      </c>
    </row>
    <row r="52" spans="1:22" ht="3.9" customHeight="1" x14ac:dyDescent="0.25">
      <c r="A52" s="127"/>
      <c r="B52" s="790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8"/>
      <c r="Q52" s="135"/>
    </row>
    <row r="53" spans="1:22" x14ac:dyDescent="0.25">
      <c r="A53" s="386" t="s">
        <v>865</v>
      </c>
      <c r="B53" s="794"/>
      <c r="C53" s="132">
        <f t="shared" ref="C53:Q53" si="13">SUM(C31:C51)</f>
        <v>956</v>
      </c>
      <c r="D53" s="132">
        <f t="shared" si="13"/>
        <v>1007</v>
      </c>
      <c r="E53" s="132">
        <f t="shared" si="13"/>
        <v>914</v>
      </c>
      <c r="F53" s="132">
        <f t="shared" si="13"/>
        <v>909</v>
      </c>
      <c r="G53" s="132">
        <f t="shared" si="13"/>
        <v>913</v>
      </c>
      <c r="H53" s="132">
        <f t="shared" si="13"/>
        <v>917</v>
      </c>
      <c r="I53" s="132">
        <f t="shared" si="13"/>
        <v>930</v>
      </c>
      <c r="J53" s="132">
        <f t="shared" si="13"/>
        <v>930</v>
      </c>
      <c r="K53" s="132">
        <f t="shared" si="13"/>
        <v>930</v>
      </c>
      <c r="L53" s="132">
        <f t="shared" si="13"/>
        <v>927</v>
      </c>
      <c r="M53" s="132">
        <f t="shared" si="13"/>
        <v>927</v>
      </c>
      <c r="N53" s="132">
        <f t="shared" si="13"/>
        <v>927</v>
      </c>
      <c r="O53" s="132">
        <f t="shared" si="13"/>
        <v>11187</v>
      </c>
      <c r="P53" s="132">
        <f t="shared" si="13"/>
        <v>2877</v>
      </c>
      <c r="Q53" s="132">
        <f t="shared" si="13"/>
        <v>8310</v>
      </c>
      <c r="R53" s="126"/>
      <c r="S53" s="126"/>
      <c r="T53" s="126"/>
      <c r="U53" s="126"/>
      <c r="V53" s="126"/>
    </row>
    <row r="54" spans="1:22" ht="8.1" customHeight="1" x14ac:dyDescent="0.25"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P54" s="127"/>
    </row>
    <row r="55" spans="1:22" x14ac:dyDescent="0.25">
      <c r="A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9"/>
    </row>
    <row r="56" spans="1:22" x14ac:dyDescent="0.25">
      <c r="C56" s="123">
        <v>956</v>
      </c>
      <c r="D56" s="123">
        <v>1007</v>
      </c>
      <c r="E56" s="123">
        <v>914</v>
      </c>
      <c r="F56" s="123">
        <v>909</v>
      </c>
      <c r="G56" s="123">
        <v>913</v>
      </c>
      <c r="H56" s="123">
        <v>917</v>
      </c>
    </row>
    <row r="63" spans="1:22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</row>
    <row r="66" spans="1:17" x14ac:dyDescent="0.25">
      <c r="A66" s="127"/>
      <c r="B66" s="127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8"/>
      <c r="Q66" s="129"/>
    </row>
    <row r="67" spans="1:17" x14ac:dyDescent="0.25">
      <c r="A67" s="127"/>
      <c r="B67" s="127"/>
      <c r="C67" s="128"/>
      <c r="D67" s="128"/>
      <c r="E67" s="129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5">
      <c r="A68" s="127"/>
      <c r="C68" s="128"/>
      <c r="D68" s="128"/>
      <c r="E68" s="129"/>
      <c r="F68" s="128"/>
      <c r="G68" s="128"/>
      <c r="H68" s="128"/>
      <c r="I68" s="128"/>
      <c r="J68" s="128"/>
      <c r="K68" s="128"/>
      <c r="L68" s="128"/>
      <c r="M68" s="128"/>
      <c r="N68" s="128"/>
      <c r="O68" s="129"/>
      <c r="P68" s="128"/>
      <c r="Q68" s="129"/>
    </row>
    <row r="69" spans="1:17" x14ac:dyDescent="0.25">
      <c r="A69" s="127"/>
      <c r="B69" s="127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9"/>
      <c r="P69" s="128"/>
      <c r="Q69" s="129"/>
    </row>
    <row r="70" spans="1:17" x14ac:dyDescent="0.25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P70" s="127"/>
    </row>
    <row r="71" spans="1:17" x14ac:dyDescent="0.25"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</row>
    <row r="72" spans="1:17" x14ac:dyDescent="0.25">
      <c r="A72" s="127"/>
      <c r="B72" s="127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</row>
    <row r="73" spans="1:17" x14ac:dyDescent="0.25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P73" s="127"/>
    </row>
    <row r="82" spans="4:16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</row>
    <row r="102" spans="4:16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</row>
    <row r="122" spans="4:16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</row>
    <row r="142" spans="4:16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</row>
    <row r="162" spans="4:16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</row>
    <row r="182" spans="4:16" x14ac:dyDescent="0.25"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</row>
    <row r="202" spans="4:16" x14ac:dyDescent="0.25"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</row>
    <row r="222" spans="4:16" x14ac:dyDescent="0.25"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</row>
    <row r="242" spans="4:16" x14ac:dyDescent="0.25"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3"/>
  <sheetViews>
    <sheetView showGridLines="0" workbookViewId="0">
      <pane xSplit="2" ySplit="4" topLeftCell="C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F36" sqref="F36"/>
    </sheetView>
  </sheetViews>
  <sheetFormatPr defaultColWidth="10.6640625" defaultRowHeight="13.2" x14ac:dyDescent="0.25"/>
  <cols>
    <col min="1" max="1" width="42.6640625" style="136" customWidth="1"/>
    <col min="2" max="2" width="8.6640625" style="795" customWidth="1"/>
    <col min="3" max="14" width="8.6640625" style="136" customWidth="1"/>
    <col min="15" max="17" width="9.6640625" style="136" customWidth="1"/>
    <col min="18" max="16384" width="10.6640625" style="136"/>
  </cols>
  <sheetData>
    <row r="1" spans="1:18" x14ac:dyDescent="0.25">
      <c r="A1" s="552" t="str">
        <f ca="1">CELL("FILENAME")</f>
        <v>P:\Finance\2001CE\[EMTW01CE.XLS]DataBase</v>
      </c>
    </row>
    <row r="2" spans="1:18" x14ac:dyDescent="0.25">
      <c r="A2" s="388" t="s">
        <v>862</v>
      </c>
      <c r="C2" s="137" t="s">
        <v>590</v>
      </c>
      <c r="D2" s="137" t="s">
        <v>590</v>
      </c>
      <c r="E2" s="137" t="s">
        <v>590</v>
      </c>
      <c r="F2" s="137" t="s">
        <v>590</v>
      </c>
      <c r="G2" s="490"/>
      <c r="H2" s="137" t="s">
        <v>590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5">
      <c r="A3" s="555" t="str">
        <f>IncomeState!A3</f>
        <v>2001 CURRENT ESTIMATE</v>
      </c>
      <c r="B3" s="796">
        <f ca="1">NOW()</f>
        <v>37109.471773495374</v>
      </c>
      <c r="C3" s="568" t="str">
        <f>IncomeState!C6</f>
        <v>ACT.</v>
      </c>
      <c r="D3" s="568" t="str">
        <f>IncomeState!D6</f>
        <v>ACT.</v>
      </c>
      <c r="E3" s="568" t="str">
        <f>IncomeState!E6</f>
        <v>ACT.</v>
      </c>
      <c r="F3" s="568" t="str">
        <f>IncomeState!F6</f>
        <v>ACT.</v>
      </c>
      <c r="G3" s="568" t="str">
        <f>IncomeState!G6</f>
        <v>ACT.</v>
      </c>
      <c r="H3" s="568" t="str">
        <f>IncomeState!H6</f>
        <v>ACT.</v>
      </c>
      <c r="I3" s="568" t="str">
        <f>IncomeState!I6</f>
        <v>FLASH</v>
      </c>
      <c r="J3" s="568">
        <f>IncomeState!J6</f>
        <v>0</v>
      </c>
      <c r="K3" s="568">
        <f>IncomeState!K6</f>
        <v>0</v>
      </c>
      <c r="L3" s="568">
        <f>IncomeState!L6</f>
        <v>0</v>
      </c>
      <c r="M3" s="568">
        <f>IncomeState!M6</f>
        <v>0</v>
      </c>
      <c r="N3" s="568">
        <f>IncomeState!N6</f>
        <v>0</v>
      </c>
      <c r="O3" s="568" t="str">
        <f>IncomeState!O6</f>
        <v>TOTAL</v>
      </c>
      <c r="P3" s="568" t="str">
        <f>IncomeState!P6</f>
        <v>JUNE</v>
      </c>
      <c r="Q3" s="568" t="str">
        <f>IncomeState!Q6</f>
        <v>ESTIMATE</v>
      </c>
      <c r="R3" s="139"/>
    </row>
    <row r="4" spans="1:18" x14ac:dyDescent="0.25">
      <c r="A4" s="140"/>
      <c r="B4" s="797">
        <f ca="1">NOW()</f>
        <v>37109.471773495374</v>
      </c>
      <c r="C4" s="389" t="s">
        <v>591</v>
      </c>
      <c r="D4" s="389" t="s">
        <v>592</v>
      </c>
      <c r="E4" s="389" t="s">
        <v>593</v>
      </c>
      <c r="F4" s="389" t="s">
        <v>594</v>
      </c>
      <c r="G4" s="389" t="s">
        <v>595</v>
      </c>
      <c r="H4" s="389" t="s">
        <v>596</v>
      </c>
      <c r="I4" s="389" t="s">
        <v>597</v>
      </c>
      <c r="J4" s="389" t="s">
        <v>598</v>
      </c>
      <c r="K4" s="389" t="s">
        <v>599</v>
      </c>
      <c r="L4" s="389" t="s">
        <v>600</v>
      </c>
      <c r="M4" s="389" t="s">
        <v>601</v>
      </c>
      <c r="N4" s="389" t="s">
        <v>602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  <c r="R4" s="139"/>
    </row>
    <row r="5" spans="1:18" ht="3.9" customHeight="1" x14ac:dyDescent="0.25"/>
    <row r="6" spans="1:18" ht="12" customHeight="1" x14ac:dyDescent="0.25">
      <c r="A6" s="391" t="s">
        <v>943</v>
      </c>
    </row>
    <row r="7" spans="1:18" x14ac:dyDescent="0.25">
      <c r="A7" s="146" t="s">
        <v>605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SUM(C7:E7)</f>
        <v>0</v>
      </c>
      <c r="Q7" s="142">
        <f>(O7-P7)</f>
        <v>0</v>
      </c>
    </row>
    <row r="8" spans="1:18" x14ac:dyDescent="0.25">
      <c r="A8" s="146" t="s">
        <v>604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SUM(C8:E8)</f>
        <v>0</v>
      </c>
      <c r="Q8" s="143">
        <f>(O8-P8)</f>
        <v>0</v>
      </c>
    </row>
    <row r="9" spans="1:18" ht="3.9" customHeight="1" x14ac:dyDescent="0.25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5">
      <c r="A10" s="387" t="s">
        <v>866</v>
      </c>
      <c r="B10" s="857" t="s">
        <v>1000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5">
      <c r="A11" s="144"/>
      <c r="O11" s="142"/>
    </row>
    <row r="12" spans="1:18" x14ac:dyDescent="0.25">
      <c r="A12" s="391" t="s">
        <v>944</v>
      </c>
    </row>
    <row r="13" spans="1:18" x14ac:dyDescent="0.25">
      <c r="A13" s="146" t="s">
        <v>867</v>
      </c>
      <c r="B13" s="799"/>
      <c r="C13" s="141">
        <v>0</v>
      </c>
      <c r="D13" s="141">
        <v>0</v>
      </c>
      <c r="E13" s="141">
        <v>0</v>
      </c>
      <c r="F13" s="141">
        <v>0</v>
      </c>
      <c r="G13" s="141">
        <v>0</v>
      </c>
      <c r="H13" s="141">
        <v>0</v>
      </c>
      <c r="I13" s="141">
        <v>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2">
        <f t="shared" ref="O13:O21" si="1">SUM(C13:N13)</f>
        <v>0</v>
      </c>
      <c r="P13" s="141">
        <f t="shared" ref="P13:P21" si="2">SUM(C13:E13)</f>
        <v>0</v>
      </c>
      <c r="Q13" s="142">
        <f>(O13-P13)</f>
        <v>0</v>
      </c>
      <c r="R13" s="142"/>
    </row>
    <row r="14" spans="1:18" x14ac:dyDescent="0.25">
      <c r="A14" s="147" t="s">
        <v>1005</v>
      </c>
      <c r="B14" s="856" t="s">
        <v>996</v>
      </c>
      <c r="C14" s="142">
        <f>Trackers!D48</f>
        <v>0</v>
      </c>
      <c r="D14" s="142">
        <f>Trackers!E48</f>
        <v>0</v>
      </c>
      <c r="E14" s="142">
        <f>Trackers!F48</f>
        <v>0</v>
      </c>
      <c r="F14" s="142">
        <f>Trackers!G48</f>
        <v>0</v>
      </c>
      <c r="G14" s="142">
        <f>Trackers!H48</f>
        <v>0</v>
      </c>
      <c r="H14" s="142">
        <f>Trackers!I48</f>
        <v>0</v>
      </c>
      <c r="I14" s="142">
        <f>Trackers!J48</f>
        <v>0</v>
      </c>
      <c r="J14" s="142">
        <f>Trackers!K48</f>
        <v>0</v>
      </c>
      <c r="K14" s="142">
        <f>Trackers!L48</f>
        <v>0</v>
      </c>
      <c r="L14" s="142">
        <f>Trackers!M48</f>
        <v>0</v>
      </c>
      <c r="M14" s="142">
        <f>Trackers!N48</f>
        <v>0</v>
      </c>
      <c r="N14" s="142">
        <f>Trackers!O48</f>
        <v>0</v>
      </c>
      <c r="O14" s="142">
        <f t="shared" si="1"/>
        <v>0</v>
      </c>
      <c r="P14" s="141">
        <f t="shared" si="2"/>
        <v>0</v>
      </c>
      <c r="Q14" s="142">
        <f t="shared" ref="Q14:Q21" si="3">(O14-P14)</f>
        <v>0</v>
      </c>
    </row>
    <row r="15" spans="1:18" x14ac:dyDescent="0.25">
      <c r="A15" s="147" t="s">
        <v>1001</v>
      </c>
      <c r="B15" s="856" t="s">
        <v>996</v>
      </c>
      <c r="C15" s="142">
        <f>Trackers!D117</f>
        <v>0</v>
      </c>
      <c r="D15" s="142">
        <f>Trackers!E117</f>
        <v>0</v>
      </c>
      <c r="E15" s="142">
        <f>Trackers!F117</f>
        <v>0</v>
      </c>
      <c r="F15" s="142">
        <f>Trackers!G117</f>
        <v>0</v>
      </c>
      <c r="G15" s="142">
        <f>Trackers!H117</f>
        <v>0</v>
      </c>
      <c r="H15" s="142">
        <f>Trackers!I117</f>
        <v>0</v>
      </c>
      <c r="I15" s="142">
        <f>Trackers!J117</f>
        <v>0</v>
      </c>
      <c r="J15" s="142">
        <f>Trackers!K117</f>
        <v>0</v>
      </c>
      <c r="K15" s="142">
        <f>Trackers!L117</f>
        <v>0</v>
      </c>
      <c r="L15" s="142">
        <f>Trackers!M117</f>
        <v>0</v>
      </c>
      <c r="M15" s="142">
        <f>Trackers!N117</f>
        <v>0</v>
      </c>
      <c r="N15" s="142">
        <f>Trackers!O117</f>
        <v>0</v>
      </c>
      <c r="O15" s="142">
        <f t="shared" si="1"/>
        <v>0</v>
      </c>
      <c r="P15" s="141">
        <f t="shared" si="2"/>
        <v>0</v>
      </c>
      <c r="Q15" s="142">
        <f t="shared" si="3"/>
        <v>0</v>
      </c>
    </row>
    <row r="16" spans="1:18" x14ac:dyDescent="0.25">
      <c r="A16" s="147" t="s">
        <v>1006</v>
      </c>
      <c r="B16" s="856" t="s">
        <v>996</v>
      </c>
      <c r="C16" s="142">
        <f>Trackers!D315</f>
        <v>0</v>
      </c>
      <c r="D16" s="142">
        <f>Trackers!E315</f>
        <v>0</v>
      </c>
      <c r="E16" s="142">
        <f>Trackers!F315</f>
        <v>0</v>
      </c>
      <c r="F16" s="142">
        <f>Trackers!G315</f>
        <v>0</v>
      </c>
      <c r="G16" s="142">
        <f>Trackers!H315</f>
        <v>0</v>
      </c>
      <c r="H16" s="142">
        <f>Trackers!I315</f>
        <v>0</v>
      </c>
      <c r="I16" s="142">
        <f>Trackers!J315</f>
        <v>0</v>
      </c>
      <c r="J16" s="142">
        <f>Trackers!K315</f>
        <v>0</v>
      </c>
      <c r="K16" s="142">
        <f>Trackers!L315</f>
        <v>0</v>
      </c>
      <c r="L16" s="142">
        <f>Trackers!M315</f>
        <v>0</v>
      </c>
      <c r="M16" s="142">
        <f>Trackers!N315</f>
        <v>0</v>
      </c>
      <c r="N16" s="142">
        <f>Trackers!O315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5">
      <c r="A17" s="147" t="s">
        <v>1002</v>
      </c>
      <c r="B17" s="856" t="s">
        <v>996</v>
      </c>
      <c r="C17" s="142">
        <f>Trackers!D380</f>
        <v>0</v>
      </c>
      <c r="D17" s="142">
        <f>Trackers!E380</f>
        <v>0</v>
      </c>
      <c r="E17" s="142">
        <f>Trackers!F380</f>
        <v>0</v>
      </c>
      <c r="F17" s="142">
        <f>Trackers!G380</f>
        <v>0</v>
      </c>
      <c r="G17" s="142">
        <f>Trackers!H380</f>
        <v>0</v>
      </c>
      <c r="H17" s="142">
        <f>Trackers!I380</f>
        <v>0</v>
      </c>
      <c r="I17" s="142">
        <f>Trackers!J380</f>
        <v>0</v>
      </c>
      <c r="J17" s="142">
        <f>Trackers!K380</f>
        <v>0</v>
      </c>
      <c r="K17" s="142">
        <f>Trackers!L380</f>
        <v>0</v>
      </c>
      <c r="L17" s="142">
        <f>Trackers!M380</f>
        <v>0</v>
      </c>
      <c r="M17" s="142">
        <f>Trackers!N380</f>
        <v>0</v>
      </c>
      <c r="N17" s="142">
        <f>Trackers!O380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5">
      <c r="A18" s="147" t="s">
        <v>1003</v>
      </c>
      <c r="B18" s="856" t="s">
        <v>996</v>
      </c>
      <c r="C18" s="142">
        <f>Trackers!D515</f>
        <v>0</v>
      </c>
      <c r="D18" s="142">
        <f>Trackers!E515</f>
        <v>0</v>
      </c>
      <c r="E18" s="142">
        <f>Trackers!F515</f>
        <v>0</v>
      </c>
      <c r="F18" s="142">
        <f>Trackers!G515</f>
        <v>0</v>
      </c>
      <c r="G18" s="142">
        <f>Trackers!H515</f>
        <v>0</v>
      </c>
      <c r="H18" s="142">
        <f>Trackers!I515</f>
        <v>0</v>
      </c>
      <c r="I18" s="142">
        <f>Trackers!J515</f>
        <v>0</v>
      </c>
      <c r="J18" s="142">
        <f>Trackers!K515</f>
        <v>0</v>
      </c>
      <c r="K18" s="142">
        <f>Trackers!L515</f>
        <v>0</v>
      </c>
      <c r="L18" s="142">
        <f>Trackers!M515</f>
        <v>0</v>
      </c>
      <c r="M18" s="142">
        <f>Trackers!N515</f>
        <v>0</v>
      </c>
      <c r="N18" s="142">
        <f>Trackers!O515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5">
      <c r="A19" s="147" t="s">
        <v>1004</v>
      </c>
      <c r="B19" s="856" t="s">
        <v>996</v>
      </c>
      <c r="C19" s="142">
        <f>Trackers!D201</f>
        <v>0</v>
      </c>
      <c r="D19" s="142">
        <f>Trackers!E201</f>
        <v>0</v>
      </c>
      <c r="E19" s="142">
        <f>Trackers!F201</f>
        <v>0</v>
      </c>
      <c r="F19" s="142">
        <f>Trackers!G201</f>
        <v>0</v>
      </c>
      <c r="G19" s="142">
        <f>Trackers!H201</f>
        <v>0</v>
      </c>
      <c r="H19" s="142">
        <f>Trackers!I201</f>
        <v>0</v>
      </c>
      <c r="I19" s="142">
        <f>Trackers!J201</f>
        <v>0</v>
      </c>
      <c r="J19" s="142">
        <f>Trackers!K201</f>
        <v>0</v>
      </c>
      <c r="K19" s="142">
        <f>Trackers!L201</f>
        <v>0</v>
      </c>
      <c r="L19" s="142">
        <f>Trackers!M201</f>
        <v>0</v>
      </c>
      <c r="M19" s="142">
        <f>Trackers!N201</f>
        <v>0</v>
      </c>
      <c r="N19" s="142">
        <f>Trackers!O201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5">
      <c r="A20" s="534" t="s">
        <v>605</v>
      </c>
      <c r="B20" s="801"/>
      <c r="C20" s="141">
        <v>0</v>
      </c>
      <c r="D20" s="141">
        <v>1</v>
      </c>
      <c r="E20" s="141">
        <v>2</v>
      </c>
      <c r="F20" s="141">
        <v>1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2">
        <f t="shared" si="1"/>
        <v>4</v>
      </c>
      <c r="P20" s="141">
        <f t="shared" si="2"/>
        <v>3</v>
      </c>
      <c r="Q20" s="142">
        <f t="shared" si="3"/>
        <v>1</v>
      </c>
    </row>
    <row r="21" spans="1:24" x14ac:dyDescent="0.25">
      <c r="A21" s="146" t="s">
        <v>604</v>
      </c>
      <c r="C21" s="261">
        <v>0</v>
      </c>
      <c r="D21" s="261">
        <v>0</v>
      </c>
      <c r="E21" s="261">
        <v>0</v>
      </c>
      <c r="F21" s="261">
        <v>0</v>
      </c>
      <c r="G21" s="261">
        <v>0</v>
      </c>
      <c r="H21" s="261">
        <v>0</v>
      </c>
      <c r="I21" s="261">
        <v>0</v>
      </c>
      <c r="J21" s="261">
        <v>0</v>
      </c>
      <c r="K21" s="261">
        <v>0</v>
      </c>
      <c r="L21" s="261">
        <v>0</v>
      </c>
      <c r="M21" s="261">
        <v>0</v>
      </c>
      <c r="N21" s="261">
        <v>0</v>
      </c>
      <c r="O21" s="143">
        <f t="shared" si="1"/>
        <v>0</v>
      </c>
      <c r="P21" s="261">
        <f t="shared" si="2"/>
        <v>0</v>
      </c>
      <c r="Q21" s="143">
        <f t="shared" si="3"/>
        <v>0</v>
      </c>
    </row>
    <row r="22" spans="1:24" ht="3.9" customHeight="1" x14ac:dyDescent="0.25">
      <c r="A22" s="390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P22" s="144"/>
    </row>
    <row r="23" spans="1:24" x14ac:dyDescent="0.25">
      <c r="A23" s="387" t="s">
        <v>868</v>
      </c>
      <c r="B23" s="798"/>
      <c r="C23" s="145">
        <f t="shared" ref="C23:N23" si="4">SUM(C13:C21)</f>
        <v>0</v>
      </c>
      <c r="D23" s="145">
        <f t="shared" si="4"/>
        <v>1</v>
      </c>
      <c r="E23" s="145">
        <f t="shared" si="4"/>
        <v>2</v>
      </c>
      <c r="F23" s="145">
        <f t="shared" si="4"/>
        <v>1</v>
      </c>
      <c r="G23" s="145">
        <f t="shared" si="4"/>
        <v>0</v>
      </c>
      <c r="H23" s="145">
        <f t="shared" si="4"/>
        <v>0</v>
      </c>
      <c r="I23" s="145">
        <f t="shared" si="4"/>
        <v>0</v>
      </c>
      <c r="J23" s="145">
        <f t="shared" si="4"/>
        <v>0</v>
      </c>
      <c r="K23" s="145">
        <f t="shared" si="4"/>
        <v>0</v>
      </c>
      <c r="L23" s="145">
        <f t="shared" si="4"/>
        <v>0</v>
      </c>
      <c r="M23" s="145">
        <f t="shared" si="4"/>
        <v>0</v>
      </c>
      <c r="N23" s="145">
        <f t="shared" si="4"/>
        <v>0</v>
      </c>
      <c r="O23" s="145">
        <f>SUM(O12:O21)</f>
        <v>4</v>
      </c>
      <c r="P23" s="145">
        <f>SUM(P12:P21)</f>
        <v>3</v>
      </c>
      <c r="Q23" s="145">
        <f>SUM(Q13:Q21)</f>
        <v>1</v>
      </c>
      <c r="R23" s="139"/>
      <c r="S23" s="139"/>
      <c r="T23" s="139"/>
      <c r="U23" s="139"/>
      <c r="V23" s="139"/>
      <c r="W23" s="139"/>
      <c r="X23" s="139"/>
    </row>
    <row r="24" spans="1:24" ht="6" customHeight="1" x14ac:dyDescent="0.25">
      <c r="A24" s="390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P24" s="144"/>
    </row>
    <row r="25" spans="1:24" x14ac:dyDescent="0.25">
      <c r="A25" s="391" t="s">
        <v>945</v>
      </c>
      <c r="B25" s="800"/>
    </row>
    <row r="26" spans="1:24" x14ac:dyDescent="0.25">
      <c r="A26" s="147" t="s">
        <v>871</v>
      </c>
      <c r="B26" s="799"/>
      <c r="C26" s="141">
        <v>0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2">
        <f t="shared" ref="O26:O38" si="5">SUM(C26:N26)</f>
        <v>0</v>
      </c>
      <c r="P26" s="141">
        <f t="shared" ref="P26:P38" si="6">SUM(C26:E26)</f>
        <v>0</v>
      </c>
      <c r="Q26" s="142">
        <f t="shared" ref="Q26:Q38" si="7">(O26-P26)</f>
        <v>0</v>
      </c>
    </row>
    <row r="27" spans="1:24" x14ac:dyDescent="0.25">
      <c r="A27" s="147" t="s">
        <v>980</v>
      </c>
      <c r="B27" s="856" t="s">
        <v>974</v>
      </c>
      <c r="C27" s="141">
        <v>7</v>
      </c>
      <c r="D27" s="141">
        <v>7</v>
      </c>
      <c r="E27" s="141">
        <v>5</v>
      </c>
      <c r="F27" s="141">
        <v>5</v>
      </c>
      <c r="G27" s="141">
        <v>4</v>
      </c>
      <c r="H27" s="141">
        <v>7</v>
      </c>
      <c r="I27" s="141">
        <v>3</v>
      </c>
      <c r="J27" s="141">
        <v>10</v>
      </c>
      <c r="K27" s="141">
        <v>8</v>
      </c>
      <c r="L27" s="141">
        <v>5</v>
      </c>
      <c r="M27" s="141">
        <v>8</v>
      </c>
      <c r="N27" s="141">
        <v>8</v>
      </c>
      <c r="O27" s="142">
        <f t="shared" si="5"/>
        <v>77</v>
      </c>
      <c r="P27" s="141">
        <f t="shared" si="6"/>
        <v>19</v>
      </c>
      <c r="Q27" s="142">
        <f t="shared" si="7"/>
        <v>58</v>
      </c>
    </row>
    <row r="28" spans="1:24" x14ac:dyDescent="0.25">
      <c r="A28" s="147" t="s">
        <v>981</v>
      </c>
      <c r="B28" s="856" t="s">
        <v>974</v>
      </c>
      <c r="C28" s="141">
        <v>-7</v>
      </c>
      <c r="D28" s="141">
        <v>-7</v>
      </c>
      <c r="E28" s="141">
        <v>-7</v>
      </c>
      <c r="F28" s="141">
        <v>-8</v>
      </c>
      <c r="G28" s="141">
        <v>-7</v>
      </c>
      <c r="H28" s="141">
        <v>-7</v>
      </c>
      <c r="I28" s="141">
        <v>-7</v>
      </c>
      <c r="J28" s="141">
        <v>-7</v>
      </c>
      <c r="K28" s="141">
        <v>-7</v>
      </c>
      <c r="L28" s="141">
        <v>-7</v>
      </c>
      <c r="M28" s="141">
        <v>-7</v>
      </c>
      <c r="N28" s="141">
        <v>-7</v>
      </c>
      <c r="O28" s="142">
        <f t="shared" si="5"/>
        <v>-85</v>
      </c>
      <c r="P28" s="141">
        <f t="shared" si="6"/>
        <v>-21</v>
      </c>
      <c r="Q28" s="142">
        <f t="shared" si="7"/>
        <v>-64</v>
      </c>
    </row>
    <row r="29" spans="1:24" x14ac:dyDescent="0.25">
      <c r="A29" s="663" t="s">
        <v>144</v>
      </c>
      <c r="B29" s="856" t="s">
        <v>974</v>
      </c>
      <c r="C29" s="158">
        <v>0</v>
      </c>
      <c r="D29" s="158">
        <v>0</v>
      </c>
      <c r="E29" s="158">
        <v>-106</v>
      </c>
      <c r="F29" s="158">
        <v>0</v>
      </c>
      <c r="G29" s="158">
        <v>0</v>
      </c>
      <c r="H29" s="158">
        <f>1796-1796</f>
        <v>0</v>
      </c>
      <c r="I29" s="158">
        <f>1441+255-1696</f>
        <v>0</v>
      </c>
      <c r="J29" s="158">
        <f>1441+255-1696</f>
        <v>0</v>
      </c>
      <c r="K29" s="158">
        <f>1441+255-1696</f>
        <v>0</v>
      </c>
      <c r="L29" s="158">
        <v>0</v>
      </c>
      <c r="M29" s="545">
        <f>2000-2000</f>
        <v>0</v>
      </c>
      <c r="N29" s="545">
        <f>2000-2000</f>
        <v>0</v>
      </c>
      <c r="O29" s="156">
        <f t="shared" si="5"/>
        <v>-106</v>
      </c>
      <c r="P29" s="141">
        <f t="shared" si="6"/>
        <v>-106</v>
      </c>
      <c r="Q29" s="156">
        <f t="shared" si="7"/>
        <v>0</v>
      </c>
    </row>
    <row r="30" spans="1:24" x14ac:dyDescent="0.25">
      <c r="A30" s="147" t="s">
        <v>145</v>
      </c>
      <c r="B30" s="856" t="s">
        <v>974</v>
      </c>
      <c r="C30" s="141">
        <v>0</v>
      </c>
      <c r="D30" s="612">
        <v>0</v>
      </c>
      <c r="E30" s="612">
        <v>0</v>
      </c>
      <c r="F30" s="141">
        <v>0</v>
      </c>
      <c r="G30" s="141">
        <v>0</v>
      </c>
      <c r="H30" s="141">
        <v>0</v>
      </c>
      <c r="I30" s="141">
        <v>0</v>
      </c>
      <c r="J30" s="141">
        <v>0</v>
      </c>
      <c r="K30" s="612">
        <v>0</v>
      </c>
      <c r="L30" s="141">
        <v>0</v>
      </c>
      <c r="M30" s="612">
        <f>-68+450-382</f>
        <v>0</v>
      </c>
      <c r="N30" s="612">
        <v>0</v>
      </c>
      <c r="O30" s="142">
        <f t="shared" si="5"/>
        <v>0</v>
      </c>
      <c r="P30" s="141">
        <f t="shared" si="6"/>
        <v>0</v>
      </c>
      <c r="Q30" s="142">
        <f t="shared" si="7"/>
        <v>0</v>
      </c>
    </row>
    <row r="31" spans="1:24" x14ac:dyDescent="0.25">
      <c r="A31" s="147" t="s">
        <v>946</v>
      </c>
      <c r="B31" s="799"/>
      <c r="C31" s="141">
        <v>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5">
      <c r="A32" s="147" t="s">
        <v>1023</v>
      </c>
      <c r="B32" s="799"/>
      <c r="C32" s="141">
        <v>128</v>
      </c>
      <c r="D32" s="141">
        <v>0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1">
        <v>0</v>
      </c>
      <c r="K32" s="141">
        <v>0</v>
      </c>
      <c r="L32" s="141">
        <v>0</v>
      </c>
      <c r="M32" s="141">
        <v>0</v>
      </c>
      <c r="N32" s="141">
        <v>0</v>
      </c>
      <c r="O32" s="142">
        <f t="shared" si="5"/>
        <v>128</v>
      </c>
      <c r="P32" s="141">
        <f t="shared" si="6"/>
        <v>128</v>
      </c>
      <c r="Q32" s="142">
        <f t="shared" si="7"/>
        <v>0</v>
      </c>
    </row>
    <row r="33" spans="1:29" x14ac:dyDescent="0.25">
      <c r="A33" s="147" t="s">
        <v>1025</v>
      </c>
      <c r="B33" s="799"/>
      <c r="C33" s="141">
        <v>0</v>
      </c>
      <c r="D33" s="141">
        <v>-85</v>
      </c>
      <c r="E33" s="141">
        <v>85</v>
      </c>
      <c r="F33" s="141">
        <v>0</v>
      </c>
      <c r="G33" s="141">
        <v>0</v>
      </c>
      <c r="H33" s="141">
        <v>0</v>
      </c>
      <c r="I33" s="141">
        <v>0</v>
      </c>
      <c r="J33" s="141">
        <v>0</v>
      </c>
      <c r="K33" s="141">
        <v>0</v>
      </c>
      <c r="L33" s="141">
        <v>0</v>
      </c>
      <c r="M33" s="141">
        <v>0</v>
      </c>
      <c r="N33" s="141">
        <v>0</v>
      </c>
      <c r="O33" s="142">
        <f t="shared" si="5"/>
        <v>0</v>
      </c>
      <c r="P33" s="141">
        <f t="shared" si="6"/>
        <v>0</v>
      </c>
      <c r="Q33" s="142">
        <f>(O33-P33)</f>
        <v>0</v>
      </c>
    </row>
    <row r="34" spans="1:29" x14ac:dyDescent="0.25">
      <c r="A34" s="147" t="s">
        <v>540</v>
      </c>
      <c r="B34" s="799"/>
      <c r="C34" s="141">
        <v>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  <c r="I34" s="141">
        <v>0</v>
      </c>
      <c r="J34" s="141">
        <v>0</v>
      </c>
      <c r="K34" s="141">
        <v>0</v>
      </c>
      <c r="L34" s="141">
        <v>0</v>
      </c>
      <c r="M34" s="141">
        <v>0</v>
      </c>
      <c r="N34" s="141">
        <v>0</v>
      </c>
      <c r="O34" s="142">
        <f t="shared" si="5"/>
        <v>0</v>
      </c>
      <c r="P34" s="141">
        <f t="shared" si="6"/>
        <v>0</v>
      </c>
      <c r="Q34" s="142">
        <f>(O34-P34)</f>
        <v>0</v>
      </c>
    </row>
    <row r="35" spans="1:29" x14ac:dyDescent="0.25">
      <c r="A35" s="534" t="s">
        <v>1068</v>
      </c>
      <c r="B35" s="799"/>
      <c r="C35" s="141">
        <v>0</v>
      </c>
      <c r="D35" s="141">
        <v>0</v>
      </c>
      <c r="E35" s="141">
        <v>0</v>
      </c>
      <c r="F35" s="141">
        <v>0</v>
      </c>
      <c r="G35" s="141">
        <v>-21</v>
      </c>
      <c r="H35" s="141">
        <v>0</v>
      </c>
      <c r="I35" s="141">
        <v>0</v>
      </c>
      <c r="J35" s="141">
        <v>0</v>
      </c>
      <c r="K35" s="141">
        <v>0</v>
      </c>
      <c r="L35" s="141">
        <v>0</v>
      </c>
      <c r="M35" s="141">
        <v>0</v>
      </c>
      <c r="N35" s="141">
        <v>0</v>
      </c>
      <c r="O35" s="142">
        <f>SUM(C35:N35)</f>
        <v>-21</v>
      </c>
      <c r="P35" s="141">
        <f>SUM(C35:E35)</f>
        <v>0</v>
      </c>
      <c r="Q35" s="142">
        <f>(O35-P35)</f>
        <v>-21</v>
      </c>
    </row>
    <row r="36" spans="1:29" x14ac:dyDescent="0.25">
      <c r="A36" s="147" t="s">
        <v>1052</v>
      </c>
      <c r="B36" s="799"/>
      <c r="C36" s="141">
        <v>7</v>
      </c>
      <c r="D36" s="141">
        <v>-3</v>
      </c>
      <c r="E36" s="141">
        <v>1</v>
      </c>
      <c r="F36" s="141">
        <f>12-2</f>
        <v>10</v>
      </c>
      <c r="G36" s="141">
        <v>2</v>
      </c>
      <c r="H36" s="141">
        <v>-1</v>
      </c>
      <c r="I36" s="141">
        <v>0</v>
      </c>
      <c r="J36" s="141">
        <v>0</v>
      </c>
      <c r="K36" s="141">
        <v>0</v>
      </c>
      <c r="L36" s="141">
        <v>0</v>
      </c>
      <c r="M36" s="141">
        <v>0</v>
      </c>
      <c r="N36" s="141">
        <v>0</v>
      </c>
      <c r="O36" s="142">
        <f>SUM(C36:N36)</f>
        <v>16</v>
      </c>
      <c r="P36" s="141">
        <f t="shared" si="6"/>
        <v>5</v>
      </c>
      <c r="Q36" s="142">
        <f t="shared" si="7"/>
        <v>11</v>
      </c>
    </row>
    <row r="37" spans="1:29" x14ac:dyDescent="0.25">
      <c r="A37" s="870" t="s">
        <v>1065</v>
      </c>
      <c r="B37" s="799"/>
      <c r="C37" s="869">
        <v>0</v>
      </c>
      <c r="D37" s="869">
        <v>0</v>
      </c>
      <c r="E37" s="869">
        <v>0</v>
      </c>
      <c r="F37" s="869">
        <v>0</v>
      </c>
      <c r="G37" s="869">
        <v>0</v>
      </c>
      <c r="H37" s="869">
        <v>0</v>
      </c>
      <c r="I37" s="869">
        <v>0</v>
      </c>
      <c r="J37" s="869">
        <v>0</v>
      </c>
      <c r="K37" s="869">
        <v>0</v>
      </c>
      <c r="L37" s="869">
        <v>0</v>
      </c>
      <c r="M37" s="869">
        <v>0</v>
      </c>
      <c r="N37" s="869">
        <f>-2525+2525</f>
        <v>0</v>
      </c>
      <c r="O37" s="142">
        <f>SUM(C37:N37)</f>
        <v>0</v>
      </c>
      <c r="P37" s="141">
        <f t="shared" si="6"/>
        <v>0</v>
      </c>
      <c r="Q37" s="142">
        <f>(O37-P37)</f>
        <v>0</v>
      </c>
    </row>
    <row r="38" spans="1:29" x14ac:dyDescent="0.25">
      <c r="A38" s="146" t="s">
        <v>604</v>
      </c>
      <c r="C38" s="261">
        <v>0</v>
      </c>
      <c r="D38" s="261">
        <v>0</v>
      </c>
      <c r="E38" s="261">
        <v>0</v>
      </c>
      <c r="F38" s="261">
        <v>0</v>
      </c>
      <c r="G38" s="261">
        <v>0</v>
      </c>
      <c r="H38" s="261">
        <v>0</v>
      </c>
      <c r="I38" s="261">
        <v>0</v>
      </c>
      <c r="J38" s="261">
        <v>0</v>
      </c>
      <c r="K38" s="261">
        <v>0</v>
      </c>
      <c r="L38" s="261">
        <v>0</v>
      </c>
      <c r="M38" s="261">
        <v>0</v>
      </c>
      <c r="N38" s="261">
        <v>0</v>
      </c>
      <c r="O38" s="143">
        <f t="shared" si="5"/>
        <v>0</v>
      </c>
      <c r="P38" s="261">
        <f t="shared" si="6"/>
        <v>0</v>
      </c>
      <c r="Q38" s="143">
        <f t="shared" si="7"/>
        <v>0</v>
      </c>
      <c r="R38" s="148"/>
      <c r="S38" s="148"/>
    </row>
    <row r="39" spans="1:29" ht="3.9" customHeight="1" x14ac:dyDescent="0.25">
      <c r="A39" s="534"/>
      <c r="B39" s="800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P39" s="144"/>
    </row>
    <row r="40" spans="1:29" x14ac:dyDescent="0.25">
      <c r="A40" s="387" t="s">
        <v>872</v>
      </c>
      <c r="B40" s="798"/>
      <c r="C40" s="145">
        <f t="shared" ref="C40:P40" si="8">SUM(C26:C38)</f>
        <v>135</v>
      </c>
      <c r="D40" s="145">
        <f t="shared" si="8"/>
        <v>-88</v>
      </c>
      <c r="E40" s="145">
        <f t="shared" si="8"/>
        <v>-22</v>
      </c>
      <c r="F40" s="145">
        <f t="shared" si="8"/>
        <v>7</v>
      </c>
      <c r="G40" s="145">
        <f t="shared" si="8"/>
        <v>-22</v>
      </c>
      <c r="H40" s="145">
        <f t="shared" si="8"/>
        <v>-1</v>
      </c>
      <c r="I40" s="145">
        <f t="shared" si="8"/>
        <v>-4</v>
      </c>
      <c r="J40" s="145">
        <f t="shared" si="8"/>
        <v>3</v>
      </c>
      <c r="K40" s="145">
        <f t="shared" si="8"/>
        <v>1</v>
      </c>
      <c r="L40" s="145">
        <f t="shared" si="8"/>
        <v>-2</v>
      </c>
      <c r="M40" s="145">
        <f t="shared" si="8"/>
        <v>1</v>
      </c>
      <c r="N40" s="145">
        <f t="shared" si="8"/>
        <v>1</v>
      </c>
      <c r="O40" s="145">
        <f t="shared" si="8"/>
        <v>9</v>
      </c>
      <c r="P40" s="145">
        <f t="shared" si="8"/>
        <v>25</v>
      </c>
      <c r="Q40" s="145">
        <f>SUM(Q26:Q38)</f>
        <v>-16</v>
      </c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</row>
    <row r="41" spans="1:29" ht="12.75" customHeight="1" x14ac:dyDescent="0.25">
      <c r="A41" s="144"/>
      <c r="B41" s="800"/>
    </row>
    <row r="42" spans="1:29" x14ac:dyDescent="0.25">
      <c r="A42" s="387" t="s">
        <v>873</v>
      </c>
      <c r="B42" s="798"/>
      <c r="C42" s="145">
        <f t="shared" ref="C42:Q42" si="9">(C10+C23+C40)</f>
        <v>135</v>
      </c>
      <c r="D42" s="145">
        <f t="shared" si="9"/>
        <v>-87</v>
      </c>
      <c r="E42" s="145">
        <f t="shared" si="9"/>
        <v>-20</v>
      </c>
      <c r="F42" s="145">
        <f t="shared" si="9"/>
        <v>8</v>
      </c>
      <c r="G42" s="145">
        <f t="shared" si="9"/>
        <v>-22</v>
      </c>
      <c r="H42" s="145">
        <f t="shared" si="9"/>
        <v>-1</v>
      </c>
      <c r="I42" s="145">
        <f t="shared" si="9"/>
        <v>-4</v>
      </c>
      <c r="J42" s="145">
        <f t="shared" si="9"/>
        <v>3</v>
      </c>
      <c r="K42" s="145">
        <f t="shared" si="9"/>
        <v>1</v>
      </c>
      <c r="L42" s="145">
        <f t="shared" si="9"/>
        <v>-2</v>
      </c>
      <c r="M42" s="145">
        <f t="shared" si="9"/>
        <v>1</v>
      </c>
      <c r="N42" s="145">
        <f t="shared" si="9"/>
        <v>1</v>
      </c>
      <c r="O42" s="145">
        <f t="shared" si="9"/>
        <v>13</v>
      </c>
      <c r="P42" s="145">
        <f t="shared" si="9"/>
        <v>28</v>
      </c>
      <c r="Q42" s="145">
        <f t="shared" si="9"/>
        <v>-15</v>
      </c>
      <c r="R42" s="149"/>
      <c r="S42" s="139"/>
    </row>
    <row r="43" spans="1:29" ht="12.75" customHeight="1" x14ac:dyDescent="0.25">
      <c r="A43" s="390"/>
    </row>
  </sheetData>
  <phoneticPr fontId="0" type="noConversion"/>
  <printOptions horizontalCentered="1" gridLinesSet="0"/>
  <pageMargins left="0.5" right="0.5" top="0.25" bottom="0.25" header="0" footer="0"/>
  <pageSetup paperSize="5" scale="9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2001-08-06T16:19:05Z</cp:lastPrinted>
  <dcterms:created xsi:type="dcterms:W3CDTF">1999-02-24T21:47:29Z</dcterms:created>
  <dcterms:modified xsi:type="dcterms:W3CDTF">2023-09-13T22:49:11Z</dcterms:modified>
</cp:coreProperties>
</file>