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68" windowWidth="11976" windowHeight="2220" tabRatio="631" activeTab="1"/>
  </bookViews>
  <sheets>
    <sheet name="CheckList " sheetId="9" r:id="rId1"/>
    <sheet name="twbs" sheetId="1" r:id="rId2"/>
    <sheet name="tpami2_CorpDiff" sheetId="2" r:id="rId3"/>
    <sheet name="twdetailbs" sheetId="3" r:id="rId4"/>
    <sheet name="Variance" sheetId="5" r:id="rId5"/>
    <sheet name="gl-hyp recon" sheetId="8" r:id="rId6"/>
    <sheet name="eoc_corpDiff" sheetId="4" r:id="rId7"/>
    <sheet name="Kleb's BS" sheetId="6" r:id="rId8"/>
  </sheets>
  <externalReferences>
    <externalReference r:id="rId9"/>
    <externalReference r:id="rId10"/>
    <externalReference r:id="rId11"/>
  </externalReferences>
  <definedNames>
    <definedName name="\D" localSheetId="0">[2]twbs!#REF!</definedName>
    <definedName name="\D">twbs!#REF!</definedName>
    <definedName name="\E">twbs!$B$90:$D$91</definedName>
    <definedName name="\G" localSheetId="0">[2]twbs!#REF!</definedName>
    <definedName name="\G">twbs!#REF!</definedName>
    <definedName name="\H" localSheetId="0">[2]twbs!#REF!</definedName>
    <definedName name="\H">twbs!#REF!</definedName>
    <definedName name="\I">twbs!$B$87:$D$91</definedName>
    <definedName name="\L" localSheetId="0">[2]twbs!#REF!</definedName>
    <definedName name="\L">twbs!#REF!</definedName>
    <definedName name="\P" localSheetId="0">[2]twbs!#REF!</definedName>
    <definedName name="\P">twbs!#REF!</definedName>
    <definedName name="\Q">twbs!$B$82:$D$91</definedName>
    <definedName name="\S" localSheetId="0">[2]twbs!#REF!</definedName>
    <definedName name="\S">twbs!#REF!</definedName>
    <definedName name="\T" localSheetId="0">[2]twbs!#REF!</definedName>
    <definedName name="\T">twbs!#REF!</definedName>
    <definedName name="\U">twbs!$B$78:$D$80</definedName>
    <definedName name="\W">twbs!$B$93:$IV$8010</definedName>
    <definedName name="\Z" localSheetId="0">[2]twbs!#REF!</definedName>
    <definedName name="\Z">twbs!#REF!</definedName>
    <definedName name="balsht">twbs!$B$3:$I$70</definedName>
    <definedName name="BLANKINPUT" localSheetId="0">[2]twbs!#REF!</definedName>
    <definedName name="BLANKINPUT">twbs!#REF!</definedName>
    <definedName name="BLANKOUTPUT">twbs!$V$9:$X$72</definedName>
    <definedName name="CM">twbs!$E$13:$E$70</definedName>
    <definedName name="CMCHANGE">twbs!$Q$9:$S$72</definedName>
    <definedName name="DATE">twbs!$B$5:$B$5</definedName>
    <definedName name="DATEIN" localSheetId="0">[2]twbs!#REF!</definedName>
    <definedName name="DATEIN">twbs!#REF!</definedName>
    <definedName name="DATEIN1" localSheetId="0">[2]twbs!#REF!</definedName>
    <definedName name="DATEIN1">twbs!#REF!</definedName>
    <definedName name="INPUT" localSheetId="0">[2]twbs!#REF!</definedName>
    <definedName name="INPUT">twbs!#REF!</definedName>
    <definedName name="INPUT1" localSheetId="0">[2]twbs!#REF!</definedName>
    <definedName name="INPUT1">twbs!#REF!</definedName>
    <definedName name="INPUT2" localSheetId="0">[2]twbs!#REF!</definedName>
    <definedName name="INPUT2">twbs!#REF!</definedName>
    <definedName name="INPUT3" localSheetId="0">[2]twbs!#REF!</definedName>
    <definedName name="INPUT3">twbs!#REF!</definedName>
    <definedName name="INPUT87" localSheetId="0">[2]twbs!#REF!</definedName>
    <definedName name="INPUT87">twbs!#REF!</definedName>
    <definedName name="INPUT88" localSheetId="0">[2]twbs!#REF!</definedName>
    <definedName name="INPUT88">twbs!#REF!</definedName>
    <definedName name="jan_dec">Variance!$A$1:$M$4</definedName>
    <definedName name="jan_feb">Variance!$A$1:$L$4</definedName>
    <definedName name="LETTERS" localSheetId="0">[2]twbs!#REF!</definedName>
    <definedName name="LETTERS">twbs!#REF!</definedName>
    <definedName name="mar_apr" localSheetId="0">[2]Variance!#REF!</definedName>
    <definedName name="mar_apr">Variance!#REF!</definedName>
    <definedName name="MESSAGE1" localSheetId="0">[2]twbs!#REF!</definedName>
    <definedName name="MESSAGE1">twbs!#REF!</definedName>
    <definedName name="mo">twbs!$B$1</definedName>
    <definedName name="Oct_Dec" localSheetId="0">[3]Variance!#REF!</definedName>
    <definedName name="Oct_Dec">[1]Variance!#REF!</definedName>
    <definedName name="OUTPUT">twbs!$E$10:$I$73</definedName>
    <definedName name="_PG1">twbs!$A$1:$M$71</definedName>
    <definedName name="_PG2" localSheetId="0">[2]twbs!#REF!</definedName>
    <definedName name="_PG2">twbs!#REF!</definedName>
    <definedName name="PM">twbs!$G$13:$G$70</definedName>
    <definedName name="_xlnm.Print_Area" localSheetId="0">'CheckList '!$B$1:$J$46</definedName>
    <definedName name="_xlnm.Print_Area" localSheetId="6">eoc_corpDiff!$A$1:$J$87</definedName>
    <definedName name="_xlnm.Print_Area" localSheetId="5">'gl-hyp recon'!$A$1:$G$41</definedName>
    <definedName name="_xlnm.Print_Area" localSheetId="7">'Kleb''s BS'!$B$1:$G$98</definedName>
    <definedName name="_xlnm.Print_Area" localSheetId="2">tpami2_CorpDiff!$A$10:$E$242</definedName>
    <definedName name="_xlnm.Print_Area" localSheetId="1">twbs!$B$2:$K$70</definedName>
    <definedName name="_xlnm.Print_Area" localSheetId="3">twdetailbs!$A$9:$AE$372</definedName>
    <definedName name="_xlnm.Print_Area" localSheetId="4">Variance!$A$1:$C$94</definedName>
    <definedName name="_xlnm.Print_Titles" localSheetId="2">tpami2_CorpDiff!$1:$9</definedName>
    <definedName name="_xlnm.Print_Titles" localSheetId="3">twdetailbs!$A:$A,twdetailbs!$1:$8</definedName>
    <definedName name="_xlnm.Print_Titles" localSheetId="4">Variance!$1:$4</definedName>
    <definedName name="PRMONTH">twbs!$M$9:$O$72</definedName>
    <definedName name="PRTEPSON">twbs!$B$3:$T$68</definedName>
    <definedName name="TIMEDATE" localSheetId="0">[2]twbs!#REF!</definedName>
    <definedName name="TIMEDATE">twbs!#REF!</definedName>
    <definedName name="TIMEDATE1">twbs!$T$1:$T$3</definedName>
    <definedName name="TIMEDATE2" localSheetId="0">[2]twbs!#REF!</definedName>
    <definedName name="TIMEDATE2">twbs!#REF!</definedName>
    <definedName name="TITLE1">twbs!$B$9:$B$9</definedName>
    <definedName name="TITLE2">twbs!$D$10:$D$10</definedName>
  </definedNames>
  <calcPr calcId="92512" fullCalcOnLoad="1"/>
</workbook>
</file>

<file path=xl/calcChain.xml><?xml version="1.0" encoding="utf-8"?>
<calcChain xmlns="http://schemas.openxmlformats.org/spreadsheetml/2006/main">
  <c r="B4" i="9" l="1"/>
  <c r="B46" i="9"/>
  <c r="D3" i="4"/>
  <c r="B4" i="4"/>
  <c r="C7" i="4"/>
  <c r="D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C88" i="4"/>
  <c r="D88" i="4"/>
  <c r="C89" i="4"/>
  <c r="D89" i="4"/>
  <c r="A3" i="8"/>
  <c r="C3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E19" i="8"/>
  <c r="D21" i="8"/>
  <c r="E21" i="8"/>
  <c r="D25" i="8"/>
  <c r="E25" i="8"/>
  <c r="D26" i="8"/>
  <c r="E26" i="8"/>
  <c r="D27" i="8"/>
  <c r="E27" i="8"/>
  <c r="D28" i="8"/>
  <c r="E28" i="8"/>
  <c r="E29" i="8"/>
  <c r="D31" i="8"/>
  <c r="E31" i="8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C25" i="6"/>
  <c r="D25" i="6"/>
  <c r="E25" i="6"/>
  <c r="F25" i="6"/>
  <c r="G25" i="6"/>
  <c r="C26" i="6"/>
  <c r="D26" i="6"/>
  <c r="E26" i="6"/>
  <c r="F26" i="6"/>
  <c r="G26" i="6"/>
  <c r="C27" i="6"/>
  <c r="D27" i="6"/>
  <c r="E27" i="6"/>
  <c r="F27" i="6"/>
  <c r="G27" i="6"/>
  <c r="C28" i="6"/>
  <c r="D28" i="6"/>
  <c r="E28" i="6"/>
  <c r="F28" i="6"/>
  <c r="G28" i="6"/>
  <c r="C29" i="6"/>
  <c r="D29" i="6"/>
  <c r="E29" i="6"/>
  <c r="F29" i="6"/>
  <c r="G29" i="6"/>
  <c r="C30" i="6"/>
  <c r="D30" i="6"/>
  <c r="E30" i="6"/>
  <c r="F30" i="6"/>
  <c r="G30" i="6"/>
  <c r="C31" i="6"/>
  <c r="D31" i="6"/>
  <c r="E31" i="6"/>
  <c r="F31" i="6"/>
  <c r="G31" i="6"/>
  <c r="C32" i="6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G34" i="6"/>
  <c r="C35" i="6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C41" i="6"/>
  <c r="D41" i="6"/>
  <c r="E41" i="6"/>
  <c r="F41" i="6"/>
  <c r="G41" i="6"/>
  <c r="C42" i="6"/>
  <c r="D42" i="6"/>
  <c r="E42" i="6"/>
  <c r="F42" i="6"/>
  <c r="G42" i="6"/>
  <c r="C43" i="6"/>
  <c r="D43" i="6"/>
  <c r="E43" i="6"/>
  <c r="F43" i="6"/>
  <c r="G43" i="6"/>
  <c r="C44" i="6"/>
  <c r="D44" i="6"/>
  <c r="E44" i="6"/>
  <c r="F44" i="6"/>
  <c r="G44" i="6"/>
  <c r="C45" i="6"/>
  <c r="D45" i="6"/>
  <c r="E45" i="6"/>
  <c r="F45" i="6"/>
  <c r="G45" i="6"/>
  <c r="G46" i="6"/>
  <c r="D47" i="6"/>
  <c r="E47" i="6"/>
  <c r="F47" i="6"/>
  <c r="G47" i="6"/>
  <c r="C49" i="6"/>
  <c r="D49" i="6"/>
  <c r="E49" i="6"/>
  <c r="F49" i="6"/>
  <c r="G49" i="6"/>
  <c r="C50" i="6"/>
  <c r="D50" i="6"/>
  <c r="E50" i="6"/>
  <c r="F50" i="6"/>
  <c r="G50" i="6"/>
  <c r="C51" i="6"/>
  <c r="D51" i="6"/>
  <c r="E51" i="6"/>
  <c r="F51" i="6"/>
  <c r="G51" i="6"/>
  <c r="C52" i="6"/>
  <c r="D52" i="6"/>
  <c r="E52" i="6"/>
  <c r="F52" i="6"/>
  <c r="G52" i="6"/>
  <c r="C53" i="6"/>
  <c r="D53" i="6"/>
  <c r="E53" i="6"/>
  <c r="F53" i="6"/>
  <c r="G53" i="6"/>
  <c r="C54" i="6"/>
  <c r="D54" i="6"/>
  <c r="E54" i="6"/>
  <c r="F54" i="6"/>
  <c r="G54" i="6"/>
  <c r="C55" i="6"/>
  <c r="D55" i="6"/>
  <c r="E55" i="6"/>
  <c r="F55" i="6"/>
  <c r="G55" i="6"/>
  <c r="C56" i="6"/>
  <c r="D56" i="6"/>
  <c r="E56" i="6"/>
  <c r="F56" i="6"/>
  <c r="G56" i="6"/>
  <c r="C57" i="6"/>
  <c r="D57" i="6"/>
  <c r="E57" i="6"/>
  <c r="F57" i="6"/>
  <c r="G57" i="6"/>
  <c r="C58" i="6"/>
  <c r="D58" i="6"/>
  <c r="E58" i="6"/>
  <c r="F58" i="6"/>
  <c r="G58" i="6"/>
  <c r="C59" i="6"/>
  <c r="D59" i="6"/>
  <c r="E59" i="6"/>
  <c r="F59" i="6"/>
  <c r="G59" i="6"/>
  <c r="C60" i="6"/>
  <c r="D60" i="6"/>
  <c r="E60" i="6"/>
  <c r="F60" i="6"/>
  <c r="G60" i="6"/>
  <c r="C61" i="6"/>
  <c r="D61" i="6"/>
  <c r="E61" i="6"/>
  <c r="F61" i="6"/>
  <c r="G61" i="6"/>
  <c r="C62" i="6"/>
  <c r="D62" i="6"/>
  <c r="E62" i="6"/>
  <c r="F62" i="6"/>
  <c r="G62" i="6"/>
  <c r="C63" i="6"/>
  <c r="D63" i="6"/>
  <c r="E63" i="6"/>
  <c r="F63" i="6"/>
  <c r="G63" i="6"/>
  <c r="C64" i="6"/>
  <c r="D64" i="6"/>
  <c r="E64" i="6"/>
  <c r="F64" i="6"/>
  <c r="G64" i="6"/>
  <c r="C65" i="6"/>
  <c r="D65" i="6"/>
  <c r="E65" i="6"/>
  <c r="F65" i="6"/>
  <c r="G65" i="6"/>
  <c r="C66" i="6"/>
  <c r="D66" i="6"/>
  <c r="E66" i="6"/>
  <c r="F66" i="6"/>
  <c r="G66" i="6"/>
  <c r="C67" i="6"/>
  <c r="D67" i="6"/>
  <c r="E67" i="6"/>
  <c r="F67" i="6"/>
  <c r="G67" i="6"/>
  <c r="C68" i="6"/>
  <c r="D68" i="6"/>
  <c r="E68" i="6"/>
  <c r="F68" i="6"/>
  <c r="G68" i="6"/>
  <c r="C69" i="6"/>
  <c r="D69" i="6"/>
  <c r="E69" i="6"/>
  <c r="F69" i="6"/>
  <c r="G69" i="6"/>
  <c r="C70" i="6"/>
  <c r="D70" i="6"/>
  <c r="E70" i="6"/>
  <c r="F70" i="6"/>
  <c r="G70" i="6"/>
  <c r="C71" i="6"/>
  <c r="D71" i="6"/>
  <c r="E71" i="6"/>
  <c r="F71" i="6"/>
  <c r="G71" i="6"/>
  <c r="C72" i="6"/>
  <c r="D72" i="6"/>
  <c r="E72" i="6"/>
  <c r="F72" i="6"/>
  <c r="G72" i="6"/>
  <c r="C73" i="6"/>
  <c r="D73" i="6"/>
  <c r="E73" i="6"/>
  <c r="F73" i="6"/>
  <c r="G73" i="6"/>
  <c r="C74" i="6"/>
  <c r="D74" i="6"/>
  <c r="E74" i="6"/>
  <c r="F74" i="6"/>
  <c r="G74" i="6"/>
  <c r="C75" i="6"/>
  <c r="D75" i="6"/>
  <c r="E75" i="6"/>
  <c r="F75" i="6"/>
  <c r="G75" i="6"/>
  <c r="C76" i="6"/>
  <c r="D76" i="6"/>
  <c r="E76" i="6"/>
  <c r="F76" i="6"/>
  <c r="G76" i="6"/>
  <c r="C77" i="6"/>
  <c r="D77" i="6"/>
  <c r="E77" i="6"/>
  <c r="F77" i="6"/>
  <c r="G77" i="6"/>
  <c r="C78" i="6"/>
  <c r="D78" i="6"/>
  <c r="E78" i="6"/>
  <c r="F78" i="6"/>
  <c r="G78" i="6"/>
  <c r="C79" i="6"/>
  <c r="D79" i="6"/>
  <c r="E79" i="6"/>
  <c r="F79" i="6"/>
  <c r="G79" i="6"/>
  <c r="C80" i="6"/>
  <c r="D80" i="6"/>
  <c r="E80" i="6"/>
  <c r="F80" i="6"/>
  <c r="G80" i="6"/>
  <c r="C81" i="6"/>
  <c r="D81" i="6"/>
  <c r="E81" i="6"/>
  <c r="F81" i="6"/>
  <c r="G81" i="6"/>
  <c r="C82" i="6"/>
  <c r="D82" i="6"/>
  <c r="E82" i="6"/>
  <c r="F82" i="6"/>
  <c r="G82" i="6"/>
  <c r="C83" i="6"/>
  <c r="D83" i="6"/>
  <c r="E83" i="6"/>
  <c r="F83" i="6"/>
  <c r="G83" i="6"/>
  <c r="C84" i="6"/>
  <c r="D84" i="6"/>
  <c r="E84" i="6"/>
  <c r="F84" i="6"/>
  <c r="G84" i="6"/>
  <c r="C85" i="6"/>
  <c r="D85" i="6"/>
  <c r="E85" i="6"/>
  <c r="F85" i="6"/>
  <c r="G85" i="6"/>
  <c r="C86" i="6"/>
  <c r="D86" i="6"/>
  <c r="E86" i="6"/>
  <c r="F86" i="6"/>
  <c r="G86" i="6"/>
  <c r="C87" i="6"/>
  <c r="D87" i="6"/>
  <c r="E87" i="6"/>
  <c r="F87" i="6"/>
  <c r="G87" i="6"/>
  <c r="G88" i="6"/>
  <c r="D89" i="6"/>
  <c r="E89" i="6"/>
  <c r="F89" i="6"/>
  <c r="G89" i="6"/>
  <c r="D91" i="6"/>
  <c r="E91" i="6"/>
  <c r="F91" i="6"/>
  <c r="D93" i="6"/>
  <c r="D94" i="6"/>
  <c r="D95" i="6"/>
  <c r="D96" i="6"/>
  <c r="D97" i="6"/>
  <c r="D98" i="6"/>
  <c r="A5" i="2"/>
  <c r="C8" i="2"/>
  <c r="D8" i="2"/>
  <c r="E8" i="2"/>
  <c r="B10" i="2"/>
  <c r="C10" i="2"/>
  <c r="D10" i="2"/>
  <c r="E10" i="2"/>
  <c r="B11" i="2"/>
  <c r="C11" i="2"/>
  <c r="D11" i="2"/>
  <c r="E11" i="2"/>
  <c r="C12" i="2"/>
  <c r="D12" i="2"/>
  <c r="E12" i="2"/>
  <c r="B14" i="2"/>
  <c r="C14" i="2"/>
  <c r="D14" i="2"/>
  <c r="E14" i="2"/>
  <c r="B16" i="2"/>
  <c r="C16" i="2"/>
  <c r="D16" i="2"/>
  <c r="E16" i="2"/>
  <c r="B17" i="2"/>
  <c r="C17" i="2"/>
  <c r="D17" i="2"/>
  <c r="E17" i="2"/>
  <c r="B18" i="2"/>
  <c r="C18" i="2"/>
  <c r="D18" i="2"/>
  <c r="E18" i="2"/>
  <c r="B20" i="2"/>
  <c r="C20" i="2"/>
  <c r="D20" i="2"/>
  <c r="E20" i="2"/>
  <c r="B21" i="2"/>
  <c r="C21" i="2"/>
  <c r="D21" i="2"/>
  <c r="E21" i="2"/>
  <c r="C22" i="2"/>
  <c r="D22" i="2"/>
  <c r="E22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C31" i="2"/>
  <c r="D31" i="2"/>
  <c r="E31" i="2"/>
  <c r="B33" i="2"/>
  <c r="C33" i="2"/>
  <c r="D33" i="2"/>
  <c r="E33" i="2"/>
  <c r="B35" i="2"/>
  <c r="C35" i="2"/>
  <c r="D35" i="2"/>
  <c r="E35" i="2"/>
  <c r="B37" i="2"/>
  <c r="C37" i="2"/>
  <c r="D37" i="2"/>
  <c r="E37" i="2"/>
  <c r="B40" i="2"/>
  <c r="C40" i="2"/>
  <c r="D40" i="2"/>
  <c r="E40" i="2"/>
  <c r="B42" i="2"/>
  <c r="C42" i="2"/>
  <c r="D42" i="2"/>
  <c r="E42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C48" i="2"/>
  <c r="D48" i="2"/>
  <c r="E48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C54" i="2"/>
  <c r="D54" i="2"/>
  <c r="E54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C79" i="2"/>
  <c r="D79" i="2"/>
  <c r="E79" i="2"/>
  <c r="B81" i="2"/>
  <c r="C81" i="2"/>
  <c r="D81" i="2"/>
  <c r="E81" i="2"/>
  <c r="C82" i="2"/>
  <c r="D82" i="2"/>
  <c r="E82" i="2"/>
  <c r="C83" i="2"/>
  <c r="D83" i="2"/>
  <c r="E83" i="2"/>
  <c r="C84" i="2"/>
  <c r="D84" i="2"/>
  <c r="E84" i="2"/>
  <c r="B86" i="2"/>
  <c r="C86" i="2"/>
  <c r="D86" i="2"/>
  <c r="E86" i="2"/>
  <c r="B88" i="2"/>
  <c r="C88" i="2"/>
  <c r="D88" i="2"/>
  <c r="E88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C94" i="2"/>
  <c r="D94" i="2"/>
  <c r="E94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C100" i="2"/>
  <c r="D100" i="2"/>
  <c r="E100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C149" i="2"/>
  <c r="D149" i="2"/>
  <c r="E149" i="2"/>
  <c r="C150" i="2"/>
  <c r="D150" i="2"/>
  <c r="E150" i="2"/>
  <c r="B152" i="2"/>
  <c r="C152" i="2"/>
  <c r="D152" i="2"/>
  <c r="E152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C157" i="2"/>
  <c r="D157" i="2"/>
  <c r="E157" i="2"/>
  <c r="C158" i="2"/>
  <c r="D158" i="2"/>
  <c r="E158" i="2"/>
  <c r="C160" i="2"/>
  <c r="D160" i="2"/>
  <c r="E160" i="2"/>
  <c r="C162" i="2"/>
  <c r="D162" i="2"/>
  <c r="E162" i="2"/>
  <c r="B165" i="2"/>
  <c r="C165" i="2"/>
  <c r="D165" i="2"/>
  <c r="E165" i="2"/>
  <c r="B167" i="2"/>
  <c r="C167" i="2"/>
  <c r="D167" i="2"/>
  <c r="E167" i="2"/>
  <c r="B168" i="2"/>
  <c r="C168" i="2"/>
  <c r="D168" i="2"/>
  <c r="E168" i="2"/>
  <c r="C169" i="2"/>
  <c r="D169" i="2"/>
  <c r="E169" i="2"/>
  <c r="B171" i="2"/>
  <c r="C171" i="2"/>
  <c r="D171" i="2"/>
  <c r="E171" i="2"/>
  <c r="B173" i="2"/>
  <c r="C173" i="2"/>
  <c r="D173" i="2"/>
  <c r="E173" i="2"/>
  <c r="B175" i="2"/>
  <c r="C175" i="2"/>
  <c r="D175" i="2"/>
  <c r="E175" i="2"/>
  <c r="B176" i="2"/>
  <c r="C176" i="2"/>
  <c r="D176" i="2"/>
  <c r="E176" i="2"/>
  <c r="C177" i="2"/>
  <c r="D177" i="2"/>
  <c r="E177" i="2"/>
  <c r="B179" i="2"/>
  <c r="C179" i="2"/>
  <c r="D179" i="2"/>
  <c r="E179" i="2"/>
  <c r="B181" i="2"/>
  <c r="C181" i="2"/>
  <c r="D181" i="2"/>
  <c r="E181" i="2"/>
  <c r="B182" i="2"/>
  <c r="C182" i="2"/>
  <c r="D182" i="2"/>
  <c r="E182" i="2"/>
  <c r="C183" i="2"/>
  <c r="D183" i="2"/>
  <c r="E183" i="2"/>
  <c r="B185" i="2"/>
  <c r="C185" i="2"/>
  <c r="D185" i="2"/>
  <c r="E185" i="2"/>
  <c r="B187" i="2"/>
  <c r="C187" i="2"/>
  <c r="D187" i="2"/>
  <c r="E187" i="2"/>
  <c r="B188" i="2"/>
  <c r="C188" i="2"/>
  <c r="D188" i="2"/>
  <c r="E188" i="2"/>
  <c r="B190" i="2"/>
  <c r="C190" i="2"/>
  <c r="D190" i="2"/>
  <c r="E190" i="2"/>
  <c r="B191" i="2"/>
  <c r="C191" i="2"/>
  <c r="D191" i="2"/>
  <c r="E191" i="2"/>
  <c r="C193" i="2"/>
  <c r="D193" i="2"/>
  <c r="E193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C201" i="2"/>
  <c r="D201" i="2"/>
  <c r="E201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C207" i="2"/>
  <c r="D207" i="2"/>
  <c r="E207" i="2"/>
  <c r="B209" i="2"/>
  <c r="C209" i="2"/>
  <c r="D209" i="2"/>
  <c r="E209" i="2"/>
  <c r="B211" i="2"/>
  <c r="C211" i="2"/>
  <c r="D211" i="2"/>
  <c r="E211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C217" i="2"/>
  <c r="D217" i="2"/>
  <c r="E217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C223" i="2"/>
  <c r="D223" i="2"/>
  <c r="E223" i="2"/>
  <c r="B225" i="2"/>
  <c r="C225" i="2"/>
  <c r="D225" i="2"/>
  <c r="E225" i="2"/>
  <c r="B227" i="2"/>
  <c r="C227" i="2"/>
  <c r="D227" i="2"/>
  <c r="E227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C237" i="2"/>
  <c r="D237" i="2"/>
  <c r="E237" i="2"/>
  <c r="C239" i="2"/>
  <c r="D239" i="2"/>
  <c r="E239" i="2"/>
  <c r="C241" i="2"/>
  <c r="D241" i="2"/>
  <c r="E241" i="2"/>
  <c r="C2" i="1"/>
  <c r="B5" i="1"/>
  <c r="E8" i="1"/>
  <c r="G8" i="1"/>
  <c r="E13" i="1"/>
  <c r="G13" i="1"/>
  <c r="I13" i="1"/>
  <c r="K13" i="1"/>
  <c r="M13" i="1"/>
  <c r="O13" i="1"/>
  <c r="E14" i="1"/>
  <c r="G14" i="1"/>
  <c r="I14" i="1"/>
  <c r="K14" i="1"/>
  <c r="M14" i="1"/>
  <c r="O14" i="1"/>
  <c r="R14" i="1"/>
  <c r="E15" i="1"/>
  <c r="G15" i="1"/>
  <c r="I15" i="1"/>
  <c r="K15" i="1"/>
  <c r="M15" i="1"/>
  <c r="O15" i="1"/>
  <c r="E16" i="1"/>
  <c r="G16" i="1"/>
  <c r="I16" i="1"/>
  <c r="K16" i="1"/>
  <c r="M16" i="1"/>
  <c r="O16" i="1"/>
  <c r="E17" i="1"/>
  <c r="G17" i="1"/>
  <c r="I17" i="1"/>
  <c r="K17" i="1"/>
  <c r="M17" i="1"/>
  <c r="O17" i="1"/>
  <c r="E18" i="1"/>
  <c r="G18" i="1"/>
  <c r="I18" i="1"/>
  <c r="K18" i="1"/>
  <c r="M18" i="1"/>
  <c r="O18" i="1"/>
  <c r="E19" i="1"/>
  <c r="G19" i="1"/>
  <c r="I19" i="1"/>
  <c r="K19" i="1"/>
  <c r="M19" i="1"/>
  <c r="O19" i="1"/>
  <c r="E20" i="1"/>
  <c r="G20" i="1"/>
  <c r="I20" i="1"/>
  <c r="K20" i="1"/>
  <c r="M20" i="1"/>
  <c r="O20" i="1"/>
  <c r="E21" i="1"/>
  <c r="G21" i="1"/>
  <c r="I21" i="1"/>
  <c r="K21" i="1"/>
  <c r="M21" i="1"/>
  <c r="O21" i="1"/>
  <c r="E22" i="1"/>
  <c r="G22" i="1"/>
  <c r="I22" i="1"/>
  <c r="K22" i="1"/>
  <c r="M22" i="1"/>
  <c r="O22" i="1"/>
  <c r="E23" i="1"/>
  <c r="G23" i="1"/>
  <c r="I23" i="1"/>
  <c r="K23" i="1"/>
  <c r="M23" i="1"/>
  <c r="O23" i="1"/>
  <c r="E26" i="1"/>
  <c r="G26" i="1"/>
  <c r="I26" i="1"/>
  <c r="K26" i="1"/>
  <c r="M26" i="1"/>
  <c r="O26" i="1"/>
  <c r="E27" i="1"/>
  <c r="G27" i="1"/>
  <c r="I27" i="1"/>
  <c r="K27" i="1"/>
  <c r="M27" i="1"/>
  <c r="O27" i="1"/>
  <c r="E28" i="1"/>
  <c r="G28" i="1"/>
  <c r="I28" i="1"/>
  <c r="K28" i="1"/>
  <c r="M28" i="1"/>
  <c r="O28" i="1"/>
  <c r="E30" i="1"/>
  <c r="G30" i="1"/>
  <c r="I30" i="1"/>
  <c r="K30" i="1"/>
  <c r="M30" i="1"/>
  <c r="O30" i="1"/>
  <c r="E31" i="1"/>
  <c r="G31" i="1"/>
  <c r="I31" i="1"/>
  <c r="K31" i="1"/>
  <c r="M31" i="1"/>
  <c r="O31" i="1"/>
  <c r="E32" i="1"/>
  <c r="G32" i="1"/>
  <c r="I32" i="1"/>
  <c r="K32" i="1"/>
  <c r="M32" i="1"/>
  <c r="O32" i="1"/>
  <c r="E35" i="1"/>
  <c r="G35" i="1"/>
  <c r="I35" i="1"/>
  <c r="K35" i="1"/>
  <c r="M35" i="1"/>
  <c r="O35" i="1"/>
  <c r="E36" i="1"/>
  <c r="G36" i="1"/>
  <c r="I36" i="1"/>
  <c r="K36" i="1"/>
  <c r="M36" i="1"/>
  <c r="O36" i="1"/>
  <c r="E37" i="1"/>
  <c r="G37" i="1"/>
  <c r="I37" i="1"/>
  <c r="K37" i="1"/>
  <c r="M37" i="1"/>
  <c r="O37" i="1"/>
  <c r="E39" i="1"/>
  <c r="G39" i="1"/>
  <c r="I39" i="1"/>
  <c r="K39" i="1"/>
  <c r="M39" i="1"/>
  <c r="O39" i="1"/>
  <c r="E44" i="1"/>
  <c r="G44" i="1"/>
  <c r="I44" i="1"/>
  <c r="K44" i="1"/>
  <c r="M44" i="1"/>
  <c r="O44" i="1"/>
  <c r="E45" i="1"/>
  <c r="G45" i="1"/>
  <c r="I45" i="1"/>
  <c r="K45" i="1"/>
  <c r="M45" i="1"/>
  <c r="O45" i="1"/>
  <c r="E46" i="1"/>
  <c r="G46" i="1"/>
  <c r="I46" i="1"/>
  <c r="K46" i="1"/>
  <c r="M46" i="1"/>
  <c r="O46" i="1"/>
  <c r="E47" i="1"/>
  <c r="G47" i="1"/>
  <c r="I47" i="1"/>
  <c r="K47" i="1"/>
  <c r="M47" i="1"/>
  <c r="O47" i="1"/>
  <c r="E48" i="1"/>
  <c r="G48" i="1"/>
  <c r="I48" i="1"/>
  <c r="K48" i="1"/>
  <c r="M48" i="1"/>
  <c r="O48" i="1"/>
  <c r="E49" i="1"/>
  <c r="G49" i="1"/>
  <c r="I49" i="1"/>
  <c r="K49" i="1"/>
  <c r="M49" i="1"/>
  <c r="O49" i="1"/>
  <c r="E50" i="1"/>
  <c r="G50" i="1"/>
  <c r="I50" i="1"/>
  <c r="K50" i="1"/>
  <c r="M50" i="1"/>
  <c r="O50" i="1"/>
  <c r="E51" i="1"/>
  <c r="G51" i="1"/>
  <c r="I51" i="1"/>
  <c r="K51" i="1"/>
  <c r="M51" i="1"/>
  <c r="O51" i="1"/>
  <c r="E52" i="1"/>
  <c r="G52" i="1"/>
  <c r="I52" i="1"/>
  <c r="K52" i="1"/>
  <c r="M52" i="1"/>
  <c r="O52" i="1"/>
  <c r="E53" i="1"/>
  <c r="G53" i="1"/>
  <c r="I53" i="1"/>
  <c r="K53" i="1"/>
  <c r="M53" i="1"/>
  <c r="O53" i="1"/>
  <c r="E56" i="1"/>
  <c r="G56" i="1"/>
  <c r="I56" i="1"/>
  <c r="K56" i="1"/>
  <c r="M56" i="1"/>
  <c r="O56" i="1"/>
  <c r="E57" i="1"/>
  <c r="G57" i="1"/>
  <c r="I57" i="1"/>
  <c r="K57" i="1"/>
  <c r="M57" i="1"/>
  <c r="O57" i="1"/>
  <c r="E58" i="1"/>
  <c r="G58" i="1"/>
  <c r="I58" i="1"/>
  <c r="K58" i="1"/>
  <c r="M58" i="1"/>
  <c r="O58" i="1"/>
  <c r="E59" i="1"/>
  <c r="G59" i="1"/>
  <c r="I59" i="1"/>
  <c r="K59" i="1"/>
  <c r="M59" i="1"/>
  <c r="O59" i="1"/>
  <c r="E61" i="1"/>
  <c r="G61" i="1"/>
  <c r="I61" i="1"/>
  <c r="K61" i="1"/>
  <c r="M61" i="1"/>
  <c r="O61" i="1"/>
  <c r="E64" i="1"/>
  <c r="G64" i="1"/>
  <c r="I64" i="1"/>
  <c r="K64" i="1"/>
  <c r="M64" i="1"/>
  <c r="O64" i="1"/>
  <c r="E65" i="1"/>
  <c r="G65" i="1"/>
  <c r="I65" i="1"/>
  <c r="K65" i="1"/>
  <c r="M65" i="1"/>
  <c r="O65" i="1"/>
  <c r="E66" i="1"/>
  <c r="G66" i="1"/>
  <c r="I66" i="1"/>
  <c r="K66" i="1"/>
  <c r="M66" i="1"/>
  <c r="O66" i="1"/>
  <c r="E67" i="1"/>
  <c r="G67" i="1"/>
  <c r="I67" i="1"/>
  <c r="K67" i="1"/>
  <c r="M67" i="1"/>
  <c r="O67" i="1"/>
  <c r="E68" i="1"/>
  <c r="G68" i="1"/>
  <c r="I68" i="1"/>
  <c r="K68" i="1"/>
  <c r="M68" i="1"/>
  <c r="O68" i="1"/>
  <c r="E70" i="1"/>
  <c r="G70" i="1"/>
  <c r="I70" i="1"/>
  <c r="K70" i="1"/>
  <c r="M70" i="1"/>
  <c r="O70" i="1"/>
  <c r="E73" i="1"/>
  <c r="G73" i="1"/>
  <c r="I73" i="1"/>
  <c r="K73" i="1"/>
  <c r="M73" i="1"/>
  <c r="O73" i="1"/>
  <c r="B3" i="3"/>
  <c r="B11" i="3"/>
  <c r="C11" i="3"/>
  <c r="E11" i="3"/>
  <c r="G11" i="3"/>
  <c r="I11" i="3"/>
  <c r="K11" i="3"/>
  <c r="M11" i="3"/>
  <c r="O11" i="3"/>
  <c r="Q11" i="3"/>
  <c r="S11" i="3"/>
  <c r="U11" i="3"/>
  <c r="W11" i="3"/>
  <c r="Y11" i="3"/>
  <c r="AA11" i="3"/>
  <c r="AC11" i="3"/>
  <c r="AE11" i="3"/>
  <c r="C12" i="3"/>
  <c r="E12" i="3"/>
  <c r="G12" i="3"/>
  <c r="I12" i="3"/>
  <c r="K12" i="3"/>
  <c r="M12" i="3"/>
  <c r="O12" i="3"/>
  <c r="Q12" i="3"/>
  <c r="S12" i="3"/>
  <c r="U12" i="3"/>
  <c r="W12" i="3"/>
  <c r="Y12" i="3"/>
  <c r="AA12" i="3"/>
  <c r="AC12" i="3"/>
  <c r="AE12" i="3"/>
  <c r="C13" i="3"/>
  <c r="E13" i="3"/>
  <c r="G13" i="3"/>
  <c r="I13" i="3"/>
  <c r="K13" i="3"/>
  <c r="M13" i="3"/>
  <c r="O13" i="3"/>
  <c r="Q13" i="3"/>
  <c r="S13" i="3"/>
  <c r="U13" i="3"/>
  <c r="W13" i="3"/>
  <c r="Y13" i="3"/>
  <c r="AA13" i="3"/>
  <c r="AC13" i="3"/>
  <c r="AD13" i="3"/>
  <c r="AE13" i="3"/>
  <c r="B15" i="3"/>
  <c r="C15" i="3"/>
  <c r="E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B16" i="3"/>
  <c r="C16" i="3"/>
  <c r="E16" i="3"/>
  <c r="G16" i="3"/>
  <c r="I16" i="3"/>
  <c r="K16" i="3"/>
  <c r="M16" i="3"/>
  <c r="O16" i="3"/>
  <c r="Q16" i="3"/>
  <c r="S16" i="3"/>
  <c r="U16" i="3"/>
  <c r="W16" i="3"/>
  <c r="Y16" i="3"/>
  <c r="AA16" i="3"/>
  <c r="AC16" i="3"/>
  <c r="AE16" i="3"/>
  <c r="B17" i="3"/>
  <c r="C17" i="3"/>
  <c r="E17" i="3"/>
  <c r="G17" i="3"/>
  <c r="I17" i="3"/>
  <c r="K17" i="3"/>
  <c r="M17" i="3"/>
  <c r="O17" i="3"/>
  <c r="Q17" i="3"/>
  <c r="S17" i="3"/>
  <c r="U17" i="3"/>
  <c r="W17" i="3"/>
  <c r="Y17" i="3"/>
  <c r="AA17" i="3"/>
  <c r="AC17" i="3"/>
  <c r="AE17" i="3"/>
  <c r="B18" i="3"/>
  <c r="C18" i="3"/>
  <c r="E18" i="3"/>
  <c r="G18" i="3"/>
  <c r="I18" i="3"/>
  <c r="K18" i="3"/>
  <c r="M18" i="3"/>
  <c r="O18" i="3"/>
  <c r="Q18" i="3"/>
  <c r="S18" i="3"/>
  <c r="U18" i="3"/>
  <c r="W18" i="3"/>
  <c r="Y18" i="3"/>
  <c r="AA18" i="3"/>
  <c r="AC18" i="3"/>
  <c r="AE18" i="3"/>
  <c r="B19" i="3"/>
  <c r="C19" i="3"/>
  <c r="E19" i="3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B20" i="3"/>
  <c r="C20" i="3"/>
  <c r="E20" i="3"/>
  <c r="G20" i="3"/>
  <c r="I20" i="3"/>
  <c r="K20" i="3"/>
  <c r="M20" i="3"/>
  <c r="O20" i="3"/>
  <c r="Q20" i="3"/>
  <c r="S20" i="3"/>
  <c r="U20" i="3"/>
  <c r="W20" i="3"/>
  <c r="Y20" i="3"/>
  <c r="AA20" i="3"/>
  <c r="AC20" i="3"/>
  <c r="AE20" i="3"/>
  <c r="C21" i="3"/>
  <c r="E21" i="3"/>
  <c r="G21" i="3"/>
  <c r="I21" i="3"/>
  <c r="K21" i="3"/>
  <c r="M21" i="3"/>
  <c r="O21" i="3"/>
  <c r="Q21" i="3"/>
  <c r="S21" i="3"/>
  <c r="U21" i="3"/>
  <c r="W21" i="3"/>
  <c r="Y21" i="3"/>
  <c r="AA21" i="3"/>
  <c r="AC21" i="3"/>
  <c r="AE21" i="3"/>
  <c r="C22" i="3"/>
  <c r="E22" i="3"/>
  <c r="G22" i="3"/>
  <c r="I22" i="3"/>
  <c r="K22" i="3"/>
  <c r="M22" i="3"/>
  <c r="O22" i="3"/>
  <c r="Q22" i="3"/>
  <c r="S22" i="3"/>
  <c r="U22" i="3"/>
  <c r="W22" i="3"/>
  <c r="Y22" i="3"/>
  <c r="AA22" i="3"/>
  <c r="AC22" i="3"/>
  <c r="AE22" i="3"/>
  <c r="AC23" i="3"/>
  <c r="AE23" i="3"/>
  <c r="C24" i="3"/>
  <c r="E24" i="3"/>
  <c r="G24" i="3"/>
  <c r="I24" i="3"/>
  <c r="K24" i="3"/>
  <c r="M24" i="3"/>
  <c r="O24" i="3"/>
  <c r="Q24" i="3"/>
  <c r="S24" i="3"/>
  <c r="U24" i="3"/>
  <c r="W24" i="3"/>
  <c r="Y24" i="3"/>
  <c r="AA24" i="3"/>
  <c r="AC24" i="3"/>
  <c r="AD24" i="3"/>
  <c r="AE24" i="3"/>
  <c r="B26" i="3"/>
  <c r="C26" i="3"/>
  <c r="E26" i="3"/>
  <c r="G26" i="3"/>
  <c r="I26" i="3"/>
  <c r="K26" i="3"/>
  <c r="M26" i="3"/>
  <c r="O26" i="3"/>
  <c r="Q26" i="3"/>
  <c r="S26" i="3"/>
  <c r="U26" i="3"/>
  <c r="W26" i="3"/>
  <c r="Y26" i="3"/>
  <c r="AA26" i="3"/>
  <c r="AC26" i="3"/>
  <c r="AE26" i="3"/>
  <c r="B27" i="3"/>
  <c r="C27" i="3"/>
  <c r="E27" i="3"/>
  <c r="G27" i="3"/>
  <c r="I27" i="3"/>
  <c r="K27" i="3"/>
  <c r="M27" i="3"/>
  <c r="O27" i="3"/>
  <c r="Q27" i="3"/>
  <c r="S27" i="3"/>
  <c r="U27" i="3"/>
  <c r="W27" i="3"/>
  <c r="Y27" i="3"/>
  <c r="AA27" i="3"/>
  <c r="AC27" i="3"/>
  <c r="AE27" i="3"/>
  <c r="C28" i="3"/>
  <c r="E28" i="3"/>
  <c r="G28" i="3"/>
  <c r="I28" i="3"/>
  <c r="K28" i="3"/>
  <c r="M28" i="3"/>
  <c r="O28" i="3"/>
  <c r="Q28" i="3"/>
  <c r="S28" i="3"/>
  <c r="U28" i="3"/>
  <c r="W28" i="3"/>
  <c r="Y28" i="3"/>
  <c r="AA28" i="3"/>
  <c r="AC28" i="3"/>
  <c r="AE28" i="3"/>
  <c r="C29" i="3"/>
  <c r="E29" i="3"/>
  <c r="G29" i="3"/>
  <c r="I29" i="3"/>
  <c r="K29" i="3"/>
  <c r="M29" i="3"/>
  <c r="O29" i="3"/>
  <c r="Q29" i="3"/>
  <c r="S29" i="3"/>
  <c r="U29" i="3"/>
  <c r="W29" i="3"/>
  <c r="Y29" i="3"/>
  <c r="AA29" i="3"/>
  <c r="AC29" i="3"/>
  <c r="AE29" i="3"/>
  <c r="B30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C30" i="3"/>
  <c r="AE30" i="3"/>
  <c r="C31" i="3"/>
  <c r="E31" i="3"/>
  <c r="G31" i="3"/>
  <c r="I31" i="3"/>
  <c r="K31" i="3"/>
  <c r="M31" i="3"/>
  <c r="O31" i="3"/>
  <c r="Q31" i="3"/>
  <c r="S31" i="3"/>
  <c r="U31" i="3"/>
  <c r="W31" i="3"/>
  <c r="Y31" i="3"/>
  <c r="AA31" i="3"/>
  <c r="AC31" i="3"/>
  <c r="AD31" i="3"/>
  <c r="AE31" i="3"/>
  <c r="B34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C34" i="3"/>
  <c r="AE34" i="3"/>
  <c r="B35" i="3"/>
  <c r="C35" i="3"/>
  <c r="E35" i="3"/>
  <c r="G35" i="3"/>
  <c r="I35" i="3"/>
  <c r="K35" i="3"/>
  <c r="M35" i="3"/>
  <c r="O35" i="3"/>
  <c r="Q35" i="3"/>
  <c r="S35" i="3"/>
  <c r="U35" i="3"/>
  <c r="W35" i="3"/>
  <c r="Y35" i="3"/>
  <c r="AA35" i="3"/>
  <c r="AC35" i="3"/>
  <c r="AE35" i="3"/>
  <c r="B36" i="3"/>
  <c r="C36" i="3"/>
  <c r="E36" i="3"/>
  <c r="G36" i="3"/>
  <c r="I36" i="3"/>
  <c r="K36" i="3"/>
  <c r="M36" i="3"/>
  <c r="O36" i="3"/>
  <c r="Q36" i="3"/>
  <c r="S36" i="3"/>
  <c r="U36" i="3"/>
  <c r="W36" i="3"/>
  <c r="Y36" i="3"/>
  <c r="AA36" i="3"/>
  <c r="AC36" i="3"/>
  <c r="AE36" i="3"/>
  <c r="B37" i="3"/>
  <c r="C37" i="3"/>
  <c r="E37" i="3"/>
  <c r="G37" i="3"/>
  <c r="I37" i="3"/>
  <c r="K37" i="3"/>
  <c r="M37" i="3"/>
  <c r="O37" i="3"/>
  <c r="Q37" i="3"/>
  <c r="S37" i="3"/>
  <c r="U37" i="3"/>
  <c r="W37" i="3"/>
  <c r="Y37" i="3"/>
  <c r="AA37" i="3"/>
  <c r="AC37" i="3"/>
  <c r="AE37" i="3"/>
  <c r="B38" i="3"/>
  <c r="C38" i="3"/>
  <c r="E38" i="3"/>
  <c r="G38" i="3"/>
  <c r="I38" i="3"/>
  <c r="K38" i="3"/>
  <c r="M38" i="3"/>
  <c r="O38" i="3"/>
  <c r="Q38" i="3"/>
  <c r="S38" i="3"/>
  <c r="U38" i="3"/>
  <c r="W38" i="3"/>
  <c r="Y38" i="3"/>
  <c r="AA38" i="3"/>
  <c r="AC38" i="3"/>
  <c r="AE38" i="3"/>
  <c r="B39" i="3"/>
  <c r="C39" i="3"/>
  <c r="E39" i="3"/>
  <c r="G39" i="3"/>
  <c r="I39" i="3"/>
  <c r="K39" i="3"/>
  <c r="M39" i="3"/>
  <c r="O39" i="3"/>
  <c r="Q39" i="3"/>
  <c r="S39" i="3"/>
  <c r="U39" i="3"/>
  <c r="W39" i="3"/>
  <c r="Y39" i="3"/>
  <c r="AA39" i="3"/>
  <c r="AC39" i="3"/>
  <c r="AE39" i="3"/>
  <c r="B40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AE40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AC41" i="3"/>
  <c r="AE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B44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E44" i="3"/>
  <c r="C45" i="3"/>
  <c r="E45" i="3"/>
  <c r="G45" i="3"/>
  <c r="I45" i="3"/>
  <c r="K45" i="3"/>
  <c r="M45" i="3"/>
  <c r="O45" i="3"/>
  <c r="Q45" i="3"/>
  <c r="S45" i="3"/>
  <c r="U45" i="3"/>
  <c r="W45" i="3"/>
  <c r="Y45" i="3"/>
  <c r="AA45" i="3"/>
  <c r="AC45" i="3"/>
  <c r="AE45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B48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E48" i="3"/>
  <c r="C49" i="3"/>
  <c r="E49" i="3"/>
  <c r="G49" i="3"/>
  <c r="I49" i="3"/>
  <c r="K49" i="3"/>
  <c r="M49" i="3"/>
  <c r="O49" i="3"/>
  <c r="Q49" i="3"/>
  <c r="S49" i="3"/>
  <c r="U49" i="3"/>
  <c r="W49" i="3"/>
  <c r="Y49" i="3"/>
  <c r="AA49" i="3"/>
  <c r="AC49" i="3"/>
  <c r="AE49" i="3"/>
  <c r="C50" i="3"/>
  <c r="E50" i="3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B52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C53" i="3"/>
  <c r="E53" i="3"/>
  <c r="G53" i="3"/>
  <c r="I53" i="3"/>
  <c r="K53" i="3"/>
  <c r="M53" i="3"/>
  <c r="O53" i="3"/>
  <c r="Q53" i="3"/>
  <c r="S53" i="3"/>
  <c r="U53" i="3"/>
  <c r="W53" i="3"/>
  <c r="Y53" i="3"/>
  <c r="AA53" i="3"/>
  <c r="AC53" i="3"/>
  <c r="AE53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B56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E56" i="3"/>
  <c r="C57" i="3"/>
  <c r="E57" i="3"/>
  <c r="G57" i="3"/>
  <c r="I57" i="3"/>
  <c r="K57" i="3"/>
  <c r="M57" i="3"/>
  <c r="O57" i="3"/>
  <c r="Q57" i="3"/>
  <c r="S57" i="3"/>
  <c r="U57" i="3"/>
  <c r="W57" i="3"/>
  <c r="Y57" i="3"/>
  <c r="AA57" i="3"/>
  <c r="AC57" i="3"/>
  <c r="AE57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E58" i="3"/>
  <c r="B60" i="3"/>
  <c r="C60" i="3"/>
  <c r="E60" i="3"/>
  <c r="G60" i="3"/>
  <c r="I60" i="3"/>
  <c r="K60" i="3"/>
  <c r="M60" i="3"/>
  <c r="O60" i="3"/>
  <c r="Q60" i="3"/>
  <c r="S60" i="3"/>
  <c r="U60" i="3"/>
  <c r="W60" i="3"/>
  <c r="Y60" i="3"/>
  <c r="AA60" i="3"/>
  <c r="AC60" i="3"/>
  <c r="AE60" i="3"/>
  <c r="C61" i="3"/>
  <c r="E61" i="3"/>
  <c r="G61" i="3"/>
  <c r="I61" i="3"/>
  <c r="K61" i="3"/>
  <c r="M61" i="3"/>
  <c r="O61" i="3"/>
  <c r="Q61" i="3"/>
  <c r="S61" i="3"/>
  <c r="U61" i="3"/>
  <c r="W61" i="3"/>
  <c r="Y61" i="3"/>
  <c r="AA61" i="3"/>
  <c r="AC61" i="3"/>
  <c r="AE61" i="3"/>
  <c r="C62" i="3"/>
  <c r="E62" i="3"/>
  <c r="G62" i="3"/>
  <c r="I62" i="3"/>
  <c r="K62" i="3"/>
  <c r="M62" i="3"/>
  <c r="O62" i="3"/>
  <c r="Q62" i="3"/>
  <c r="S62" i="3"/>
  <c r="U62" i="3"/>
  <c r="W62" i="3"/>
  <c r="Y62" i="3"/>
  <c r="AA62" i="3"/>
  <c r="AC62" i="3"/>
  <c r="AE62" i="3"/>
  <c r="B64" i="3"/>
  <c r="C64" i="3"/>
  <c r="E64" i="3"/>
  <c r="G64" i="3"/>
  <c r="I64" i="3"/>
  <c r="K64" i="3"/>
  <c r="M64" i="3"/>
  <c r="O64" i="3"/>
  <c r="Q64" i="3"/>
  <c r="S64" i="3"/>
  <c r="U64" i="3"/>
  <c r="W64" i="3"/>
  <c r="Y64" i="3"/>
  <c r="AA64" i="3"/>
  <c r="AC64" i="3"/>
  <c r="AE64" i="3"/>
  <c r="B65" i="3"/>
  <c r="C65" i="3"/>
  <c r="E65" i="3"/>
  <c r="G65" i="3"/>
  <c r="I65" i="3"/>
  <c r="K65" i="3"/>
  <c r="M65" i="3"/>
  <c r="O65" i="3"/>
  <c r="Q65" i="3"/>
  <c r="S65" i="3"/>
  <c r="U65" i="3"/>
  <c r="W65" i="3"/>
  <c r="Y65" i="3"/>
  <c r="AA65" i="3"/>
  <c r="AC65" i="3"/>
  <c r="AE65" i="3"/>
  <c r="B66" i="3"/>
  <c r="C66" i="3"/>
  <c r="E66" i="3"/>
  <c r="G66" i="3"/>
  <c r="I66" i="3"/>
  <c r="K66" i="3"/>
  <c r="M66" i="3"/>
  <c r="O66" i="3"/>
  <c r="Q66" i="3"/>
  <c r="S66" i="3"/>
  <c r="U66" i="3"/>
  <c r="W66" i="3"/>
  <c r="Y66" i="3"/>
  <c r="AA66" i="3"/>
  <c r="AC66" i="3"/>
  <c r="AE66" i="3"/>
  <c r="B67" i="3"/>
  <c r="C67" i="3"/>
  <c r="E67" i="3"/>
  <c r="G67" i="3"/>
  <c r="I67" i="3"/>
  <c r="K67" i="3"/>
  <c r="M67" i="3"/>
  <c r="O67" i="3"/>
  <c r="Q67" i="3"/>
  <c r="S67" i="3"/>
  <c r="U67" i="3"/>
  <c r="W67" i="3"/>
  <c r="Y67" i="3"/>
  <c r="AA67" i="3"/>
  <c r="AC67" i="3"/>
  <c r="AE67" i="3"/>
  <c r="B68" i="3"/>
  <c r="C68" i="3"/>
  <c r="E68" i="3"/>
  <c r="G68" i="3"/>
  <c r="I68" i="3"/>
  <c r="K68" i="3"/>
  <c r="M68" i="3"/>
  <c r="O68" i="3"/>
  <c r="Q68" i="3"/>
  <c r="S68" i="3"/>
  <c r="U68" i="3"/>
  <c r="W68" i="3"/>
  <c r="Y68" i="3"/>
  <c r="AA68" i="3"/>
  <c r="AC68" i="3"/>
  <c r="AE68" i="3"/>
  <c r="B69" i="3"/>
  <c r="C69" i="3"/>
  <c r="E69" i="3"/>
  <c r="G69" i="3"/>
  <c r="I69" i="3"/>
  <c r="K69" i="3"/>
  <c r="M69" i="3"/>
  <c r="O69" i="3"/>
  <c r="Q69" i="3"/>
  <c r="S69" i="3"/>
  <c r="U69" i="3"/>
  <c r="W69" i="3"/>
  <c r="Y69" i="3"/>
  <c r="AA69" i="3"/>
  <c r="AC69" i="3"/>
  <c r="AE69" i="3"/>
  <c r="B70" i="3"/>
  <c r="C70" i="3"/>
  <c r="E70" i="3"/>
  <c r="G70" i="3"/>
  <c r="I70" i="3"/>
  <c r="K70" i="3"/>
  <c r="M70" i="3"/>
  <c r="O70" i="3"/>
  <c r="Q70" i="3"/>
  <c r="S70" i="3"/>
  <c r="U70" i="3"/>
  <c r="W70" i="3"/>
  <c r="Y70" i="3"/>
  <c r="AA70" i="3"/>
  <c r="AC70" i="3"/>
  <c r="AE70" i="3"/>
  <c r="B71" i="3"/>
  <c r="C71" i="3"/>
  <c r="E71" i="3"/>
  <c r="G71" i="3"/>
  <c r="I71" i="3"/>
  <c r="K71" i="3"/>
  <c r="M71" i="3"/>
  <c r="O71" i="3"/>
  <c r="Q71" i="3"/>
  <c r="S71" i="3"/>
  <c r="U71" i="3"/>
  <c r="W71" i="3"/>
  <c r="Y71" i="3"/>
  <c r="AA71" i="3"/>
  <c r="AC71" i="3"/>
  <c r="AE71" i="3"/>
  <c r="B72" i="3"/>
  <c r="C72" i="3"/>
  <c r="E72" i="3"/>
  <c r="G72" i="3"/>
  <c r="I72" i="3"/>
  <c r="K72" i="3"/>
  <c r="M72" i="3"/>
  <c r="O72" i="3"/>
  <c r="Q72" i="3"/>
  <c r="S72" i="3"/>
  <c r="U72" i="3"/>
  <c r="W72" i="3"/>
  <c r="Y72" i="3"/>
  <c r="AA72" i="3"/>
  <c r="AC72" i="3"/>
  <c r="AE72" i="3"/>
  <c r="B73" i="3"/>
  <c r="C73" i="3"/>
  <c r="E73" i="3"/>
  <c r="G73" i="3"/>
  <c r="I73" i="3"/>
  <c r="K73" i="3"/>
  <c r="M73" i="3"/>
  <c r="O73" i="3"/>
  <c r="Q73" i="3"/>
  <c r="S73" i="3"/>
  <c r="U73" i="3"/>
  <c r="W73" i="3"/>
  <c r="Y73" i="3"/>
  <c r="AA73" i="3"/>
  <c r="AC73" i="3"/>
  <c r="AE73" i="3"/>
  <c r="B74" i="3"/>
  <c r="C74" i="3"/>
  <c r="E74" i="3"/>
  <c r="G74" i="3"/>
  <c r="I74" i="3"/>
  <c r="K74" i="3"/>
  <c r="M74" i="3"/>
  <c r="O74" i="3"/>
  <c r="Q74" i="3"/>
  <c r="S74" i="3"/>
  <c r="U74" i="3"/>
  <c r="W74" i="3"/>
  <c r="Y74" i="3"/>
  <c r="AA74" i="3"/>
  <c r="AC74" i="3"/>
  <c r="AE74" i="3"/>
  <c r="B75" i="3"/>
  <c r="C75" i="3"/>
  <c r="E75" i="3"/>
  <c r="G75" i="3"/>
  <c r="I75" i="3"/>
  <c r="K75" i="3"/>
  <c r="M75" i="3"/>
  <c r="O75" i="3"/>
  <c r="Q75" i="3"/>
  <c r="S75" i="3"/>
  <c r="U75" i="3"/>
  <c r="W75" i="3"/>
  <c r="Y75" i="3"/>
  <c r="AA75" i="3"/>
  <c r="AC75" i="3"/>
  <c r="AE75" i="3"/>
  <c r="B76" i="3"/>
  <c r="C76" i="3"/>
  <c r="E76" i="3"/>
  <c r="G76" i="3"/>
  <c r="I76" i="3"/>
  <c r="K76" i="3"/>
  <c r="M76" i="3"/>
  <c r="O76" i="3"/>
  <c r="Q76" i="3"/>
  <c r="S76" i="3"/>
  <c r="U76" i="3"/>
  <c r="W76" i="3"/>
  <c r="Y76" i="3"/>
  <c r="AA76" i="3"/>
  <c r="AC76" i="3"/>
  <c r="AE76" i="3"/>
  <c r="B77" i="3"/>
  <c r="C77" i="3"/>
  <c r="E77" i="3"/>
  <c r="G77" i="3"/>
  <c r="I77" i="3"/>
  <c r="K77" i="3"/>
  <c r="M77" i="3"/>
  <c r="O77" i="3"/>
  <c r="Q77" i="3"/>
  <c r="S77" i="3"/>
  <c r="U77" i="3"/>
  <c r="W77" i="3"/>
  <c r="Y77" i="3"/>
  <c r="AA77" i="3"/>
  <c r="AC77" i="3"/>
  <c r="AE77" i="3"/>
  <c r="B78" i="3"/>
  <c r="C78" i="3"/>
  <c r="E78" i="3"/>
  <c r="G78" i="3"/>
  <c r="I78" i="3"/>
  <c r="K78" i="3"/>
  <c r="M78" i="3"/>
  <c r="O78" i="3"/>
  <c r="Q78" i="3"/>
  <c r="S78" i="3"/>
  <c r="U78" i="3"/>
  <c r="W78" i="3"/>
  <c r="Y78" i="3"/>
  <c r="AA78" i="3"/>
  <c r="AC78" i="3"/>
  <c r="AE78" i="3"/>
  <c r="B79" i="3"/>
  <c r="C79" i="3"/>
  <c r="E79" i="3"/>
  <c r="G79" i="3"/>
  <c r="I79" i="3"/>
  <c r="K79" i="3"/>
  <c r="M79" i="3"/>
  <c r="O79" i="3"/>
  <c r="Q79" i="3"/>
  <c r="S79" i="3"/>
  <c r="U79" i="3"/>
  <c r="W79" i="3"/>
  <c r="Y79" i="3"/>
  <c r="AA79" i="3"/>
  <c r="AC79" i="3"/>
  <c r="AE79" i="3"/>
  <c r="B80" i="3"/>
  <c r="C80" i="3"/>
  <c r="E80" i="3"/>
  <c r="G80" i="3"/>
  <c r="I80" i="3"/>
  <c r="K80" i="3"/>
  <c r="M80" i="3"/>
  <c r="O80" i="3"/>
  <c r="Q80" i="3"/>
  <c r="S80" i="3"/>
  <c r="U80" i="3"/>
  <c r="W80" i="3"/>
  <c r="Y80" i="3"/>
  <c r="AA80" i="3"/>
  <c r="AC80" i="3"/>
  <c r="AE80" i="3"/>
  <c r="B81" i="3"/>
  <c r="C81" i="3"/>
  <c r="E81" i="3"/>
  <c r="G81" i="3"/>
  <c r="I81" i="3"/>
  <c r="K81" i="3"/>
  <c r="M81" i="3"/>
  <c r="O81" i="3"/>
  <c r="Q81" i="3"/>
  <c r="S81" i="3"/>
  <c r="U81" i="3"/>
  <c r="W81" i="3"/>
  <c r="Y81" i="3"/>
  <c r="AA81" i="3"/>
  <c r="AC81" i="3"/>
  <c r="AE81" i="3"/>
  <c r="B82" i="3"/>
  <c r="C82" i="3"/>
  <c r="E82" i="3"/>
  <c r="G82" i="3"/>
  <c r="I82" i="3"/>
  <c r="K82" i="3"/>
  <c r="M82" i="3"/>
  <c r="O82" i="3"/>
  <c r="Q82" i="3"/>
  <c r="S82" i="3"/>
  <c r="U82" i="3"/>
  <c r="W82" i="3"/>
  <c r="Y82" i="3"/>
  <c r="AA82" i="3"/>
  <c r="AC82" i="3"/>
  <c r="AE82" i="3"/>
  <c r="B83" i="3"/>
  <c r="C83" i="3"/>
  <c r="E83" i="3"/>
  <c r="G83" i="3"/>
  <c r="I83" i="3"/>
  <c r="K83" i="3"/>
  <c r="M83" i="3"/>
  <c r="O83" i="3"/>
  <c r="Q83" i="3"/>
  <c r="S83" i="3"/>
  <c r="U83" i="3"/>
  <c r="W83" i="3"/>
  <c r="Y83" i="3"/>
  <c r="AA83" i="3"/>
  <c r="AC83" i="3"/>
  <c r="AE83" i="3"/>
  <c r="C84" i="3"/>
  <c r="E84" i="3"/>
  <c r="G84" i="3"/>
  <c r="I84" i="3"/>
  <c r="K84" i="3"/>
  <c r="M84" i="3"/>
  <c r="O84" i="3"/>
  <c r="Q84" i="3"/>
  <c r="S84" i="3"/>
  <c r="U84" i="3"/>
  <c r="W84" i="3"/>
  <c r="Y84" i="3"/>
  <c r="AA84" i="3"/>
  <c r="AC84" i="3"/>
  <c r="AD84" i="3"/>
  <c r="AE84" i="3"/>
  <c r="B86" i="3"/>
  <c r="C86" i="3"/>
  <c r="E86" i="3"/>
  <c r="G86" i="3"/>
  <c r="I86" i="3"/>
  <c r="K86" i="3"/>
  <c r="M86" i="3"/>
  <c r="O86" i="3"/>
  <c r="Q86" i="3"/>
  <c r="S86" i="3"/>
  <c r="U86" i="3"/>
  <c r="W86" i="3"/>
  <c r="Y86" i="3"/>
  <c r="AA86" i="3"/>
  <c r="AC86" i="3"/>
  <c r="AE86" i="3"/>
  <c r="AC87" i="3"/>
  <c r="AE87" i="3"/>
  <c r="C88" i="3"/>
  <c r="E88" i="3"/>
  <c r="G88" i="3"/>
  <c r="I88" i="3"/>
  <c r="K88" i="3"/>
  <c r="M88" i="3"/>
  <c r="O88" i="3"/>
  <c r="Q88" i="3"/>
  <c r="S88" i="3"/>
  <c r="U88" i="3"/>
  <c r="W88" i="3"/>
  <c r="Y88" i="3"/>
  <c r="AA88" i="3"/>
  <c r="AC88" i="3"/>
  <c r="AE88" i="3"/>
  <c r="C90" i="3"/>
  <c r="E90" i="3"/>
  <c r="G90" i="3"/>
  <c r="I90" i="3"/>
  <c r="K90" i="3"/>
  <c r="M90" i="3"/>
  <c r="O90" i="3"/>
  <c r="Q90" i="3"/>
  <c r="S90" i="3"/>
  <c r="U90" i="3"/>
  <c r="W90" i="3"/>
  <c r="Y90" i="3"/>
  <c r="AA90" i="3"/>
  <c r="AC90" i="3"/>
  <c r="AD90" i="3"/>
  <c r="AE90" i="3"/>
  <c r="B92" i="3"/>
  <c r="C92" i="3"/>
  <c r="E92" i="3"/>
  <c r="G92" i="3"/>
  <c r="I92" i="3"/>
  <c r="K92" i="3"/>
  <c r="M92" i="3"/>
  <c r="O92" i="3"/>
  <c r="Q92" i="3"/>
  <c r="S92" i="3"/>
  <c r="U92" i="3"/>
  <c r="W92" i="3"/>
  <c r="Y92" i="3"/>
  <c r="AA92" i="3"/>
  <c r="AC92" i="3"/>
  <c r="AE92" i="3"/>
  <c r="B94" i="3"/>
  <c r="C94" i="3"/>
  <c r="E94" i="3"/>
  <c r="G94" i="3"/>
  <c r="I94" i="3"/>
  <c r="K94" i="3"/>
  <c r="M94" i="3"/>
  <c r="O94" i="3"/>
  <c r="Q94" i="3"/>
  <c r="S94" i="3"/>
  <c r="U94" i="3"/>
  <c r="W94" i="3"/>
  <c r="Y94" i="3"/>
  <c r="AA94" i="3"/>
  <c r="AC94" i="3"/>
  <c r="AE94" i="3"/>
  <c r="B95" i="3"/>
  <c r="C95" i="3"/>
  <c r="E95" i="3"/>
  <c r="G95" i="3"/>
  <c r="I95" i="3"/>
  <c r="K95" i="3"/>
  <c r="M95" i="3"/>
  <c r="O95" i="3"/>
  <c r="Q95" i="3"/>
  <c r="S95" i="3"/>
  <c r="U95" i="3"/>
  <c r="W95" i="3"/>
  <c r="Y95" i="3"/>
  <c r="AA95" i="3"/>
  <c r="AC95" i="3"/>
  <c r="AE95" i="3"/>
  <c r="B96" i="3"/>
  <c r="C96" i="3"/>
  <c r="E96" i="3"/>
  <c r="G96" i="3"/>
  <c r="I96" i="3"/>
  <c r="K96" i="3"/>
  <c r="M96" i="3"/>
  <c r="O96" i="3"/>
  <c r="Q96" i="3"/>
  <c r="S96" i="3"/>
  <c r="U96" i="3"/>
  <c r="W96" i="3"/>
  <c r="Y96" i="3"/>
  <c r="AA96" i="3"/>
  <c r="AC96" i="3"/>
  <c r="AE96" i="3"/>
  <c r="B97" i="3"/>
  <c r="C97" i="3"/>
  <c r="E97" i="3"/>
  <c r="G97" i="3"/>
  <c r="I97" i="3"/>
  <c r="K97" i="3"/>
  <c r="M97" i="3"/>
  <c r="O97" i="3"/>
  <c r="Q97" i="3"/>
  <c r="S97" i="3"/>
  <c r="U97" i="3"/>
  <c r="W97" i="3"/>
  <c r="Y97" i="3"/>
  <c r="AA97" i="3"/>
  <c r="AC97" i="3"/>
  <c r="AE97" i="3"/>
  <c r="B98" i="3"/>
  <c r="C98" i="3"/>
  <c r="E98" i="3"/>
  <c r="G98" i="3"/>
  <c r="I98" i="3"/>
  <c r="K98" i="3"/>
  <c r="M98" i="3"/>
  <c r="O98" i="3"/>
  <c r="Q98" i="3"/>
  <c r="S98" i="3"/>
  <c r="U98" i="3"/>
  <c r="W98" i="3"/>
  <c r="Y98" i="3"/>
  <c r="AA98" i="3"/>
  <c r="AC98" i="3"/>
  <c r="AE98" i="3"/>
  <c r="B99" i="3"/>
  <c r="C99" i="3"/>
  <c r="E99" i="3"/>
  <c r="G99" i="3"/>
  <c r="I99" i="3"/>
  <c r="K99" i="3"/>
  <c r="M99" i="3"/>
  <c r="O99" i="3"/>
  <c r="Q99" i="3"/>
  <c r="S99" i="3"/>
  <c r="U99" i="3"/>
  <c r="W99" i="3"/>
  <c r="Y99" i="3"/>
  <c r="AA99" i="3"/>
  <c r="AC99" i="3"/>
  <c r="AE99" i="3"/>
  <c r="B100" i="3"/>
  <c r="C100" i="3"/>
  <c r="E100" i="3"/>
  <c r="G100" i="3"/>
  <c r="I100" i="3"/>
  <c r="K100" i="3"/>
  <c r="M100" i="3"/>
  <c r="O100" i="3"/>
  <c r="Q100" i="3"/>
  <c r="S100" i="3"/>
  <c r="U100" i="3"/>
  <c r="W100" i="3"/>
  <c r="Y100" i="3"/>
  <c r="AA100" i="3"/>
  <c r="AC100" i="3"/>
  <c r="AE100" i="3"/>
  <c r="B101" i="3"/>
  <c r="C101" i="3"/>
  <c r="E101" i="3"/>
  <c r="G101" i="3"/>
  <c r="I101" i="3"/>
  <c r="K101" i="3"/>
  <c r="M101" i="3"/>
  <c r="O101" i="3"/>
  <c r="Q101" i="3"/>
  <c r="S101" i="3"/>
  <c r="U101" i="3"/>
  <c r="W101" i="3"/>
  <c r="Y101" i="3"/>
  <c r="AA101" i="3"/>
  <c r="AC101" i="3"/>
  <c r="AE101" i="3"/>
  <c r="B102" i="3"/>
  <c r="C102" i="3"/>
  <c r="E102" i="3"/>
  <c r="G102" i="3"/>
  <c r="I102" i="3"/>
  <c r="K102" i="3"/>
  <c r="M102" i="3"/>
  <c r="O102" i="3"/>
  <c r="Q102" i="3"/>
  <c r="S102" i="3"/>
  <c r="U102" i="3"/>
  <c r="W102" i="3"/>
  <c r="Y102" i="3"/>
  <c r="AA102" i="3"/>
  <c r="AC102" i="3"/>
  <c r="AE102" i="3"/>
  <c r="B103" i="3"/>
  <c r="C103" i="3"/>
  <c r="E103" i="3"/>
  <c r="G103" i="3"/>
  <c r="I103" i="3"/>
  <c r="K103" i="3"/>
  <c r="M103" i="3"/>
  <c r="O103" i="3"/>
  <c r="Q103" i="3"/>
  <c r="S103" i="3"/>
  <c r="U103" i="3"/>
  <c r="W103" i="3"/>
  <c r="Y103" i="3"/>
  <c r="AA103" i="3"/>
  <c r="AC103" i="3"/>
  <c r="AE103" i="3"/>
  <c r="C104" i="3"/>
  <c r="E104" i="3"/>
  <c r="G104" i="3"/>
  <c r="I104" i="3"/>
  <c r="K104" i="3"/>
  <c r="M104" i="3"/>
  <c r="O104" i="3"/>
  <c r="Q104" i="3"/>
  <c r="S104" i="3"/>
  <c r="U104" i="3"/>
  <c r="W104" i="3"/>
  <c r="Y104" i="3"/>
  <c r="AA104" i="3"/>
  <c r="AC104" i="3"/>
  <c r="AE104" i="3"/>
  <c r="C105" i="3"/>
  <c r="E105" i="3"/>
  <c r="G105" i="3"/>
  <c r="I105" i="3"/>
  <c r="K105" i="3"/>
  <c r="M105" i="3"/>
  <c r="O105" i="3"/>
  <c r="Q105" i="3"/>
  <c r="S105" i="3"/>
  <c r="U105" i="3"/>
  <c r="W105" i="3"/>
  <c r="Y105" i="3"/>
  <c r="AA105" i="3"/>
  <c r="AC105" i="3"/>
  <c r="AE105" i="3"/>
  <c r="B107" i="3"/>
  <c r="C107" i="3"/>
  <c r="E107" i="3"/>
  <c r="G107" i="3"/>
  <c r="I107" i="3"/>
  <c r="K107" i="3"/>
  <c r="M107" i="3"/>
  <c r="O107" i="3"/>
  <c r="Q107" i="3"/>
  <c r="S107" i="3"/>
  <c r="U107" i="3"/>
  <c r="W107" i="3"/>
  <c r="Y107" i="3"/>
  <c r="AA107" i="3"/>
  <c r="AC107" i="3"/>
  <c r="AE107" i="3"/>
  <c r="B108" i="3"/>
  <c r="C108" i="3"/>
  <c r="E108" i="3"/>
  <c r="G108" i="3"/>
  <c r="I108" i="3"/>
  <c r="K108" i="3"/>
  <c r="M108" i="3"/>
  <c r="O108" i="3"/>
  <c r="Q108" i="3"/>
  <c r="S108" i="3"/>
  <c r="U108" i="3"/>
  <c r="W108" i="3"/>
  <c r="Y108" i="3"/>
  <c r="AA108" i="3"/>
  <c r="AC108" i="3"/>
  <c r="AE108" i="3"/>
  <c r="B109" i="3"/>
  <c r="C109" i="3"/>
  <c r="E109" i="3"/>
  <c r="G109" i="3"/>
  <c r="I109" i="3"/>
  <c r="K109" i="3"/>
  <c r="M109" i="3"/>
  <c r="O109" i="3"/>
  <c r="Q109" i="3"/>
  <c r="S109" i="3"/>
  <c r="U109" i="3"/>
  <c r="W109" i="3"/>
  <c r="Y109" i="3"/>
  <c r="AA109" i="3"/>
  <c r="AC109" i="3"/>
  <c r="AE109" i="3"/>
  <c r="B110" i="3"/>
  <c r="C110" i="3"/>
  <c r="E110" i="3"/>
  <c r="G110" i="3"/>
  <c r="I110" i="3"/>
  <c r="K110" i="3"/>
  <c r="M110" i="3"/>
  <c r="O110" i="3"/>
  <c r="Q110" i="3"/>
  <c r="S110" i="3"/>
  <c r="U110" i="3"/>
  <c r="W110" i="3"/>
  <c r="Y110" i="3"/>
  <c r="AA110" i="3"/>
  <c r="AC110" i="3"/>
  <c r="AE110" i="3"/>
  <c r="B111" i="3"/>
  <c r="C111" i="3"/>
  <c r="E111" i="3"/>
  <c r="G111" i="3"/>
  <c r="I111" i="3"/>
  <c r="K111" i="3"/>
  <c r="M111" i="3"/>
  <c r="O111" i="3"/>
  <c r="Q111" i="3"/>
  <c r="S111" i="3"/>
  <c r="U111" i="3"/>
  <c r="W111" i="3"/>
  <c r="Y111" i="3"/>
  <c r="AA111" i="3"/>
  <c r="AC111" i="3"/>
  <c r="AE111" i="3"/>
  <c r="C112" i="3"/>
  <c r="E112" i="3"/>
  <c r="G112" i="3"/>
  <c r="I112" i="3"/>
  <c r="K112" i="3"/>
  <c r="M112" i="3"/>
  <c r="O112" i="3"/>
  <c r="Q112" i="3"/>
  <c r="S112" i="3"/>
  <c r="U112" i="3"/>
  <c r="W112" i="3"/>
  <c r="Y112" i="3"/>
  <c r="AA112" i="3"/>
  <c r="AC112" i="3"/>
  <c r="AE112" i="3"/>
  <c r="C113" i="3"/>
  <c r="E113" i="3"/>
  <c r="G113" i="3"/>
  <c r="I113" i="3"/>
  <c r="K113" i="3"/>
  <c r="M113" i="3"/>
  <c r="O113" i="3"/>
  <c r="Q113" i="3"/>
  <c r="S113" i="3"/>
  <c r="U113" i="3"/>
  <c r="W113" i="3"/>
  <c r="Y113" i="3"/>
  <c r="AA113" i="3"/>
  <c r="AC113" i="3"/>
  <c r="AE113" i="3"/>
  <c r="C115" i="3"/>
  <c r="E115" i="3"/>
  <c r="G115" i="3"/>
  <c r="I115" i="3"/>
  <c r="K115" i="3"/>
  <c r="M115" i="3"/>
  <c r="O115" i="3"/>
  <c r="Q115" i="3"/>
  <c r="S115" i="3"/>
  <c r="U115" i="3"/>
  <c r="W115" i="3"/>
  <c r="Y115" i="3"/>
  <c r="AA115" i="3"/>
  <c r="AC115" i="3"/>
  <c r="AE115" i="3"/>
  <c r="B118" i="3"/>
  <c r="C118" i="3"/>
  <c r="E118" i="3"/>
  <c r="G118" i="3"/>
  <c r="I118" i="3"/>
  <c r="K118" i="3"/>
  <c r="M118" i="3"/>
  <c r="O118" i="3"/>
  <c r="Q118" i="3"/>
  <c r="S118" i="3"/>
  <c r="U118" i="3"/>
  <c r="W118" i="3"/>
  <c r="Y118" i="3"/>
  <c r="AA118" i="3"/>
  <c r="AC118" i="3"/>
  <c r="AE118" i="3"/>
  <c r="C119" i="3"/>
  <c r="E119" i="3"/>
  <c r="G119" i="3"/>
  <c r="I119" i="3"/>
  <c r="K119" i="3"/>
  <c r="M119" i="3"/>
  <c r="O119" i="3"/>
  <c r="Q119" i="3"/>
  <c r="S119" i="3"/>
  <c r="U119" i="3"/>
  <c r="W119" i="3"/>
  <c r="Y119" i="3"/>
  <c r="AA119" i="3"/>
  <c r="AC119" i="3"/>
  <c r="AE119" i="3"/>
  <c r="B120" i="3"/>
  <c r="C120" i="3"/>
  <c r="E120" i="3"/>
  <c r="G120" i="3"/>
  <c r="I120" i="3"/>
  <c r="K120" i="3"/>
  <c r="M120" i="3"/>
  <c r="O120" i="3"/>
  <c r="Q120" i="3"/>
  <c r="S120" i="3"/>
  <c r="U120" i="3"/>
  <c r="W120" i="3"/>
  <c r="Y120" i="3"/>
  <c r="AA120" i="3"/>
  <c r="AC120" i="3"/>
  <c r="AE120" i="3"/>
  <c r="B123" i="3"/>
  <c r="C123" i="3"/>
  <c r="E123" i="3"/>
  <c r="G123" i="3"/>
  <c r="I123" i="3"/>
  <c r="K123" i="3"/>
  <c r="M123" i="3"/>
  <c r="O123" i="3"/>
  <c r="Q123" i="3"/>
  <c r="S123" i="3"/>
  <c r="U123" i="3"/>
  <c r="W123" i="3"/>
  <c r="Y123" i="3"/>
  <c r="AA123" i="3"/>
  <c r="AC123" i="3"/>
  <c r="AE123" i="3"/>
  <c r="B124" i="3"/>
  <c r="C124" i="3"/>
  <c r="E124" i="3"/>
  <c r="G124" i="3"/>
  <c r="I124" i="3"/>
  <c r="K124" i="3"/>
  <c r="M124" i="3"/>
  <c r="O124" i="3"/>
  <c r="Q124" i="3"/>
  <c r="S124" i="3"/>
  <c r="U124" i="3"/>
  <c r="W124" i="3"/>
  <c r="Y124" i="3"/>
  <c r="AA124" i="3"/>
  <c r="AC124" i="3"/>
  <c r="AE124" i="3"/>
  <c r="B125" i="3"/>
  <c r="C125" i="3"/>
  <c r="E125" i="3"/>
  <c r="G125" i="3"/>
  <c r="I125" i="3"/>
  <c r="K125" i="3"/>
  <c r="M125" i="3"/>
  <c r="O125" i="3"/>
  <c r="Q125" i="3"/>
  <c r="S125" i="3"/>
  <c r="U125" i="3"/>
  <c r="W125" i="3"/>
  <c r="Y125" i="3"/>
  <c r="AA125" i="3"/>
  <c r="AC125" i="3"/>
  <c r="AE125" i="3"/>
  <c r="B126" i="3"/>
  <c r="C126" i="3"/>
  <c r="E126" i="3"/>
  <c r="G126" i="3"/>
  <c r="I126" i="3"/>
  <c r="K126" i="3"/>
  <c r="M126" i="3"/>
  <c r="O126" i="3"/>
  <c r="Q126" i="3"/>
  <c r="S126" i="3"/>
  <c r="U126" i="3"/>
  <c r="W126" i="3"/>
  <c r="Y126" i="3"/>
  <c r="AA126" i="3"/>
  <c r="AC126" i="3"/>
  <c r="AE126" i="3"/>
  <c r="C127" i="3"/>
  <c r="E127" i="3"/>
  <c r="G127" i="3"/>
  <c r="I127" i="3"/>
  <c r="K127" i="3"/>
  <c r="M127" i="3"/>
  <c r="O127" i="3"/>
  <c r="Q127" i="3"/>
  <c r="S127" i="3"/>
  <c r="U127" i="3"/>
  <c r="W127" i="3"/>
  <c r="Y127" i="3"/>
  <c r="AA127" i="3"/>
  <c r="AC127" i="3"/>
  <c r="AE127" i="3"/>
  <c r="B129" i="3"/>
  <c r="C129" i="3"/>
  <c r="E129" i="3"/>
  <c r="G129" i="3"/>
  <c r="I129" i="3"/>
  <c r="K129" i="3"/>
  <c r="M129" i="3"/>
  <c r="O129" i="3"/>
  <c r="Q129" i="3"/>
  <c r="S129" i="3"/>
  <c r="U129" i="3"/>
  <c r="W129" i="3"/>
  <c r="Y129" i="3"/>
  <c r="AA129" i="3"/>
  <c r="AC129" i="3"/>
  <c r="AE129" i="3"/>
  <c r="B130" i="3"/>
  <c r="C130" i="3"/>
  <c r="E130" i="3"/>
  <c r="G130" i="3"/>
  <c r="I130" i="3"/>
  <c r="K130" i="3"/>
  <c r="M130" i="3"/>
  <c r="O130" i="3"/>
  <c r="Q130" i="3"/>
  <c r="S130" i="3"/>
  <c r="U130" i="3"/>
  <c r="W130" i="3"/>
  <c r="Y130" i="3"/>
  <c r="AA130" i="3"/>
  <c r="AC130" i="3"/>
  <c r="AE130" i="3"/>
  <c r="C131" i="3"/>
  <c r="E131" i="3"/>
  <c r="G131" i="3"/>
  <c r="I131" i="3"/>
  <c r="K131" i="3"/>
  <c r="M131" i="3"/>
  <c r="O131" i="3"/>
  <c r="Q131" i="3"/>
  <c r="S131" i="3"/>
  <c r="U131" i="3"/>
  <c r="W131" i="3"/>
  <c r="Y131" i="3"/>
  <c r="AA131" i="3"/>
  <c r="AC131" i="3"/>
  <c r="AE131" i="3"/>
  <c r="B132" i="3"/>
  <c r="C132" i="3"/>
  <c r="E132" i="3"/>
  <c r="G132" i="3"/>
  <c r="I132" i="3"/>
  <c r="K132" i="3"/>
  <c r="M132" i="3"/>
  <c r="O132" i="3"/>
  <c r="Q132" i="3"/>
  <c r="S132" i="3"/>
  <c r="U132" i="3"/>
  <c r="W132" i="3"/>
  <c r="Y132" i="3"/>
  <c r="AA132" i="3"/>
  <c r="AC132" i="3"/>
  <c r="AE132" i="3"/>
  <c r="B133" i="3"/>
  <c r="C133" i="3"/>
  <c r="E133" i="3"/>
  <c r="G133" i="3"/>
  <c r="I133" i="3"/>
  <c r="K133" i="3"/>
  <c r="M133" i="3"/>
  <c r="O133" i="3"/>
  <c r="Q133" i="3"/>
  <c r="S133" i="3"/>
  <c r="U133" i="3"/>
  <c r="W133" i="3"/>
  <c r="Y133" i="3"/>
  <c r="AA133" i="3"/>
  <c r="AC133" i="3"/>
  <c r="AE133" i="3"/>
  <c r="B134" i="3"/>
  <c r="C134" i="3"/>
  <c r="E134" i="3"/>
  <c r="G134" i="3"/>
  <c r="I134" i="3"/>
  <c r="K134" i="3"/>
  <c r="M134" i="3"/>
  <c r="O134" i="3"/>
  <c r="Q134" i="3"/>
  <c r="S134" i="3"/>
  <c r="U134" i="3"/>
  <c r="W134" i="3"/>
  <c r="Y134" i="3"/>
  <c r="AA134" i="3"/>
  <c r="AC134" i="3"/>
  <c r="AE134" i="3"/>
  <c r="C135" i="3"/>
  <c r="E135" i="3"/>
  <c r="G135" i="3"/>
  <c r="I135" i="3"/>
  <c r="K135" i="3"/>
  <c r="M135" i="3"/>
  <c r="O135" i="3"/>
  <c r="Q135" i="3"/>
  <c r="S135" i="3"/>
  <c r="U135" i="3"/>
  <c r="W135" i="3"/>
  <c r="Y135" i="3"/>
  <c r="AA135" i="3"/>
  <c r="AC135" i="3"/>
  <c r="AD135" i="3"/>
  <c r="AE135" i="3"/>
  <c r="B137" i="3"/>
  <c r="C137" i="3"/>
  <c r="E137" i="3"/>
  <c r="G137" i="3"/>
  <c r="I137" i="3"/>
  <c r="K137" i="3"/>
  <c r="M137" i="3"/>
  <c r="O137" i="3"/>
  <c r="Q137" i="3"/>
  <c r="S137" i="3"/>
  <c r="U137" i="3"/>
  <c r="W137" i="3"/>
  <c r="Y137" i="3"/>
  <c r="AA137" i="3"/>
  <c r="AC137" i="3"/>
  <c r="AE137" i="3"/>
  <c r="B138" i="3"/>
  <c r="C138" i="3"/>
  <c r="E138" i="3"/>
  <c r="G138" i="3"/>
  <c r="I138" i="3"/>
  <c r="K138" i="3"/>
  <c r="M138" i="3"/>
  <c r="O138" i="3"/>
  <c r="Q138" i="3"/>
  <c r="S138" i="3"/>
  <c r="U138" i="3"/>
  <c r="W138" i="3"/>
  <c r="Y138" i="3"/>
  <c r="AA138" i="3"/>
  <c r="AC138" i="3"/>
  <c r="AE138" i="3"/>
  <c r="B139" i="3"/>
  <c r="C139" i="3"/>
  <c r="E139" i="3"/>
  <c r="G139" i="3"/>
  <c r="I139" i="3"/>
  <c r="K139" i="3"/>
  <c r="M139" i="3"/>
  <c r="O139" i="3"/>
  <c r="Q139" i="3"/>
  <c r="S139" i="3"/>
  <c r="U139" i="3"/>
  <c r="W139" i="3"/>
  <c r="Y139" i="3"/>
  <c r="AA139" i="3"/>
  <c r="AC139" i="3"/>
  <c r="AE139" i="3"/>
  <c r="B140" i="3"/>
  <c r="C140" i="3"/>
  <c r="E140" i="3"/>
  <c r="G140" i="3"/>
  <c r="I140" i="3"/>
  <c r="K140" i="3"/>
  <c r="M140" i="3"/>
  <c r="O140" i="3"/>
  <c r="Q140" i="3"/>
  <c r="S140" i="3"/>
  <c r="U140" i="3"/>
  <c r="W140" i="3"/>
  <c r="Y140" i="3"/>
  <c r="AA140" i="3"/>
  <c r="AC140" i="3"/>
  <c r="AE140" i="3"/>
  <c r="C141" i="3"/>
  <c r="E141" i="3"/>
  <c r="G141" i="3"/>
  <c r="I141" i="3"/>
  <c r="K141" i="3"/>
  <c r="M141" i="3"/>
  <c r="O141" i="3"/>
  <c r="Q141" i="3"/>
  <c r="S141" i="3"/>
  <c r="U141" i="3"/>
  <c r="W141" i="3"/>
  <c r="Y141" i="3"/>
  <c r="AA141" i="3"/>
  <c r="AC141" i="3"/>
  <c r="AE141" i="3"/>
  <c r="B143" i="3"/>
  <c r="C143" i="3"/>
  <c r="E143" i="3"/>
  <c r="G143" i="3"/>
  <c r="I143" i="3"/>
  <c r="K143" i="3"/>
  <c r="M143" i="3"/>
  <c r="O143" i="3"/>
  <c r="Q143" i="3"/>
  <c r="S143" i="3"/>
  <c r="U143" i="3"/>
  <c r="W143" i="3"/>
  <c r="Y143" i="3"/>
  <c r="AA143" i="3"/>
  <c r="AC143" i="3"/>
  <c r="AE143" i="3"/>
  <c r="B144" i="3"/>
  <c r="C144" i="3"/>
  <c r="E144" i="3"/>
  <c r="G144" i="3"/>
  <c r="I144" i="3"/>
  <c r="K144" i="3"/>
  <c r="M144" i="3"/>
  <c r="O144" i="3"/>
  <c r="Q144" i="3"/>
  <c r="S144" i="3"/>
  <c r="U144" i="3"/>
  <c r="W144" i="3"/>
  <c r="Y144" i="3"/>
  <c r="AA144" i="3"/>
  <c r="AC144" i="3"/>
  <c r="AE144" i="3"/>
  <c r="B145" i="3"/>
  <c r="C145" i="3"/>
  <c r="E145" i="3"/>
  <c r="G145" i="3"/>
  <c r="I145" i="3"/>
  <c r="K145" i="3"/>
  <c r="M145" i="3"/>
  <c r="O145" i="3"/>
  <c r="Q145" i="3"/>
  <c r="S145" i="3"/>
  <c r="U145" i="3"/>
  <c r="W145" i="3"/>
  <c r="Y145" i="3"/>
  <c r="AA145" i="3"/>
  <c r="AC145" i="3"/>
  <c r="AE145" i="3"/>
  <c r="C146" i="3"/>
  <c r="E146" i="3"/>
  <c r="G146" i="3"/>
  <c r="I146" i="3"/>
  <c r="K146" i="3"/>
  <c r="M146" i="3"/>
  <c r="O146" i="3"/>
  <c r="Q146" i="3"/>
  <c r="S146" i="3"/>
  <c r="U146" i="3"/>
  <c r="W146" i="3"/>
  <c r="Y146" i="3"/>
  <c r="AA146" i="3"/>
  <c r="AC146" i="3"/>
  <c r="AE146" i="3"/>
  <c r="B148" i="3"/>
  <c r="C148" i="3"/>
  <c r="E148" i="3"/>
  <c r="G148" i="3"/>
  <c r="I148" i="3"/>
  <c r="K148" i="3"/>
  <c r="M148" i="3"/>
  <c r="O148" i="3"/>
  <c r="Q148" i="3"/>
  <c r="S148" i="3"/>
  <c r="U148" i="3"/>
  <c r="W148" i="3"/>
  <c r="Y148" i="3"/>
  <c r="AA148" i="3"/>
  <c r="AC148" i="3"/>
  <c r="AE148" i="3"/>
  <c r="B149" i="3"/>
  <c r="C149" i="3"/>
  <c r="E149" i="3"/>
  <c r="G149" i="3"/>
  <c r="I149" i="3"/>
  <c r="K149" i="3"/>
  <c r="M149" i="3"/>
  <c r="O149" i="3"/>
  <c r="Q149" i="3"/>
  <c r="S149" i="3"/>
  <c r="U149" i="3"/>
  <c r="W149" i="3"/>
  <c r="Y149" i="3"/>
  <c r="AA149" i="3"/>
  <c r="AC149" i="3"/>
  <c r="AE149" i="3"/>
  <c r="C150" i="3"/>
  <c r="E150" i="3"/>
  <c r="G150" i="3"/>
  <c r="I150" i="3"/>
  <c r="K150" i="3"/>
  <c r="M150" i="3"/>
  <c r="O150" i="3"/>
  <c r="Q150" i="3"/>
  <c r="S150" i="3"/>
  <c r="U150" i="3"/>
  <c r="W150" i="3"/>
  <c r="Y150" i="3"/>
  <c r="AA150" i="3"/>
  <c r="AC150" i="3"/>
  <c r="AE150" i="3"/>
  <c r="B152" i="3"/>
  <c r="C152" i="3"/>
  <c r="E152" i="3"/>
  <c r="G152" i="3"/>
  <c r="I152" i="3"/>
  <c r="K152" i="3"/>
  <c r="M152" i="3"/>
  <c r="O152" i="3"/>
  <c r="Q152" i="3"/>
  <c r="S152" i="3"/>
  <c r="U152" i="3"/>
  <c r="W152" i="3"/>
  <c r="Y152" i="3"/>
  <c r="AA152" i="3"/>
  <c r="AC152" i="3"/>
  <c r="AE152" i="3"/>
  <c r="B153" i="3"/>
  <c r="C153" i="3"/>
  <c r="E153" i="3"/>
  <c r="G153" i="3"/>
  <c r="I153" i="3"/>
  <c r="K153" i="3"/>
  <c r="M153" i="3"/>
  <c r="O153" i="3"/>
  <c r="Q153" i="3"/>
  <c r="S153" i="3"/>
  <c r="U153" i="3"/>
  <c r="W153" i="3"/>
  <c r="Y153" i="3"/>
  <c r="AA153" i="3"/>
  <c r="AC153" i="3"/>
  <c r="AE153" i="3"/>
  <c r="C154" i="3"/>
  <c r="E154" i="3"/>
  <c r="G154" i="3"/>
  <c r="I154" i="3"/>
  <c r="K154" i="3"/>
  <c r="M154" i="3"/>
  <c r="O154" i="3"/>
  <c r="Q154" i="3"/>
  <c r="S154" i="3"/>
  <c r="U154" i="3"/>
  <c r="W154" i="3"/>
  <c r="Y154" i="3"/>
  <c r="AA154" i="3"/>
  <c r="AC154" i="3"/>
  <c r="AE154" i="3"/>
  <c r="B156" i="3"/>
  <c r="C156" i="3"/>
  <c r="E156" i="3"/>
  <c r="G156" i="3"/>
  <c r="I156" i="3"/>
  <c r="K156" i="3"/>
  <c r="M156" i="3"/>
  <c r="O156" i="3"/>
  <c r="Q156" i="3"/>
  <c r="S156" i="3"/>
  <c r="U156" i="3"/>
  <c r="W156" i="3"/>
  <c r="Y156" i="3"/>
  <c r="AA156" i="3"/>
  <c r="AC156" i="3"/>
  <c r="AE156" i="3"/>
  <c r="B157" i="3"/>
  <c r="C157" i="3"/>
  <c r="E157" i="3"/>
  <c r="G157" i="3"/>
  <c r="I157" i="3"/>
  <c r="K157" i="3"/>
  <c r="M157" i="3"/>
  <c r="O157" i="3"/>
  <c r="Q157" i="3"/>
  <c r="S157" i="3"/>
  <c r="U157" i="3"/>
  <c r="W157" i="3"/>
  <c r="Y157" i="3"/>
  <c r="AA157" i="3"/>
  <c r="AC157" i="3"/>
  <c r="AE157" i="3"/>
  <c r="B158" i="3"/>
  <c r="C158" i="3"/>
  <c r="E158" i="3"/>
  <c r="G158" i="3"/>
  <c r="I158" i="3"/>
  <c r="K158" i="3"/>
  <c r="M158" i="3"/>
  <c r="O158" i="3"/>
  <c r="Q158" i="3"/>
  <c r="S158" i="3"/>
  <c r="U158" i="3"/>
  <c r="W158" i="3"/>
  <c r="Y158" i="3"/>
  <c r="AA158" i="3"/>
  <c r="AC158" i="3"/>
  <c r="AE158" i="3"/>
  <c r="B159" i="3"/>
  <c r="C159" i="3"/>
  <c r="E159" i="3"/>
  <c r="G159" i="3"/>
  <c r="I159" i="3"/>
  <c r="K159" i="3"/>
  <c r="M159" i="3"/>
  <c r="O159" i="3"/>
  <c r="Q159" i="3"/>
  <c r="S159" i="3"/>
  <c r="U159" i="3"/>
  <c r="W159" i="3"/>
  <c r="Y159" i="3"/>
  <c r="AA159" i="3"/>
  <c r="AC159" i="3"/>
  <c r="AE159" i="3"/>
  <c r="B160" i="3"/>
  <c r="C160" i="3"/>
  <c r="E160" i="3"/>
  <c r="G160" i="3"/>
  <c r="I160" i="3"/>
  <c r="K160" i="3"/>
  <c r="M160" i="3"/>
  <c r="O160" i="3"/>
  <c r="Q160" i="3"/>
  <c r="S160" i="3"/>
  <c r="U160" i="3"/>
  <c r="W160" i="3"/>
  <c r="Y160" i="3"/>
  <c r="AA160" i="3"/>
  <c r="AC160" i="3"/>
  <c r="AE160" i="3"/>
  <c r="B161" i="3"/>
  <c r="C161" i="3"/>
  <c r="E161" i="3"/>
  <c r="G161" i="3"/>
  <c r="I161" i="3"/>
  <c r="K161" i="3"/>
  <c r="M161" i="3"/>
  <c r="O161" i="3"/>
  <c r="Q161" i="3"/>
  <c r="S161" i="3"/>
  <c r="U161" i="3"/>
  <c r="W161" i="3"/>
  <c r="Y161" i="3"/>
  <c r="AA161" i="3"/>
  <c r="AC161" i="3"/>
  <c r="AE161" i="3"/>
  <c r="C162" i="3"/>
  <c r="E162" i="3"/>
  <c r="G162" i="3"/>
  <c r="I162" i="3"/>
  <c r="K162" i="3"/>
  <c r="M162" i="3"/>
  <c r="O162" i="3"/>
  <c r="Q162" i="3"/>
  <c r="S162" i="3"/>
  <c r="U162" i="3"/>
  <c r="W162" i="3"/>
  <c r="Y162" i="3"/>
  <c r="AA162" i="3"/>
  <c r="AC162" i="3"/>
  <c r="AE162" i="3"/>
  <c r="B164" i="3"/>
  <c r="C164" i="3"/>
  <c r="E164" i="3"/>
  <c r="G164" i="3"/>
  <c r="I164" i="3"/>
  <c r="K164" i="3"/>
  <c r="M164" i="3"/>
  <c r="O164" i="3"/>
  <c r="Q164" i="3"/>
  <c r="S164" i="3"/>
  <c r="U164" i="3"/>
  <c r="W164" i="3"/>
  <c r="Y164" i="3"/>
  <c r="AA164" i="3"/>
  <c r="AC164" i="3"/>
  <c r="AE164" i="3"/>
  <c r="B165" i="3"/>
  <c r="C165" i="3"/>
  <c r="E165" i="3"/>
  <c r="G165" i="3"/>
  <c r="I165" i="3"/>
  <c r="K165" i="3"/>
  <c r="M165" i="3"/>
  <c r="O165" i="3"/>
  <c r="Q165" i="3"/>
  <c r="S165" i="3"/>
  <c r="U165" i="3"/>
  <c r="W165" i="3"/>
  <c r="Y165" i="3"/>
  <c r="AA165" i="3"/>
  <c r="AC165" i="3"/>
  <c r="AE165" i="3"/>
  <c r="C166" i="3"/>
  <c r="E166" i="3"/>
  <c r="G166" i="3"/>
  <c r="I166" i="3"/>
  <c r="K166" i="3"/>
  <c r="M166" i="3"/>
  <c r="O166" i="3"/>
  <c r="Q166" i="3"/>
  <c r="S166" i="3"/>
  <c r="U166" i="3"/>
  <c r="W166" i="3"/>
  <c r="Y166" i="3"/>
  <c r="AA166" i="3"/>
  <c r="AC166" i="3"/>
  <c r="AE166" i="3"/>
  <c r="B168" i="3"/>
  <c r="C168" i="3"/>
  <c r="E168" i="3"/>
  <c r="G168" i="3"/>
  <c r="I168" i="3"/>
  <c r="K168" i="3"/>
  <c r="M168" i="3"/>
  <c r="O168" i="3"/>
  <c r="Q168" i="3"/>
  <c r="S168" i="3"/>
  <c r="U168" i="3"/>
  <c r="W168" i="3"/>
  <c r="Y168" i="3"/>
  <c r="AA168" i="3"/>
  <c r="AC168" i="3"/>
  <c r="AE168" i="3"/>
  <c r="B169" i="3"/>
  <c r="C169" i="3"/>
  <c r="E169" i="3"/>
  <c r="G169" i="3"/>
  <c r="I169" i="3"/>
  <c r="K169" i="3"/>
  <c r="M169" i="3"/>
  <c r="O169" i="3"/>
  <c r="Q169" i="3"/>
  <c r="S169" i="3"/>
  <c r="U169" i="3"/>
  <c r="W169" i="3"/>
  <c r="Y169" i="3"/>
  <c r="AA169" i="3"/>
  <c r="AC169" i="3"/>
  <c r="AE169" i="3"/>
  <c r="C170" i="3"/>
  <c r="E170" i="3"/>
  <c r="G170" i="3"/>
  <c r="I170" i="3"/>
  <c r="K170" i="3"/>
  <c r="M170" i="3"/>
  <c r="O170" i="3"/>
  <c r="Q170" i="3"/>
  <c r="S170" i="3"/>
  <c r="U170" i="3"/>
  <c r="W170" i="3"/>
  <c r="Y170" i="3"/>
  <c r="AA170" i="3"/>
  <c r="AC170" i="3"/>
  <c r="AE170" i="3"/>
  <c r="B172" i="3"/>
  <c r="C172" i="3"/>
  <c r="E172" i="3"/>
  <c r="G172" i="3"/>
  <c r="I172" i="3"/>
  <c r="K172" i="3"/>
  <c r="M172" i="3"/>
  <c r="O172" i="3"/>
  <c r="Q172" i="3"/>
  <c r="S172" i="3"/>
  <c r="U172" i="3"/>
  <c r="W172" i="3"/>
  <c r="Y172" i="3"/>
  <c r="AA172" i="3"/>
  <c r="AC172" i="3"/>
  <c r="AE172" i="3"/>
  <c r="B173" i="3"/>
  <c r="C173" i="3"/>
  <c r="E173" i="3"/>
  <c r="G173" i="3"/>
  <c r="I173" i="3"/>
  <c r="K173" i="3"/>
  <c r="M173" i="3"/>
  <c r="O173" i="3"/>
  <c r="Q173" i="3"/>
  <c r="S173" i="3"/>
  <c r="U173" i="3"/>
  <c r="W173" i="3"/>
  <c r="Y173" i="3"/>
  <c r="AA173" i="3"/>
  <c r="AC173" i="3"/>
  <c r="AE173" i="3"/>
  <c r="B174" i="3"/>
  <c r="C174" i="3"/>
  <c r="E174" i="3"/>
  <c r="G174" i="3"/>
  <c r="I174" i="3"/>
  <c r="K174" i="3"/>
  <c r="M174" i="3"/>
  <c r="O174" i="3"/>
  <c r="Q174" i="3"/>
  <c r="S174" i="3"/>
  <c r="U174" i="3"/>
  <c r="W174" i="3"/>
  <c r="Y174" i="3"/>
  <c r="AA174" i="3"/>
  <c r="AC174" i="3"/>
  <c r="AE174" i="3"/>
  <c r="C175" i="3"/>
  <c r="E175" i="3"/>
  <c r="G175" i="3"/>
  <c r="I175" i="3"/>
  <c r="K175" i="3"/>
  <c r="M175" i="3"/>
  <c r="O175" i="3"/>
  <c r="Q175" i="3"/>
  <c r="S175" i="3"/>
  <c r="U175" i="3"/>
  <c r="W175" i="3"/>
  <c r="Y175" i="3"/>
  <c r="AA175" i="3"/>
  <c r="AC175" i="3"/>
  <c r="AE175" i="3"/>
  <c r="B177" i="3"/>
  <c r="C177" i="3"/>
  <c r="E177" i="3"/>
  <c r="G177" i="3"/>
  <c r="I177" i="3"/>
  <c r="K177" i="3"/>
  <c r="M177" i="3"/>
  <c r="O177" i="3"/>
  <c r="Q177" i="3"/>
  <c r="S177" i="3"/>
  <c r="U177" i="3"/>
  <c r="W177" i="3"/>
  <c r="Y177" i="3"/>
  <c r="AA177" i="3"/>
  <c r="AC177" i="3"/>
  <c r="AE177" i="3"/>
  <c r="B178" i="3"/>
  <c r="C178" i="3"/>
  <c r="E178" i="3"/>
  <c r="G178" i="3"/>
  <c r="I178" i="3"/>
  <c r="K178" i="3"/>
  <c r="M178" i="3"/>
  <c r="O178" i="3"/>
  <c r="Q178" i="3"/>
  <c r="S178" i="3"/>
  <c r="U178" i="3"/>
  <c r="W178" i="3"/>
  <c r="Y178" i="3"/>
  <c r="AA178" i="3"/>
  <c r="AC178" i="3"/>
  <c r="AE178" i="3"/>
  <c r="C179" i="3"/>
  <c r="E179" i="3"/>
  <c r="G179" i="3"/>
  <c r="I179" i="3"/>
  <c r="K179" i="3"/>
  <c r="M179" i="3"/>
  <c r="O179" i="3"/>
  <c r="Q179" i="3"/>
  <c r="S179" i="3"/>
  <c r="U179" i="3"/>
  <c r="W179" i="3"/>
  <c r="Y179" i="3"/>
  <c r="AA179" i="3"/>
  <c r="AC179" i="3"/>
  <c r="AE179" i="3"/>
  <c r="B181" i="3"/>
  <c r="C181" i="3"/>
  <c r="E181" i="3"/>
  <c r="G181" i="3"/>
  <c r="I181" i="3"/>
  <c r="K181" i="3"/>
  <c r="M181" i="3"/>
  <c r="O181" i="3"/>
  <c r="Q181" i="3"/>
  <c r="S181" i="3"/>
  <c r="U181" i="3"/>
  <c r="W181" i="3"/>
  <c r="Y181" i="3"/>
  <c r="AA181" i="3"/>
  <c r="AC181" i="3"/>
  <c r="AE181" i="3"/>
  <c r="B182" i="3"/>
  <c r="C182" i="3"/>
  <c r="E182" i="3"/>
  <c r="G182" i="3"/>
  <c r="I182" i="3"/>
  <c r="K182" i="3"/>
  <c r="M182" i="3"/>
  <c r="O182" i="3"/>
  <c r="Q182" i="3"/>
  <c r="S182" i="3"/>
  <c r="U182" i="3"/>
  <c r="W182" i="3"/>
  <c r="Y182" i="3"/>
  <c r="AA182" i="3"/>
  <c r="AC182" i="3"/>
  <c r="AE182" i="3"/>
  <c r="B183" i="3"/>
  <c r="C183" i="3"/>
  <c r="E183" i="3"/>
  <c r="G183" i="3"/>
  <c r="I183" i="3"/>
  <c r="K183" i="3"/>
  <c r="M183" i="3"/>
  <c r="O183" i="3"/>
  <c r="Q183" i="3"/>
  <c r="S183" i="3"/>
  <c r="U183" i="3"/>
  <c r="W183" i="3"/>
  <c r="Y183" i="3"/>
  <c r="AA183" i="3"/>
  <c r="AC183" i="3"/>
  <c r="AE183" i="3"/>
  <c r="C184" i="3"/>
  <c r="E184" i="3"/>
  <c r="G184" i="3"/>
  <c r="I184" i="3"/>
  <c r="K184" i="3"/>
  <c r="M184" i="3"/>
  <c r="O184" i="3"/>
  <c r="Q184" i="3"/>
  <c r="S184" i="3"/>
  <c r="U184" i="3"/>
  <c r="W184" i="3"/>
  <c r="Y184" i="3"/>
  <c r="AA184" i="3"/>
  <c r="AC184" i="3"/>
  <c r="AE184" i="3"/>
  <c r="B186" i="3"/>
  <c r="C186" i="3"/>
  <c r="E186" i="3"/>
  <c r="G186" i="3"/>
  <c r="I186" i="3"/>
  <c r="K186" i="3"/>
  <c r="M186" i="3"/>
  <c r="O186" i="3"/>
  <c r="Q186" i="3"/>
  <c r="S186" i="3"/>
  <c r="U186" i="3"/>
  <c r="W186" i="3"/>
  <c r="Y186" i="3"/>
  <c r="AA186" i="3"/>
  <c r="AC186" i="3"/>
  <c r="AE186" i="3"/>
  <c r="B187" i="3"/>
  <c r="C187" i="3"/>
  <c r="E187" i="3"/>
  <c r="G187" i="3"/>
  <c r="I187" i="3"/>
  <c r="K187" i="3"/>
  <c r="M187" i="3"/>
  <c r="O187" i="3"/>
  <c r="Q187" i="3"/>
  <c r="S187" i="3"/>
  <c r="U187" i="3"/>
  <c r="W187" i="3"/>
  <c r="Y187" i="3"/>
  <c r="AA187" i="3"/>
  <c r="AC187" i="3"/>
  <c r="AE187" i="3"/>
  <c r="B188" i="3"/>
  <c r="C188" i="3"/>
  <c r="E188" i="3"/>
  <c r="G188" i="3"/>
  <c r="I188" i="3"/>
  <c r="K188" i="3"/>
  <c r="M188" i="3"/>
  <c r="O188" i="3"/>
  <c r="Q188" i="3"/>
  <c r="S188" i="3"/>
  <c r="U188" i="3"/>
  <c r="W188" i="3"/>
  <c r="Y188" i="3"/>
  <c r="AA188" i="3"/>
  <c r="AC188" i="3"/>
  <c r="AE188" i="3"/>
  <c r="C189" i="3"/>
  <c r="E189" i="3"/>
  <c r="G189" i="3"/>
  <c r="I189" i="3"/>
  <c r="K189" i="3"/>
  <c r="M189" i="3"/>
  <c r="O189" i="3"/>
  <c r="Q189" i="3"/>
  <c r="S189" i="3"/>
  <c r="U189" i="3"/>
  <c r="W189" i="3"/>
  <c r="Y189" i="3"/>
  <c r="AA189" i="3"/>
  <c r="AC189" i="3"/>
  <c r="AE189" i="3"/>
  <c r="B191" i="3"/>
  <c r="C191" i="3"/>
  <c r="E191" i="3"/>
  <c r="G191" i="3"/>
  <c r="I191" i="3"/>
  <c r="K191" i="3"/>
  <c r="M191" i="3"/>
  <c r="O191" i="3"/>
  <c r="Q191" i="3"/>
  <c r="S191" i="3"/>
  <c r="U191" i="3"/>
  <c r="W191" i="3"/>
  <c r="Y191" i="3"/>
  <c r="AA191" i="3"/>
  <c r="AC191" i="3"/>
  <c r="AE191" i="3"/>
  <c r="B192" i="3"/>
  <c r="C192" i="3"/>
  <c r="E192" i="3"/>
  <c r="G192" i="3"/>
  <c r="I192" i="3"/>
  <c r="K192" i="3"/>
  <c r="M192" i="3"/>
  <c r="O192" i="3"/>
  <c r="Q192" i="3"/>
  <c r="S192" i="3"/>
  <c r="U192" i="3"/>
  <c r="W192" i="3"/>
  <c r="Y192" i="3"/>
  <c r="AA192" i="3"/>
  <c r="AC192" i="3"/>
  <c r="AE192" i="3"/>
  <c r="C193" i="3"/>
  <c r="E193" i="3"/>
  <c r="G193" i="3"/>
  <c r="I193" i="3"/>
  <c r="K193" i="3"/>
  <c r="M193" i="3"/>
  <c r="O193" i="3"/>
  <c r="Q193" i="3"/>
  <c r="S193" i="3"/>
  <c r="U193" i="3"/>
  <c r="W193" i="3"/>
  <c r="Y193" i="3"/>
  <c r="AA193" i="3"/>
  <c r="AC193" i="3"/>
  <c r="AE193" i="3"/>
  <c r="B195" i="3"/>
  <c r="C195" i="3"/>
  <c r="E195" i="3"/>
  <c r="G195" i="3"/>
  <c r="I195" i="3"/>
  <c r="K195" i="3"/>
  <c r="M195" i="3"/>
  <c r="O195" i="3"/>
  <c r="Q195" i="3"/>
  <c r="S195" i="3"/>
  <c r="U195" i="3"/>
  <c r="W195" i="3"/>
  <c r="Y195" i="3"/>
  <c r="AA195" i="3"/>
  <c r="AC195" i="3"/>
  <c r="AE195" i="3"/>
  <c r="C196" i="3"/>
  <c r="E196" i="3"/>
  <c r="G196" i="3"/>
  <c r="I196" i="3"/>
  <c r="K196" i="3"/>
  <c r="M196" i="3"/>
  <c r="O196" i="3"/>
  <c r="Q196" i="3"/>
  <c r="S196" i="3"/>
  <c r="U196" i="3"/>
  <c r="W196" i="3"/>
  <c r="Y196" i="3"/>
  <c r="AA196" i="3"/>
  <c r="AC196" i="3"/>
  <c r="AE196" i="3"/>
  <c r="C198" i="3"/>
  <c r="E198" i="3"/>
  <c r="G198" i="3"/>
  <c r="I198" i="3"/>
  <c r="K198" i="3"/>
  <c r="M198" i="3"/>
  <c r="O198" i="3"/>
  <c r="Q198" i="3"/>
  <c r="S198" i="3"/>
  <c r="U198" i="3"/>
  <c r="W198" i="3"/>
  <c r="Y198" i="3"/>
  <c r="AA198" i="3"/>
  <c r="AC198" i="3"/>
  <c r="AE198" i="3"/>
  <c r="C199" i="3"/>
  <c r="E199" i="3"/>
  <c r="G199" i="3"/>
  <c r="I199" i="3"/>
  <c r="K199" i="3"/>
  <c r="M199" i="3"/>
  <c r="O199" i="3"/>
  <c r="Q199" i="3"/>
  <c r="S199" i="3"/>
  <c r="U199" i="3"/>
  <c r="W199" i="3"/>
  <c r="Y199" i="3"/>
  <c r="AA199" i="3"/>
  <c r="AC199" i="3"/>
  <c r="AE199" i="3"/>
  <c r="C200" i="3"/>
  <c r="E200" i="3"/>
  <c r="G200" i="3"/>
  <c r="I200" i="3"/>
  <c r="K200" i="3"/>
  <c r="M200" i="3"/>
  <c r="O200" i="3"/>
  <c r="Q200" i="3"/>
  <c r="S200" i="3"/>
  <c r="U200" i="3"/>
  <c r="W200" i="3"/>
  <c r="Y200" i="3"/>
  <c r="AA200" i="3"/>
  <c r="AC200" i="3"/>
  <c r="AE200" i="3"/>
  <c r="B204" i="3"/>
  <c r="C204" i="3"/>
  <c r="E204" i="3"/>
  <c r="G204" i="3"/>
  <c r="I204" i="3"/>
  <c r="K204" i="3"/>
  <c r="M204" i="3"/>
  <c r="O204" i="3"/>
  <c r="Q204" i="3"/>
  <c r="S204" i="3"/>
  <c r="U204" i="3"/>
  <c r="W204" i="3"/>
  <c r="Y204" i="3"/>
  <c r="AA204" i="3"/>
  <c r="AC204" i="3"/>
  <c r="AE204" i="3"/>
  <c r="B205" i="3"/>
  <c r="C205" i="3"/>
  <c r="E205" i="3"/>
  <c r="G205" i="3"/>
  <c r="I205" i="3"/>
  <c r="K205" i="3"/>
  <c r="M205" i="3"/>
  <c r="O205" i="3"/>
  <c r="Q205" i="3"/>
  <c r="S205" i="3"/>
  <c r="U205" i="3"/>
  <c r="W205" i="3"/>
  <c r="Y205" i="3"/>
  <c r="AA205" i="3"/>
  <c r="AC205" i="3"/>
  <c r="AE205" i="3"/>
  <c r="B206" i="3"/>
  <c r="C206" i="3"/>
  <c r="E206" i="3"/>
  <c r="G206" i="3"/>
  <c r="I206" i="3"/>
  <c r="K206" i="3"/>
  <c r="M206" i="3"/>
  <c r="O206" i="3"/>
  <c r="Q206" i="3"/>
  <c r="S206" i="3"/>
  <c r="U206" i="3"/>
  <c r="W206" i="3"/>
  <c r="Y206" i="3"/>
  <c r="AA206" i="3"/>
  <c r="AC206" i="3"/>
  <c r="AE206" i="3"/>
  <c r="B207" i="3"/>
  <c r="C207" i="3"/>
  <c r="E207" i="3"/>
  <c r="G207" i="3"/>
  <c r="I207" i="3"/>
  <c r="K207" i="3"/>
  <c r="M207" i="3"/>
  <c r="O207" i="3"/>
  <c r="Q207" i="3"/>
  <c r="S207" i="3"/>
  <c r="U207" i="3"/>
  <c r="W207" i="3"/>
  <c r="Y207" i="3"/>
  <c r="AA207" i="3"/>
  <c r="AC207" i="3"/>
  <c r="AE207" i="3"/>
  <c r="C208" i="3"/>
  <c r="E208" i="3"/>
  <c r="G208" i="3"/>
  <c r="I208" i="3"/>
  <c r="K208" i="3"/>
  <c r="M208" i="3"/>
  <c r="O208" i="3"/>
  <c r="Q208" i="3"/>
  <c r="S208" i="3"/>
  <c r="U208" i="3"/>
  <c r="W208" i="3"/>
  <c r="Y208" i="3"/>
  <c r="AA208" i="3"/>
  <c r="AC208" i="3"/>
  <c r="AE208" i="3"/>
  <c r="C209" i="3"/>
  <c r="E209" i="3"/>
  <c r="G209" i="3"/>
  <c r="I209" i="3"/>
  <c r="K209" i="3"/>
  <c r="M209" i="3"/>
  <c r="O209" i="3"/>
  <c r="Q209" i="3"/>
  <c r="S209" i="3"/>
  <c r="U209" i="3"/>
  <c r="W209" i="3"/>
  <c r="Y209" i="3"/>
  <c r="AA209" i="3"/>
  <c r="AC209" i="3"/>
  <c r="AE209" i="3"/>
  <c r="C211" i="3"/>
  <c r="E211" i="3"/>
  <c r="G211" i="3"/>
  <c r="I211" i="3"/>
  <c r="K211" i="3"/>
  <c r="M211" i="3"/>
  <c r="O211" i="3"/>
  <c r="Q211" i="3"/>
  <c r="S211" i="3"/>
  <c r="U211" i="3"/>
  <c r="W211" i="3"/>
  <c r="Y211" i="3"/>
  <c r="AA211" i="3"/>
  <c r="AC211" i="3"/>
  <c r="AD211" i="3"/>
  <c r="AE211" i="3"/>
  <c r="C213" i="3"/>
  <c r="E213" i="3"/>
  <c r="G213" i="3"/>
  <c r="I213" i="3"/>
  <c r="K213" i="3"/>
  <c r="M213" i="3"/>
  <c r="O213" i="3"/>
  <c r="Q213" i="3"/>
  <c r="S213" i="3"/>
  <c r="U213" i="3"/>
  <c r="W213" i="3"/>
  <c r="Y213" i="3"/>
  <c r="AA213" i="3"/>
  <c r="AC213" i="3"/>
  <c r="AD213" i="3"/>
  <c r="AE213" i="3"/>
  <c r="B217" i="3"/>
  <c r="C217" i="3"/>
  <c r="E217" i="3"/>
  <c r="G217" i="3"/>
  <c r="I217" i="3"/>
  <c r="K217" i="3"/>
  <c r="M217" i="3"/>
  <c r="O217" i="3"/>
  <c r="Q217" i="3"/>
  <c r="S217" i="3"/>
  <c r="U217" i="3"/>
  <c r="W217" i="3"/>
  <c r="Y217" i="3"/>
  <c r="AA217" i="3"/>
  <c r="AC217" i="3"/>
  <c r="AE217" i="3"/>
  <c r="C218" i="3"/>
  <c r="E218" i="3"/>
  <c r="G218" i="3"/>
  <c r="I218" i="3"/>
  <c r="K218" i="3"/>
  <c r="M218" i="3"/>
  <c r="O218" i="3"/>
  <c r="Q218" i="3"/>
  <c r="S218" i="3"/>
  <c r="U218" i="3"/>
  <c r="W218" i="3"/>
  <c r="Y218" i="3"/>
  <c r="AA218" i="3"/>
  <c r="AC218" i="3"/>
  <c r="AE218" i="3"/>
  <c r="B219" i="3"/>
  <c r="C219" i="3"/>
  <c r="E219" i="3"/>
  <c r="G219" i="3"/>
  <c r="I219" i="3"/>
  <c r="K219" i="3"/>
  <c r="M219" i="3"/>
  <c r="O219" i="3"/>
  <c r="Q219" i="3"/>
  <c r="S219" i="3"/>
  <c r="U219" i="3"/>
  <c r="W219" i="3"/>
  <c r="Y219" i="3"/>
  <c r="AA219" i="3"/>
  <c r="AC219" i="3"/>
  <c r="AE219" i="3"/>
  <c r="B221" i="3"/>
  <c r="C221" i="3"/>
  <c r="E221" i="3"/>
  <c r="G221" i="3"/>
  <c r="I221" i="3"/>
  <c r="K221" i="3"/>
  <c r="M221" i="3"/>
  <c r="O221" i="3"/>
  <c r="Q221" i="3"/>
  <c r="S221" i="3"/>
  <c r="U221" i="3"/>
  <c r="W221" i="3"/>
  <c r="Y221" i="3"/>
  <c r="AA221" i="3"/>
  <c r="AC221" i="3"/>
  <c r="AE221" i="3"/>
  <c r="B223" i="3"/>
  <c r="C223" i="3"/>
  <c r="E223" i="3"/>
  <c r="G223" i="3"/>
  <c r="I223" i="3"/>
  <c r="K223" i="3"/>
  <c r="M223" i="3"/>
  <c r="O223" i="3"/>
  <c r="Q223" i="3"/>
  <c r="S223" i="3"/>
  <c r="U223" i="3"/>
  <c r="W223" i="3"/>
  <c r="Y223" i="3"/>
  <c r="AA223" i="3"/>
  <c r="AC223" i="3"/>
  <c r="AE223" i="3"/>
  <c r="B224" i="3"/>
  <c r="C224" i="3"/>
  <c r="E224" i="3"/>
  <c r="G224" i="3"/>
  <c r="I224" i="3"/>
  <c r="K224" i="3"/>
  <c r="M224" i="3"/>
  <c r="O224" i="3"/>
  <c r="Q224" i="3"/>
  <c r="S224" i="3"/>
  <c r="U224" i="3"/>
  <c r="W224" i="3"/>
  <c r="Y224" i="3"/>
  <c r="AA224" i="3"/>
  <c r="AC224" i="3"/>
  <c r="AE224" i="3"/>
  <c r="B225" i="3"/>
  <c r="C225" i="3"/>
  <c r="E225" i="3"/>
  <c r="G225" i="3"/>
  <c r="I225" i="3"/>
  <c r="K225" i="3"/>
  <c r="M225" i="3"/>
  <c r="O225" i="3"/>
  <c r="Q225" i="3"/>
  <c r="S225" i="3"/>
  <c r="U225" i="3"/>
  <c r="W225" i="3"/>
  <c r="Y225" i="3"/>
  <c r="AA225" i="3"/>
  <c r="AC225" i="3"/>
  <c r="AE225" i="3"/>
  <c r="B226" i="3"/>
  <c r="C226" i="3"/>
  <c r="E226" i="3"/>
  <c r="G226" i="3"/>
  <c r="I226" i="3"/>
  <c r="K226" i="3"/>
  <c r="M226" i="3"/>
  <c r="O226" i="3"/>
  <c r="Q226" i="3"/>
  <c r="S226" i="3"/>
  <c r="U226" i="3"/>
  <c r="W226" i="3"/>
  <c r="Y226" i="3"/>
  <c r="AA226" i="3"/>
  <c r="AC226" i="3"/>
  <c r="AE226" i="3"/>
  <c r="B227" i="3"/>
  <c r="C227" i="3"/>
  <c r="E227" i="3"/>
  <c r="G227" i="3"/>
  <c r="I227" i="3"/>
  <c r="K227" i="3"/>
  <c r="M227" i="3"/>
  <c r="O227" i="3"/>
  <c r="Q227" i="3"/>
  <c r="S227" i="3"/>
  <c r="U227" i="3"/>
  <c r="W227" i="3"/>
  <c r="Y227" i="3"/>
  <c r="AA227" i="3"/>
  <c r="AC227" i="3"/>
  <c r="AE227" i="3"/>
  <c r="B228" i="3"/>
  <c r="C228" i="3"/>
  <c r="E228" i="3"/>
  <c r="G228" i="3"/>
  <c r="I228" i="3"/>
  <c r="K228" i="3"/>
  <c r="M228" i="3"/>
  <c r="O228" i="3"/>
  <c r="Q228" i="3"/>
  <c r="S228" i="3"/>
  <c r="U228" i="3"/>
  <c r="W228" i="3"/>
  <c r="Y228" i="3"/>
  <c r="AA228" i="3"/>
  <c r="AC228" i="3"/>
  <c r="AE228" i="3"/>
  <c r="B229" i="3"/>
  <c r="C229" i="3"/>
  <c r="E229" i="3"/>
  <c r="G229" i="3"/>
  <c r="I229" i="3"/>
  <c r="K229" i="3"/>
  <c r="M229" i="3"/>
  <c r="O229" i="3"/>
  <c r="Q229" i="3"/>
  <c r="S229" i="3"/>
  <c r="U229" i="3"/>
  <c r="W229" i="3"/>
  <c r="Y229" i="3"/>
  <c r="AA229" i="3"/>
  <c r="AC229" i="3"/>
  <c r="AE229" i="3"/>
  <c r="B230" i="3"/>
  <c r="C230" i="3"/>
  <c r="E230" i="3"/>
  <c r="G230" i="3"/>
  <c r="I230" i="3"/>
  <c r="K230" i="3"/>
  <c r="M230" i="3"/>
  <c r="O230" i="3"/>
  <c r="Q230" i="3"/>
  <c r="S230" i="3"/>
  <c r="U230" i="3"/>
  <c r="W230" i="3"/>
  <c r="Y230" i="3"/>
  <c r="AA230" i="3"/>
  <c r="AC230" i="3"/>
  <c r="AE230" i="3"/>
  <c r="B231" i="3"/>
  <c r="C231" i="3"/>
  <c r="E231" i="3"/>
  <c r="G231" i="3"/>
  <c r="I231" i="3"/>
  <c r="K231" i="3"/>
  <c r="M231" i="3"/>
  <c r="O231" i="3"/>
  <c r="Q231" i="3"/>
  <c r="S231" i="3"/>
  <c r="U231" i="3"/>
  <c r="W231" i="3"/>
  <c r="Y231" i="3"/>
  <c r="AA231" i="3"/>
  <c r="AC231" i="3"/>
  <c r="AE231" i="3"/>
  <c r="B232" i="3"/>
  <c r="C232" i="3"/>
  <c r="E232" i="3"/>
  <c r="G232" i="3"/>
  <c r="I232" i="3"/>
  <c r="K232" i="3"/>
  <c r="M232" i="3"/>
  <c r="O232" i="3"/>
  <c r="Q232" i="3"/>
  <c r="S232" i="3"/>
  <c r="U232" i="3"/>
  <c r="W232" i="3"/>
  <c r="Y232" i="3"/>
  <c r="AA232" i="3"/>
  <c r="AC232" i="3"/>
  <c r="AE232" i="3"/>
  <c r="B233" i="3"/>
  <c r="C233" i="3"/>
  <c r="E233" i="3"/>
  <c r="G233" i="3"/>
  <c r="I233" i="3"/>
  <c r="K233" i="3"/>
  <c r="M233" i="3"/>
  <c r="O233" i="3"/>
  <c r="Q233" i="3"/>
  <c r="S233" i="3"/>
  <c r="U233" i="3"/>
  <c r="W233" i="3"/>
  <c r="Y233" i="3"/>
  <c r="AA233" i="3"/>
  <c r="AC233" i="3"/>
  <c r="AE233" i="3"/>
  <c r="B234" i="3"/>
  <c r="C234" i="3"/>
  <c r="E234" i="3"/>
  <c r="G234" i="3"/>
  <c r="I234" i="3"/>
  <c r="K234" i="3"/>
  <c r="M234" i="3"/>
  <c r="O234" i="3"/>
  <c r="Q234" i="3"/>
  <c r="S234" i="3"/>
  <c r="U234" i="3"/>
  <c r="W234" i="3"/>
  <c r="Y234" i="3"/>
  <c r="AA234" i="3"/>
  <c r="AC234" i="3"/>
  <c r="AE234" i="3"/>
  <c r="B235" i="3"/>
  <c r="C235" i="3"/>
  <c r="E235" i="3"/>
  <c r="G235" i="3"/>
  <c r="I235" i="3"/>
  <c r="K235" i="3"/>
  <c r="M235" i="3"/>
  <c r="O235" i="3"/>
  <c r="Q235" i="3"/>
  <c r="S235" i="3"/>
  <c r="U235" i="3"/>
  <c r="W235" i="3"/>
  <c r="Y235" i="3"/>
  <c r="AA235" i="3"/>
  <c r="AC235" i="3"/>
  <c r="AE235" i="3"/>
  <c r="B236" i="3"/>
  <c r="C236" i="3"/>
  <c r="E236" i="3"/>
  <c r="G236" i="3"/>
  <c r="I236" i="3"/>
  <c r="K236" i="3"/>
  <c r="M236" i="3"/>
  <c r="O236" i="3"/>
  <c r="Q236" i="3"/>
  <c r="S236" i="3"/>
  <c r="U236" i="3"/>
  <c r="W236" i="3"/>
  <c r="Y236" i="3"/>
  <c r="AA236" i="3"/>
  <c r="AC236" i="3"/>
  <c r="AE236" i="3"/>
  <c r="B237" i="3"/>
  <c r="C237" i="3"/>
  <c r="E237" i="3"/>
  <c r="G237" i="3"/>
  <c r="I237" i="3"/>
  <c r="K237" i="3"/>
  <c r="M237" i="3"/>
  <c r="O237" i="3"/>
  <c r="Q237" i="3"/>
  <c r="S237" i="3"/>
  <c r="U237" i="3"/>
  <c r="W237" i="3"/>
  <c r="Y237" i="3"/>
  <c r="AA237" i="3"/>
  <c r="AC237" i="3"/>
  <c r="AE237" i="3"/>
  <c r="B238" i="3"/>
  <c r="C238" i="3"/>
  <c r="E238" i="3"/>
  <c r="G238" i="3"/>
  <c r="I238" i="3"/>
  <c r="K238" i="3"/>
  <c r="M238" i="3"/>
  <c r="O238" i="3"/>
  <c r="Q238" i="3"/>
  <c r="S238" i="3"/>
  <c r="U238" i="3"/>
  <c r="W238" i="3"/>
  <c r="Y238" i="3"/>
  <c r="AA238" i="3"/>
  <c r="AC238" i="3"/>
  <c r="AE238" i="3"/>
  <c r="B239" i="3"/>
  <c r="C239" i="3"/>
  <c r="E239" i="3"/>
  <c r="G239" i="3"/>
  <c r="I239" i="3"/>
  <c r="K239" i="3"/>
  <c r="M239" i="3"/>
  <c r="O239" i="3"/>
  <c r="Q239" i="3"/>
  <c r="S239" i="3"/>
  <c r="U239" i="3"/>
  <c r="W239" i="3"/>
  <c r="Y239" i="3"/>
  <c r="AA239" i="3"/>
  <c r="AC239" i="3"/>
  <c r="AE239" i="3"/>
  <c r="B240" i="3"/>
  <c r="C240" i="3"/>
  <c r="E240" i="3"/>
  <c r="G240" i="3"/>
  <c r="I240" i="3"/>
  <c r="K240" i="3"/>
  <c r="M240" i="3"/>
  <c r="O240" i="3"/>
  <c r="Q240" i="3"/>
  <c r="S240" i="3"/>
  <c r="U240" i="3"/>
  <c r="W240" i="3"/>
  <c r="Y240" i="3"/>
  <c r="AA240" i="3"/>
  <c r="AC240" i="3"/>
  <c r="AE240" i="3"/>
  <c r="B241" i="3"/>
  <c r="C241" i="3"/>
  <c r="E241" i="3"/>
  <c r="G241" i="3"/>
  <c r="I241" i="3"/>
  <c r="K241" i="3"/>
  <c r="M241" i="3"/>
  <c r="O241" i="3"/>
  <c r="Q241" i="3"/>
  <c r="S241" i="3"/>
  <c r="U241" i="3"/>
  <c r="W241" i="3"/>
  <c r="Y241" i="3"/>
  <c r="AA241" i="3"/>
  <c r="AC241" i="3"/>
  <c r="AE241" i="3"/>
  <c r="B242" i="3"/>
  <c r="C242" i="3"/>
  <c r="E242" i="3"/>
  <c r="G242" i="3"/>
  <c r="I242" i="3"/>
  <c r="K242" i="3"/>
  <c r="M242" i="3"/>
  <c r="O242" i="3"/>
  <c r="Q242" i="3"/>
  <c r="S242" i="3"/>
  <c r="U242" i="3"/>
  <c r="W242" i="3"/>
  <c r="Y242" i="3"/>
  <c r="AA242" i="3"/>
  <c r="AC242" i="3"/>
  <c r="AE242" i="3"/>
  <c r="B243" i="3"/>
  <c r="C243" i="3"/>
  <c r="E243" i="3"/>
  <c r="G243" i="3"/>
  <c r="I243" i="3"/>
  <c r="K243" i="3"/>
  <c r="M243" i="3"/>
  <c r="O243" i="3"/>
  <c r="Q243" i="3"/>
  <c r="S243" i="3"/>
  <c r="U243" i="3"/>
  <c r="W243" i="3"/>
  <c r="Y243" i="3"/>
  <c r="AA243" i="3"/>
  <c r="AC243" i="3"/>
  <c r="AE243" i="3"/>
  <c r="B244" i="3"/>
  <c r="C244" i="3"/>
  <c r="E244" i="3"/>
  <c r="G244" i="3"/>
  <c r="I244" i="3"/>
  <c r="K244" i="3"/>
  <c r="M244" i="3"/>
  <c r="O244" i="3"/>
  <c r="Q244" i="3"/>
  <c r="S244" i="3"/>
  <c r="U244" i="3"/>
  <c r="W244" i="3"/>
  <c r="Y244" i="3"/>
  <c r="AA244" i="3"/>
  <c r="AC244" i="3"/>
  <c r="AE244" i="3"/>
  <c r="B245" i="3"/>
  <c r="C245" i="3"/>
  <c r="E245" i="3"/>
  <c r="G245" i="3"/>
  <c r="I245" i="3"/>
  <c r="K245" i="3"/>
  <c r="M245" i="3"/>
  <c r="O245" i="3"/>
  <c r="Q245" i="3"/>
  <c r="S245" i="3"/>
  <c r="U245" i="3"/>
  <c r="W245" i="3"/>
  <c r="Y245" i="3"/>
  <c r="AA245" i="3"/>
  <c r="AC245" i="3"/>
  <c r="AE245" i="3"/>
  <c r="B246" i="3"/>
  <c r="C246" i="3"/>
  <c r="E246" i="3"/>
  <c r="G246" i="3"/>
  <c r="I246" i="3"/>
  <c r="K246" i="3"/>
  <c r="M246" i="3"/>
  <c r="O246" i="3"/>
  <c r="Q246" i="3"/>
  <c r="S246" i="3"/>
  <c r="U246" i="3"/>
  <c r="W246" i="3"/>
  <c r="Y246" i="3"/>
  <c r="AA246" i="3"/>
  <c r="AC246" i="3"/>
  <c r="AE246" i="3"/>
  <c r="B247" i="3"/>
  <c r="C247" i="3"/>
  <c r="E247" i="3"/>
  <c r="G247" i="3"/>
  <c r="I247" i="3"/>
  <c r="K247" i="3"/>
  <c r="M247" i="3"/>
  <c r="O247" i="3"/>
  <c r="Q247" i="3"/>
  <c r="S247" i="3"/>
  <c r="U247" i="3"/>
  <c r="W247" i="3"/>
  <c r="Y247" i="3"/>
  <c r="AA247" i="3"/>
  <c r="AC247" i="3"/>
  <c r="AE247" i="3"/>
  <c r="B248" i="3"/>
  <c r="C248" i="3"/>
  <c r="E248" i="3"/>
  <c r="G248" i="3"/>
  <c r="I248" i="3"/>
  <c r="K248" i="3"/>
  <c r="M248" i="3"/>
  <c r="O248" i="3"/>
  <c r="Q248" i="3"/>
  <c r="S248" i="3"/>
  <c r="U248" i="3"/>
  <c r="W248" i="3"/>
  <c r="Y248" i="3"/>
  <c r="AA248" i="3"/>
  <c r="AC248" i="3"/>
  <c r="AE248" i="3"/>
  <c r="C249" i="3"/>
  <c r="E249" i="3"/>
  <c r="G249" i="3"/>
  <c r="I249" i="3"/>
  <c r="K249" i="3"/>
  <c r="M249" i="3"/>
  <c r="O249" i="3"/>
  <c r="Q249" i="3"/>
  <c r="S249" i="3"/>
  <c r="U249" i="3"/>
  <c r="W249" i="3"/>
  <c r="Y249" i="3"/>
  <c r="AA249" i="3"/>
  <c r="AC249" i="3"/>
  <c r="AD249" i="3"/>
  <c r="AE249" i="3"/>
  <c r="AC250" i="3"/>
  <c r="AE250" i="3"/>
  <c r="C251" i="3"/>
  <c r="E251" i="3"/>
  <c r="G251" i="3"/>
  <c r="I251" i="3"/>
  <c r="K251" i="3"/>
  <c r="M251" i="3"/>
  <c r="O251" i="3"/>
  <c r="Q251" i="3"/>
  <c r="S251" i="3"/>
  <c r="U251" i="3"/>
  <c r="W251" i="3"/>
  <c r="Y251" i="3"/>
  <c r="AA251" i="3"/>
  <c r="AC251" i="3"/>
  <c r="AE251" i="3"/>
  <c r="B253" i="3"/>
  <c r="C253" i="3"/>
  <c r="E253" i="3"/>
  <c r="G253" i="3"/>
  <c r="I253" i="3"/>
  <c r="K253" i="3"/>
  <c r="M253" i="3"/>
  <c r="O253" i="3"/>
  <c r="Q253" i="3"/>
  <c r="S253" i="3"/>
  <c r="U253" i="3"/>
  <c r="W253" i="3"/>
  <c r="Y253" i="3"/>
  <c r="AA253" i="3"/>
  <c r="AC253" i="3"/>
  <c r="AE253" i="3"/>
  <c r="B254" i="3"/>
  <c r="C254" i="3"/>
  <c r="E254" i="3"/>
  <c r="G254" i="3"/>
  <c r="I254" i="3"/>
  <c r="K254" i="3"/>
  <c r="M254" i="3"/>
  <c r="O254" i="3"/>
  <c r="Q254" i="3"/>
  <c r="S254" i="3"/>
  <c r="U254" i="3"/>
  <c r="W254" i="3"/>
  <c r="Y254" i="3"/>
  <c r="AA254" i="3"/>
  <c r="AC254" i="3"/>
  <c r="AE254" i="3"/>
  <c r="B255" i="3"/>
  <c r="C255" i="3"/>
  <c r="E255" i="3"/>
  <c r="G255" i="3"/>
  <c r="I255" i="3"/>
  <c r="K255" i="3"/>
  <c r="M255" i="3"/>
  <c r="O255" i="3"/>
  <c r="Q255" i="3"/>
  <c r="S255" i="3"/>
  <c r="U255" i="3"/>
  <c r="W255" i="3"/>
  <c r="Y255" i="3"/>
  <c r="AA255" i="3"/>
  <c r="AC255" i="3"/>
  <c r="AE255" i="3"/>
  <c r="B256" i="3"/>
  <c r="C256" i="3"/>
  <c r="E256" i="3"/>
  <c r="G256" i="3"/>
  <c r="I256" i="3"/>
  <c r="K256" i="3"/>
  <c r="M256" i="3"/>
  <c r="O256" i="3"/>
  <c r="Q256" i="3"/>
  <c r="S256" i="3"/>
  <c r="U256" i="3"/>
  <c r="W256" i="3"/>
  <c r="Y256" i="3"/>
  <c r="AA256" i="3"/>
  <c r="AC256" i="3"/>
  <c r="AE256" i="3"/>
  <c r="B257" i="3"/>
  <c r="C257" i="3"/>
  <c r="E257" i="3"/>
  <c r="G257" i="3"/>
  <c r="I257" i="3"/>
  <c r="K257" i="3"/>
  <c r="M257" i="3"/>
  <c r="O257" i="3"/>
  <c r="Q257" i="3"/>
  <c r="S257" i="3"/>
  <c r="U257" i="3"/>
  <c r="W257" i="3"/>
  <c r="Y257" i="3"/>
  <c r="AA257" i="3"/>
  <c r="AC257" i="3"/>
  <c r="AE257" i="3"/>
  <c r="B258" i="3"/>
  <c r="C258" i="3"/>
  <c r="E258" i="3"/>
  <c r="G258" i="3"/>
  <c r="I258" i="3"/>
  <c r="K258" i="3"/>
  <c r="M258" i="3"/>
  <c r="O258" i="3"/>
  <c r="Q258" i="3"/>
  <c r="S258" i="3"/>
  <c r="U258" i="3"/>
  <c r="W258" i="3"/>
  <c r="Y258" i="3"/>
  <c r="AA258" i="3"/>
  <c r="AC258" i="3"/>
  <c r="AE258" i="3"/>
  <c r="B259" i="3"/>
  <c r="C259" i="3"/>
  <c r="E259" i="3"/>
  <c r="G259" i="3"/>
  <c r="I259" i="3"/>
  <c r="K259" i="3"/>
  <c r="M259" i="3"/>
  <c r="O259" i="3"/>
  <c r="Q259" i="3"/>
  <c r="S259" i="3"/>
  <c r="U259" i="3"/>
  <c r="W259" i="3"/>
  <c r="Y259" i="3"/>
  <c r="AA259" i="3"/>
  <c r="AC259" i="3"/>
  <c r="AE259" i="3"/>
  <c r="C260" i="3"/>
  <c r="E260" i="3"/>
  <c r="G260" i="3"/>
  <c r="I260" i="3"/>
  <c r="K260" i="3"/>
  <c r="M260" i="3"/>
  <c r="O260" i="3"/>
  <c r="Q260" i="3"/>
  <c r="S260" i="3"/>
  <c r="U260" i="3"/>
  <c r="W260" i="3"/>
  <c r="Y260" i="3"/>
  <c r="AA260" i="3"/>
  <c r="AC260" i="3"/>
  <c r="AE260" i="3"/>
  <c r="C261" i="3"/>
  <c r="E261" i="3"/>
  <c r="G261" i="3"/>
  <c r="I261" i="3"/>
  <c r="K261" i="3"/>
  <c r="M261" i="3"/>
  <c r="O261" i="3"/>
  <c r="Q261" i="3"/>
  <c r="S261" i="3"/>
  <c r="U261" i="3"/>
  <c r="W261" i="3"/>
  <c r="Y261" i="3"/>
  <c r="AA261" i="3"/>
  <c r="AC261" i="3"/>
  <c r="AE261" i="3"/>
  <c r="B263" i="3"/>
  <c r="C263" i="3"/>
  <c r="E263" i="3"/>
  <c r="G263" i="3"/>
  <c r="I263" i="3"/>
  <c r="K263" i="3"/>
  <c r="M263" i="3"/>
  <c r="O263" i="3"/>
  <c r="Q263" i="3"/>
  <c r="S263" i="3"/>
  <c r="U263" i="3"/>
  <c r="W263" i="3"/>
  <c r="Y263" i="3"/>
  <c r="AA263" i="3"/>
  <c r="AC263" i="3"/>
  <c r="AE263" i="3"/>
  <c r="C264" i="3"/>
  <c r="E264" i="3"/>
  <c r="G264" i="3"/>
  <c r="I264" i="3"/>
  <c r="K264" i="3"/>
  <c r="M264" i="3"/>
  <c r="O264" i="3"/>
  <c r="Q264" i="3"/>
  <c r="S264" i="3"/>
  <c r="U264" i="3"/>
  <c r="W264" i="3"/>
  <c r="Y264" i="3"/>
  <c r="AA264" i="3"/>
  <c r="AC264" i="3"/>
  <c r="AE264" i="3"/>
  <c r="C265" i="3"/>
  <c r="E265" i="3"/>
  <c r="G265" i="3"/>
  <c r="I265" i="3"/>
  <c r="K265" i="3"/>
  <c r="M265" i="3"/>
  <c r="O265" i="3"/>
  <c r="Q265" i="3"/>
  <c r="S265" i="3"/>
  <c r="U265" i="3"/>
  <c r="W265" i="3"/>
  <c r="Y265" i="3"/>
  <c r="AA265" i="3"/>
  <c r="AC265" i="3"/>
  <c r="AE265" i="3"/>
  <c r="B267" i="3"/>
  <c r="C267" i="3"/>
  <c r="E267" i="3"/>
  <c r="G267" i="3"/>
  <c r="I267" i="3"/>
  <c r="K267" i="3"/>
  <c r="M267" i="3"/>
  <c r="O267" i="3"/>
  <c r="Q267" i="3"/>
  <c r="S267" i="3"/>
  <c r="U267" i="3"/>
  <c r="W267" i="3"/>
  <c r="Y267" i="3"/>
  <c r="AA267" i="3"/>
  <c r="AC267" i="3"/>
  <c r="AE267" i="3"/>
  <c r="C268" i="3"/>
  <c r="E268" i="3"/>
  <c r="G268" i="3"/>
  <c r="I268" i="3"/>
  <c r="K268" i="3"/>
  <c r="M268" i="3"/>
  <c r="O268" i="3"/>
  <c r="Q268" i="3"/>
  <c r="S268" i="3"/>
  <c r="U268" i="3"/>
  <c r="W268" i="3"/>
  <c r="Y268" i="3"/>
  <c r="AA268" i="3"/>
  <c r="AC268" i="3"/>
  <c r="AE268" i="3"/>
  <c r="C269" i="3"/>
  <c r="E269" i="3"/>
  <c r="G269" i="3"/>
  <c r="I269" i="3"/>
  <c r="K269" i="3"/>
  <c r="M269" i="3"/>
  <c r="O269" i="3"/>
  <c r="Q269" i="3"/>
  <c r="S269" i="3"/>
  <c r="U269" i="3"/>
  <c r="W269" i="3"/>
  <c r="Y269" i="3"/>
  <c r="AA269" i="3"/>
  <c r="AC269" i="3"/>
  <c r="AE269" i="3"/>
  <c r="B271" i="3"/>
  <c r="C271" i="3"/>
  <c r="E271" i="3"/>
  <c r="G271" i="3"/>
  <c r="I271" i="3"/>
  <c r="K271" i="3"/>
  <c r="M271" i="3"/>
  <c r="O271" i="3"/>
  <c r="Q271" i="3"/>
  <c r="S271" i="3"/>
  <c r="U271" i="3"/>
  <c r="W271" i="3"/>
  <c r="Y271" i="3"/>
  <c r="AA271" i="3"/>
  <c r="AC271" i="3"/>
  <c r="AE271" i="3"/>
  <c r="B272" i="3"/>
  <c r="C272" i="3"/>
  <c r="E272" i="3"/>
  <c r="G272" i="3"/>
  <c r="I272" i="3"/>
  <c r="K272" i="3"/>
  <c r="M272" i="3"/>
  <c r="O272" i="3"/>
  <c r="Q272" i="3"/>
  <c r="S272" i="3"/>
  <c r="U272" i="3"/>
  <c r="W272" i="3"/>
  <c r="Y272" i="3"/>
  <c r="AA272" i="3"/>
  <c r="AC272" i="3"/>
  <c r="AE272" i="3"/>
  <c r="B273" i="3"/>
  <c r="C273" i="3"/>
  <c r="E273" i="3"/>
  <c r="G273" i="3"/>
  <c r="I273" i="3"/>
  <c r="K273" i="3"/>
  <c r="M273" i="3"/>
  <c r="O273" i="3"/>
  <c r="Q273" i="3"/>
  <c r="S273" i="3"/>
  <c r="U273" i="3"/>
  <c r="W273" i="3"/>
  <c r="Y273" i="3"/>
  <c r="AA273" i="3"/>
  <c r="AC273" i="3"/>
  <c r="AE273" i="3"/>
  <c r="B274" i="3"/>
  <c r="C274" i="3"/>
  <c r="E274" i="3"/>
  <c r="G274" i="3"/>
  <c r="I274" i="3"/>
  <c r="K274" i="3"/>
  <c r="M274" i="3"/>
  <c r="O274" i="3"/>
  <c r="Q274" i="3"/>
  <c r="S274" i="3"/>
  <c r="U274" i="3"/>
  <c r="W274" i="3"/>
  <c r="Y274" i="3"/>
  <c r="AA274" i="3"/>
  <c r="AC274" i="3"/>
  <c r="AE274" i="3"/>
  <c r="B275" i="3"/>
  <c r="C275" i="3"/>
  <c r="E275" i="3"/>
  <c r="G275" i="3"/>
  <c r="I275" i="3"/>
  <c r="K275" i="3"/>
  <c r="M275" i="3"/>
  <c r="O275" i="3"/>
  <c r="Q275" i="3"/>
  <c r="S275" i="3"/>
  <c r="U275" i="3"/>
  <c r="W275" i="3"/>
  <c r="Y275" i="3"/>
  <c r="AA275" i="3"/>
  <c r="AC275" i="3"/>
  <c r="AE275" i="3"/>
  <c r="B276" i="3"/>
  <c r="C276" i="3"/>
  <c r="E276" i="3"/>
  <c r="G276" i="3"/>
  <c r="I276" i="3"/>
  <c r="K276" i="3"/>
  <c r="M276" i="3"/>
  <c r="O276" i="3"/>
  <c r="Q276" i="3"/>
  <c r="S276" i="3"/>
  <c r="U276" i="3"/>
  <c r="W276" i="3"/>
  <c r="Y276" i="3"/>
  <c r="AA276" i="3"/>
  <c r="AC276" i="3"/>
  <c r="AE276" i="3"/>
  <c r="B277" i="3"/>
  <c r="C277" i="3"/>
  <c r="E277" i="3"/>
  <c r="G277" i="3"/>
  <c r="I277" i="3"/>
  <c r="K277" i="3"/>
  <c r="M277" i="3"/>
  <c r="O277" i="3"/>
  <c r="Q277" i="3"/>
  <c r="S277" i="3"/>
  <c r="U277" i="3"/>
  <c r="W277" i="3"/>
  <c r="Y277" i="3"/>
  <c r="AA277" i="3"/>
  <c r="AC277" i="3"/>
  <c r="AE277" i="3"/>
  <c r="B278" i="3"/>
  <c r="C278" i="3"/>
  <c r="E278" i="3"/>
  <c r="G278" i="3"/>
  <c r="I278" i="3"/>
  <c r="K278" i="3"/>
  <c r="M278" i="3"/>
  <c r="O278" i="3"/>
  <c r="Q278" i="3"/>
  <c r="S278" i="3"/>
  <c r="U278" i="3"/>
  <c r="W278" i="3"/>
  <c r="Y278" i="3"/>
  <c r="AA278" i="3"/>
  <c r="AC278" i="3"/>
  <c r="AE278" i="3"/>
  <c r="B279" i="3"/>
  <c r="C279" i="3"/>
  <c r="E279" i="3"/>
  <c r="G279" i="3"/>
  <c r="I279" i="3"/>
  <c r="K279" i="3"/>
  <c r="M279" i="3"/>
  <c r="O279" i="3"/>
  <c r="Q279" i="3"/>
  <c r="S279" i="3"/>
  <c r="U279" i="3"/>
  <c r="W279" i="3"/>
  <c r="Y279" i="3"/>
  <c r="AA279" i="3"/>
  <c r="AC279" i="3"/>
  <c r="AE279" i="3"/>
  <c r="B280" i="3"/>
  <c r="C280" i="3"/>
  <c r="E280" i="3"/>
  <c r="G280" i="3"/>
  <c r="I280" i="3"/>
  <c r="K280" i="3"/>
  <c r="M280" i="3"/>
  <c r="O280" i="3"/>
  <c r="Q280" i="3"/>
  <c r="S280" i="3"/>
  <c r="U280" i="3"/>
  <c r="W280" i="3"/>
  <c r="Y280" i="3"/>
  <c r="AA280" i="3"/>
  <c r="AC280" i="3"/>
  <c r="AE280" i="3"/>
  <c r="B281" i="3"/>
  <c r="C281" i="3"/>
  <c r="E281" i="3"/>
  <c r="G281" i="3"/>
  <c r="I281" i="3"/>
  <c r="K281" i="3"/>
  <c r="M281" i="3"/>
  <c r="O281" i="3"/>
  <c r="Q281" i="3"/>
  <c r="S281" i="3"/>
  <c r="U281" i="3"/>
  <c r="W281" i="3"/>
  <c r="Y281" i="3"/>
  <c r="AA281" i="3"/>
  <c r="AC281" i="3"/>
  <c r="AE281" i="3"/>
  <c r="B282" i="3"/>
  <c r="C282" i="3"/>
  <c r="E282" i="3"/>
  <c r="G282" i="3"/>
  <c r="I282" i="3"/>
  <c r="K282" i="3"/>
  <c r="M282" i="3"/>
  <c r="O282" i="3"/>
  <c r="Q282" i="3"/>
  <c r="S282" i="3"/>
  <c r="U282" i="3"/>
  <c r="W282" i="3"/>
  <c r="Y282" i="3"/>
  <c r="AA282" i="3"/>
  <c r="AC282" i="3"/>
  <c r="AE282" i="3"/>
  <c r="B283" i="3"/>
  <c r="C283" i="3"/>
  <c r="E283" i="3"/>
  <c r="G283" i="3"/>
  <c r="I283" i="3"/>
  <c r="K283" i="3"/>
  <c r="M283" i="3"/>
  <c r="O283" i="3"/>
  <c r="Q283" i="3"/>
  <c r="S283" i="3"/>
  <c r="U283" i="3"/>
  <c r="W283" i="3"/>
  <c r="Y283" i="3"/>
  <c r="AA283" i="3"/>
  <c r="AC283" i="3"/>
  <c r="AE283" i="3"/>
  <c r="B284" i="3"/>
  <c r="C284" i="3"/>
  <c r="E284" i="3"/>
  <c r="G284" i="3"/>
  <c r="I284" i="3"/>
  <c r="K284" i="3"/>
  <c r="M284" i="3"/>
  <c r="O284" i="3"/>
  <c r="Q284" i="3"/>
  <c r="S284" i="3"/>
  <c r="U284" i="3"/>
  <c r="W284" i="3"/>
  <c r="Y284" i="3"/>
  <c r="AA284" i="3"/>
  <c r="AC284" i="3"/>
  <c r="AE284" i="3"/>
  <c r="B285" i="3"/>
  <c r="C285" i="3"/>
  <c r="E285" i="3"/>
  <c r="G285" i="3"/>
  <c r="I285" i="3"/>
  <c r="K285" i="3"/>
  <c r="M285" i="3"/>
  <c r="O285" i="3"/>
  <c r="Q285" i="3"/>
  <c r="S285" i="3"/>
  <c r="U285" i="3"/>
  <c r="W285" i="3"/>
  <c r="Y285" i="3"/>
  <c r="AA285" i="3"/>
  <c r="AC285" i="3"/>
  <c r="AE285" i="3"/>
  <c r="C286" i="3"/>
  <c r="E286" i="3"/>
  <c r="G286" i="3"/>
  <c r="I286" i="3"/>
  <c r="K286" i="3"/>
  <c r="M286" i="3"/>
  <c r="O286" i="3"/>
  <c r="Q286" i="3"/>
  <c r="S286" i="3"/>
  <c r="U286" i="3"/>
  <c r="W286" i="3"/>
  <c r="Y286" i="3"/>
  <c r="AA286" i="3"/>
  <c r="AC286" i="3"/>
  <c r="AE286" i="3"/>
  <c r="C287" i="3"/>
  <c r="E287" i="3"/>
  <c r="G287" i="3"/>
  <c r="I287" i="3"/>
  <c r="K287" i="3"/>
  <c r="M287" i="3"/>
  <c r="O287" i="3"/>
  <c r="Q287" i="3"/>
  <c r="S287" i="3"/>
  <c r="U287" i="3"/>
  <c r="W287" i="3"/>
  <c r="Y287" i="3"/>
  <c r="AA287" i="3"/>
  <c r="AC287" i="3"/>
  <c r="AE287" i="3"/>
  <c r="B289" i="3"/>
  <c r="C289" i="3"/>
  <c r="E289" i="3"/>
  <c r="G289" i="3"/>
  <c r="I289" i="3"/>
  <c r="K289" i="3"/>
  <c r="M289" i="3"/>
  <c r="O289" i="3"/>
  <c r="Q289" i="3"/>
  <c r="S289" i="3"/>
  <c r="U289" i="3"/>
  <c r="W289" i="3"/>
  <c r="Y289" i="3"/>
  <c r="AA289" i="3"/>
  <c r="AC289" i="3"/>
  <c r="AE289" i="3"/>
  <c r="B290" i="3"/>
  <c r="C290" i="3"/>
  <c r="E290" i="3"/>
  <c r="G290" i="3"/>
  <c r="I290" i="3"/>
  <c r="K290" i="3"/>
  <c r="M290" i="3"/>
  <c r="O290" i="3"/>
  <c r="Q290" i="3"/>
  <c r="S290" i="3"/>
  <c r="U290" i="3"/>
  <c r="W290" i="3"/>
  <c r="Y290" i="3"/>
  <c r="AA290" i="3"/>
  <c r="AC290" i="3"/>
  <c r="AE290" i="3"/>
  <c r="B291" i="3"/>
  <c r="C291" i="3"/>
  <c r="E291" i="3"/>
  <c r="G291" i="3"/>
  <c r="I291" i="3"/>
  <c r="K291" i="3"/>
  <c r="M291" i="3"/>
  <c r="O291" i="3"/>
  <c r="Q291" i="3"/>
  <c r="S291" i="3"/>
  <c r="U291" i="3"/>
  <c r="W291" i="3"/>
  <c r="Y291" i="3"/>
  <c r="AA291" i="3"/>
  <c r="AC291" i="3"/>
  <c r="AE291" i="3"/>
  <c r="B292" i="3"/>
  <c r="C292" i="3"/>
  <c r="E292" i="3"/>
  <c r="G292" i="3"/>
  <c r="I292" i="3"/>
  <c r="K292" i="3"/>
  <c r="M292" i="3"/>
  <c r="O292" i="3"/>
  <c r="Q292" i="3"/>
  <c r="S292" i="3"/>
  <c r="U292" i="3"/>
  <c r="W292" i="3"/>
  <c r="Y292" i="3"/>
  <c r="AA292" i="3"/>
  <c r="AC292" i="3"/>
  <c r="AE292" i="3"/>
  <c r="B293" i="3"/>
  <c r="C293" i="3"/>
  <c r="E293" i="3"/>
  <c r="G293" i="3"/>
  <c r="I293" i="3"/>
  <c r="K293" i="3"/>
  <c r="M293" i="3"/>
  <c r="O293" i="3"/>
  <c r="Q293" i="3"/>
  <c r="S293" i="3"/>
  <c r="U293" i="3"/>
  <c r="W293" i="3"/>
  <c r="Y293" i="3"/>
  <c r="AA293" i="3"/>
  <c r="AC293" i="3"/>
  <c r="AE293" i="3"/>
  <c r="B294" i="3"/>
  <c r="C294" i="3"/>
  <c r="E294" i="3"/>
  <c r="G294" i="3"/>
  <c r="I294" i="3"/>
  <c r="K294" i="3"/>
  <c r="M294" i="3"/>
  <c r="O294" i="3"/>
  <c r="Q294" i="3"/>
  <c r="S294" i="3"/>
  <c r="U294" i="3"/>
  <c r="W294" i="3"/>
  <c r="Y294" i="3"/>
  <c r="AA294" i="3"/>
  <c r="AC294" i="3"/>
  <c r="AE294" i="3"/>
  <c r="B295" i="3"/>
  <c r="C295" i="3"/>
  <c r="E295" i="3"/>
  <c r="G295" i="3"/>
  <c r="I295" i="3"/>
  <c r="K295" i="3"/>
  <c r="M295" i="3"/>
  <c r="O295" i="3"/>
  <c r="Q295" i="3"/>
  <c r="S295" i="3"/>
  <c r="U295" i="3"/>
  <c r="W295" i="3"/>
  <c r="Y295" i="3"/>
  <c r="AA295" i="3"/>
  <c r="AC295" i="3"/>
  <c r="AE295" i="3"/>
  <c r="C296" i="3"/>
  <c r="E296" i="3"/>
  <c r="G296" i="3"/>
  <c r="I296" i="3"/>
  <c r="K296" i="3"/>
  <c r="M296" i="3"/>
  <c r="O296" i="3"/>
  <c r="Q296" i="3"/>
  <c r="S296" i="3"/>
  <c r="U296" i="3"/>
  <c r="W296" i="3"/>
  <c r="Y296" i="3"/>
  <c r="AA296" i="3"/>
  <c r="AC296" i="3"/>
  <c r="AE296" i="3"/>
  <c r="C297" i="3"/>
  <c r="E297" i="3"/>
  <c r="G297" i="3"/>
  <c r="I297" i="3"/>
  <c r="K297" i="3"/>
  <c r="M297" i="3"/>
  <c r="O297" i="3"/>
  <c r="Q297" i="3"/>
  <c r="S297" i="3"/>
  <c r="U297" i="3"/>
  <c r="W297" i="3"/>
  <c r="Y297" i="3"/>
  <c r="AA297" i="3"/>
  <c r="AC297" i="3"/>
  <c r="AE297" i="3"/>
  <c r="B299" i="3"/>
  <c r="C299" i="3"/>
  <c r="E299" i="3"/>
  <c r="G299" i="3"/>
  <c r="I299" i="3"/>
  <c r="K299" i="3"/>
  <c r="M299" i="3"/>
  <c r="O299" i="3"/>
  <c r="Q299" i="3"/>
  <c r="S299" i="3"/>
  <c r="U299" i="3"/>
  <c r="W299" i="3"/>
  <c r="Y299" i="3"/>
  <c r="AA299" i="3"/>
  <c r="AC299" i="3"/>
  <c r="AE299" i="3"/>
  <c r="C300" i="3"/>
  <c r="E300" i="3"/>
  <c r="G300" i="3"/>
  <c r="I300" i="3"/>
  <c r="K300" i="3"/>
  <c r="M300" i="3"/>
  <c r="O300" i="3"/>
  <c r="Q300" i="3"/>
  <c r="S300" i="3"/>
  <c r="U300" i="3"/>
  <c r="W300" i="3"/>
  <c r="Y300" i="3"/>
  <c r="AA300" i="3"/>
  <c r="AC300" i="3"/>
  <c r="AE300" i="3"/>
  <c r="C301" i="3"/>
  <c r="E301" i="3"/>
  <c r="G301" i="3"/>
  <c r="I301" i="3"/>
  <c r="K301" i="3"/>
  <c r="M301" i="3"/>
  <c r="O301" i="3"/>
  <c r="Q301" i="3"/>
  <c r="S301" i="3"/>
  <c r="U301" i="3"/>
  <c r="W301" i="3"/>
  <c r="Y301" i="3"/>
  <c r="AA301" i="3"/>
  <c r="AC301" i="3"/>
  <c r="AE301" i="3"/>
  <c r="B303" i="3"/>
  <c r="C303" i="3"/>
  <c r="E303" i="3"/>
  <c r="G303" i="3"/>
  <c r="I303" i="3"/>
  <c r="K303" i="3"/>
  <c r="M303" i="3"/>
  <c r="O303" i="3"/>
  <c r="Q303" i="3"/>
  <c r="S303" i="3"/>
  <c r="U303" i="3"/>
  <c r="W303" i="3"/>
  <c r="Y303" i="3"/>
  <c r="AA303" i="3"/>
  <c r="AC303" i="3"/>
  <c r="AE303" i="3"/>
  <c r="B304" i="3"/>
  <c r="C304" i="3"/>
  <c r="E304" i="3"/>
  <c r="G304" i="3"/>
  <c r="I304" i="3"/>
  <c r="K304" i="3"/>
  <c r="M304" i="3"/>
  <c r="O304" i="3"/>
  <c r="Q304" i="3"/>
  <c r="S304" i="3"/>
  <c r="U304" i="3"/>
  <c r="W304" i="3"/>
  <c r="Y304" i="3"/>
  <c r="AA304" i="3"/>
  <c r="AC304" i="3"/>
  <c r="AE304" i="3"/>
  <c r="B305" i="3"/>
  <c r="C305" i="3"/>
  <c r="E305" i="3"/>
  <c r="G305" i="3"/>
  <c r="I305" i="3"/>
  <c r="K305" i="3"/>
  <c r="M305" i="3"/>
  <c r="O305" i="3"/>
  <c r="Q305" i="3"/>
  <c r="S305" i="3"/>
  <c r="U305" i="3"/>
  <c r="W305" i="3"/>
  <c r="Y305" i="3"/>
  <c r="AA305" i="3"/>
  <c r="AC305" i="3"/>
  <c r="AE305" i="3"/>
  <c r="B306" i="3"/>
  <c r="C306" i="3"/>
  <c r="E306" i="3"/>
  <c r="G306" i="3"/>
  <c r="I306" i="3"/>
  <c r="K306" i="3"/>
  <c r="M306" i="3"/>
  <c r="O306" i="3"/>
  <c r="Q306" i="3"/>
  <c r="S306" i="3"/>
  <c r="U306" i="3"/>
  <c r="W306" i="3"/>
  <c r="Y306" i="3"/>
  <c r="AA306" i="3"/>
  <c r="AC306" i="3"/>
  <c r="AE306" i="3"/>
  <c r="C307" i="3"/>
  <c r="E307" i="3"/>
  <c r="G307" i="3"/>
  <c r="I307" i="3"/>
  <c r="K307" i="3"/>
  <c r="M307" i="3"/>
  <c r="O307" i="3"/>
  <c r="Q307" i="3"/>
  <c r="S307" i="3"/>
  <c r="U307" i="3"/>
  <c r="W307" i="3"/>
  <c r="Y307" i="3"/>
  <c r="AA307" i="3"/>
  <c r="AC307" i="3"/>
  <c r="AE307" i="3"/>
  <c r="C308" i="3"/>
  <c r="E308" i="3"/>
  <c r="G308" i="3"/>
  <c r="I308" i="3"/>
  <c r="K308" i="3"/>
  <c r="M308" i="3"/>
  <c r="O308" i="3"/>
  <c r="Q308" i="3"/>
  <c r="S308" i="3"/>
  <c r="U308" i="3"/>
  <c r="W308" i="3"/>
  <c r="Y308" i="3"/>
  <c r="AA308" i="3"/>
  <c r="AC308" i="3"/>
  <c r="AE308" i="3"/>
  <c r="C310" i="3"/>
  <c r="E310" i="3"/>
  <c r="G310" i="3"/>
  <c r="I310" i="3"/>
  <c r="K310" i="3"/>
  <c r="M310" i="3"/>
  <c r="O310" i="3"/>
  <c r="Q310" i="3"/>
  <c r="S310" i="3"/>
  <c r="T310" i="3"/>
  <c r="U310" i="3"/>
  <c r="W310" i="3"/>
  <c r="Y310" i="3"/>
  <c r="AA310" i="3"/>
  <c r="AC310" i="3"/>
  <c r="AE310" i="3"/>
  <c r="B312" i="3"/>
  <c r="C312" i="3"/>
  <c r="E312" i="3"/>
  <c r="G312" i="3"/>
  <c r="I312" i="3"/>
  <c r="K312" i="3"/>
  <c r="M312" i="3"/>
  <c r="O312" i="3"/>
  <c r="Q312" i="3"/>
  <c r="S312" i="3"/>
  <c r="U312" i="3"/>
  <c r="W312" i="3"/>
  <c r="Y312" i="3"/>
  <c r="AA312" i="3"/>
  <c r="AC312" i="3"/>
  <c r="AE312" i="3"/>
  <c r="B313" i="3"/>
  <c r="C313" i="3"/>
  <c r="E313" i="3"/>
  <c r="G313" i="3"/>
  <c r="I313" i="3"/>
  <c r="K313" i="3"/>
  <c r="M313" i="3"/>
  <c r="O313" i="3"/>
  <c r="Q313" i="3"/>
  <c r="S313" i="3"/>
  <c r="U313" i="3"/>
  <c r="W313" i="3"/>
  <c r="Y313" i="3"/>
  <c r="AA313" i="3"/>
  <c r="AC313" i="3"/>
  <c r="AE313" i="3"/>
  <c r="B314" i="3"/>
  <c r="C314" i="3"/>
  <c r="E314" i="3"/>
  <c r="G314" i="3"/>
  <c r="I314" i="3"/>
  <c r="K314" i="3"/>
  <c r="M314" i="3"/>
  <c r="O314" i="3"/>
  <c r="Q314" i="3"/>
  <c r="S314" i="3"/>
  <c r="U314" i="3"/>
  <c r="W314" i="3"/>
  <c r="Y314" i="3"/>
  <c r="AA314" i="3"/>
  <c r="AC314" i="3"/>
  <c r="AE314" i="3"/>
  <c r="B315" i="3"/>
  <c r="C315" i="3"/>
  <c r="E315" i="3"/>
  <c r="G315" i="3"/>
  <c r="I315" i="3"/>
  <c r="K315" i="3"/>
  <c r="M315" i="3"/>
  <c r="O315" i="3"/>
  <c r="Q315" i="3"/>
  <c r="S315" i="3"/>
  <c r="U315" i="3"/>
  <c r="W315" i="3"/>
  <c r="Y315" i="3"/>
  <c r="AA315" i="3"/>
  <c r="AC315" i="3"/>
  <c r="AE315" i="3"/>
  <c r="B316" i="3"/>
  <c r="C316" i="3"/>
  <c r="E316" i="3"/>
  <c r="G316" i="3"/>
  <c r="I316" i="3"/>
  <c r="K316" i="3"/>
  <c r="M316" i="3"/>
  <c r="O316" i="3"/>
  <c r="Q316" i="3"/>
  <c r="S316" i="3"/>
  <c r="U316" i="3"/>
  <c r="W316" i="3"/>
  <c r="Y316" i="3"/>
  <c r="AA316" i="3"/>
  <c r="AC316" i="3"/>
  <c r="AE316" i="3"/>
  <c r="B317" i="3"/>
  <c r="C317" i="3"/>
  <c r="E317" i="3"/>
  <c r="G317" i="3"/>
  <c r="I317" i="3"/>
  <c r="K317" i="3"/>
  <c r="M317" i="3"/>
  <c r="O317" i="3"/>
  <c r="Q317" i="3"/>
  <c r="S317" i="3"/>
  <c r="U317" i="3"/>
  <c r="W317" i="3"/>
  <c r="Y317" i="3"/>
  <c r="AA317" i="3"/>
  <c r="AC317" i="3"/>
  <c r="AE317" i="3"/>
  <c r="B318" i="3"/>
  <c r="C318" i="3"/>
  <c r="E318" i="3"/>
  <c r="G318" i="3"/>
  <c r="I318" i="3"/>
  <c r="K318" i="3"/>
  <c r="M318" i="3"/>
  <c r="O318" i="3"/>
  <c r="Q318" i="3"/>
  <c r="S318" i="3"/>
  <c r="U318" i="3"/>
  <c r="W318" i="3"/>
  <c r="Y318" i="3"/>
  <c r="AA318" i="3"/>
  <c r="AC318" i="3"/>
  <c r="AE318" i="3"/>
  <c r="B319" i="3"/>
  <c r="C319" i="3"/>
  <c r="E319" i="3"/>
  <c r="G319" i="3"/>
  <c r="I319" i="3"/>
  <c r="K319" i="3"/>
  <c r="M319" i="3"/>
  <c r="O319" i="3"/>
  <c r="Q319" i="3"/>
  <c r="S319" i="3"/>
  <c r="U319" i="3"/>
  <c r="W319" i="3"/>
  <c r="Y319" i="3"/>
  <c r="AA319" i="3"/>
  <c r="AC319" i="3"/>
  <c r="AE319" i="3"/>
  <c r="B320" i="3"/>
  <c r="C320" i="3"/>
  <c r="E320" i="3"/>
  <c r="G320" i="3"/>
  <c r="I320" i="3"/>
  <c r="K320" i="3"/>
  <c r="M320" i="3"/>
  <c r="O320" i="3"/>
  <c r="Q320" i="3"/>
  <c r="S320" i="3"/>
  <c r="U320" i="3"/>
  <c r="W320" i="3"/>
  <c r="Y320" i="3"/>
  <c r="AA320" i="3"/>
  <c r="AC320" i="3"/>
  <c r="AE320" i="3"/>
  <c r="B321" i="3"/>
  <c r="C321" i="3"/>
  <c r="E321" i="3"/>
  <c r="G321" i="3"/>
  <c r="I321" i="3"/>
  <c r="K321" i="3"/>
  <c r="M321" i="3"/>
  <c r="O321" i="3"/>
  <c r="Q321" i="3"/>
  <c r="S321" i="3"/>
  <c r="U321" i="3"/>
  <c r="W321" i="3"/>
  <c r="Y321" i="3"/>
  <c r="AA321" i="3"/>
  <c r="AC321" i="3"/>
  <c r="AE321" i="3"/>
  <c r="B322" i="3"/>
  <c r="C322" i="3"/>
  <c r="E322" i="3"/>
  <c r="G322" i="3"/>
  <c r="I322" i="3"/>
  <c r="K322" i="3"/>
  <c r="M322" i="3"/>
  <c r="O322" i="3"/>
  <c r="Q322" i="3"/>
  <c r="S322" i="3"/>
  <c r="U322" i="3"/>
  <c r="W322" i="3"/>
  <c r="Y322" i="3"/>
  <c r="AA322" i="3"/>
  <c r="AC322" i="3"/>
  <c r="AE322" i="3"/>
  <c r="B323" i="3"/>
  <c r="C323" i="3"/>
  <c r="E323" i="3"/>
  <c r="G323" i="3"/>
  <c r="I323" i="3"/>
  <c r="K323" i="3"/>
  <c r="M323" i="3"/>
  <c r="O323" i="3"/>
  <c r="Q323" i="3"/>
  <c r="S323" i="3"/>
  <c r="U323" i="3"/>
  <c r="W323" i="3"/>
  <c r="Y323" i="3"/>
  <c r="AA323" i="3"/>
  <c r="AC323" i="3"/>
  <c r="AE323" i="3"/>
  <c r="C324" i="3"/>
  <c r="E324" i="3"/>
  <c r="G324" i="3"/>
  <c r="I324" i="3"/>
  <c r="K324" i="3"/>
  <c r="M324" i="3"/>
  <c r="O324" i="3"/>
  <c r="Q324" i="3"/>
  <c r="S324" i="3"/>
  <c r="U324" i="3"/>
  <c r="W324" i="3"/>
  <c r="Y324" i="3"/>
  <c r="AA324" i="3"/>
  <c r="AC324" i="3"/>
  <c r="AE324" i="3"/>
  <c r="C325" i="3"/>
  <c r="E325" i="3"/>
  <c r="G325" i="3"/>
  <c r="I325" i="3"/>
  <c r="K325" i="3"/>
  <c r="M325" i="3"/>
  <c r="O325" i="3"/>
  <c r="Q325" i="3"/>
  <c r="S325" i="3"/>
  <c r="U325" i="3"/>
  <c r="W325" i="3"/>
  <c r="Y325" i="3"/>
  <c r="AA325" i="3"/>
  <c r="AC325" i="3"/>
  <c r="AE325" i="3"/>
  <c r="B327" i="3"/>
  <c r="C327" i="3"/>
  <c r="E327" i="3"/>
  <c r="G327" i="3"/>
  <c r="I327" i="3"/>
  <c r="K327" i="3"/>
  <c r="M327" i="3"/>
  <c r="O327" i="3"/>
  <c r="Q327" i="3"/>
  <c r="S327" i="3"/>
  <c r="U327" i="3"/>
  <c r="W327" i="3"/>
  <c r="Y327" i="3"/>
  <c r="AA327" i="3"/>
  <c r="AC327" i="3"/>
  <c r="AE327" i="3"/>
  <c r="B328" i="3"/>
  <c r="C328" i="3"/>
  <c r="E328" i="3"/>
  <c r="G328" i="3"/>
  <c r="I328" i="3"/>
  <c r="K328" i="3"/>
  <c r="M328" i="3"/>
  <c r="O328" i="3"/>
  <c r="Q328" i="3"/>
  <c r="S328" i="3"/>
  <c r="U328" i="3"/>
  <c r="W328" i="3"/>
  <c r="Y328" i="3"/>
  <c r="AA328" i="3"/>
  <c r="AC328" i="3"/>
  <c r="AE328" i="3"/>
  <c r="C329" i="3"/>
  <c r="E329" i="3"/>
  <c r="G329" i="3"/>
  <c r="I329" i="3"/>
  <c r="K329" i="3"/>
  <c r="M329" i="3"/>
  <c r="O329" i="3"/>
  <c r="Q329" i="3"/>
  <c r="S329" i="3"/>
  <c r="U329" i="3"/>
  <c r="W329" i="3"/>
  <c r="Y329" i="3"/>
  <c r="AA329" i="3"/>
  <c r="AC329" i="3"/>
  <c r="AE329" i="3"/>
  <c r="B331" i="3"/>
  <c r="C331" i="3"/>
  <c r="E331" i="3"/>
  <c r="G331" i="3"/>
  <c r="I331" i="3"/>
  <c r="K331" i="3"/>
  <c r="M331" i="3"/>
  <c r="O331" i="3"/>
  <c r="Q331" i="3"/>
  <c r="S331" i="3"/>
  <c r="U331" i="3"/>
  <c r="W331" i="3"/>
  <c r="Y331" i="3"/>
  <c r="AA331" i="3"/>
  <c r="AC331" i="3"/>
  <c r="AE331" i="3"/>
  <c r="C332" i="3"/>
  <c r="E332" i="3"/>
  <c r="G332" i="3"/>
  <c r="I332" i="3"/>
  <c r="K332" i="3"/>
  <c r="M332" i="3"/>
  <c r="O332" i="3"/>
  <c r="Q332" i="3"/>
  <c r="S332" i="3"/>
  <c r="U332" i="3"/>
  <c r="W332" i="3"/>
  <c r="Y332" i="3"/>
  <c r="AA332" i="3"/>
  <c r="AC332" i="3"/>
  <c r="AE332" i="3"/>
  <c r="C333" i="3"/>
  <c r="E333" i="3"/>
  <c r="G333" i="3"/>
  <c r="I333" i="3"/>
  <c r="K333" i="3"/>
  <c r="M333" i="3"/>
  <c r="O333" i="3"/>
  <c r="Q333" i="3"/>
  <c r="S333" i="3"/>
  <c r="U333" i="3"/>
  <c r="W333" i="3"/>
  <c r="Y333" i="3"/>
  <c r="AA333" i="3"/>
  <c r="AC333" i="3"/>
  <c r="AE333" i="3"/>
  <c r="AC334" i="3"/>
  <c r="AE334" i="3"/>
  <c r="C335" i="3"/>
  <c r="E335" i="3"/>
  <c r="G335" i="3"/>
  <c r="I335" i="3"/>
  <c r="K335" i="3"/>
  <c r="M335" i="3"/>
  <c r="O335" i="3"/>
  <c r="Q335" i="3"/>
  <c r="S335" i="3"/>
  <c r="U335" i="3"/>
  <c r="W335" i="3"/>
  <c r="Y335" i="3"/>
  <c r="AA335" i="3"/>
  <c r="AC335" i="3"/>
  <c r="AE335" i="3"/>
  <c r="C337" i="3"/>
  <c r="E337" i="3"/>
  <c r="G337" i="3"/>
  <c r="I337" i="3"/>
  <c r="K337" i="3"/>
  <c r="M337" i="3"/>
  <c r="O337" i="3"/>
  <c r="Q337" i="3"/>
  <c r="S337" i="3"/>
  <c r="U337" i="3"/>
  <c r="W337" i="3"/>
  <c r="Y337" i="3"/>
  <c r="AA337" i="3"/>
  <c r="AC337" i="3"/>
  <c r="AE337" i="3"/>
  <c r="B339" i="3"/>
  <c r="C339" i="3"/>
  <c r="E339" i="3"/>
  <c r="G339" i="3"/>
  <c r="I339" i="3"/>
  <c r="K339" i="3"/>
  <c r="M339" i="3"/>
  <c r="O339" i="3"/>
  <c r="Q339" i="3"/>
  <c r="S339" i="3"/>
  <c r="U339" i="3"/>
  <c r="W339" i="3"/>
  <c r="Y339" i="3"/>
  <c r="AA339" i="3"/>
  <c r="AC339" i="3"/>
  <c r="AE339" i="3"/>
  <c r="B340" i="3"/>
  <c r="C340" i="3"/>
  <c r="E340" i="3"/>
  <c r="G340" i="3"/>
  <c r="I340" i="3"/>
  <c r="K340" i="3"/>
  <c r="M340" i="3"/>
  <c r="O340" i="3"/>
  <c r="Q340" i="3"/>
  <c r="S340" i="3"/>
  <c r="U340" i="3"/>
  <c r="W340" i="3"/>
  <c r="Y340" i="3"/>
  <c r="AA340" i="3"/>
  <c r="AC340" i="3"/>
  <c r="AE340" i="3"/>
  <c r="B341" i="3"/>
  <c r="C341" i="3"/>
  <c r="E341" i="3"/>
  <c r="G341" i="3"/>
  <c r="I341" i="3"/>
  <c r="K341" i="3"/>
  <c r="M341" i="3"/>
  <c r="O341" i="3"/>
  <c r="Q341" i="3"/>
  <c r="S341" i="3"/>
  <c r="U341" i="3"/>
  <c r="W341" i="3"/>
  <c r="Y341" i="3"/>
  <c r="AA341" i="3"/>
  <c r="AC341" i="3"/>
  <c r="AE341" i="3"/>
  <c r="C342" i="3"/>
  <c r="E342" i="3"/>
  <c r="G342" i="3"/>
  <c r="I342" i="3"/>
  <c r="K342" i="3"/>
  <c r="M342" i="3"/>
  <c r="O342" i="3"/>
  <c r="Q342" i="3"/>
  <c r="S342" i="3"/>
  <c r="U342" i="3"/>
  <c r="W342" i="3"/>
  <c r="Y342" i="3"/>
  <c r="AA342" i="3"/>
  <c r="AC342" i="3"/>
  <c r="AE342" i="3"/>
  <c r="C343" i="3"/>
  <c r="E343" i="3"/>
  <c r="G343" i="3"/>
  <c r="I343" i="3"/>
  <c r="K343" i="3"/>
  <c r="M343" i="3"/>
  <c r="O343" i="3"/>
  <c r="Q343" i="3"/>
  <c r="S343" i="3"/>
  <c r="U343" i="3"/>
  <c r="W343" i="3"/>
  <c r="Y343" i="3"/>
  <c r="AA343" i="3"/>
  <c r="AC343" i="3"/>
  <c r="AE343" i="3"/>
  <c r="B345" i="3"/>
  <c r="C345" i="3"/>
  <c r="E345" i="3"/>
  <c r="G345" i="3"/>
  <c r="I345" i="3"/>
  <c r="K345" i="3"/>
  <c r="M345" i="3"/>
  <c r="O345" i="3"/>
  <c r="Q345" i="3"/>
  <c r="S345" i="3"/>
  <c r="U345" i="3"/>
  <c r="W345" i="3"/>
  <c r="Y345" i="3"/>
  <c r="AA345" i="3"/>
  <c r="AC345" i="3"/>
  <c r="AE345" i="3"/>
  <c r="B347" i="3"/>
  <c r="C347" i="3"/>
  <c r="E347" i="3"/>
  <c r="G347" i="3"/>
  <c r="I347" i="3"/>
  <c r="K347" i="3"/>
  <c r="M347" i="3"/>
  <c r="O347" i="3"/>
  <c r="Q347" i="3"/>
  <c r="S347" i="3"/>
  <c r="U347" i="3"/>
  <c r="W347" i="3"/>
  <c r="Y347" i="3"/>
  <c r="AA347" i="3"/>
  <c r="AC347" i="3"/>
  <c r="AE347" i="3"/>
  <c r="C348" i="3"/>
  <c r="E348" i="3"/>
  <c r="G348" i="3"/>
  <c r="I348" i="3"/>
  <c r="K348" i="3"/>
  <c r="M348" i="3"/>
  <c r="O348" i="3"/>
  <c r="Q348" i="3"/>
  <c r="S348" i="3"/>
  <c r="U348" i="3"/>
  <c r="W348" i="3"/>
  <c r="Y348" i="3"/>
  <c r="AA348" i="3"/>
  <c r="AC348" i="3"/>
  <c r="AE348" i="3"/>
  <c r="C349" i="3"/>
  <c r="E349" i="3"/>
  <c r="G349" i="3"/>
  <c r="I349" i="3"/>
  <c r="K349" i="3"/>
  <c r="M349" i="3"/>
  <c r="O349" i="3"/>
  <c r="Q349" i="3"/>
  <c r="S349" i="3"/>
  <c r="U349" i="3"/>
  <c r="W349" i="3"/>
  <c r="Y349" i="3"/>
  <c r="AA349" i="3"/>
  <c r="AC349" i="3"/>
  <c r="AE349" i="3"/>
  <c r="B351" i="3"/>
  <c r="C351" i="3"/>
  <c r="E351" i="3"/>
  <c r="G351" i="3"/>
  <c r="I351" i="3"/>
  <c r="K351" i="3"/>
  <c r="M351" i="3"/>
  <c r="O351" i="3"/>
  <c r="Q351" i="3"/>
  <c r="S351" i="3"/>
  <c r="U351" i="3"/>
  <c r="W351" i="3"/>
  <c r="Y351" i="3"/>
  <c r="AA351" i="3"/>
  <c r="AC351" i="3"/>
  <c r="AE351" i="3"/>
  <c r="B352" i="3"/>
  <c r="C352" i="3"/>
  <c r="E352" i="3"/>
  <c r="G352" i="3"/>
  <c r="I352" i="3"/>
  <c r="K352" i="3"/>
  <c r="M352" i="3"/>
  <c r="O352" i="3"/>
  <c r="Q352" i="3"/>
  <c r="S352" i="3"/>
  <c r="U352" i="3"/>
  <c r="W352" i="3"/>
  <c r="Y352" i="3"/>
  <c r="AA352" i="3"/>
  <c r="AC352" i="3"/>
  <c r="AE352" i="3"/>
  <c r="B353" i="3"/>
  <c r="C353" i="3"/>
  <c r="E353" i="3"/>
  <c r="G353" i="3"/>
  <c r="I353" i="3"/>
  <c r="K353" i="3"/>
  <c r="M353" i="3"/>
  <c r="O353" i="3"/>
  <c r="Q353" i="3"/>
  <c r="S353" i="3"/>
  <c r="U353" i="3"/>
  <c r="W353" i="3"/>
  <c r="Y353" i="3"/>
  <c r="AA353" i="3"/>
  <c r="AC353" i="3"/>
  <c r="AE353" i="3"/>
  <c r="C354" i="3"/>
  <c r="E354" i="3"/>
  <c r="G354" i="3"/>
  <c r="I354" i="3"/>
  <c r="K354" i="3"/>
  <c r="M354" i="3"/>
  <c r="O354" i="3"/>
  <c r="Q354" i="3"/>
  <c r="S354" i="3"/>
  <c r="U354" i="3"/>
  <c r="W354" i="3"/>
  <c r="Y354" i="3"/>
  <c r="AA354" i="3"/>
  <c r="AC354" i="3"/>
  <c r="AE354" i="3"/>
  <c r="B355" i="3"/>
  <c r="C355" i="3"/>
  <c r="E355" i="3"/>
  <c r="G355" i="3"/>
  <c r="I355" i="3"/>
  <c r="K355" i="3"/>
  <c r="M355" i="3"/>
  <c r="O355" i="3"/>
  <c r="Q355" i="3"/>
  <c r="S355" i="3"/>
  <c r="U355" i="3"/>
  <c r="W355" i="3"/>
  <c r="Y355" i="3"/>
  <c r="AA355" i="3"/>
  <c r="AC355" i="3"/>
  <c r="AE355" i="3"/>
  <c r="B357" i="3"/>
  <c r="C357" i="3"/>
  <c r="E357" i="3"/>
  <c r="G357" i="3"/>
  <c r="I357" i="3"/>
  <c r="K357" i="3"/>
  <c r="M357" i="3"/>
  <c r="O357" i="3"/>
  <c r="Q357" i="3"/>
  <c r="S357" i="3"/>
  <c r="U357" i="3"/>
  <c r="W357" i="3"/>
  <c r="Y357" i="3"/>
  <c r="AA357" i="3"/>
  <c r="AC357" i="3"/>
  <c r="AE357" i="3"/>
  <c r="B358" i="3"/>
  <c r="C358" i="3"/>
  <c r="E358" i="3"/>
  <c r="G358" i="3"/>
  <c r="I358" i="3"/>
  <c r="K358" i="3"/>
  <c r="M358" i="3"/>
  <c r="O358" i="3"/>
  <c r="Q358" i="3"/>
  <c r="S358" i="3"/>
  <c r="U358" i="3"/>
  <c r="W358" i="3"/>
  <c r="Y358" i="3"/>
  <c r="AA358" i="3"/>
  <c r="AC358" i="3"/>
  <c r="AE358" i="3"/>
  <c r="B359" i="3"/>
  <c r="C359" i="3"/>
  <c r="E359" i="3"/>
  <c r="G359" i="3"/>
  <c r="I359" i="3"/>
  <c r="K359" i="3"/>
  <c r="M359" i="3"/>
  <c r="O359" i="3"/>
  <c r="Q359" i="3"/>
  <c r="S359" i="3"/>
  <c r="U359" i="3"/>
  <c r="W359" i="3"/>
  <c r="Y359" i="3"/>
  <c r="AA359" i="3"/>
  <c r="AC359" i="3"/>
  <c r="AE359" i="3"/>
  <c r="B360" i="3"/>
  <c r="C360" i="3"/>
  <c r="E360" i="3"/>
  <c r="G360" i="3"/>
  <c r="I360" i="3"/>
  <c r="K360" i="3"/>
  <c r="M360" i="3"/>
  <c r="O360" i="3"/>
  <c r="Q360" i="3"/>
  <c r="S360" i="3"/>
  <c r="U360" i="3"/>
  <c r="W360" i="3"/>
  <c r="Y360" i="3"/>
  <c r="AA360" i="3"/>
  <c r="AC360" i="3"/>
  <c r="AE360" i="3"/>
  <c r="C361" i="3"/>
  <c r="E361" i="3"/>
  <c r="G361" i="3"/>
  <c r="I361" i="3"/>
  <c r="K361" i="3"/>
  <c r="M361" i="3"/>
  <c r="O361" i="3"/>
  <c r="Q361" i="3"/>
  <c r="S361" i="3"/>
  <c r="U361" i="3"/>
  <c r="W361" i="3"/>
  <c r="Y361" i="3"/>
  <c r="AA361" i="3"/>
  <c r="AC361" i="3"/>
  <c r="AE361" i="3"/>
  <c r="C362" i="3"/>
  <c r="E362" i="3"/>
  <c r="G362" i="3"/>
  <c r="I362" i="3"/>
  <c r="K362" i="3"/>
  <c r="M362" i="3"/>
  <c r="O362" i="3"/>
  <c r="Q362" i="3"/>
  <c r="S362" i="3"/>
  <c r="U362" i="3"/>
  <c r="W362" i="3"/>
  <c r="Y362" i="3"/>
  <c r="AA362" i="3"/>
  <c r="AC362" i="3"/>
  <c r="AE362" i="3"/>
  <c r="C364" i="3"/>
  <c r="E364" i="3"/>
  <c r="G364" i="3"/>
  <c r="I364" i="3"/>
  <c r="K364" i="3"/>
  <c r="M364" i="3"/>
  <c r="O364" i="3"/>
  <c r="Q364" i="3"/>
  <c r="S364" i="3"/>
  <c r="U364" i="3"/>
  <c r="W364" i="3"/>
  <c r="Y364" i="3"/>
  <c r="AA364" i="3"/>
  <c r="AC364" i="3"/>
  <c r="AD364" i="3"/>
  <c r="AE364" i="3"/>
  <c r="C366" i="3"/>
  <c r="E366" i="3"/>
  <c r="G366" i="3"/>
  <c r="I366" i="3"/>
  <c r="K366" i="3"/>
  <c r="M366" i="3"/>
  <c r="O366" i="3"/>
  <c r="Q366" i="3"/>
  <c r="S366" i="3"/>
  <c r="U366" i="3"/>
  <c r="W366" i="3"/>
  <c r="Y366" i="3"/>
  <c r="AA366" i="3"/>
  <c r="AC366" i="3"/>
  <c r="AD366" i="3"/>
  <c r="AE366" i="3"/>
  <c r="C368" i="3"/>
  <c r="E368" i="3"/>
  <c r="G368" i="3"/>
  <c r="I368" i="3"/>
  <c r="K368" i="3"/>
  <c r="M368" i="3"/>
  <c r="O368" i="3"/>
  <c r="Q368" i="3"/>
  <c r="S368" i="3"/>
  <c r="U368" i="3"/>
  <c r="W368" i="3"/>
  <c r="Y368" i="3"/>
  <c r="AA368" i="3"/>
  <c r="AC368" i="3"/>
  <c r="AE368" i="3"/>
  <c r="AA369" i="3"/>
  <c r="AE369" i="3"/>
  <c r="AA370" i="3"/>
  <c r="AC370" i="3"/>
  <c r="AE370" i="3"/>
  <c r="AA371" i="3"/>
  <c r="AC371" i="3"/>
  <c r="AC372" i="3"/>
  <c r="AE372" i="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216" authorId="0" shapeId="0">
      <text>
        <r>
          <rPr>
            <sz val="8"/>
            <color indexed="81"/>
            <rFont val="Tahoma"/>
          </rPr>
          <t>Move rounding amount over each month.</t>
        </r>
      </text>
    </comment>
  </commentList>
</comments>
</file>

<file path=xl/sharedStrings.xml><?xml version="1.0" encoding="utf-8"?>
<sst xmlns="http://schemas.openxmlformats.org/spreadsheetml/2006/main" count="1103" uniqueCount="633">
  <si>
    <t>&lt;=== ENTER  MONTH TO PROCESS (EXAMPLE JAN=1, FEB =2, ETC)</t>
  </si>
  <si>
    <t>TRANSWESTERN PIPELINE COMPANY (Incl. Fair Value Adj.)</t>
  </si>
  <si>
    <t>Financial Position</t>
  </si>
  <si>
    <t>(Thousands of Dollars)</t>
  </si>
  <si>
    <t>December 31,</t>
  </si>
  <si>
    <t>ASSETS</t>
  </si>
  <si>
    <t>Current Assets</t>
  </si>
  <si>
    <t xml:space="preserve">   Cash and Temp Cash Investments</t>
  </si>
  <si>
    <t xml:space="preserve">   Accounts &amp; Notes Rec - Assoc Cos.</t>
  </si>
  <si>
    <t xml:space="preserve">                                            - Other</t>
  </si>
  <si>
    <t xml:space="preserve">   Materials and Supplies</t>
  </si>
  <si>
    <t xml:space="preserve">   Transportation and Exchange Gas Receivable</t>
  </si>
  <si>
    <t xml:space="preserve">   Prepayments</t>
  </si>
  <si>
    <t xml:space="preserve">   Other Regulatory Assets</t>
  </si>
  <si>
    <t xml:space="preserve">   Other</t>
  </si>
  <si>
    <t xml:space="preserve">Total </t>
  </si>
  <si>
    <t>Investments and Other Assets</t>
  </si>
  <si>
    <t>Plant</t>
  </si>
  <si>
    <t xml:space="preserve">   Accumulated Depreciation</t>
  </si>
  <si>
    <t>Net Plant</t>
  </si>
  <si>
    <t>Deferred Charges</t>
  </si>
  <si>
    <t>Total Deferred Charges</t>
  </si>
  <si>
    <t>TOTAL ASSETS</t>
  </si>
  <si>
    <t xml:space="preserve">        LIABILITIES AND CAPITAL</t>
  </si>
  <si>
    <t>Current Liabilities</t>
  </si>
  <si>
    <t xml:space="preserve">    Current Portion of Long Term Debt</t>
  </si>
  <si>
    <t xml:space="preserve">    Accounts Payable - Assoc Cos.</t>
  </si>
  <si>
    <t xml:space="preserve">                                    - Other</t>
  </si>
  <si>
    <t xml:space="preserve">   Transportation and Exchange Gas Payable</t>
  </si>
  <si>
    <t xml:space="preserve">   Accrued Taxes</t>
  </si>
  <si>
    <t xml:space="preserve">   Deferred Income Taxes - Current</t>
  </si>
  <si>
    <t xml:space="preserve">   Accrued Interest</t>
  </si>
  <si>
    <t>Total Current Liabilities</t>
  </si>
  <si>
    <t>Deferred Credits &amp; Other Liabilities</t>
  </si>
  <si>
    <t>Total Deferred Credits &amp; Other Liabilities</t>
  </si>
  <si>
    <t xml:space="preserve">Long-term Debt, Net of Current Maturities  </t>
  </si>
  <si>
    <t>Capital</t>
  </si>
  <si>
    <t xml:space="preserve">   Common Stock</t>
  </si>
  <si>
    <t xml:space="preserve">   Paid-In Capital</t>
  </si>
  <si>
    <t xml:space="preserve">   Retained Earnings</t>
  </si>
  <si>
    <t xml:space="preserve">        Total Capital</t>
  </si>
  <si>
    <t xml:space="preserve"> TOTAL LIABILITIES AND CAPITAL</t>
  </si>
  <si>
    <t>January 31,</t>
  </si>
  <si>
    <t>March 31,</t>
  </si>
  <si>
    <t>April 30,</t>
  </si>
  <si>
    <t>May 31,</t>
  </si>
  <si>
    <t>June 30,</t>
  </si>
  <si>
    <t>July 31,</t>
  </si>
  <si>
    <t>August 31,</t>
  </si>
  <si>
    <t>September 30,</t>
  </si>
  <si>
    <t>October 31,</t>
  </si>
  <si>
    <t>November 30,</t>
  </si>
  <si>
    <t>NAME:</t>
  </si>
  <si>
    <t>TPAMI2</t>
  </si>
  <si>
    <t>060.padj</t>
  </si>
  <si>
    <t>092t.padj</t>
  </si>
  <si>
    <t>CUR PERIOD:</t>
  </si>
  <si>
    <t>PRIOR PERIOD:</t>
  </si>
  <si>
    <t>PRIOR YEAR END:</t>
  </si>
  <si>
    <t>DESCRIPTION</t>
  </si>
  <si>
    <t>gpg</t>
  </si>
  <si>
    <t>Corp</t>
  </si>
  <si>
    <t>gpg-Corp</t>
  </si>
  <si>
    <t>Difference</t>
  </si>
  <si>
    <t>0005</t>
  </si>
  <si>
    <t>0010</t>
  </si>
  <si>
    <t>0051</t>
  </si>
  <si>
    <t>0660</t>
  </si>
  <si>
    <t>0050</t>
  </si>
  <si>
    <t>0053</t>
  </si>
  <si>
    <t>0054</t>
  </si>
  <si>
    <t>0060</t>
  </si>
  <si>
    <t>0035</t>
  </si>
  <si>
    <t>0065</t>
  </si>
  <si>
    <t>0181</t>
  </si>
  <si>
    <t>0088</t>
  </si>
  <si>
    <t>0120</t>
  </si>
  <si>
    <t>0140</t>
  </si>
  <si>
    <t>0141</t>
  </si>
  <si>
    <t>0185</t>
  </si>
  <si>
    <t>0160</t>
  </si>
  <si>
    <t>0163</t>
  </si>
  <si>
    <t>0166</t>
  </si>
  <si>
    <t>0175</t>
  </si>
  <si>
    <t>0195_ENVIRON</t>
  </si>
  <si>
    <t>0195_J00125</t>
  </si>
  <si>
    <t>0195_J00131</t>
  </si>
  <si>
    <t>0195_MONS</t>
  </si>
  <si>
    <t>Environmental costs</t>
  </si>
  <si>
    <t>0195_TCR</t>
  </si>
  <si>
    <t>0195_TCRII</t>
  </si>
  <si>
    <t>0195_TCR_C</t>
  </si>
  <si>
    <t>0195_TCR_INT</t>
  </si>
  <si>
    <t>0195_AUDIT_ADJ</t>
  </si>
  <si>
    <t>0195_ENVIR_COST</t>
  </si>
  <si>
    <t>0195_LITIG</t>
  </si>
  <si>
    <t>0195_PGAR</t>
  </si>
  <si>
    <t>0195_S_GA</t>
  </si>
  <si>
    <t>0195_1823300_2550</t>
  </si>
  <si>
    <t>0195_TCR_PREF_INT</t>
  </si>
  <si>
    <t>0195_SEV_RELOC</t>
  </si>
  <si>
    <t>0195_PIPE_RECOAT</t>
  </si>
  <si>
    <t>0195_AFUDC_GU</t>
  </si>
  <si>
    <t>0195_REFUNCT</t>
  </si>
  <si>
    <t>0195_UNCOLL_REC</t>
  </si>
  <si>
    <t>0195_1823300_0400</t>
  </si>
  <si>
    <t>0195_ACA</t>
  </si>
  <si>
    <t>Current regulatory assets</t>
  </si>
  <si>
    <t>0195</t>
  </si>
  <si>
    <t>Other current assets</t>
  </si>
  <si>
    <t>0240</t>
  </si>
  <si>
    <t>0270</t>
  </si>
  <si>
    <t>0294</t>
  </si>
  <si>
    <t>0295</t>
  </si>
  <si>
    <t>0297</t>
  </si>
  <si>
    <t>0321</t>
  </si>
  <si>
    <t>0327</t>
  </si>
  <si>
    <t>0330</t>
  </si>
  <si>
    <t>0335</t>
  </si>
  <si>
    <t>0350</t>
  </si>
  <si>
    <t>0357_1823300_0100</t>
  </si>
  <si>
    <t>0357_1823300_0110</t>
  </si>
  <si>
    <t>0357_1823300_0150</t>
  </si>
  <si>
    <t>0357_1823300_0200</t>
  </si>
  <si>
    <t>0357_1823300_0250</t>
  </si>
  <si>
    <t>0357_1823300_0300</t>
  </si>
  <si>
    <t>0357_1823300_0400</t>
  </si>
  <si>
    <t>0357_1823300_1000</t>
  </si>
  <si>
    <t>0357_1823300_1001</t>
  </si>
  <si>
    <t>0357_1823300_2000</t>
  </si>
  <si>
    <t>0357_1823300_2500</t>
  </si>
  <si>
    <t>0357_1823300_2550</t>
  </si>
  <si>
    <t>0357_1823300_2580</t>
  </si>
  <si>
    <t>0357_1823300_2581</t>
  </si>
  <si>
    <t>0357_1823300_2551</t>
  </si>
  <si>
    <t>0357_1823300_2575</t>
  </si>
  <si>
    <t>0357_1823300_2576</t>
  </si>
  <si>
    <t>0357_1823300_4000</t>
  </si>
  <si>
    <t>0357_1823300_4500</t>
  </si>
  <si>
    <t>0357_1823300_5000</t>
  </si>
  <si>
    <t>0357_1823300_6000</t>
  </si>
  <si>
    <t>0357_1823300_7000</t>
  </si>
  <si>
    <t>0357_1823300_7050</t>
  </si>
  <si>
    <t>0357_1823300_8000</t>
  </si>
  <si>
    <t>0357_1823300_9000</t>
  </si>
  <si>
    <t>0357_1823300_9999</t>
  </si>
  <si>
    <t>0357_1823906</t>
  </si>
  <si>
    <t>0357_ACA_CURR</t>
  </si>
  <si>
    <t>0357_AFUDC_GU_CURR</t>
  </si>
  <si>
    <t>0357_AUDIT_ADJ_CURR</t>
  </si>
  <si>
    <t>0357_ENVIRON_CURR</t>
  </si>
  <si>
    <t>0357_ENVIR_COST_CURR</t>
  </si>
  <si>
    <t>0357_LITIG_CURR</t>
  </si>
  <si>
    <t>0357_PIPE_RECOAT_CUR</t>
  </si>
  <si>
    <t>0357_PGAR_CURR</t>
  </si>
  <si>
    <t>0357_PGAR_MINI</t>
  </si>
  <si>
    <t>0357_REG_COM_CURR</t>
  </si>
  <si>
    <t>0357_REFUNCT_CURR</t>
  </si>
  <si>
    <t>0357_S_GA_CURR</t>
  </si>
  <si>
    <t>0357_SEV_RELOC_CURR</t>
  </si>
  <si>
    <t>0357_TCR_C_CURR</t>
  </si>
  <si>
    <t>0357_TCR_PRF_INT_CUR</t>
  </si>
  <si>
    <t>0357_UNCOLL_REC_CURR</t>
  </si>
  <si>
    <t>0357</t>
  </si>
  <si>
    <t>0341</t>
  </si>
  <si>
    <t>0343</t>
  </si>
  <si>
    <t>0360</t>
  </si>
  <si>
    <t>Rounding - manual</t>
  </si>
  <si>
    <t>0450</t>
  </si>
  <si>
    <t>0516</t>
  </si>
  <si>
    <t>0517</t>
  </si>
  <si>
    <t>0052</t>
  </si>
  <si>
    <t>0064</t>
  </si>
  <si>
    <t>0515</t>
  </si>
  <si>
    <t>0632</t>
  </si>
  <si>
    <t>0633</t>
  </si>
  <si>
    <t>0560</t>
  </si>
  <si>
    <t>0540</t>
  </si>
  <si>
    <t>0545</t>
  </si>
  <si>
    <t>0600</t>
  </si>
  <si>
    <t>0565</t>
  </si>
  <si>
    <t>0566</t>
  </si>
  <si>
    <t>0655_GSR</t>
  </si>
  <si>
    <t>0655_PGA</t>
  </si>
  <si>
    <t>0641</t>
  </si>
  <si>
    <t>0655</t>
  </si>
  <si>
    <t>0780</t>
  </si>
  <si>
    <t>0784</t>
  </si>
  <si>
    <t>0785</t>
  </si>
  <si>
    <t>0844</t>
  </si>
  <si>
    <t>0860_2530999_4012</t>
  </si>
  <si>
    <t>0847</t>
  </si>
  <si>
    <t>0845</t>
  </si>
  <si>
    <t>0860</t>
  </si>
  <si>
    <t>0705</t>
  </si>
  <si>
    <t>0765</t>
  </si>
  <si>
    <t>0775</t>
  </si>
  <si>
    <t>0901</t>
  </si>
  <si>
    <t>0915</t>
  </si>
  <si>
    <t>0920</t>
  </si>
  <si>
    <t>0930</t>
  </si>
  <si>
    <t>0931</t>
  </si>
  <si>
    <t>Net Income - Fair Value Adjustment</t>
  </si>
  <si>
    <t>0941</t>
  </si>
  <si>
    <t>0942</t>
  </si>
  <si>
    <t>TOTAL LIABILITIES &amp; STKHLDRS EQUITY</t>
  </si>
  <si>
    <t>TRANSWESTERN PIPELINE COMPANY</t>
  </si>
  <si>
    <t>DETAILED BALANCE SHEET</t>
  </si>
  <si>
    <t>(In Thousands of Dollars)</t>
  </si>
  <si>
    <t>ACCOUNT</t>
  </si>
  <si>
    <t>CM</t>
  </si>
  <si>
    <t>YTD</t>
  </si>
  <si>
    <t>NUMBER</t>
  </si>
  <si>
    <t>Changes</t>
  </si>
  <si>
    <t>Other/rounding</t>
  </si>
  <si>
    <t>Cash and Temp Cash Investments</t>
  </si>
  <si>
    <t>Other</t>
  </si>
  <si>
    <t>Accounts &amp; Notes Rec-Assoc Cos.</t>
  </si>
  <si>
    <t>Accounts &amp; Notes Rec-Enron</t>
  </si>
  <si>
    <t>A</t>
  </si>
  <si>
    <t>Accounts &amp; Notes Rec - Other</t>
  </si>
  <si>
    <t>Inventories</t>
  </si>
  <si>
    <t>0088_1174200</t>
  </si>
  <si>
    <t>B</t>
  </si>
  <si>
    <t>Materials and Supplies</t>
  </si>
  <si>
    <t>Transportation and Exchange Gas Receivable</t>
  </si>
  <si>
    <t>C</t>
  </si>
  <si>
    <t>Deferred Contract Reformation Costs</t>
  </si>
  <si>
    <t>Other Regulatory Assets</t>
  </si>
  <si>
    <t>TOTAL CURRENT ASSETS</t>
  </si>
  <si>
    <t>0270_1240997_0156</t>
  </si>
  <si>
    <t>D</t>
  </si>
  <si>
    <t>Accumulated Depreciation</t>
  </si>
  <si>
    <t xml:space="preserve">Litigation </t>
  </si>
  <si>
    <t>Uncollectible receivables</t>
  </si>
  <si>
    <t>FERC audit adjustments</t>
  </si>
  <si>
    <t>Regulatory commission expense</t>
  </si>
  <si>
    <t>PGAR</t>
  </si>
  <si>
    <t>South Georgia</t>
  </si>
  <si>
    <t>Pipe recoating</t>
  </si>
  <si>
    <t>Severance &amp; Relocation</t>
  </si>
  <si>
    <t>AFUDC gross-up</t>
  </si>
  <si>
    <t>Accumulated reserve adjustment</t>
  </si>
  <si>
    <t>Total regulatory assets-noncurrent</t>
  </si>
  <si>
    <t>TOTAL REGULATORY ASSETS AND DEFERRED CHARGES</t>
  </si>
  <si>
    <t>LIABILITIES &amp; CAPITAL</t>
  </si>
  <si>
    <t>E</t>
  </si>
  <si>
    <t>Accounts Payable - Other</t>
  </si>
  <si>
    <t>Transportation and Exchange Gas Payable</t>
  </si>
  <si>
    <t>F</t>
  </si>
  <si>
    <t>G</t>
  </si>
  <si>
    <t>H</t>
  </si>
  <si>
    <t>Accrued Taxes</t>
  </si>
  <si>
    <t>0565_0000000</t>
  </si>
  <si>
    <t>0566_0000000</t>
  </si>
  <si>
    <t>Deferred Income Tax - Current</t>
  </si>
  <si>
    <t>Accrued Interest</t>
  </si>
  <si>
    <t>TOTAL CURRENT LIABILITIES</t>
  </si>
  <si>
    <t>0780_0000000</t>
  </si>
  <si>
    <t>0785_0000000</t>
  </si>
  <si>
    <t>Deferred Income Taxes - Non-Current</t>
  </si>
  <si>
    <t>TOTAL DEFERRED CREDITS &amp; OTHER LIABILITIES</t>
  </si>
  <si>
    <t>Long - term Debt, Net of Current Maturities</t>
  </si>
  <si>
    <t>Paid-In Capital</t>
  </si>
  <si>
    <t>Retained Earnings</t>
  </si>
  <si>
    <t>Total Capital</t>
  </si>
  <si>
    <t>TOTAL LIABILITIES &amp; CAPITAL</t>
  </si>
  <si>
    <t>Hyperion</t>
  </si>
  <si>
    <t>Description</t>
  </si>
  <si>
    <t>Account</t>
  </si>
  <si>
    <t>tot_assets</t>
  </si>
  <si>
    <t>tot_liab_equ</t>
  </si>
  <si>
    <t>Total Assets</t>
  </si>
  <si>
    <t>Total Liabilities &amp; Equity</t>
  </si>
  <si>
    <t>BALANCE SHEET DETAILED VARIANCE ANALYSIS</t>
  </si>
  <si>
    <t>(In thousands of dollars)</t>
  </si>
  <si>
    <t>Consolidating Balance Sheet - Transwestern Pipeline Company</t>
  </si>
  <si>
    <t xml:space="preserve">Hyperion </t>
  </si>
  <si>
    <t>TW</t>
  </si>
  <si>
    <t>Fair Value</t>
  </si>
  <si>
    <t>Combined</t>
  </si>
  <si>
    <t>Acct #</t>
  </si>
  <si>
    <t>Manual Rounding</t>
  </si>
  <si>
    <t>Total Liabilities &amp; Stockholder Equity</t>
  </si>
  <si>
    <t>BALANCE SHEET</t>
  </si>
  <si>
    <t>CHECK LIST</t>
  </si>
  <si>
    <t>CHECK OFF</t>
  </si>
  <si>
    <t>KEY</t>
  </si>
  <si>
    <t>FINANCIAL POSITION</t>
  </si>
  <si>
    <t>DETAIL BALANCE SHEET</t>
  </si>
  <si>
    <t>DECEMBER PRIOR YEAR FINANCIAL POSITION</t>
  </si>
  <si>
    <t>CORPORATE HYPERION VS EOC HYPERION REPORT</t>
  </si>
  <si>
    <t>RECONCILIATION OF GL TO HYPERION</t>
  </si>
  <si>
    <t>PREPARATION CHECK OFF</t>
  </si>
  <si>
    <t>1.</t>
  </si>
  <si>
    <t>(Totals with "        " at the bottom of each column)</t>
  </si>
  <si>
    <t>(Note with "        " at the RIGHT of selected rows)</t>
  </si>
  <si>
    <t>(Clearly reference each line to an attached source document)</t>
  </si>
  <si>
    <t>Reconciliation of G/L to Hyperion (Excluding hyperion entries)</t>
  </si>
  <si>
    <t>Balance Sheet</t>
  </si>
  <si>
    <t>LIABILITIES</t>
  </si>
  <si>
    <t>A/R from Corp</t>
  </si>
  <si>
    <t>ADFIT utility -Deferred income taxes -noncurrent</t>
  </si>
  <si>
    <t>ADSIT utility -Deferred income taxes -noncurrent</t>
  </si>
  <si>
    <t>difference</t>
  </si>
  <si>
    <t>0350/0357</t>
  </si>
  <si>
    <t>0357_TCRII_CURR</t>
  </si>
  <si>
    <t>Prepayments</t>
  </si>
  <si>
    <t>Transwestern Pipeline Company  #060.INP</t>
  </si>
  <si>
    <t>Transwestern Valuation Adjustments - # 092T.INP</t>
  </si>
  <si>
    <t>BALANCE SHEET BREAKDOWN</t>
  </si>
  <si>
    <t>Rounding</t>
  </si>
  <si>
    <t>2000</t>
  </si>
  <si>
    <t>0661</t>
  </si>
  <si>
    <t xml:space="preserve">HYPERION </t>
  </si>
  <si>
    <t>ACCT</t>
  </si>
  <si>
    <t>0624</t>
  </si>
  <si>
    <t>0309</t>
  </si>
  <si>
    <t>0195_23073000</t>
  </si>
  <si>
    <t>0357_25144000</t>
  </si>
  <si>
    <t>0357_25144100</t>
  </si>
  <si>
    <t>0010_20000100</t>
  </si>
  <si>
    <t>0051_20013000.20Q</t>
  </si>
  <si>
    <t>0051_20023000.827</t>
  </si>
  <si>
    <t>0660_20022500.011</t>
  </si>
  <si>
    <t>0050_20012000</t>
  </si>
  <si>
    <t>0053_20029100</t>
  </si>
  <si>
    <t>0054_20021000</t>
  </si>
  <si>
    <t>0060_20029200</t>
  </si>
  <si>
    <t>0120_21050000</t>
  </si>
  <si>
    <t>0185_20032500</t>
  </si>
  <si>
    <t>0175_23071000</t>
  </si>
  <si>
    <t>0195_23076000</t>
  </si>
  <si>
    <t>0294_26161000</t>
  </si>
  <si>
    <t>0294_26162000</t>
  </si>
  <si>
    <t>0294_26163000</t>
  </si>
  <si>
    <t>0294_26166100</t>
  </si>
  <si>
    <t>0294_26166300</t>
  </si>
  <si>
    <t>0295_26150000</t>
  </si>
  <si>
    <t>0321_27190000</t>
  </si>
  <si>
    <t>0321_27192000</t>
  </si>
  <si>
    <t>0321_27250000</t>
  </si>
  <si>
    <t>0335_27220000</t>
  </si>
  <si>
    <t>0341_25147500</t>
  </si>
  <si>
    <t>0343_25145000</t>
  </si>
  <si>
    <t>0360_25149100</t>
  </si>
  <si>
    <t>0515_10000001</t>
  </si>
  <si>
    <t>0515_30016000</t>
  </si>
  <si>
    <t>0515_30018000</t>
  </si>
  <si>
    <t>0515_30022000</t>
  </si>
  <si>
    <t>0515_30027000</t>
  </si>
  <si>
    <t>0632_30042500</t>
  </si>
  <si>
    <t>0540_30051000</t>
  </si>
  <si>
    <t>0560_30100000</t>
  </si>
  <si>
    <t>0560_30101000</t>
  </si>
  <si>
    <t>0560_30102000</t>
  </si>
  <si>
    <t>0560_30103000</t>
  </si>
  <si>
    <t>0560_30103100</t>
  </si>
  <si>
    <t>0560_30103200</t>
  </si>
  <si>
    <t>0560_30103300</t>
  </si>
  <si>
    <t>0560_30104000</t>
  </si>
  <si>
    <t>0560_30104100</t>
  </si>
  <si>
    <t>0560_30104200</t>
  </si>
  <si>
    <t>0560_30104300</t>
  </si>
  <si>
    <t>0560_30105000</t>
  </si>
  <si>
    <t>0560_30112000</t>
  </si>
  <si>
    <t>0560_30113000</t>
  </si>
  <si>
    <t>0600_30302000</t>
  </si>
  <si>
    <t>0624_30406000</t>
  </si>
  <si>
    <t>0655_30700000</t>
  </si>
  <si>
    <t>0780_25133000</t>
  </si>
  <si>
    <t>0780_32000000</t>
  </si>
  <si>
    <t>0780_25130000</t>
  </si>
  <si>
    <t>0780_32003000</t>
  </si>
  <si>
    <t>0780_32006000</t>
  </si>
  <si>
    <t>0785_25131000</t>
  </si>
  <si>
    <t>0785_25134000</t>
  </si>
  <si>
    <t>0785_32001000</t>
  </si>
  <si>
    <t>0785_32004000</t>
  </si>
  <si>
    <t>0785_32007000</t>
  </si>
  <si>
    <t>0860_33605000</t>
  </si>
  <si>
    <t>0661_31203000</t>
  </si>
  <si>
    <t>0705_31500000</t>
  </si>
  <si>
    <t>0915_35002000.1N9</t>
  </si>
  <si>
    <t>0920_36001000.1N9</t>
  </si>
  <si>
    <t>0309_26174000</t>
  </si>
  <si>
    <t>0051_30013000</t>
  </si>
  <si>
    <t>0660_20023100.011</t>
  </si>
  <si>
    <t>Per GL SAP FI</t>
  </si>
  <si>
    <t>Accounts &amp; Notes Rec-Enron/GPG</t>
  </si>
  <si>
    <t>0660_20023100</t>
  </si>
  <si>
    <t>0195_REG_COM</t>
  </si>
  <si>
    <t>0450_30001000</t>
  </si>
  <si>
    <t>0565_30053000</t>
  </si>
  <si>
    <t>0566_30054000</t>
  </si>
  <si>
    <t>0775_31208000</t>
  </si>
  <si>
    <t>CHANGE</t>
  </si>
  <si>
    <t>0630</t>
  </si>
  <si>
    <t>0051_30013000.001</t>
  </si>
  <si>
    <t>0051_30013000.012</t>
  </si>
  <si>
    <t>0051_30013000.082</t>
  </si>
  <si>
    <t>0051_30013000.179</t>
  </si>
  <si>
    <t>0051_30013000.359</t>
  </si>
  <si>
    <t>0051_30013000.366</t>
  </si>
  <si>
    <t>0051_30013000.413</t>
  </si>
  <si>
    <t>0051_30013000.436</t>
  </si>
  <si>
    <t>0051_30013000.61N</t>
  </si>
  <si>
    <t>0051_30013000.901</t>
  </si>
  <si>
    <t>0051_30013000.972</t>
  </si>
  <si>
    <t>0051_30013000.985</t>
  </si>
  <si>
    <t>0051_30013000.969</t>
  </si>
  <si>
    <t>0051_30013000.1N9</t>
  </si>
  <si>
    <t>0051_30013000.703</t>
  </si>
  <si>
    <t>0051_30013000.364</t>
  </si>
  <si>
    <t xml:space="preserve">Less: </t>
  </si>
  <si>
    <t xml:space="preserve">   Total Corp/GPG</t>
  </si>
  <si>
    <t>0630_30400000</t>
  </si>
  <si>
    <t>0630_30403000</t>
  </si>
  <si>
    <t>Per Hyperion - Total Assets</t>
  </si>
  <si>
    <t>0294_26165000</t>
  </si>
  <si>
    <t>0358_25100000</t>
  </si>
  <si>
    <t>0853</t>
  </si>
  <si>
    <t>0853_33100000</t>
  </si>
  <si>
    <t xml:space="preserve">   Assets from Price Risk Management Activities</t>
  </si>
  <si>
    <t xml:space="preserve">   Liabilities from Price Risk Management Activities</t>
  </si>
  <si>
    <t xml:space="preserve">   Deferred Income Taxes </t>
  </si>
  <si>
    <t>0195_23073000_stats</t>
  </si>
  <si>
    <t>0195_700001046</t>
  </si>
  <si>
    <t>0195_700001757</t>
  </si>
  <si>
    <t>MTD</t>
  </si>
  <si>
    <t>0358</t>
  </si>
  <si>
    <t>0515_30012000</t>
  </si>
  <si>
    <t>0035_20004000</t>
  </si>
  <si>
    <t>0294_26160000</t>
  </si>
  <si>
    <t>0321_27131000</t>
  </si>
  <si>
    <t>0060_20022000</t>
  </si>
  <si>
    <t>0357_25144000_STATS</t>
  </si>
  <si>
    <t>0357_25144100_STATS</t>
  </si>
  <si>
    <t>0357_700001109</t>
  </si>
  <si>
    <t>0357_700001110</t>
  </si>
  <si>
    <t>0357_700001111</t>
  </si>
  <si>
    <t>0357_700001115</t>
  </si>
  <si>
    <t>0357_700001117</t>
  </si>
  <si>
    <t>0357_700001124</t>
  </si>
  <si>
    <t>0357_700001125</t>
  </si>
  <si>
    <t>0357_700001126</t>
  </si>
  <si>
    <t>0357_700001134</t>
  </si>
  <si>
    <t>0357_700001135</t>
  </si>
  <si>
    <t>0357_700001136</t>
  </si>
  <si>
    <t>0357_700001207</t>
  </si>
  <si>
    <t>0357_700001208</t>
  </si>
  <si>
    <t>0357_700001209</t>
  </si>
  <si>
    <t>0357_700001211</t>
  </si>
  <si>
    <t>0357_700001212</t>
  </si>
  <si>
    <t>0357_700001213</t>
  </si>
  <si>
    <t>0357_700001214</t>
  </si>
  <si>
    <t>0357_700001215</t>
  </si>
  <si>
    <t>0357_700001216</t>
  </si>
  <si>
    <t>0357_700001217</t>
  </si>
  <si>
    <t>0357_700001218</t>
  </si>
  <si>
    <t>0357_700001223</t>
  </si>
  <si>
    <t>0357_700001224</t>
  </si>
  <si>
    <t>0357_700002000</t>
  </si>
  <si>
    <t>Year 2000 costs</t>
  </si>
  <si>
    <t>0853_33100050</t>
  </si>
  <si>
    <t>0051_30013000.83E</t>
  </si>
  <si>
    <t>0051_30013000.1202</t>
  </si>
  <si>
    <t>0357_RSRV_ADJ_AMORT</t>
  </si>
  <si>
    <t>0515_30028000</t>
  </si>
  <si>
    <t>0064_20018000</t>
  </si>
  <si>
    <t>December, 2000</t>
  </si>
  <si>
    <t xml:space="preserve">Decrease includes amortization of annual incentive ($32), variable pay ($56) and OI ($10). The remaining balance of </t>
  </si>
  <si>
    <t>0360_25149000</t>
  </si>
  <si>
    <t>Unamortized debt expense</t>
  </si>
  <si>
    <t>Deferred Charges-other</t>
  </si>
  <si>
    <t>Price risk mgmt assets</t>
  </si>
  <si>
    <t>Increase includes year end accrual of severance ($117), outside services ($349), other accruals ($97)</t>
  </si>
  <si>
    <t>I</t>
  </si>
  <si>
    <t>J</t>
  </si>
  <si>
    <t>Increase includes interest accrued on long term debt note, ($925) on $150MM note and ($118) on 9.2% $27MM note</t>
  </si>
  <si>
    <t>K</t>
  </si>
  <si>
    <t>L</t>
  </si>
  <si>
    <t>Balance represents compressor overhaul costs transferred from overhead work order, to be amortized over a three year period beginning in 2001.</t>
  </si>
  <si>
    <t>The decrease of $308 represents settlement from Deferred Asset Under Construction to Asset Under Construction.</t>
  </si>
  <si>
    <t>0294_26173000</t>
  </si>
  <si>
    <t>Decrease due to settlement of intercompany balances.</t>
  </si>
  <si>
    <t>$58 represents unamortized OI costs.</t>
  </si>
  <si>
    <t>Increase in A/R trade in line with increase in Gas sales/transport revenue of $3.6MM</t>
  </si>
  <si>
    <t xml:space="preserve">Represents the sale of trade receivables by ENRON. </t>
  </si>
  <si>
    <t>Balance of $263 includes Grynberg legal liability  ($200) and deferred interest income ($61).</t>
  </si>
  <si>
    <t>Balance of $2,663 represents Load Management Fee (Gas Stream Project- Gallup) which is being amortized to income over the life of the contract.</t>
  </si>
  <si>
    <t>Increase of $2,094 due to revaluation of volume imbalances</t>
  </si>
  <si>
    <t xml:space="preserve">Increase of $1,355 due to revaluation of volume imbalances </t>
  </si>
  <si>
    <t>M</t>
  </si>
  <si>
    <t>Balance includes Santa Fe transport discount, $875 and Other charges, $20 offset by other credits related to sale of Kingman Airstrip ($60) and temporary holding ($9)</t>
  </si>
  <si>
    <t>2001</t>
  </si>
  <si>
    <t>January 31, 2001</t>
  </si>
  <si>
    <t>March 31, 2001</t>
  </si>
  <si>
    <t>April 30, 2001</t>
  </si>
  <si>
    <t>May 31, 2001</t>
  </si>
  <si>
    <t>June 30, 2001</t>
  </si>
  <si>
    <t>July 31, 2001</t>
  </si>
  <si>
    <t>August 31, 2001</t>
  </si>
  <si>
    <t>September 30, 2001</t>
  </si>
  <si>
    <t>October 31, 2001</t>
  </si>
  <si>
    <t>November 30, 2001</t>
  </si>
  <si>
    <t>December 31, 2001</t>
  </si>
  <si>
    <t>Jan 01</t>
  </si>
  <si>
    <t>Feb 01</t>
  </si>
  <si>
    <t>Mar 01</t>
  </si>
  <si>
    <t>Apr 01</t>
  </si>
  <si>
    <t>May 01</t>
  </si>
  <si>
    <t>Jun 01</t>
  </si>
  <si>
    <t>Jul 01</t>
  </si>
  <si>
    <t>Aug 01</t>
  </si>
  <si>
    <t>Sep 01</t>
  </si>
  <si>
    <t>Oct 01</t>
  </si>
  <si>
    <t>Nov 01</t>
  </si>
  <si>
    <t>Dec 01</t>
  </si>
  <si>
    <t>0919</t>
  </si>
  <si>
    <t>0919_36001000</t>
  </si>
  <si>
    <t>0949</t>
  </si>
  <si>
    <t>0949_37000500</t>
  </si>
  <si>
    <t>0051_30013000.87C</t>
  </si>
  <si>
    <t>0051_30013000.1195</t>
  </si>
  <si>
    <t>January , 2001</t>
  </si>
  <si>
    <t>Increase of $2,105 includes: $600 increase in current estimate, 01/01; $1,500 due to current month increase in volume</t>
  </si>
  <si>
    <t>at index rate</t>
  </si>
  <si>
    <t>Increase represents FAS 133 recognition of an asset associated with a gain on speculative deals</t>
  </si>
  <si>
    <t>Current month increase in volume at index rate, $1,200</t>
  </si>
  <si>
    <t>The change of ($95) includes the 1/12 (1 month) of Variable pay, ($54) OI, ($32) and annual incentive ($10) amortization</t>
  </si>
  <si>
    <t>for the year 2001 (estimate only) Actual will be available in Feb. 2001.  The balance is credit because the amortization (estimate)</t>
  </si>
  <si>
    <t>was recorded since the actual numbers are not yet available.</t>
  </si>
  <si>
    <t xml:space="preserve">   Accumulated Other Comprehensive Income</t>
  </si>
  <si>
    <t xml:space="preserve">Balance represents Load Management Fee (Gas Stream Project-Gallup) which is being amortized to income over the </t>
  </si>
  <si>
    <t>life of the contract.</t>
  </si>
  <si>
    <t>The decrease of ($821) was due to reclass of balance to account 25149100 which represents compressor overhaul costs</t>
  </si>
  <si>
    <t>transferred from overhead work order. (See "F" explanation, December 2000.</t>
  </si>
  <si>
    <t>Balance of $272 includes Grynberg legal liability ($200) and deferred interest income ($71)</t>
  </si>
  <si>
    <t>Balance of ($689) represents Net Pay clearing</t>
  </si>
  <si>
    <t>FAS 133 recognition of liability associated with OCI (Other Comprehensive Income) loss from mark to market of hedges</t>
  </si>
  <si>
    <t>Decrease includes adjustments on FIT, FICA, Medicare, SIT, FUTA, SUTA ($484)</t>
  </si>
  <si>
    <t>February 28, 2001</t>
  </si>
  <si>
    <t>February 28,</t>
  </si>
  <si>
    <t>0051_20023000.179</t>
  </si>
  <si>
    <t>0051_30013000.584</t>
  </si>
  <si>
    <t>0051_30013000.61M</t>
  </si>
  <si>
    <t>0051_30013000.87B</t>
  </si>
  <si>
    <t>0051_30013000.530</t>
  </si>
  <si>
    <t>February , 2001</t>
  </si>
  <si>
    <t>Increase includes reclass of employee bonus from account 30400000 to 23076000, ($1,199) offset by amortization of annual  incentive and variable pay, ($101)</t>
  </si>
  <si>
    <t>Increase includes revenue management amortization (allocation - account 25149100), ($709)</t>
  </si>
  <si>
    <t>Decrease includes OBA (Operational Balancing Agreement) revaluation ($171); Payback received from Duke and Amarillo ($484); and price reduction ($784)</t>
  </si>
  <si>
    <t>Decrease includes payback received from EOG Resources ($470); Spcal ($333); Northwest P/l ($484); Continental ($319); Others ($281)</t>
  </si>
  <si>
    <t>Decrease of ($8,469) due to falling prices</t>
  </si>
  <si>
    <t>Decrease  due to revaluation from $8.21 to $5.62 ($717); and current month activity ($145)</t>
  </si>
  <si>
    <t>0051_30013000.099</t>
  </si>
  <si>
    <t xml:space="preserve">                                            - Enron Corp/ETS</t>
  </si>
  <si>
    <t>March , 2001</t>
  </si>
  <si>
    <t>Balance is zero due to reversal of A/R sold by Enron (A/R contra account), $12,960 and offset is A/P Intercompany 0051_30013000.099</t>
  </si>
  <si>
    <t>Decrease includes OBA (Operational Balancing Agreement) revaluation from $5.62 to $4.99, ($158); Lower index price ($86)</t>
  </si>
  <si>
    <t>Decrease due to normal monthly amortization</t>
  </si>
  <si>
    <t xml:space="preserve">Decrease due to writing off of annual incentive pay ($1,013) and Operation Information costs ($39) </t>
  </si>
  <si>
    <t xml:space="preserve">Increase includes SoCal rate deferral ($2,120); and Negotiated rate reserve ($9,342) </t>
  </si>
  <si>
    <t>Balance is zero due to writing off of annual cost adjustment (ACA), ($678)</t>
  </si>
  <si>
    <t>Increase of ($18,333) due to rising prices (California)</t>
  </si>
  <si>
    <t>Increase of ($3,341) represents the Net Income for the month</t>
  </si>
  <si>
    <t>0947</t>
  </si>
  <si>
    <t>0947_37000500</t>
  </si>
  <si>
    <t>0183</t>
  </si>
  <si>
    <t>0653</t>
  </si>
  <si>
    <t>0183_21060000</t>
  </si>
  <si>
    <t>Price risk mgmnt activ-current assets</t>
  </si>
  <si>
    <t>0653_30300000</t>
  </si>
  <si>
    <t>Price risk management liab-current</t>
  </si>
  <si>
    <t>0947_37000210</t>
  </si>
  <si>
    <t>0140_22061000</t>
  </si>
  <si>
    <t>0565_30056000</t>
  </si>
  <si>
    <t>0566_30057000</t>
  </si>
  <si>
    <t>April , 2001</t>
  </si>
  <si>
    <t>Decrease of $4.4 MM in line with the decrease in Gas Sales and Transport Revenue. (Gas Sales billed in Aprils is $3.4 MM vs. $4.8 billed in March.</t>
  </si>
  <si>
    <t>Decrease of $1,770 includes: ($402) reversal of accrual for measurement issues- Duke; ($886) change in imbalance by 300,000 dth; ($544) change in volumetric OBA's; offset by $63 change in dollar valued OBA's</t>
  </si>
  <si>
    <t>Increase of $1,957 includes: ($955) CM accrual for measurement issues;  change in volumetric OBA's;  ($598) change in dollar valued OBA's; ($288) invoices sent to NNG for imbalance thru 03/01.</t>
  </si>
  <si>
    <t>Decrease of ($469) due to normal amortization</t>
  </si>
  <si>
    <t>Decrease represents the reversal of A/R sold by Enron (A/R contra account), $12,960 and offset is A/P Intercompany 0051_30013000.099 in March 2001 and settled in April 2001 to clear the balance.</t>
  </si>
  <si>
    <t>PRM was grouped into current and noncurrent in April, 2001.  The $22, 967 represents the current portion.</t>
  </si>
  <si>
    <t>Decrease includes semiannual payment of principal ($5.5MM) offset by accrual of interest ($.7MM)</t>
  </si>
  <si>
    <t>Decrease includes the reclass to current PRM, ($22,967)</t>
  </si>
  <si>
    <t>Less:</t>
  </si>
  <si>
    <t>0051_20013000.364</t>
  </si>
  <si>
    <t>0051_20023000.1195</t>
  </si>
  <si>
    <t>0051_20023000.1202</t>
  </si>
  <si>
    <t>May , 2001</t>
  </si>
  <si>
    <t xml:space="preserve">Increase of $1,786 in line with the increase in Revenue. </t>
  </si>
  <si>
    <t>Decrease of $915 includes: increase in volumetric OBA's, $1,231; increase in dollar value OBA's, $476 offset by a decrease in in index price from $4.87 to $3.82, ($773)</t>
  </si>
  <si>
    <t xml:space="preserve">Increase of $838 includes: $905 CM accrual for measurement issues; change in dollar valued OBA's, $858; offset by a decrease in volumetric OBA's ($703) and settlement ($223) </t>
  </si>
  <si>
    <t>The increase of $10,901 was due to a reclass from PRM liability.  The decrease in prices caused a transfer from liability to asset.</t>
  </si>
  <si>
    <t>The decrease represents an adjustment of $17,027 due to declining prices of gas; the offset is in OCI.</t>
  </si>
  <si>
    <t>The decrease represents an adjustment of $3,332 due to declining prices of gas; the offset is in OCI.</t>
  </si>
  <si>
    <t>June , 2001</t>
  </si>
  <si>
    <t>Decrease of ($466) due to normal amortization</t>
  </si>
  <si>
    <t xml:space="preserve">Adjustment of FAS 133 PRM Asset Non Current ($4,563); PRM Asset Current ($4,478); PRM Liability Current ($5,940) associated </t>
  </si>
  <si>
    <t>Decrease due to payment of $150MM long term debt with Corp.</t>
  </si>
  <si>
    <t>(Increase)</t>
  </si>
  <si>
    <t>Decrease</t>
  </si>
  <si>
    <t>Interco Cash</t>
  </si>
  <si>
    <t>Decrease of $41 includes: increase in volumetric OBA's, $681, increase in dollar value OBA's, $362 offset by a decrease in estimate ($603) and decrease in index price from $3.82 to $3.19, ($480)</t>
  </si>
  <si>
    <t xml:space="preserve">Increase of ($576) includes: $128 AmGas imbalance settlement; change in dollar valued OBA's, $448; offset by an increase in volumetric OBA's ($389) and Gain on 05/01 UAF Reserve ($763). </t>
  </si>
  <si>
    <t>Net Decrease in deferred income taxes (current and noncurrent), $1,928 due to taxes on OCI discontinued in 06/2001</t>
  </si>
  <si>
    <t>for the gain but in June, the recording of taxes on OCI gain was discontinued.</t>
  </si>
  <si>
    <t xml:space="preserve">with OCI gain from mark to market of hedges. Also, in May 2001, deferred taxes of($1,934) was booked against OCI </t>
  </si>
  <si>
    <t>In 06/2001, PG&amp;E core releases exceeded the maximum tariff rate and TW billed the acquiring shippers.  As a result of this, TW  received payment which was showing as a credit to A/R - Trade (decrease of $10,728) and therefore needs to reimburse PG&amp;E</t>
  </si>
  <si>
    <t>0051_20023000.366</t>
  </si>
  <si>
    <t xml:space="preserve">PRIOR MONTH FINANCIAL POSITION </t>
  </si>
  <si>
    <t>SAP BALANCE SHEETS BY G/L ENTITY</t>
  </si>
  <si>
    <t>CONSOLIDATING BALANCE SHEET - NNG GROUP (Kleb's)</t>
  </si>
  <si>
    <t>SELECTED BALANCE SHEET DETAIL ( Recap)</t>
  </si>
  <si>
    <t xml:space="preserve">ALL LINE ITEMS HAVE BEEN VERIFIED OR CROSS REFERENCED TO A </t>
  </si>
  <si>
    <t>SOURCE DOCUMENT  (ATTACHED)</t>
  </si>
  <si>
    <r>
      <t>REPORT FOOTS / CROSS FOOTS (Schedule</t>
    </r>
    <r>
      <rPr>
        <b/>
        <sz val="9"/>
        <rFont val="Arial"/>
        <family val="2"/>
      </rPr>
      <t xml:space="preserve"> A</t>
    </r>
    <r>
      <rPr>
        <sz val="9"/>
        <rFont val="Arial"/>
        <family val="2"/>
      </rPr>
      <t xml:space="preserve"> only)</t>
    </r>
  </si>
  <si>
    <t>B/S changes</t>
  </si>
  <si>
    <t>Total assets</t>
  </si>
  <si>
    <t>0051_30013000-Negative Asset classified as Liab</t>
  </si>
  <si>
    <t>Hyp 0660 - Debit liab classified as Assets</t>
  </si>
  <si>
    <t>Financial Position-B/S</t>
  </si>
  <si>
    <t>Balance Sheet -Financial Postion</t>
  </si>
  <si>
    <t>Negative A/R reclassed to A/P</t>
  </si>
  <si>
    <t>July , 2001</t>
  </si>
  <si>
    <t>Increase due to net present value adjustment ($833) and settlement ($9).</t>
  </si>
  <si>
    <t>Decrease due to net present value adjustment ($1,333) and settlement ($13).</t>
  </si>
  <si>
    <t>Decrease due to settlement ($10).</t>
  </si>
  <si>
    <t>Decrease due to net present value adjustment ($501).</t>
  </si>
  <si>
    <t>Increase includes ($8) negotiated rate reserve for July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</si>
</sst>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hh:mm\ AM/PM"/>
    <numFmt numFmtId="165" formatCode="mm/dd/yy"/>
    <numFmt numFmtId="166" formatCode="m/d/yy\ h:mm\ AM/PM"/>
  </numFmts>
  <fonts count="52">
    <font>
      <sz val="8"/>
      <name val="TimesNewRomanPS"/>
    </font>
    <font>
      <b/>
      <sz val="8"/>
      <name val="Arial MT"/>
    </font>
    <font>
      <sz val="8"/>
      <color indexed="10"/>
      <name val="Arial MT"/>
    </font>
    <font>
      <sz val="12"/>
      <color indexed="8"/>
      <name val="Arial Narrow"/>
    </font>
    <font>
      <sz val="12"/>
      <color indexed="10"/>
      <name val="Arial MT"/>
    </font>
    <font>
      <sz val="8"/>
      <color indexed="10"/>
      <name val="TimesNewRomanPS"/>
    </font>
    <font>
      <b/>
      <sz val="8"/>
      <name val="TimesNewRomanPS"/>
    </font>
    <font>
      <b/>
      <sz val="8"/>
      <color indexed="8"/>
      <name val="Arial"/>
      <family val="2"/>
    </font>
    <font>
      <sz val="8"/>
      <name val="TimesNewRomanPS"/>
    </font>
    <font>
      <sz val="12"/>
      <name val="TimesNewRomanPS"/>
    </font>
    <font>
      <b/>
      <sz val="8"/>
      <color indexed="10"/>
      <name val="Arial"/>
      <family val="2"/>
    </font>
    <font>
      <b/>
      <sz val="12"/>
      <name val="Arial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9"/>
      <name val="TimesNewRomanPS"/>
    </font>
    <font>
      <sz val="10"/>
      <color indexed="8"/>
      <name val="Arial"/>
    </font>
    <font>
      <b/>
      <sz val="12"/>
      <color indexed="10"/>
      <name val="Arial"/>
      <family val="2"/>
    </font>
    <font>
      <sz val="8"/>
      <color indexed="10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</font>
    <font>
      <sz val="8"/>
      <color indexed="12"/>
      <name val="Arial"/>
      <family val="2"/>
    </font>
    <font>
      <sz val="12"/>
      <name val="Arial"/>
      <family val="2"/>
    </font>
    <font>
      <b/>
      <sz val="9"/>
      <color indexed="10"/>
      <name val="Arial"/>
    </font>
    <font>
      <b/>
      <sz val="9"/>
      <name val="Arial"/>
    </font>
    <font>
      <b/>
      <u/>
      <sz val="9"/>
      <name val="Arial"/>
      <family val="2"/>
    </font>
    <font>
      <u/>
      <sz val="9"/>
      <name val="Arial"/>
      <family val="2"/>
    </font>
    <font>
      <i/>
      <sz val="9"/>
      <name val="Arial"/>
      <family val="2"/>
    </font>
    <font>
      <sz val="8"/>
      <color indexed="12"/>
      <name val="TimesNewRomanPS"/>
    </font>
    <font>
      <sz val="8"/>
      <name val="Arial"/>
    </font>
    <font>
      <sz val="8"/>
      <color indexed="81"/>
      <name val="Tahoma"/>
    </font>
    <font>
      <sz val="10"/>
      <name val="Arial"/>
    </font>
    <font>
      <b/>
      <sz val="12"/>
      <name val="TimesNewRomanPS"/>
    </font>
    <font>
      <b/>
      <sz val="10"/>
      <name val="Arial"/>
    </font>
    <font>
      <sz val="10"/>
      <color indexed="10"/>
      <name val="Arial"/>
      <family val="2"/>
    </font>
    <font>
      <sz val="8"/>
      <name val="TimesNewRomanPS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TimesNewRomanPS"/>
    </font>
    <font>
      <sz val="11"/>
      <name val="TimesNewRomanPS"/>
    </font>
    <font>
      <b/>
      <sz val="11"/>
      <name val="Arial"/>
    </font>
    <font>
      <sz val="9"/>
      <name val="TimesNewRomanPS"/>
    </font>
    <font>
      <b/>
      <sz val="8"/>
      <name val="Arial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37" fontId="0" fillId="2" borderId="0"/>
    <xf numFmtId="44" fontId="37" fillId="0" borderId="0" applyFont="0" applyFill="0" applyBorder="0" applyAlignment="0" applyProtection="0"/>
    <xf numFmtId="0" fontId="37" fillId="0" borderId="0"/>
  </cellStyleXfs>
  <cellXfs count="326">
    <xf numFmtId="37" fontId="0" fillId="2" borderId="0" xfId="0" applyNumberFormat="1"/>
    <xf numFmtId="37" fontId="1" fillId="0" borderId="0" xfId="0" applyNumberFormat="1" applyFont="1" applyFill="1"/>
    <xf numFmtId="37" fontId="1" fillId="0" borderId="0" xfId="0" quotePrefix="1" applyNumberFormat="1" applyFont="1" applyFill="1" applyAlignment="1">
      <alignment horizontal="left"/>
    </xf>
    <xf numFmtId="17" fontId="2" fillId="0" borderId="0" xfId="0" quotePrefix="1" applyNumberFormat="1" applyFont="1" applyFill="1" applyAlignment="1">
      <alignment horizontal="left"/>
    </xf>
    <xf numFmtId="37" fontId="3" fillId="0" borderId="0" xfId="0" applyNumberFormat="1" applyFont="1" applyFill="1"/>
    <xf numFmtId="37" fontId="0" fillId="0" borderId="0" xfId="0" applyNumberFormat="1" applyFill="1"/>
    <xf numFmtId="37" fontId="0" fillId="0" borderId="0" xfId="0" quotePrefix="1" applyNumberFormat="1" applyFill="1" applyAlignment="1">
      <alignment horizontal="left"/>
    </xf>
    <xf numFmtId="37" fontId="0" fillId="0" borderId="1" xfId="0" applyNumberFormat="1" applyFill="1" applyBorder="1"/>
    <xf numFmtId="37" fontId="0" fillId="0" borderId="2" xfId="0" applyNumberFormat="1" applyFill="1" applyBorder="1"/>
    <xf numFmtId="37" fontId="0" fillId="0" borderId="0" xfId="0" applyNumberFormat="1" applyFill="1" applyBorder="1"/>
    <xf numFmtId="37" fontId="5" fillId="0" borderId="0" xfId="0" applyNumberFormat="1" applyFont="1" applyFill="1"/>
    <xf numFmtId="37" fontId="0" fillId="0" borderId="0" xfId="0" applyNumberFormat="1" applyFill="1" applyAlignment="1">
      <alignment horizontal="center"/>
    </xf>
    <xf numFmtId="37" fontId="0" fillId="0" borderId="0" xfId="0" applyNumberFormat="1" applyFill="1" applyAlignment="1">
      <alignment horizontal="centerContinuous"/>
    </xf>
    <xf numFmtId="37" fontId="6" fillId="0" borderId="0" xfId="0" applyNumberFormat="1" applyFont="1" applyFill="1"/>
    <xf numFmtId="37" fontId="4" fillId="0" borderId="0" xfId="0" applyNumberFormat="1" applyFont="1" applyFill="1" applyBorder="1" applyAlignment="1">
      <alignment horizontal="left"/>
    </xf>
    <xf numFmtId="17" fontId="0" fillId="0" borderId="0" xfId="0" applyNumberFormat="1" applyFill="1" applyAlignment="1">
      <alignment horizontal="center"/>
    </xf>
    <xf numFmtId="37" fontId="0" fillId="0" borderId="0" xfId="0" applyNumberFormat="1" applyFill="1" applyAlignment="1">
      <alignment horizontal="left"/>
    </xf>
    <xf numFmtId="37" fontId="6" fillId="0" borderId="0" xfId="0" applyNumberFormat="1" applyFont="1" applyFill="1" applyBorder="1"/>
    <xf numFmtId="37" fontId="0" fillId="0" borderId="0" xfId="0" applyNumberFormat="1" applyFill="1" applyAlignment="1"/>
    <xf numFmtId="37" fontId="8" fillId="0" borderId="0" xfId="0" applyNumberFormat="1" applyFont="1" applyFill="1"/>
    <xf numFmtId="37" fontId="6" fillId="0" borderId="0" xfId="0" applyNumberFormat="1" applyFont="1" applyFill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Continuous"/>
    </xf>
    <xf numFmtId="17" fontId="7" fillId="0" borderId="1" xfId="0" applyNumberFormat="1" applyFont="1" applyFill="1" applyBorder="1" applyAlignment="1">
      <alignment horizontal="center"/>
    </xf>
    <xf numFmtId="37" fontId="0" fillId="0" borderId="3" xfId="0" applyNumberFormat="1" applyFill="1" applyBorder="1"/>
    <xf numFmtId="37" fontId="12" fillId="0" borderId="0" xfId="0" applyFont="1" applyFill="1" applyBorder="1"/>
    <xf numFmtId="37" fontId="9" fillId="0" borderId="0" xfId="0" applyFont="1" applyFill="1" applyBorder="1"/>
    <xf numFmtId="37" fontId="9" fillId="0" borderId="0" xfId="0" applyFont="1" applyFill="1"/>
    <xf numFmtId="37" fontId="13" fillId="0" borderId="0" xfId="0" applyNumberFormat="1" applyFont="1" applyFill="1"/>
    <xf numFmtId="165" fontId="13" fillId="0" borderId="0" xfId="0" applyNumberFormat="1" applyFont="1" applyFill="1" applyProtection="1">
      <protection locked="0"/>
    </xf>
    <xf numFmtId="37" fontId="14" fillId="0" borderId="0" xfId="0" applyNumberFormat="1" applyFont="1" applyFill="1"/>
    <xf numFmtId="164" fontId="13" fillId="0" borderId="0" xfId="0" applyNumberFormat="1" applyFont="1" applyFill="1" applyProtection="1">
      <protection locked="0"/>
    </xf>
    <xf numFmtId="37" fontId="13" fillId="0" borderId="0" xfId="0" applyNumberFormat="1" applyFont="1" applyFill="1" applyProtection="1">
      <protection locked="0"/>
    </xf>
    <xf numFmtId="37" fontId="15" fillId="0" borderId="0" xfId="0" applyNumberFormat="1" applyFont="1" applyFill="1"/>
    <xf numFmtId="37" fontId="13" fillId="0" borderId="0" xfId="0" applyNumberFormat="1" applyFont="1" applyFill="1" applyAlignment="1">
      <alignment horizontal="center"/>
    </xf>
    <xf numFmtId="49" fontId="13" fillId="0" borderId="0" xfId="0" applyNumberFormat="1" applyFont="1" applyFill="1"/>
    <xf numFmtId="37" fontId="15" fillId="0" borderId="0" xfId="0" quotePrefix="1" applyNumberFormat="1" applyFont="1" applyFill="1" applyAlignment="1">
      <alignment horizontal="left"/>
    </xf>
    <xf numFmtId="17" fontId="13" fillId="0" borderId="0" xfId="0" applyNumberFormat="1" applyFont="1" applyFill="1"/>
    <xf numFmtId="37" fontId="13" fillId="0" borderId="0" xfId="0" quotePrefix="1" applyNumberFormat="1" applyFont="1" applyFill="1" applyAlignment="1">
      <alignment horizontal="left"/>
    </xf>
    <xf numFmtId="37" fontId="15" fillId="0" borderId="0" xfId="0" applyNumberFormat="1" applyFont="1" applyFill="1" applyAlignment="1">
      <alignment horizontal="center"/>
    </xf>
    <xf numFmtId="37" fontId="15" fillId="0" borderId="4" xfId="0" quotePrefix="1" applyNumberFormat="1" applyFont="1" applyFill="1" applyBorder="1" applyAlignment="1">
      <alignment horizontal="center"/>
    </xf>
    <xf numFmtId="41" fontId="13" fillId="0" borderId="0" xfId="0" applyNumberFormat="1" applyFont="1" applyFill="1"/>
    <xf numFmtId="17" fontId="16" fillId="0" borderId="0" xfId="0" quotePrefix="1" applyNumberFormat="1" applyFont="1" applyFill="1" applyBorder="1" applyAlignment="1">
      <alignment horizontal="center"/>
    </xf>
    <xf numFmtId="37" fontId="6" fillId="0" borderId="0" xfId="0" applyNumberFormat="1" applyFont="1" applyFill="1" applyAlignment="1">
      <alignment horizontal="centerContinuous"/>
    </xf>
    <xf numFmtId="37" fontId="18" fillId="0" borderId="0" xfId="0" applyNumberFormat="1" applyFont="1" applyFill="1"/>
    <xf numFmtId="41" fontId="13" fillId="0" borderId="1" xfId="0" applyNumberFormat="1" applyFont="1" applyFill="1" applyBorder="1"/>
    <xf numFmtId="37" fontId="19" fillId="0" borderId="0" xfId="0" quotePrefix="1" applyNumberFormat="1" applyFont="1" applyFill="1" applyAlignment="1">
      <alignment horizontal="left"/>
    </xf>
    <xf numFmtId="37" fontId="20" fillId="0" borderId="5" xfId="0" applyNumberFormat="1" applyFont="1" applyFill="1" applyBorder="1"/>
    <xf numFmtId="37" fontId="20" fillId="0" borderId="0" xfId="0" applyNumberFormat="1" applyFont="1" applyFill="1" applyBorder="1"/>
    <xf numFmtId="17" fontId="20" fillId="0" borderId="6" xfId="0" quotePrefix="1" applyNumberFormat="1" applyFont="1" applyFill="1" applyBorder="1" applyAlignment="1">
      <alignment horizontal="center"/>
    </xf>
    <xf numFmtId="37" fontId="20" fillId="0" borderId="7" xfId="0" applyNumberFormat="1" applyFont="1" applyFill="1" applyBorder="1" applyAlignment="1">
      <alignment horizontal="center"/>
    </xf>
    <xf numFmtId="37" fontId="20" fillId="0" borderId="8" xfId="0" applyNumberFormat="1" applyFont="1" applyFill="1" applyBorder="1" applyAlignment="1">
      <alignment horizontal="center"/>
    </xf>
    <xf numFmtId="37" fontId="20" fillId="0" borderId="9" xfId="0" applyNumberFormat="1" applyFont="1" applyFill="1" applyBorder="1" applyAlignment="1">
      <alignment horizontal="center"/>
    </xf>
    <xf numFmtId="37" fontId="22" fillId="0" borderId="10" xfId="0" applyNumberFormat="1" applyFont="1" applyFill="1" applyBorder="1"/>
    <xf numFmtId="37" fontId="20" fillId="0" borderId="7" xfId="0" applyNumberFormat="1" applyFont="1" applyFill="1" applyBorder="1"/>
    <xf numFmtId="37" fontId="22" fillId="0" borderId="11" xfId="0" applyNumberFormat="1" applyFont="1" applyFill="1" applyBorder="1"/>
    <xf numFmtId="37" fontId="20" fillId="0" borderId="11" xfId="0" applyNumberFormat="1" applyFont="1" applyFill="1" applyBorder="1" applyAlignment="1">
      <alignment horizontal="center"/>
    </xf>
    <xf numFmtId="37" fontId="12" fillId="0" borderId="0" xfId="0" applyNumberFormat="1" applyFont="1" applyFill="1" applyBorder="1"/>
    <xf numFmtId="37" fontId="23" fillId="0" borderId="0" xfId="0" applyNumberFormat="1" applyFont="1" applyFill="1"/>
    <xf numFmtId="37" fontId="24" fillId="0" borderId="0" xfId="0" quotePrefix="1" applyNumberFormat="1" applyFont="1" applyFill="1" applyAlignment="1">
      <alignment horizontal="left"/>
    </xf>
    <xf numFmtId="37" fontId="24" fillId="0" borderId="0" xfId="0" applyNumberFormat="1" applyFont="1" applyFill="1"/>
    <xf numFmtId="37" fontId="24" fillId="0" borderId="0" xfId="0" quotePrefix="1" applyNumberFormat="1" applyFont="1" applyFill="1" applyAlignment="1">
      <alignment horizontal="right"/>
    </xf>
    <xf numFmtId="37" fontId="24" fillId="0" borderId="0" xfId="0" applyNumberFormat="1" applyFont="1" applyFill="1" applyAlignment="1">
      <alignment horizontal="right"/>
    </xf>
    <xf numFmtId="22" fontId="24" fillId="0" borderId="0" xfId="0" quotePrefix="1" applyNumberFormat="1" applyFont="1" applyFill="1" applyAlignment="1">
      <alignment horizontal="left"/>
    </xf>
    <xf numFmtId="37" fontId="24" fillId="0" borderId="8" xfId="0" applyNumberFormat="1" applyFont="1" applyFill="1" applyBorder="1" applyAlignment="1">
      <alignment horizontal="centerContinuous"/>
    </xf>
    <xf numFmtId="37" fontId="24" fillId="0" borderId="12" xfId="0" applyNumberFormat="1" applyFont="1" applyFill="1" applyBorder="1" applyAlignment="1">
      <alignment horizontal="centerContinuous"/>
    </xf>
    <xf numFmtId="37" fontId="23" fillId="0" borderId="5" xfId="0" applyNumberFormat="1" applyFont="1" applyFill="1" applyBorder="1"/>
    <xf numFmtId="37" fontId="23" fillId="0" borderId="13" xfId="0" applyNumberFormat="1" applyFont="1" applyFill="1" applyBorder="1"/>
    <xf numFmtId="37" fontId="23" fillId="0" borderId="7" xfId="0" applyNumberFormat="1" applyFont="1" applyFill="1" applyBorder="1"/>
    <xf numFmtId="37" fontId="23" fillId="0" borderId="14" xfId="0" applyNumberFormat="1" applyFont="1" applyFill="1" applyBorder="1"/>
    <xf numFmtId="37" fontId="24" fillId="0" borderId="0" xfId="0" applyNumberFormat="1" applyFont="1" applyFill="1" applyBorder="1" applyAlignment="1">
      <alignment horizontal="centerContinuous"/>
    </xf>
    <xf numFmtId="37" fontId="24" fillId="0" borderId="0" xfId="0" applyNumberFormat="1" applyFont="1" applyFill="1" applyAlignment="1">
      <alignment horizontal="centerContinuous"/>
    </xf>
    <xf numFmtId="37" fontId="24" fillId="0" borderId="0" xfId="0" applyNumberFormat="1" applyFont="1" applyFill="1" applyBorder="1"/>
    <xf numFmtId="37" fontId="24" fillId="0" borderId="0" xfId="0" applyNumberFormat="1" applyFont="1" applyFill="1" applyAlignment="1">
      <alignment horizontal="center"/>
    </xf>
    <xf numFmtId="166" fontId="24" fillId="0" borderId="0" xfId="0" applyNumberFormat="1" applyFont="1" applyFill="1" applyAlignment="1">
      <alignment horizontal="left"/>
    </xf>
    <xf numFmtId="37" fontId="23" fillId="0" borderId="0" xfId="0" applyNumberFormat="1" applyFont="1" applyFill="1" applyBorder="1"/>
    <xf numFmtId="37" fontId="24" fillId="0" borderId="0" xfId="0" quotePrefix="1" applyNumberFormat="1" applyFont="1" applyFill="1" applyAlignment="1">
      <alignment horizontal="center"/>
    </xf>
    <xf numFmtId="37" fontId="24" fillId="0" borderId="0" xfId="0" applyNumberFormat="1" applyFont="1" applyFill="1" applyBorder="1" applyAlignment="1">
      <alignment horizontal="center"/>
    </xf>
    <xf numFmtId="37" fontId="23" fillId="0" borderId="0" xfId="0" applyNumberFormat="1" applyFont="1" applyFill="1" applyBorder="1" applyAlignment="1">
      <alignment horizontal="centerContinuous"/>
    </xf>
    <xf numFmtId="17" fontId="24" fillId="0" borderId="1" xfId="0" quotePrefix="1" applyNumberFormat="1" applyFont="1" applyFill="1" applyBorder="1" applyAlignment="1">
      <alignment horizontal="center"/>
    </xf>
    <xf numFmtId="17" fontId="24" fillId="0" borderId="0" xfId="0" quotePrefix="1" applyNumberFormat="1" applyFont="1" applyFill="1" applyBorder="1" applyAlignment="1">
      <alignment horizontal="center"/>
    </xf>
    <xf numFmtId="17" fontId="24" fillId="0" borderId="0" xfId="0" applyNumberFormat="1" applyFont="1" applyFill="1" applyBorder="1"/>
    <xf numFmtId="17" fontId="24" fillId="0" borderId="0" xfId="0" quotePrefix="1" applyNumberFormat="1" applyFont="1" applyFill="1" applyBorder="1" applyAlignment="1">
      <alignment horizontal="centerContinuous"/>
    </xf>
    <xf numFmtId="37" fontId="23" fillId="0" borderId="0" xfId="0" quotePrefix="1" applyNumberFormat="1" applyFont="1" applyFill="1" applyBorder="1" applyAlignment="1">
      <alignment horizontal="center"/>
    </xf>
    <xf numFmtId="37" fontId="23" fillId="0" borderId="0" xfId="0" quotePrefix="1" applyNumberFormat="1" applyFont="1" applyFill="1" applyAlignment="1">
      <alignment horizontal="left"/>
    </xf>
    <xf numFmtId="37" fontId="23" fillId="0" borderId="1" xfId="0" applyNumberFormat="1" applyFont="1" applyFill="1" applyBorder="1"/>
    <xf numFmtId="37" fontId="24" fillId="0" borderId="2" xfId="0" applyNumberFormat="1" applyFont="1" applyFill="1" applyBorder="1"/>
    <xf numFmtId="37" fontId="23" fillId="0" borderId="0" xfId="0" applyNumberFormat="1" applyFont="1" applyFill="1" applyBorder="1" applyAlignment="1">
      <alignment horizontal="center"/>
    </xf>
    <xf numFmtId="37" fontId="24" fillId="0" borderId="3" xfId="0" applyNumberFormat="1" applyFont="1" applyFill="1" applyBorder="1"/>
    <xf numFmtId="37" fontId="23" fillId="0" borderId="0" xfId="0" applyNumberFormat="1" applyFont="1" applyFill="1" applyAlignment="1">
      <alignment horizontal="left"/>
    </xf>
    <xf numFmtId="37" fontId="24" fillId="0" borderId="0" xfId="0" quotePrefix="1" applyNumberFormat="1" applyFont="1" applyFill="1" applyBorder="1" applyAlignment="1">
      <alignment horizontal="center"/>
    </xf>
    <xf numFmtId="37" fontId="19" fillId="0" borderId="1" xfId="0" applyNumberFormat="1" applyFont="1" applyFill="1" applyBorder="1"/>
    <xf numFmtId="37" fontId="10" fillId="0" borderId="0" xfId="0" applyNumberFormat="1" applyFont="1" applyFill="1" applyBorder="1" applyAlignment="1">
      <alignment horizontal="center"/>
    </xf>
    <xf numFmtId="37" fontId="24" fillId="0" borderId="0" xfId="0" applyNumberFormat="1" applyFont="1" applyFill="1" applyAlignment="1">
      <alignment horizontal="left"/>
    </xf>
    <xf numFmtId="37" fontId="23" fillId="0" borderId="2" xfId="0" applyNumberFormat="1" applyFont="1" applyFill="1" applyBorder="1"/>
    <xf numFmtId="37" fontId="19" fillId="0" borderId="0" xfId="0" applyNumberFormat="1" applyFont="1" applyFill="1" applyAlignment="1">
      <alignment horizontal="left"/>
    </xf>
    <xf numFmtId="37" fontId="19" fillId="0" borderId="0" xfId="0" applyNumberFormat="1" applyFont="1" applyFill="1"/>
    <xf numFmtId="37" fontId="24" fillId="0" borderId="0" xfId="0" applyNumberFormat="1" applyFont="1" applyFill="1" applyAlignment="1">
      <alignment wrapText="1"/>
    </xf>
    <xf numFmtId="37" fontId="24" fillId="0" borderId="0" xfId="0" applyNumberFormat="1" applyFont="1" applyFill="1" applyBorder="1" applyAlignment="1">
      <alignment horizontal="left"/>
    </xf>
    <xf numFmtId="17" fontId="29" fillId="0" borderId="0" xfId="0" applyNumberFormat="1" applyFont="1" applyFill="1" applyAlignment="1">
      <alignment horizontal="left"/>
    </xf>
    <xf numFmtId="17" fontId="24" fillId="0" borderId="1" xfId="0" applyNumberFormat="1" applyFont="1" applyFill="1" applyBorder="1" applyAlignment="1">
      <alignment horizontal="center"/>
    </xf>
    <xf numFmtId="41" fontId="13" fillId="0" borderId="4" xfId="0" applyNumberFormat="1" applyFont="1" applyFill="1" applyBorder="1"/>
    <xf numFmtId="41" fontId="13" fillId="0" borderId="15" xfId="0" applyNumberFormat="1" applyFont="1" applyFill="1" applyBorder="1"/>
    <xf numFmtId="41" fontId="13" fillId="0" borderId="0" xfId="0" applyNumberFormat="1" applyFont="1" applyFill="1" applyBorder="1"/>
    <xf numFmtId="37" fontId="0" fillId="2" borderId="0" xfId="0" applyAlignment="1">
      <alignment horizontal="centerContinuous"/>
    </xf>
    <xf numFmtId="37" fontId="0" fillId="2" borderId="0" xfId="0"/>
    <xf numFmtId="17" fontId="25" fillId="2" borderId="0" xfId="0" quotePrefix="1" applyNumberFormat="1" applyFont="1" applyAlignment="1">
      <alignment horizontal="centerContinuous"/>
    </xf>
    <xf numFmtId="37" fontId="31" fillId="2" borderId="0" xfId="0" quotePrefix="1" applyFont="1" applyAlignment="1">
      <alignment horizontal="left"/>
    </xf>
    <xf numFmtId="37" fontId="32" fillId="2" borderId="0" xfId="0" applyFont="1"/>
    <xf numFmtId="37" fontId="20" fillId="2" borderId="16" xfId="0" applyFont="1" applyBorder="1"/>
    <xf numFmtId="37" fontId="20" fillId="2" borderId="16" xfId="0" applyFont="1" applyBorder="1" applyAlignment="1">
      <alignment horizontal="centerContinuous"/>
    </xf>
    <xf numFmtId="37" fontId="22" fillId="2" borderId="17" xfId="0" applyFont="1" applyBorder="1" applyAlignment="1">
      <alignment horizontal="centerContinuous"/>
    </xf>
    <xf numFmtId="37" fontId="22" fillId="2" borderId="18" xfId="0" applyFont="1" applyBorder="1" applyAlignment="1">
      <alignment horizontal="centerContinuous"/>
    </xf>
    <xf numFmtId="37" fontId="22" fillId="2" borderId="0" xfId="0" applyNumberFormat="1" applyFont="1"/>
    <xf numFmtId="37" fontId="22" fillId="2" borderId="0" xfId="0" applyFont="1"/>
    <xf numFmtId="37" fontId="22" fillId="2" borderId="16" xfId="0" applyFont="1" applyBorder="1"/>
    <xf numFmtId="37" fontId="22" fillId="2" borderId="0" xfId="0" applyFont="1" applyAlignment="1">
      <alignment horizontal="left"/>
    </xf>
    <xf numFmtId="37" fontId="20" fillId="2" borderId="0" xfId="0" quotePrefix="1" applyFont="1" applyAlignment="1">
      <alignment horizontal="left"/>
    </xf>
    <xf numFmtId="37" fontId="22" fillId="2" borderId="0" xfId="0" applyFont="1" applyBorder="1"/>
    <xf numFmtId="37" fontId="22" fillId="2" borderId="0" xfId="0" quotePrefix="1" applyFont="1" applyAlignment="1">
      <alignment horizontal="left"/>
    </xf>
    <xf numFmtId="37" fontId="22" fillId="2" borderId="0" xfId="0" quotePrefix="1" applyFont="1" applyAlignment="1">
      <alignment horizontal="centerContinuous"/>
    </xf>
    <xf numFmtId="37" fontId="22" fillId="2" borderId="0" xfId="0" applyFont="1" applyAlignment="1">
      <alignment horizontal="centerContinuous"/>
    </xf>
    <xf numFmtId="37" fontId="33" fillId="2" borderId="0" xfId="0" quotePrefix="1" applyFont="1" applyAlignment="1">
      <alignment horizontal="left"/>
    </xf>
    <xf numFmtId="37" fontId="33" fillId="2" borderId="0" xfId="0" applyFont="1"/>
    <xf numFmtId="37" fontId="30" fillId="2" borderId="0" xfId="0" applyFont="1" applyAlignment="1">
      <alignment horizontal="center"/>
    </xf>
    <xf numFmtId="37" fontId="25" fillId="2" borderId="0" xfId="0" applyFont="1" applyAlignment="1">
      <alignment horizontal="centerContinuous"/>
    </xf>
    <xf numFmtId="49" fontId="12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0" xfId="0" quotePrefix="1" applyNumberFormat="1" applyFont="1" applyFill="1" applyAlignment="1">
      <alignment horizontal="left" vertical="top" wrapText="1"/>
    </xf>
    <xf numFmtId="49" fontId="9" fillId="0" borderId="0" xfId="0" applyNumberFormat="1" applyFont="1" applyFill="1" applyAlignment="1">
      <alignment horizontal="left" vertical="top" wrapText="1"/>
    </xf>
    <xf numFmtId="37" fontId="12" fillId="0" borderId="0" xfId="0" applyFont="1" applyFill="1" applyBorder="1" applyAlignment="1">
      <alignment vertical="top"/>
    </xf>
    <xf numFmtId="37" fontId="28" fillId="0" borderId="0" xfId="0" applyFont="1" applyFill="1" applyBorder="1" applyAlignment="1">
      <alignment vertical="top"/>
    </xf>
    <xf numFmtId="37" fontId="11" fillId="0" borderId="0" xfId="0" applyFont="1" applyFill="1" applyAlignment="1">
      <alignment vertical="top"/>
    </xf>
    <xf numFmtId="37" fontId="9" fillId="0" borderId="0" xfId="0" applyFont="1" applyFill="1" applyAlignment="1">
      <alignment vertical="top"/>
    </xf>
    <xf numFmtId="37" fontId="23" fillId="0" borderId="19" xfId="0" applyNumberFormat="1" applyFont="1" applyFill="1" applyBorder="1"/>
    <xf numFmtId="37" fontId="24" fillId="0" borderId="19" xfId="0" applyNumberFormat="1" applyFont="1" applyFill="1" applyBorder="1"/>
    <xf numFmtId="37" fontId="22" fillId="2" borderId="0" xfId="0" applyFont="1" applyBorder="1" applyAlignment="1">
      <alignment horizontal="centerContinuous"/>
    </xf>
    <xf numFmtId="37" fontId="30" fillId="2" borderId="20" xfId="0" applyFont="1" applyBorder="1" applyAlignment="1">
      <alignment horizontal="centerContinuous"/>
    </xf>
    <xf numFmtId="37" fontId="22" fillId="2" borderId="17" xfId="0" applyFont="1" applyBorder="1" applyAlignment="1"/>
    <xf numFmtId="37" fontId="0" fillId="0" borderId="0" xfId="0" quotePrefix="1" applyNumberFormat="1" applyFill="1"/>
    <xf numFmtId="39" fontId="23" fillId="0" borderId="0" xfId="0" applyNumberFormat="1" applyFont="1" applyFill="1"/>
    <xf numFmtId="37" fontId="6" fillId="0" borderId="3" xfId="0" applyNumberFormat="1" applyFont="1" applyFill="1" applyBorder="1"/>
    <xf numFmtId="37" fontId="34" fillId="0" borderId="0" xfId="0" applyNumberFormat="1" applyFont="1" applyFill="1"/>
    <xf numFmtId="37" fontId="34" fillId="0" borderId="0" xfId="0" applyNumberFormat="1" applyFont="1" applyFill="1" applyAlignment="1">
      <alignment horizontal="right"/>
    </xf>
    <xf numFmtId="37" fontId="35" fillId="0" borderId="0" xfId="0" quotePrefix="1" applyNumberFormat="1" applyFont="1" applyFill="1" applyAlignment="1">
      <alignment horizontal="left"/>
    </xf>
    <xf numFmtId="17" fontId="21" fillId="0" borderId="0" xfId="0" applyNumberFormat="1" applyFont="1" applyFill="1" applyAlignment="1">
      <alignment horizontal="left"/>
    </xf>
    <xf numFmtId="37" fontId="20" fillId="0" borderId="10" xfId="0" applyNumberFormat="1" applyFont="1" applyFill="1" applyBorder="1" applyAlignment="1">
      <alignment horizontal="center"/>
    </xf>
    <xf numFmtId="37" fontId="21" fillId="0" borderId="17" xfId="0" quotePrefix="1" applyNumberFormat="1" applyFont="1" applyFill="1" applyBorder="1" applyAlignment="1">
      <alignment horizontal="centerContinuous"/>
    </xf>
    <xf numFmtId="37" fontId="27" fillId="0" borderId="0" xfId="0" quotePrefix="1" applyNumberFormat="1" applyFont="1" applyFill="1" applyAlignment="1">
      <alignment horizontal="left"/>
    </xf>
    <xf numFmtId="37" fontId="23" fillId="0" borderId="0" xfId="0" quotePrefix="1" applyNumberFormat="1" applyFont="1" applyFill="1" applyBorder="1" applyAlignment="1">
      <alignment horizontal="left"/>
    </xf>
    <xf numFmtId="37" fontId="20" fillId="0" borderId="5" xfId="0" applyNumberFormat="1" applyFont="1" applyFill="1" applyBorder="1" applyAlignment="1">
      <alignment horizontal="center"/>
    </xf>
    <xf numFmtId="37" fontId="13" fillId="0" borderId="8" xfId="0" applyNumberFormat="1" applyFont="1" applyFill="1" applyBorder="1"/>
    <xf numFmtId="37" fontId="13" fillId="0" borderId="21" xfId="0" applyNumberFormat="1" applyFont="1" applyFill="1" applyBorder="1"/>
    <xf numFmtId="37" fontId="13" fillId="0" borderId="12" xfId="0" applyNumberFormat="1" applyFont="1" applyFill="1" applyBorder="1"/>
    <xf numFmtId="37" fontId="13" fillId="0" borderId="5" xfId="0" applyNumberFormat="1" applyFont="1" applyFill="1" applyBorder="1"/>
    <xf numFmtId="37" fontId="13" fillId="0" borderId="0" xfId="0" applyNumberFormat="1" applyFont="1" applyFill="1" applyBorder="1"/>
    <xf numFmtId="49" fontId="13" fillId="0" borderId="0" xfId="0" applyNumberFormat="1" applyFont="1" applyFill="1" applyBorder="1"/>
    <xf numFmtId="49" fontId="13" fillId="0" borderId="13" xfId="0" applyNumberFormat="1" applyFont="1" applyFill="1" applyBorder="1"/>
    <xf numFmtId="49" fontId="13" fillId="0" borderId="13" xfId="0" quotePrefix="1" applyNumberFormat="1" applyFont="1" applyFill="1" applyBorder="1" applyAlignment="1">
      <alignment horizontal="left"/>
    </xf>
    <xf numFmtId="37" fontId="13" fillId="0" borderId="7" xfId="0" applyNumberFormat="1" applyFont="1" applyFill="1" applyBorder="1"/>
    <xf numFmtId="37" fontId="13" fillId="0" borderId="6" xfId="0" applyNumberFormat="1" applyFont="1" applyFill="1" applyBorder="1"/>
    <xf numFmtId="49" fontId="13" fillId="0" borderId="6" xfId="0" applyNumberFormat="1" applyFont="1" applyFill="1" applyBorder="1"/>
    <xf numFmtId="49" fontId="13" fillId="0" borderId="14" xfId="0" applyNumberFormat="1" applyFont="1" applyFill="1" applyBorder="1"/>
    <xf numFmtId="37" fontId="12" fillId="0" borderId="0" xfId="0" applyFont="1" applyFill="1" applyAlignment="1">
      <alignment horizontal="centerContinuous" vertical="top"/>
    </xf>
    <xf numFmtId="37" fontId="10" fillId="0" borderId="0" xfId="0" applyNumberFormat="1" applyFont="1" applyFill="1"/>
    <xf numFmtId="37" fontId="0" fillId="0" borderId="8" xfId="0" applyNumberFormat="1" applyFill="1" applyBorder="1"/>
    <xf numFmtId="37" fontId="38" fillId="0" borderId="21" xfId="0" applyNumberFormat="1" applyFont="1" applyFill="1" applyBorder="1" applyAlignment="1">
      <alignment horizontal="centerContinuous"/>
    </xf>
    <xf numFmtId="37" fontId="0" fillId="0" borderId="21" xfId="0" applyNumberFormat="1" applyFill="1" applyBorder="1" applyAlignment="1">
      <alignment horizontal="centerContinuous"/>
    </xf>
    <xf numFmtId="37" fontId="0" fillId="0" borderId="12" xfId="0" applyNumberFormat="1" applyFill="1" applyBorder="1" applyAlignment="1">
      <alignment horizontal="centerContinuous"/>
    </xf>
    <xf numFmtId="37" fontId="24" fillId="0" borderId="0" xfId="0" applyNumberFormat="1" applyFont="1" applyFill="1" applyBorder="1" applyAlignment="1">
      <alignment horizontal="right"/>
    </xf>
    <xf numFmtId="37" fontId="0" fillId="2" borderId="0" xfId="0" applyNumberFormat="1" applyBorder="1"/>
    <xf numFmtId="37" fontId="24" fillId="0" borderId="0" xfId="0" quotePrefix="1" applyNumberFormat="1" applyFont="1" applyFill="1" applyBorder="1" applyAlignment="1">
      <alignment horizontal="right"/>
    </xf>
    <xf numFmtId="37" fontId="24" fillId="0" borderId="7" xfId="0" quotePrefix="1" applyNumberFormat="1" applyFont="1" applyFill="1" applyBorder="1" applyAlignment="1">
      <alignment horizontal="left"/>
    </xf>
    <xf numFmtId="37" fontId="24" fillId="0" borderId="6" xfId="0" quotePrefix="1" applyNumberFormat="1" applyFont="1" applyFill="1" applyBorder="1" applyAlignment="1">
      <alignment horizontal="left"/>
    </xf>
    <xf numFmtId="37" fontId="0" fillId="2" borderId="6" xfId="0" applyNumberFormat="1" applyBorder="1"/>
    <xf numFmtId="37" fontId="23" fillId="0" borderId="3" xfId="0" applyNumberFormat="1" applyFont="1" applyFill="1" applyBorder="1"/>
    <xf numFmtId="0" fontId="37" fillId="0" borderId="0" xfId="2"/>
    <xf numFmtId="0" fontId="39" fillId="0" borderId="0" xfId="2" applyFont="1" applyBorder="1"/>
    <xf numFmtId="0" fontId="37" fillId="0" borderId="0" xfId="2" applyBorder="1"/>
    <xf numFmtId="0" fontId="39" fillId="0" borderId="0" xfId="2" quotePrefix="1" applyFont="1" applyBorder="1" applyAlignment="1">
      <alignment horizontal="left"/>
    </xf>
    <xf numFmtId="0" fontId="37" fillId="0" borderId="0" xfId="2" quotePrefix="1" applyBorder="1" applyAlignment="1">
      <alignment horizontal="left"/>
    </xf>
    <xf numFmtId="37" fontId="13" fillId="0" borderId="0" xfId="1" applyNumberFormat="1" applyFont="1" applyBorder="1"/>
    <xf numFmtId="37" fontId="40" fillId="0" borderId="0" xfId="1" applyNumberFormat="1" applyFont="1" applyBorder="1"/>
    <xf numFmtId="37" fontId="37" fillId="0" borderId="0" xfId="2" quotePrefix="1" applyNumberFormat="1" applyFill="1" applyBorder="1" applyAlignment="1">
      <alignment horizontal="left"/>
    </xf>
    <xf numFmtId="0" fontId="37" fillId="0" borderId="0" xfId="2" applyBorder="1" applyAlignment="1">
      <alignment horizontal="right"/>
    </xf>
    <xf numFmtId="37" fontId="40" fillId="0" borderId="0" xfId="2" applyNumberFormat="1" applyFont="1" applyBorder="1"/>
    <xf numFmtId="0" fontId="39" fillId="0" borderId="0" xfId="2" applyFont="1" applyBorder="1" applyAlignment="1">
      <alignment horizontal="left"/>
    </xf>
    <xf numFmtId="37" fontId="15" fillId="0" borderId="0" xfId="0" applyNumberFormat="1" applyFont="1" applyFill="1" applyBorder="1"/>
    <xf numFmtId="37" fontId="15" fillId="0" borderId="0" xfId="0" applyNumberFormat="1" applyFont="1" applyFill="1" applyBorder="1" applyAlignment="1">
      <alignment horizontal="center"/>
    </xf>
    <xf numFmtId="37" fontId="26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Continuous"/>
    </xf>
    <xf numFmtId="37" fontId="13" fillId="0" borderId="0" xfId="0" applyNumberFormat="1" applyFont="1" applyFill="1" applyBorder="1" applyProtection="1">
      <protection locked="0"/>
    </xf>
    <xf numFmtId="37" fontId="17" fillId="0" borderId="0" xfId="0" applyNumberFormat="1" applyFont="1" applyFill="1" applyBorder="1"/>
    <xf numFmtId="37" fontId="13" fillId="0" borderId="0" xfId="0" applyNumberFormat="1" applyFont="1" applyFill="1" applyBorder="1" applyAlignment="1">
      <alignment horizontal="center"/>
    </xf>
    <xf numFmtId="37" fontId="5" fillId="0" borderId="1" xfId="0" applyNumberFormat="1" applyFont="1" applyFill="1" applyBorder="1"/>
    <xf numFmtId="37" fontId="8" fillId="0" borderId="0" xfId="0" quotePrefix="1" applyNumberFormat="1" applyFont="1" applyFill="1" applyAlignment="1">
      <alignment horizontal="left"/>
    </xf>
    <xf numFmtId="37" fontId="8" fillId="0" borderId="0" xfId="0" applyNumberFormat="1" applyFont="1" applyFill="1" applyAlignment="1">
      <alignment horizontal="left"/>
    </xf>
    <xf numFmtId="37" fontId="41" fillId="0" borderId="0" xfId="0" applyNumberFormat="1" applyFont="1" applyFill="1"/>
    <xf numFmtId="37" fontId="24" fillId="0" borderId="1" xfId="0" applyNumberFormat="1" applyFont="1" applyFill="1" applyBorder="1" applyAlignment="1">
      <alignment horizontal="centerContinuous"/>
    </xf>
    <xf numFmtId="37" fontId="24" fillId="0" borderId="2" xfId="0" applyNumberFormat="1" applyFont="1" applyFill="1" applyBorder="1" applyAlignment="1">
      <alignment horizontal="centerContinuous"/>
    </xf>
    <xf numFmtId="37" fontId="14" fillId="0" borderId="0" xfId="1" applyNumberFormat="1" applyFont="1" applyBorder="1"/>
    <xf numFmtId="0" fontId="14" fillId="0" borderId="0" xfId="2" applyFont="1" applyBorder="1"/>
    <xf numFmtId="37" fontId="37" fillId="0" borderId="0" xfId="2" applyNumberFormat="1" applyBorder="1"/>
    <xf numFmtId="37" fontId="37" fillId="0" borderId="0" xfId="1" applyNumberFormat="1" applyBorder="1"/>
    <xf numFmtId="37" fontId="39" fillId="0" borderId="0" xfId="2" applyNumberFormat="1" applyFont="1" applyBorder="1" applyAlignment="1">
      <alignment horizontal="centerContinuous"/>
    </xf>
    <xf numFmtId="37" fontId="39" fillId="0" borderId="0" xfId="1" applyNumberFormat="1" applyFont="1" applyBorder="1" applyAlignment="1">
      <alignment horizontal="centerContinuous"/>
    </xf>
    <xf numFmtId="37" fontId="37" fillId="0" borderId="0" xfId="2" applyNumberFormat="1" applyBorder="1" applyAlignment="1">
      <alignment horizontal="centerContinuous"/>
    </xf>
    <xf numFmtId="37" fontId="37" fillId="0" borderId="0" xfId="1" applyNumberFormat="1" applyBorder="1" applyAlignment="1">
      <alignment horizontal="centerContinuous"/>
    </xf>
    <xf numFmtId="37" fontId="37" fillId="0" borderId="0" xfId="2" applyNumberFormat="1"/>
    <xf numFmtId="37" fontId="37" fillId="0" borderId="0" xfId="1" applyNumberFormat="1"/>
    <xf numFmtId="0" fontId="37" fillId="0" borderId="0" xfId="2" applyBorder="1" applyAlignment="1">
      <alignment horizontal="left"/>
    </xf>
    <xf numFmtId="37" fontId="8" fillId="0" borderId="1" xfId="0" applyNumberFormat="1" applyFont="1" applyFill="1" applyBorder="1"/>
    <xf numFmtId="49" fontId="43" fillId="0" borderId="0" xfId="0" applyNumberFormat="1" applyFont="1" applyFill="1" applyAlignment="1">
      <alignment horizontal="left" vertical="top" wrapText="1"/>
    </xf>
    <xf numFmtId="37" fontId="44" fillId="0" borderId="0" xfId="0" applyFont="1" applyFill="1" applyAlignment="1">
      <alignment horizontal="centerContinuous" vertical="top"/>
    </xf>
    <xf numFmtId="37" fontId="42" fillId="0" borderId="0" xfId="0" quotePrefix="1" applyFont="1" applyFill="1" applyAlignment="1">
      <alignment horizontal="left" vertical="top"/>
    </xf>
    <xf numFmtId="37" fontId="45" fillId="0" borderId="9" xfId="0" applyNumberFormat="1" applyFont="1" applyFill="1" applyBorder="1" applyAlignment="1">
      <alignment horizontal="left"/>
    </xf>
    <xf numFmtId="37" fontId="45" fillId="0" borderId="9" xfId="0" applyNumberFormat="1" applyFont="1" applyFill="1" applyBorder="1" applyAlignment="1"/>
    <xf numFmtId="37" fontId="39" fillId="0" borderId="22" xfId="0" applyNumberFormat="1" applyFont="1" applyFill="1" applyBorder="1" applyAlignment="1">
      <alignment horizontal="centerContinuous"/>
    </xf>
    <xf numFmtId="37" fontId="39" fillId="0" borderId="23" xfId="0" applyNumberFormat="1" applyFont="1" applyFill="1" applyBorder="1" applyAlignment="1">
      <alignment horizontal="centerContinuous"/>
    </xf>
    <xf numFmtId="37" fontId="45" fillId="0" borderId="23" xfId="0" applyNumberFormat="1" applyFont="1" applyFill="1" applyBorder="1" applyAlignment="1">
      <alignment horizontal="left"/>
    </xf>
    <xf numFmtId="37" fontId="39" fillId="0" borderId="24" xfId="0" applyNumberFormat="1" applyFont="1" applyFill="1" applyBorder="1" applyAlignment="1">
      <alignment horizontal="center"/>
    </xf>
    <xf numFmtId="37" fontId="39" fillId="0" borderId="11" xfId="0" applyNumberFormat="1" applyFont="1" applyFill="1" applyBorder="1"/>
    <xf numFmtId="37" fontId="14" fillId="0" borderId="11" xfId="0" applyNumberFormat="1" applyFont="1" applyFill="1" applyBorder="1"/>
    <xf numFmtId="37" fontId="45" fillId="0" borderId="25" xfId="0" applyNumberFormat="1" applyFont="1" applyFill="1" applyBorder="1" applyAlignment="1">
      <alignment horizontal="centerContinuous"/>
    </xf>
    <xf numFmtId="37" fontId="45" fillId="2" borderId="26" xfId="0" applyNumberFormat="1" applyFont="1" applyBorder="1" applyAlignment="1">
      <alignment horizontal="centerContinuous"/>
    </xf>
    <xf numFmtId="37" fontId="45" fillId="0" borderId="26" xfId="0" applyNumberFormat="1" applyFont="1" applyFill="1" applyBorder="1" applyAlignment="1">
      <alignment horizontal="left"/>
    </xf>
    <xf numFmtId="37" fontId="14" fillId="0" borderId="27" xfId="0" applyNumberFormat="1" applyFont="1" applyFill="1" applyBorder="1" applyAlignment="1">
      <alignment horizontal="center"/>
    </xf>
    <xf numFmtId="37" fontId="46" fillId="0" borderId="8" xfId="0" quotePrefix="1" applyNumberFormat="1" applyFont="1" applyFill="1" applyBorder="1" applyAlignment="1">
      <alignment horizontal="left"/>
    </xf>
    <xf numFmtId="37" fontId="14" fillId="0" borderId="21" xfId="0" quotePrefix="1" applyNumberFormat="1" applyFont="1" applyFill="1" applyBorder="1" applyAlignment="1">
      <alignment horizontal="left"/>
    </xf>
    <xf numFmtId="37" fontId="14" fillId="0" borderId="21" xfId="0" applyNumberFormat="1" applyFont="1" applyFill="1" applyBorder="1"/>
    <xf numFmtId="37" fontId="14" fillId="0" borderId="12" xfId="0" applyNumberFormat="1" applyFont="1" applyFill="1" applyBorder="1"/>
    <xf numFmtId="37" fontId="46" fillId="0" borderId="5" xfId="0" quotePrefix="1" applyNumberFormat="1" applyFont="1" applyFill="1" applyBorder="1" applyAlignment="1">
      <alignment horizontal="left"/>
    </xf>
    <xf numFmtId="37" fontId="14" fillId="0" borderId="0" xfId="0" quotePrefix="1" applyNumberFormat="1" applyFont="1" applyFill="1" applyBorder="1" applyAlignment="1">
      <alignment horizontal="left"/>
    </xf>
    <xf numFmtId="37" fontId="14" fillId="0" borderId="0" xfId="0" applyNumberFormat="1" applyFont="1" applyFill="1" applyBorder="1"/>
    <xf numFmtId="37" fontId="14" fillId="0" borderId="13" xfId="0" applyNumberFormat="1" applyFont="1" applyFill="1" applyBorder="1"/>
    <xf numFmtId="37" fontId="40" fillId="0" borderId="0" xfId="0" applyNumberFormat="1" applyFont="1" applyFill="1" applyBorder="1" applyAlignment="1">
      <alignment horizontal="left"/>
    </xf>
    <xf numFmtId="37" fontId="40" fillId="0" borderId="1" xfId="0" applyNumberFormat="1" applyFont="1" applyFill="1" applyBorder="1"/>
    <xf numFmtId="37" fontId="14" fillId="0" borderId="5" xfId="0" applyNumberFormat="1" applyFont="1" applyFill="1" applyBorder="1" applyAlignment="1">
      <alignment horizontal="left"/>
    </xf>
    <xf numFmtId="37" fontId="39" fillId="0" borderId="0" xfId="0" applyNumberFormat="1" applyFont="1" applyFill="1" applyBorder="1" applyAlignment="1">
      <alignment horizontal="left"/>
    </xf>
    <xf numFmtId="37" fontId="14" fillId="0" borderId="3" xfId="0" applyNumberFormat="1" applyFont="1" applyFill="1" applyBorder="1"/>
    <xf numFmtId="37" fontId="14" fillId="0" borderId="28" xfId="0" applyNumberFormat="1" applyFont="1" applyFill="1" applyBorder="1"/>
    <xf numFmtId="37" fontId="14" fillId="0" borderId="5" xfId="0" quotePrefix="1" applyNumberFormat="1" applyFont="1" applyFill="1" applyBorder="1" applyAlignment="1">
      <alignment horizontal="left"/>
    </xf>
    <xf numFmtId="37" fontId="14" fillId="0" borderId="0" xfId="0" applyNumberFormat="1" applyFont="1" applyFill="1" applyBorder="1" applyAlignment="1">
      <alignment horizontal="left"/>
    </xf>
    <xf numFmtId="37" fontId="46" fillId="0" borderId="7" xfId="0" applyNumberFormat="1" applyFont="1" applyFill="1" applyBorder="1"/>
    <xf numFmtId="37" fontId="46" fillId="0" borderId="6" xfId="0" applyNumberFormat="1" applyFont="1" applyFill="1" applyBorder="1"/>
    <xf numFmtId="37" fontId="14" fillId="0" borderId="14" xfId="0" applyNumberFormat="1" applyFont="1" applyFill="1" applyBorder="1"/>
    <xf numFmtId="37" fontId="46" fillId="0" borderId="0" xfId="0" applyNumberFormat="1" applyFont="1" applyFill="1"/>
    <xf numFmtId="37" fontId="46" fillId="0" borderId="0" xfId="0" applyNumberFormat="1" applyFont="1" applyFill="1" applyBorder="1"/>
    <xf numFmtId="0" fontId="37" fillId="0" borderId="0" xfId="2" applyFont="1" applyBorder="1"/>
    <xf numFmtId="0" fontId="37" fillId="0" borderId="0" xfId="2" quotePrefix="1" applyFont="1" applyBorder="1" applyAlignment="1">
      <alignment horizontal="left"/>
    </xf>
    <xf numFmtId="37" fontId="23" fillId="0" borderId="19" xfId="0" quotePrefix="1" applyNumberFormat="1" applyFont="1" applyFill="1" applyBorder="1"/>
    <xf numFmtId="37" fontId="24" fillId="0" borderId="3" xfId="0" applyNumberFormat="1" applyFont="1" applyFill="1" applyBorder="1" applyAlignment="1">
      <alignment horizontal="centerContinuous"/>
    </xf>
    <xf numFmtId="37" fontId="15" fillId="0" borderId="0" xfId="0" applyNumberFormat="1" applyFont="1" applyFill="1" applyProtection="1">
      <protection locked="0"/>
    </xf>
    <xf numFmtId="0" fontId="37" fillId="0" borderId="0" xfId="2" applyFont="1" applyBorder="1" applyAlignment="1">
      <alignment horizontal="left"/>
    </xf>
    <xf numFmtId="0" fontId="37" fillId="0" borderId="0" xfId="2" applyFont="1"/>
    <xf numFmtId="37" fontId="21" fillId="0" borderId="29" xfId="0" quotePrefix="1" applyNumberFormat="1" applyFont="1" applyFill="1" applyBorder="1" applyAlignment="1">
      <alignment horizontal="centerContinuous"/>
    </xf>
    <xf numFmtId="37" fontId="20" fillId="0" borderId="30" xfId="0" applyNumberFormat="1" applyFont="1" applyFill="1" applyBorder="1"/>
    <xf numFmtId="17" fontId="20" fillId="0" borderId="31" xfId="0" quotePrefix="1" applyNumberFormat="1" applyFont="1" applyFill="1" applyBorder="1" applyAlignment="1">
      <alignment horizontal="center"/>
    </xf>
    <xf numFmtId="37" fontId="16" fillId="0" borderId="30" xfId="0" applyNumberFormat="1" applyFont="1" applyFill="1" applyBorder="1" applyAlignment="1">
      <alignment horizontal="center"/>
    </xf>
    <xf numFmtId="37" fontId="0" fillId="0" borderId="30" xfId="0" applyNumberFormat="1" applyFill="1" applyBorder="1"/>
    <xf numFmtId="37" fontId="0" fillId="0" borderId="32" xfId="0" applyNumberFormat="1" applyFill="1" applyBorder="1"/>
    <xf numFmtId="37" fontId="0" fillId="0" borderId="33" xfId="0" applyNumberFormat="1" applyFill="1" applyBorder="1"/>
    <xf numFmtId="37" fontId="23" fillId="0" borderId="30" xfId="0" applyNumberFormat="1" applyFont="1" applyFill="1" applyBorder="1"/>
    <xf numFmtId="37" fontId="23" fillId="0" borderId="32" xfId="0" applyNumberFormat="1" applyFont="1" applyFill="1" applyBorder="1"/>
    <xf numFmtId="37" fontId="23" fillId="0" borderId="33" xfId="0" applyNumberFormat="1" applyFont="1" applyFill="1" applyBorder="1"/>
    <xf numFmtId="37" fontId="0" fillId="0" borderId="34" xfId="0" applyNumberFormat="1" applyFill="1" applyBorder="1"/>
    <xf numFmtId="37" fontId="8" fillId="0" borderId="32" xfId="0" applyNumberFormat="1" applyFont="1" applyFill="1" applyBorder="1"/>
    <xf numFmtId="37" fontId="5" fillId="0" borderId="32" xfId="0" applyNumberFormat="1" applyFont="1" applyFill="1" applyBorder="1"/>
    <xf numFmtId="37" fontId="23" fillId="0" borderId="34" xfId="0" applyNumberFormat="1" applyFont="1" applyFill="1" applyBorder="1"/>
    <xf numFmtId="37" fontId="34" fillId="0" borderId="30" xfId="0" applyNumberFormat="1" applyFont="1" applyFill="1" applyBorder="1"/>
    <xf numFmtId="37" fontId="24" fillId="0" borderId="1" xfId="0" applyNumberFormat="1" applyFont="1" applyFill="1" applyBorder="1"/>
    <xf numFmtId="37" fontId="14" fillId="0" borderId="1" xfId="1" applyNumberFormat="1" applyFont="1" applyBorder="1"/>
    <xf numFmtId="37" fontId="37" fillId="0" borderId="2" xfId="1" applyNumberFormat="1" applyBorder="1"/>
    <xf numFmtId="37" fontId="40" fillId="0" borderId="1" xfId="1" applyNumberFormat="1" applyFont="1" applyBorder="1"/>
    <xf numFmtId="37" fontId="15" fillId="0" borderId="1" xfId="0" applyNumberFormat="1" applyFont="1" applyFill="1" applyBorder="1" applyProtection="1">
      <protection locked="0"/>
    </xf>
    <xf numFmtId="37" fontId="15" fillId="0" borderId="19" xfId="0" applyNumberFormat="1" applyFont="1" applyFill="1" applyBorder="1" applyProtection="1">
      <protection locked="0"/>
    </xf>
    <xf numFmtId="37" fontId="15" fillId="0" borderId="2" xfId="0" applyNumberFormat="1" applyFont="1" applyFill="1" applyBorder="1" applyProtection="1">
      <protection locked="0"/>
    </xf>
    <xf numFmtId="17" fontId="19" fillId="0" borderId="0" xfId="0" applyNumberFormat="1" applyFont="1" applyFill="1" applyBorder="1" applyAlignment="1">
      <alignment horizontal="center"/>
    </xf>
    <xf numFmtId="49" fontId="43" fillId="2" borderId="0" xfId="0" applyNumberFormat="1" applyFont="1" applyAlignment="1">
      <alignment wrapText="1"/>
    </xf>
    <xf numFmtId="37" fontId="47" fillId="0" borderId="0" xfId="0" applyFont="1" applyFill="1"/>
    <xf numFmtId="37" fontId="44" fillId="0" borderId="0" xfId="0" applyFont="1" applyFill="1" applyAlignment="1">
      <alignment vertical="top"/>
    </xf>
    <xf numFmtId="37" fontId="48" fillId="0" borderId="0" xfId="0" applyFont="1" applyFill="1" applyAlignment="1">
      <alignment vertical="top"/>
    </xf>
    <xf numFmtId="49" fontId="47" fillId="0" borderId="0" xfId="0" applyNumberFormat="1" applyFont="1" applyFill="1" applyAlignment="1">
      <alignment horizontal="left" vertical="top" wrapText="1"/>
    </xf>
    <xf numFmtId="37" fontId="49" fillId="3" borderId="0" xfId="0" applyNumberFormat="1" applyFont="1" applyFill="1"/>
    <xf numFmtId="37" fontId="49" fillId="4" borderId="0" xfId="0" applyNumberFormat="1" applyFont="1" applyFill="1"/>
    <xf numFmtId="37" fontId="44" fillId="3" borderId="0" xfId="0" applyNumberFormat="1" applyFont="1" applyFill="1" applyBorder="1" applyAlignment="1">
      <alignment horizontal="centerContinuous" vertical="top"/>
    </xf>
    <xf numFmtId="49" fontId="43" fillId="3" borderId="0" xfId="0" applyNumberFormat="1" applyFont="1" applyFill="1" applyAlignment="1">
      <alignment wrapText="1"/>
    </xf>
    <xf numFmtId="49" fontId="43" fillId="3" borderId="0" xfId="0" applyNumberFormat="1" applyFont="1" applyFill="1" applyAlignment="1"/>
    <xf numFmtId="49" fontId="43" fillId="0" borderId="0" xfId="0" applyNumberFormat="1" applyFont="1" applyFill="1" applyAlignment="1">
      <alignment wrapText="1"/>
    </xf>
    <xf numFmtId="37" fontId="44" fillId="3" borderId="0" xfId="0" applyFont="1" applyFill="1" applyAlignment="1">
      <alignment horizontal="centerContinuous" vertical="top"/>
    </xf>
    <xf numFmtId="37" fontId="9" fillId="3" borderId="0" xfId="0" applyFont="1" applyFill="1"/>
    <xf numFmtId="49" fontId="43" fillId="5" borderId="0" xfId="0" applyNumberFormat="1" applyFont="1" applyFill="1" applyAlignment="1">
      <alignment wrapText="1"/>
    </xf>
    <xf numFmtId="37" fontId="12" fillId="3" borderId="0" xfId="0" applyFont="1" applyFill="1" applyAlignment="1">
      <alignment horizontal="centerContinuous" vertical="top"/>
    </xf>
    <xf numFmtId="37" fontId="44" fillId="0" borderId="0" xfId="0" applyFont="1" applyFill="1" applyAlignment="1">
      <alignment horizontal="center" vertical="top"/>
    </xf>
    <xf numFmtId="17" fontId="15" fillId="2" borderId="0" xfId="0" quotePrefix="1" applyNumberFormat="1" applyFont="1" applyAlignment="1">
      <alignment horizontal="left"/>
    </xf>
    <xf numFmtId="37" fontId="50" fillId="0" borderId="2" xfId="0" applyNumberFormat="1" applyFont="1" applyFill="1" applyBorder="1"/>
    <xf numFmtId="37" fontId="15" fillId="0" borderId="0" xfId="0" applyNumberFormat="1" applyFont="1" applyFill="1" applyBorder="1" applyProtection="1">
      <protection locked="0"/>
    </xf>
    <xf numFmtId="41" fontId="13" fillId="0" borderId="19" xfId="0" applyNumberFormat="1" applyFont="1" applyFill="1" applyBorder="1"/>
    <xf numFmtId="37" fontId="48" fillId="0" borderId="0" xfId="0" applyFont="1" applyFill="1" applyAlignment="1">
      <alignment horizontal="center" vertical="top"/>
    </xf>
    <xf numFmtId="37" fontId="6" fillId="0" borderId="0" xfId="0" applyNumberFormat="1" applyFont="1" applyFill="1" applyAlignment="1">
      <alignment horizontal="left"/>
    </xf>
    <xf numFmtId="49" fontId="43" fillId="0" borderId="0" xfId="0" applyNumberFormat="1" applyFont="1" applyFill="1" applyAlignment="1">
      <alignment horizontal="left" vertical="top"/>
    </xf>
    <xf numFmtId="37" fontId="15" fillId="4" borderId="0" xfId="0" applyNumberFormat="1" applyFont="1" applyFill="1" applyProtection="1">
      <protection locked="0"/>
    </xf>
    <xf numFmtId="37" fontId="15" fillId="0" borderId="1" xfId="0" applyNumberFormat="1" applyFont="1" applyFill="1" applyBorder="1" applyAlignment="1">
      <alignment horizontal="center"/>
    </xf>
    <xf numFmtId="41" fontId="15" fillId="0" borderId="0" xfId="0" applyNumberFormat="1" applyFont="1" applyFill="1" applyBorder="1"/>
    <xf numFmtId="37" fontId="15" fillId="0" borderId="0" xfId="0" quotePrefix="1" applyNumberFormat="1" applyFont="1" applyFill="1" applyBorder="1" applyAlignment="1">
      <alignment horizontal="center"/>
    </xf>
    <xf numFmtId="49" fontId="13" fillId="0" borderId="0" xfId="0" quotePrefix="1" applyNumberFormat="1" applyFont="1" applyFill="1" applyBorder="1" applyAlignment="1">
      <alignment horizontal="left"/>
    </xf>
    <xf numFmtId="37" fontId="13" fillId="0" borderId="0" xfId="0" applyNumberFormat="1" applyFont="1" applyFill="1" applyBorder="1" applyAlignment="1"/>
    <xf numFmtId="37" fontId="13" fillId="0" borderId="0" xfId="0" applyNumberFormat="1" applyFont="1" applyFill="1" applyBorder="1" applyAlignment="1" applyProtection="1">
      <protection locked="0"/>
    </xf>
    <xf numFmtId="37" fontId="15" fillId="0" borderId="0" xfId="0" applyNumberFormat="1" applyFont="1" applyFill="1" applyAlignment="1" applyProtection="1">
      <protection locked="0"/>
    </xf>
    <xf numFmtId="41" fontId="15" fillId="0" borderId="19" xfId="0" applyNumberFormat="1" applyFont="1" applyFill="1" applyBorder="1" applyAlignment="1"/>
    <xf numFmtId="37" fontId="15" fillId="0" borderId="0" xfId="0" applyNumberFormat="1" applyFont="1" applyFill="1" applyBorder="1" applyAlignment="1" applyProtection="1">
      <protection locked="0"/>
    </xf>
    <xf numFmtId="41" fontId="15" fillId="0" borderId="15" xfId="0" applyNumberFormat="1" applyFont="1" applyFill="1" applyBorder="1" applyAlignment="1"/>
    <xf numFmtId="37" fontId="13" fillId="0" borderId="0" xfId="0" applyNumberFormat="1" applyFont="1" applyFill="1" applyAlignment="1"/>
    <xf numFmtId="49" fontId="13" fillId="0" borderId="0" xfId="0" applyNumberFormat="1" applyFont="1" applyFill="1" applyBorder="1" applyAlignment="1"/>
    <xf numFmtId="37" fontId="10" fillId="0" borderId="0" xfId="0" applyNumberFormat="1" applyFont="1" applyFill="1" applyBorder="1"/>
    <xf numFmtId="37" fontId="35" fillId="0" borderId="0" xfId="0" quotePrefix="1" applyNumberFormat="1" applyFont="1" applyFill="1" applyBorder="1" applyAlignment="1">
      <alignment horizontal="left"/>
    </xf>
    <xf numFmtId="37" fontId="30" fillId="2" borderId="0" xfId="0" quotePrefix="1" applyFont="1" applyAlignment="1">
      <alignment horizontal="center"/>
    </xf>
    <xf numFmtId="37" fontId="22" fillId="2" borderId="0" xfId="0" quotePrefix="1" applyNumberFormat="1" applyFont="1" applyAlignment="1">
      <alignment horizontal="left"/>
    </xf>
    <xf numFmtId="41" fontId="51" fillId="0" borderId="0" xfId="0" quotePrefix="1" applyNumberFormat="1" applyFont="1" applyFill="1" applyAlignment="1">
      <alignment horizontal="left"/>
    </xf>
    <xf numFmtId="38" fontId="35" fillId="0" borderId="0" xfId="0" applyNumberFormat="1" applyFont="1" applyFill="1"/>
    <xf numFmtId="22" fontId="37" fillId="0" borderId="0" xfId="2" applyNumberFormat="1" applyBorder="1" applyAlignment="1">
      <alignment horizontal="left"/>
    </xf>
    <xf numFmtId="37" fontId="0" fillId="0" borderId="19" xfId="0" applyNumberFormat="1" applyFill="1" applyBorder="1"/>
    <xf numFmtId="37" fontId="24" fillId="0" borderId="5" xfId="0" applyNumberFormat="1" applyFont="1" applyFill="1" applyBorder="1" applyAlignment="1">
      <alignment horizontal="centerContinuous"/>
    </xf>
    <xf numFmtId="37" fontId="20" fillId="0" borderId="17" xfId="0" applyNumberFormat="1" applyFont="1" applyFill="1" applyBorder="1" applyAlignment="1">
      <alignment horizontal="centerContinuous"/>
    </xf>
    <xf numFmtId="49" fontId="43" fillId="0" borderId="0" xfId="0" quotePrefix="1" applyNumberFormat="1" applyFont="1" applyFill="1" applyAlignment="1">
      <alignment horizontal="left" vertical="top" wrapText="1"/>
    </xf>
    <xf numFmtId="37" fontId="11" fillId="0" borderId="0" xfId="0" applyFont="1" applyFill="1" applyAlignment="1">
      <alignment horizontal="center" vertical="top"/>
    </xf>
  </cellXfs>
  <cellStyles count="3">
    <cellStyle name="Currency" xfId="1" builtinId="4"/>
    <cellStyle name="Normal" xfId="0" builtinId="0"/>
    <cellStyle name="Normal_gpgGLrecon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23</xdr:row>
      <xdr:rowOff>30480</xdr:rowOff>
    </xdr:from>
    <xdr:to>
      <xdr:col>8</xdr:col>
      <xdr:colOff>167640</xdr:colOff>
      <xdr:row>24</xdr:row>
      <xdr:rowOff>7620</xdr:rowOff>
    </xdr:to>
    <xdr:sp macro="" textlink="">
      <xdr:nvSpPr>
        <xdr:cNvPr id="6145" name="Line 1"/>
        <xdr:cNvSpPr>
          <a:spLocks noChangeShapeType="1"/>
        </xdr:cNvSpPr>
      </xdr:nvSpPr>
      <xdr:spPr bwMode="auto">
        <a:xfrm>
          <a:off x="4640580" y="3802380"/>
          <a:ext cx="7620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167640</xdr:colOff>
      <xdr:row>23</xdr:row>
      <xdr:rowOff>15240</xdr:rowOff>
    </xdr:from>
    <xdr:to>
      <xdr:col>8</xdr:col>
      <xdr:colOff>205740</xdr:colOff>
      <xdr:row>24</xdr:row>
      <xdr:rowOff>7620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V="1">
          <a:off x="4716780" y="3787140"/>
          <a:ext cx="381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205740</xdr:colOff>
      <xdr:row>23</xdr:row>
      <xdr:rowOff>30480</xdr:rowOff>
    </xdr:from>
    <xdr:to>
      <xdr:col>8</xdr:col>
      <xdr:colOff>281940</xdr:colOff>
      <xdr:row>24</xdr:row>
      <xdr:rowOff>7620</xdr:rowOff>
    </xdr:to>
    <xdr:sp macro="" textlink="">
      <xdr:nvSpPr>
        <xdr:cNvPr id="6147" name="Line 3"/>
        <xdr:cNvSpPr>
          <a:spLocks noChangeShapeType="1"/>
        </xdr:cNvSpPr>
      </xdr:nvSpPr>
      <xdr:spPr bwMode="auto">
        <a:xfrm>
          <a:off x="4754880" y="3802380"/>
          <a:ext cx="7620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</xdr:colOff>
      <xdr:row>23</xdr:row>
      <xdr:rowOff>30480</xdr:rowOff>
    </xdr:from>
    <xdr:to>
      <xdr:col>8</xdr:col>
      <xdr:colOff>167640</xdr:colOff>
      <xdr:row>24</xdr:row>
      <xdr:rowOff>7620</xdr:rowOff>
    </xdr:to>
    <xdr:sp macro="" textlink="">
      <xdr:nvSpPr>
        <xdr:cNvPr id="6148" name="Line 4"/>
        <xdr:cNvSpPr>
          <a:spLocks noChangeShapeType="1"/>
        </xdr:cNvSpPr>
      </xdr:nvSpPr>
      <xdr:spPr bwMode="auto">
        <a:xfrm>
          <a:off x="4640580" y="3802380"/>
          <a:ext cx="7620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167640</xdr:colOff>
      <xdr:row>23</xdr:row>
      <xdr:rowOff>15240</xdr:rowOff>
    </xdr:from>
    <xdr:to>
      <xdr:col>8</xdr:col>
      <xdr:colOff>205740</xdr:colOff>
      <xdr:row>24</xdr:row>
      <xdr:rowOff>7620</xdr:rowOff>
    </xdr:to>
    <xdr:sp macro="" textlink="">
      <xdr:nvSpPr>
        <xdr:cNvPr id="6149" name="Line 5"/>
        <xdr:cNvSpPr>
          <a:spLocks noChangeShapeType="1"/>
        </xdr:cNvSpPr>
      </xdr:nvSpPr>
      <xdr:spPr bwMode="auto">
        <a:xfrm flipV="1">
          <a:off x="4716780" y="3787140"/>
          <a:ext cx="381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205740</xdr:colOff>
      <xdr:row>23</xdr:row>
      <xdr:rowOff>30480</xdr:rowOff>
    </xdr:from>
    <xdr:to>
      <xdr:col>8</xdr:col>
      <xdr:colOff>281940</xdr:colOff>
      <xdr:row>24</xdr:row>
      <xdr:rowOff>7620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>
          <a:off x="4754880" y="3802380"/>
          <a:ext cx="7620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</xdr:colOff>
      <xdr:row>24</xdr:row>
      <xdr:rowOff>30480</xdr:rowOff>
    </xdr:from>
    <xdr:to>
      <xdr:col>8</xdr:col>
      <xdr:colOff>167640</xdr:colOff>
      <xdr:row>25</xdr:row>
      <xdr:rowOff>7620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>
          <a:off x="4640580" y="3947160"/>
          <a:ext cx="7620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167640</xdr:colOff>
      <xdr:row>24</xdr:row>
      <xdr:rowOff>15240</xdr:rowOff>
    </xdr:from>
    <xdr:to>
      <xdr:col>8</xdr:col>
      <xdr:colOff>205740</xdr:colOff>
      <xdr:row>25</xdr:row>
      <xdr:rowOff>7620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 flipV="1">
          <a:off x="4716780" y="3931920"/>
          <a:ext cx="381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205740</xdr:colOff>
      <xdr:row>24</xdr:row>
      <xdr:rowOff>30480</xdr:rowOff>
    </xdr:from>
    <xdr:to>
      <xdr:col>8</xdr:col>
      <xdr:colOff>281940</xdr:colOff>
      <xdr:row>25</xdr:row>
      <xdr:rowOff>7620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4754880" y="3947160"/>
          <a:ext cx="7620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281940</xdr:colOff>
      <xdr:row>24</xdr:row>
      <xdr:rowOff>91440</xdr:rowOff>
    </xdr:to>
    <xdr:sp macro="" textlink="">
      <xdr:nvSpPr>
        <xdr:cNvPr id="6154" name="Line 10"/>
        <xdr:cNvSpPr>
          <a:spLocks noChangeShapeType="1"/>
        </xdr:cNvSpPr>
      </xdr:nvSpPr>
      <xdr:spPr bwMode="auto">
        <a:xfrm>
          <a:off x="4617720" y="4008120"/>
          <a:ext cx="213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</xdr:colOff>
      <xdr:row>35</xdr:row>
      <xdr:rowOff>30480</xdr:rowOff>
    </xdr:from>
    <xdr:to>
      <xdr:col>8</xdr:col>
      <xdr:colOff>167640</xdr:colOff>
      <xdr:row>36</xdr:row>
      <xdr:rowOff>7620</xdr:rowOff>
    </xdr:to>
    <xdr:sp macro="" textlink="">
      <xdr:nvSpPr>
        <xdr:cNvPr id="6155" name="Line 11"/>
        <xdr:cNvSpPr>
          <a:spLocks noChangeShapeType="1"/>
        </xdr:cNvSpPr>
      </xdr:nvSpPr>
      <xdr:spPr bwMode="auto">
        <a:xfrm>
          <a:off x="4640580" y="5554980"/>
          <a:ext cx="7620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167640</xdr:colOff>
      <xdr:row>35</xdr:row>
      <xdr:rowOff>15240</xdr:rowOff>
    </xdr:from>
    <xdr:to>
      <xdr:col>8</xdr:col>
      <xdr:colOff>205740</xdr:colOff>
      <xdr:row>36</xdr:row>
      <xdr:rowOff>7620</xdr:rowOff>
    </xdr:to>
    <xdr:sp macro="" textlink="">
      <xdr:nvSpPr>
        <xdr:cNvPr id="6156" name="Line 12"/>
        <xdr:cNvSpPr>
          <a:spLocks noChangeShapeType="1"/>
        </xdr:cNvSpPr>
      </xdr:nvSpPr>
      <xdr:spPr bwMode="auto">
        <a:xfrm flipV="1">
          <a:off x="4716780" y="5539740"/>
          <a:ext cx="381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205740</xdr:colOff>
      <xdr:row>35</xdr:row>
      <xdr:rowOff>30480</xdr:rowOff>
    </xdr:from>
    <xdr:to>
      <xdr:col>8</xdr:col>
      <xdr:colOff>281940</xdr:colOff>
      <xdr:row>36</xdr:row>
      <xdr:rowOff>7620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4754880" y="5554980"/>
          <a:ext cx="7620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144780</xdr:colOff>
      <xdr:row>35</xdr:row>
      <xdr:rowOff>0</xdr:rowOff>
    </xdr:from>
    <xdr:to>
      <xdr:col>8</xdr:col>
      <xdr:colOff>220980</xdr:colOff>
      <xdr:row>36</xdr:row>
      <xdr:rowOff>15240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>
          <a:off x="4693920" y="5524500"/>
          <a:ext cx="7620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nuix/TBPL%20Accoun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TWRPT/REPORTS/BAL_SHT/twb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ing/Reporting/NNGRPT/REPORTS/BAL_SHT/SAPNNGB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twbs"/>
      <sheetName val="tpami2_CorpDiff"/>
      <sheetName val="twdetailbs"/>
      <sheetName val="Variance"/>
      <sheetName val="gl-hyp recon"/>
      <sheetName val="eoc_corpDiff"/>
      <sheetName val="Kleb's BS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nngbs"/>
      <sheetName val="nngas2_CorpDiff"/>
      <sheetName val="nngdetailbs"/>
      <sheetName val="eoc_corpDiff"/>
      <sheetName val="gl-hyp recon"/>
      <sheetName val="Variance"/>
      <sheetName val="Kleb's BS"/>
      <sheetName val="recap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8"/>
  <sheetViews>
    <sheetView workbookViewId="0">
      <selection activeCell="B4" sqref="B4"/>
    </sheetView>
  </sheetViews>
  <sheetFormatPr defaultRowHeight="10.199999999999999"/>
  <cols>
    <col min="2" max="2" width="14.33203125" customWidth="1"/>
    <col min="4" max="4" width="22.33203125" customWidth="1"/>
    <col min="7" max="7" width="16.1640625" customWidth="1"/>
    <col min="10" max="10" width="20.1640625" customWidth="1"/>
  </cols>
  <sheetData>
    <row r="1" spans="2:12" ht="15.6">
      <c r="B1" s="125" t="s">
        <v>278</v>
      </c>
      <c r="C1" s="104"/>
      <c r="D1" s="104"/>
      <c r="E1" s="104"/>
      <c r="F1" s="104"/>
      <c r="G1" s="104"/>
      <c r="H1" s="104"/>
      <c r="I1" s="104"/>
      <c r="J1" s="104"/>
      <c r="K1" s="104"/>
    </row>
    <row r="2" spans="2:12" ht="15.6">
      <c r="B2" s="125" t="s">
        <v>284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2:12" ht="15.6">
      <c r="B3" s="125" t="s">
        <v>285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2:12" ht="15.6">
      <c r="B4" s="106" t="str">
        <f>twbs!B5</f>
        <v>August 31, 2001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2">
      <c r="B5" s="105"/>
      <c r="C5" s="105"/>
      <c r="D5" s="105"/>
      <c r="E5" s="105"/>
      <c r="F5" s="105"/>
      <c r="G5" s="105"/>
      <c r="H5" s="105"/>
      <c r="I5" s="105"/>
      <c r="J5" s="105"/>
      <c r="K5" s="105"/>
    </row>
    <row r="6" spans="2:12" ht="10.8" thickBot="1">
      <c r="B6" s="105"/>
      <c r="C6" s="105"/>
      <c r="D6" s="105"/>
      <c r="E6" s="105"/>
      <c r="F6" s="105"/>
      <c r="G6" s="105"/>
      <c r="H6" s="105"/>
      <c r="I6" s="105"/>
      <c r="J6" s="105"/>
      <c r="K6" s="105"/>
    </row>
    <row r="7" spans="2:12" ht="15" customHeight="1" thickBot="1">
      <c r="B7" s="109" t="s">
        <v>286</v>
      </c>
      <c r="C7" s="110" t="s">
        <v>287</v>
      </c>
      <c r="D7" s="137" t="s">
        <v>59</v>
      </c>
      <c r="E7" s="111"/>
      <c r="F7" s="111"/>
      <c r="G7" s="138"/>
      <c r="H7" s="138"/>
      <c r="I7" s="138"/>
      <c r="J7" s="112"/>
      <c r="K7" s="136"/>
      <c r="L7" s="113"/>
    </row>
    <row r="8" spans="2:12" ht="12" thickBot="1"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3"/>
    </row>
    <row r="9" spans="2:12" ht="12.6" thickBot="1">
      <c r="B9" s="115"/>
      <c r="C9" s="124" t="s">
        <v>219</v>
      </c>
      <c r="D9" s="116" t="s">
        <v>288</v>
      </c>
      <c r="E9" s="114"/>
      <c r="F9" s="114"/>
      <c r="G9" s="114"/>
      <c r="H9" s="114"/>
      <c r="I9" s="114"/>
      <c r="J9" s="114"/>
      <c r="K9" s="114"/>
      <c r="L9" s="113"/>
    </row>
    <row r="10" spans="2:12" ht="12.6" thickBot="1">
      <c r="B10" s="115"/>
      <c r="C10" s="124" t="s">
        <v>223</v>
      </c>
      <c r="D10" s="116" t="s">
        <v>310</v>
      </c>
      <c r="E10" s="114"/>
      <c r="F10" s="114"/>
      <c r="G10" s="114"/>
      <c r="H10" s="114"/>
      <c r="I10" s="114"/>
      <c r="J10" s="114"/>
      <c r="K10" s="114"/>
      <c r="L10" s="113"/>
    </row>
    <row r="11" spans="2:12" ht="12.6" thickBot="1">
      <c r="B11" s="115"/>
      <c r="C11" s="124" t="s">
        <v>226</v>
      </c>
      <c r="D11" s="116" t="s">
        <v>289</v>
      </c>
      <c r="E11" s="114"/>
      <c r="F11" s="114"/>
      <c r="G11" s="114"/>
      <c r="H11" s="114"/>
      <c r="I11" s="114"/>
      <c r="J11" s="114"/>
      <c r="K11" s="114"/>
      <c r="L11" s="113"/>
    </row>
    <row r="12" spans="2:12" ht="12.6" thickBot="1">
      <c r="B12" s="115"/>
      <c r="C12" s="316" t="s">
        <v>231</v>
      </c>
      <c r="D12" s="116" t="s">
        <v>274</v>
      </c>
      <c r="E12" s="114"/>
      <c r="F12" s="114"/>
      <c r="G12" s="114"/>
      <c r="H12" s="114"/>
      <c r="I12" s="114"/>
      <c r="J12" s="114"/>
      <c r="K12" s="114"/>
      <c r="L12" s="113"/>
    </row>
    <row r="13" spans="2:12" ht="12.6" thickBot="1">
      <c r="B13" s="115"/>
      <c r="C13" s="124" t="s">
        <v>246</v>
      </c>
      <c r="D13" s="119" t="s">
        <v>613</v>
      </c>
      <c r="E13" s="114"/>
      <c r="F13" s="114"/>
      <c r="G13" s="114"/>
      <c r="H13" s="117"/>
      <c r="I13" s="114"/>
      <c r="J13" s="114"/>
      <c r="K13" s="114"/>
      <c r="L13" s="113"/>
    </row>
    <row r="14" spans="2:12" ht="12.6" thickBot="1">
      <c r="B14" s="115"/>
      <c r="C14" s="124" t="s">
        <v>249</v>
      </c>
      <c r="D14" s="116" t="s">
        <v>290</v>
      </c>
      <c r="E14" s="114"/>
      <c r="F14" s="114"/>
      <c r="G14" s="114"/>
      <c r="H14" s="117"/>
      <c r="I14" s="114"/>
      <c r="J14" s="114"/>
      <c r="K14" s="114"/>
      <c r="L14" s="113"/>
    </row>
    <row r="15" spans="2:12" ht="12.6" thickBot="1">
      <c r="B15" s="115"/>
      <c r="C15" s="124" t="s">
        <v>250</v>
      </c>
      <c r="D15" s="119" t="s">
        <v>291</v>
      </c>
      <c r="E15" s="114"/>
      <c r="F15" s="114"/>
      <c r="G15" s="114"/>
      <c r="H15" s="114"/>
      <c r="I15" s="114"/>
      <c r="J15" s="114"/>
      <c r="K15" s="114"/>
      <c r="L15" s="113"/>
    </row>
    <row r="16" spans="2:12" ht="12.6" thickBot="1">
      <c r="B16" s="115"/>
      <c r="C16" s="124" t="s">
        <v>251</v>
      </c>
      <c r="D16" s="116" t="s">
        <v>292</v>
      </c>
      <c r="E16" s="114"/>
      <c r="F16" s="114"/>
      <c r="G16" s="114"/>
      <c r="H16" s="114"/>
      <c r="I16" s="114"/>
      <c r="J16" s="114"/>
      <c r="K16" s="114"/>
      <c r="L16" s="113"/>
    </row>
    <row r="17" spans="2:12" ht="12.6" thickBot="1">
      <c r="B17" s="115"/>
      <c r="C17" s="124" t="s">
        <v>477</v>
      </c>
      <c r="D17" s="317" t="s">
        <v>614</v>
      </c>
      <c r="E17" s="114"/>
      <c r="F17" s="114"/>
      <c r="G17" s="114"/>
      <c r="H17" s="114"/>
      <c r="I17" s="114"/>
      <c r="J17" s="114"/>
      <c r="K17" s="114"/>
      <c r="L17" s="113"/>
    </row>
    <row r="18" spans="2:12" ht="12.6" thickBot="1">
      <c r="B18" s="115"/>
      <c r="C18" s="124" t="s">
        <v>478</v>
      </c>
      <c r="D18" s="116" t="s">
        <v>615</v>
      </c>
      <c r="E18" s="114"/>
      <c r="F18" s="114"/>
      <c r="G18" s="114"/>
      <c r="H18" s="114"/>
      <c r="I18" s="114"/>
      <c r="J18" s="114"/>
      <c r="K18" s="114"/>
      <c r="L18" s="113"/>
    </row>
    <row r="19" spans="2:12" ht="12.6" thickBot="1">
      <c r="B19" s="115"/>
      <c r="C19" s="124" t="s">
        <v>480</v>
      </c>
      <c r="D19" s="116" t="s">
        <v>616</v>
      </c>
      <c r="E19" s="114"/>
      <c r="F19" s="114"/>
      <c r="G19" s="114"/>
      <c r="H19" s="114"/>
      <c r="I19" s="114"/>
      <c r="J19" s="114"/>
      <c r="K19" s="114"/>
      <c r="L19" s="113"/>
    </row>
    <row r="20" spans="2:12" ht="11.4">
      <c r="B20" s="114"/>
      <c r="C20" s="119"/>
      <c r="D20" s="114"/>
      <c r="E20" s="114"/>
      <c r="F20" s="114"/>
      <c r="G20" s="114"/>
      <c r="H20" s="114"/>
      <c r="I20" s="114"/>
      <c r="J20" s="114"/>
      <c r="K20" s="114"/>
      <c r="L20" s="113"/>
    </row>
    <row r="21" spans="2:12" ht="12">
      <c r="B21" s="118"/>
      <c r="C21" s="114"/>
      <c r="D21" s="107" t="s">
        <v>293</v>
      </c>
      <c r="E21" s="114"/>
      <c r="F21" s="114"/>
      <c r="G21" s="114"/>
      <c r="H21" s="114"/>
      <c r="I21" s="114"/>
      <c r="J21" s="114"/>
      <c r="K21" s="114"/>
      <c r="L21" s="113"/>
    </row>
    <row r="22" spans="2:12" ht="12" thickBot="1"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3"/>
    </row>
    <row r="23" spans="2:12" ht="12.6" thickBot="1">
      <c r="B23" s="115"/>
      <c r="C23" s="120" t="s">
        <v>294</v>
      </c>
      <c r="D23" s="119" t="s">
        <v>619</v>
      </c>
      <c r="E23" s="114"/>
      <c r="F23" s="114"/>
      <c r="G23" s="114"/>
      <c r="H23" s="114"/>
      <c r="I23" s="114"/>
      <c r="J23" s="114"/>
      <c r="K23" s="114"/>
      <c r="L23" s="113"/>
    </row>
    <row r="24" spans="2:12" ht="11.4">
      <c r="B24" s="114"/>
      <c r="C24" s="121"/>
      <c r="D24" s="122" t="s">
        <v>295</v>
      </c>
      <c r="E24" s="114"/>
      <c r="F24" s="114"/>
      <c r="G24" s="114"/>
      <c r="H24" s="114"/>
      <c r="I24" s="114"/>
      <c r="J24" s="114"/>
      <c r="K24" s="114"/>
      <c r="L24" s="113"/>
    </row>
    <row r="25" spans="2:12" ht="11.4">
      <c r="B25" s="114"/>
      <c r="C25" s="121"/>
      <c r="D25" s="122" t="s">
        <v>296</v>
      </c>
      <c r="E25" s="114"/>
      <c r="F25" s="114"/>
      <c r="G25" s="114"/>
      <c r="H25" s="114"/>
      <c r="I25" s="114"/>
      <c r="J25" s="114"/>
      <c r="K25" s="114"/>
      <c r="L25" s="113"/>
    </row>
    <row r="26" spans="2:12" ht="12" thickBot="1">
      <c r="B26" s="114"/>
      <c r="C26" s="121"/>
      <c r="D26" s="114"/>
      <c r="E26" s="114"/>
      <c r="F26" s="114"/>
      <c r="G26" s="114"/>
      <c r="H26" s="114"/>
      <c r="I26" s="114"/>
      <c r="J26" s="114"/>
      <c r="K26" s="114"/>
      <c r="L26" s="113"/>
    </row>
    <row r="27" spans="2:12" ht="12" thickBot="1">
      <c r="B27" s="115"/>
      <c r="C27" s="120">
        <v>2</v>
      </c>
      <c r="D27" s="114" t="s">
        <v>617</v>
      </c>
      <c r="E27" s="114"/>
      <c r="F27" s="114"/>
      <c r="G27" s="114"/>
      <c r="H27" s="114"/>
      <c r="I27" s="114"/>
      <c r="J27" s="114"/>
      <c r="K27" s="114"/>
      <c r="L27" s="113"/>
    </row>
    <row r="28" spans="2:12" ht="11.4">
      <c r="B28" s="118"/>
      <c r="C28" s="120"/>
      <c r="D28" s="114" t="s">
        <v>618</v>
      </c>
      <c r="E28" s="114"/>
      <c r="F28" s="114"/>
      <c r="G28" s="114"/>
      <c r="H28" s="114"/>
      <c r="I28" s="114"/>
      <c r="J28" s="114"/>
      <c r="K28" s="114"/>
      <c r="L28" s="113"/>
    </row>
    <row r="29" spans="2:12" ht="11.4">
      <c r="B29" s="114"/>
      <c r="C29" s="121"/>
      <c r="D29" s="122" t="s">
        <v>297</v>
      </c>
      <c r="E29" s="114"/>
      <c r="F29" s="114"/>
      <c r="G29" s="114"/>
      <c r="H29" s="114"/>
      <c r="I29" s="114"/>
      <c r="J29" s="114"/>
      <c r="K29" s="114"/>
      <c r="L29" s="113"/>
    </row>
    <row r="30" spans="2:12" ht="11.4">
      <c r="B30" s="114"/>
      <c r="C30" s="121"/>
      <c r="D30" s="114"/>
      <c r="E30" s="114"/>
      <c r="F30" s="114"/>
      <c r="G30" s="114"/>
      <c r="H30" s="114"/>
      <c r="I30" s="114"/>
      <c r="J30" s="114"/>
      <c r="K30" s="114"/>
      <c r="L30" s="113"/>
    </row>
    <row r="31" spans="2:12" ht="11.4">
      <c r="D31" s="119"/>
      <c r="E31" s="114"/>
      <c r="F31" s="114"/>
      <c r="G31" s="114"/>
      <c r="H31" s="114"/>
      <c r="I31" s="114"/>
      <c r="J31" s="114"/>
      <c r="K31" s="114"/>
      <c r="L31" s="113"/>
    </row>
    <row r="32" spans="2:12" ht="11.4">
      <c r="D32" s="123"/>
      <c r="E32" s="114"/>
      <c r="F32" s="114"/>
      <c r="G32" s="114"/>
      <c r="H32" s="114"/>
      <c r="I32" s="114"/>
      <c r="J32" s="114"/>
      <c r="K32" s="114"/>
      <c r="L32" s="113"/>
    </row>
    <row r="33" spans="2:12" ht="11.4">
      <c r="D33" s="122"/>
      <c r="E33" s="114"/>
      <c r="F33" s="114"/>
      <c r="G33" s="114"/>
      <c r="H33" s="114"/>
      <c r="I33" s="114"/>
      <c r="J33" s="114"/>
      <c r="K33" s="114"/>
      <c r="L33" s="113"/>
    </row>
    <row r="34" spans="2:12" ht="11.4">
      <c r="D34" s="114"/>
      <c r="E34" s="114"/>
      <c r="F34" s="114"/>
      <c r="G34" s="114"/>
      <c r="H34" s="114"/>
      <c r="I34" s="114"/>
      <c r="J34" s="114"/>
      <c r="K34" s="114"/>
      <c r="L34" s="113"/>
    </row>
    <row r="35" spans="2:12" ht="11.4">
      <c r="D35" s="114"/>
      <c r="E35" s="114"/>
      <c r="F35" s="114"/>
      <c r="G35" s="114"/>
      <c r="H35" s="114"/>
      <c r="I35" s="114"/>
      <c r="J35" s="114"/>
      <c r="K35" s="114"/>
      <c r="L35" s="113"/>
    </row>
    <row r="36" spans="2:12" ht="11.4">
      <c r="D36" s="122"/>
      <c r="E36" s="114"/>
      <c r="F36" s="114"/>
      <c r="G36" s="114"/>
      <c r="H36" s="114"/>
      <c r="I36" s="114"/>
      <c r="J36" s="114"/>
      <c r="K36" s="114"/>
      <c r="L36" s="113"/>
    </row>
    <row r="37" spans="2:12" ht="11.4">
      <c r="D37" s="114"/>
      <c r="E37" s="114"/>
      <c r="F37" s="114"/>
      <c r="G37" s="114"/>
      <c r="H37" s="114"/>
      <c r="I37" s="114"/>
      <c r="J37" s="114"/>
      <c r="K37" s="114"/>
      <c r="L37" s="113"/>
    </row>
    <row r="38" spans="2:12" ht="11.4">
      <c r="D38" s="119"/>
      <c r="E38" s="114"/>
      <c r="F38" s="114"/>
      <c r="G38" s="114"/>
      <c r="H38" s="114"/>
      <c r="I38" s="114"/>
      <c r="J38" s="114"/>
      <c r="K38" s="114"/>
      <c r="L38" s="113"/>
    </row>
    <row r="39" spans="2:12" ht="11.4">
      <c r="D39" s="122"/>
      <c r="E39" s="114"/>
      <c r="F39" s="114"/>
      <c r="G39" s="114"/>
      <c r="H39" s="114"/>
      <c r="I39" s="114"/>
      <c r="J39" s="114"/>
      <c r="K39" s="114"/>
      <c r="L39" s="113"/>
    </row>
    <row r="40" spans="2:12" ht="11.4">
      <c r="D40" s="114"/>
      <c r="E40" s="114"/>
      <c r="F40" s="114"/>
      <c r="G40" s="114"/>
      <c r="H40" s="114"/>
      <c r="I40" s="114"/>
      <c r="J40" s="114"/>
      <c r="K40" s="114"/>
      <c r="L40" s="113"/>
    </row>
    <row r="41" spans="2:12" ht="11.4">
      <c r="D41" s="119"/>
      <c r="E41" s="114"/>
      <c r="F41" s="114"/>
      <c r="G41" s="114"/>
      <c r="H41" s="114"/>
      <c r="I41" s="114"/>
      <c r="J41" s="114"/>
      <c r="K41" s="114"/>
      <c r="L41" s="113"/>
    </row>
    <row r="42" spans="2:12" ht="11.4">
      <c r="B42" s="114"/>
      <c r="C42" s="121"/>
      <c r="D42" s="119"/>
      <c r="E42" s="114"/>
      <c r="F42" s="114"/>
      <c r="G42" s="114"/>
      <c r="H42" s="114"/>
      <c r="I42" s="114"/>
      <c r="J42" s="114"/>
      <c r="K42" s="114"/>
      <c r="L42" s="113"/>
    </row>
    <row r="43" spans="2:12" ht="11.4">
      <c r="B43" s="114"/>
      <c r="C43" s="121"/>
      <c r="D43" s="122"/>
      <c r="E43" s="114"/>
      <c r="F43" s="114"/>
      <c r="G43" s="114"/>
      <c r="H43" s="114"/>
      <c r="I43" s="114"/>
      <c r="J43" s="114"/>
      <c r="K43" s="114"/>
      <c r="L43" s="113"/>
    </row>
    <row r="44" spans="2:12" ht="11.4">
      <c r="B44" s="114"/>
      <c r="C44" s="121"/>
      <c r="D44" s="114"/>
      <c r="E44" s="114"/>
      <c r="F44" s="114"/>
      <c r="G44" s="114"/>
      <c r="H44" s="114"/>
      <c r="I44" s="114"/>
      <c r="J44" s="114"/>
      <c r="K44" s="114"/>
      <c r="L44" s="113"/>
    </row>
    <row r="45" spans="2:12" ht="11.4">
      <c r="B45" s="114"/>
      <c r="C45" s="121"/>
      <c r="D45" s="108"/>
      <c r="E45" s="114"/>
      <c r="F45" s="114"/>
      <c r="G45" s="114"/>
      <c r="H45" s="114"/>
      <c r="I45" s="114"/>
      <c r="J45" s="114"/>
      <c r="K45" s="114"/>
      <c r="L45" s="113"/>
    </row>
    <row r="46" spans="2:12" ht="11.4">
      <c r="B46" s="118" t="str">
        <f ca="1">CELL("filename")</f>
        <v>P:\Accounting\Reporting\TWRPT\REPORTS\BAL_SHT\[SAPTWBS.XLS]twbs</v>
      </c>
      <c r="C46" s="120"/>
      <c r="D46" s="119"/>
      <c r="E46" s="114"/>
      <c r="F46" s="114"/>
      <c r="G46" s="114"/>
      <c r="H46" s="114"/>
      <c r="I46" s="114"/>
      <c r="J46" s="114"/>
      <c r="K46" s="114"/>
      <c r="L46" s="113"/>
    </row>
    <row r="47" spans="2:12" ht="11.4">
      <c r="B47" s="114"/>
      <c r="C47" s="121"/>
      <c r="D47" s="122"/>
      <c r="E47" s="114"/>
      <c r="F47" s="114"/>
      <c r="G47" s="114"/>
      <c r="H47" s="114"/>
      <c r="I47" s="114"/>
      <c r="J47" s="114"/>
      <c r="K47" s="114"/>
      <c r="L47" s="113"/>
    </row>
    <row r="48" spans="2:12">
      <c r="B48" s="105"/>
      <c r="C48" s="104"/>
      <c r="D48" s="105"/>
      <c r="E48" s="105"/>
      <c r="F48" s="105"/>
      <c r="G48" s="105"/>
      <c r="H48" s="105"/>
      <c r="I48" s="105"/>
      <c r="J48" s="105"/>
      <c r="K48" s="105"/>
    </row>
  </sheetData>
  <phoneticPr fontId="0" type="noConversion"/>
  <pageMargins left="0.75" right="0.5" top="1" bottom="1" header="0.5" footer="0.5"/>
  <pageSetup orientation="portrait" horizontalDpi="300" verticalDpi="300" r:id="rId1"/>
  <headerFooter alignWithMargins="0">
    <oddFooter>&amp;L&amp;D&amp;R&amp;F  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610"/>
  <sheetViews>
    <sheetView tabSelected="1" showOutlineSymbols="0" topLeftCell="A2" workbookViewId="0">
      <pane xSplit="4" ySplit="8" topLeftCell="E10" activePane="bottomRight" state="frozen"/>
      <selection activeCell="A2" sqref="A2"/>
      <selection pane="topRight" activeCell="E2" sqref="E2"/>
      <selection pane="bottomLeft" activeCell="A10" sqref="A10"/>
      <selection pane="bottomRight" activeCell="B20" sqref="B20"/>
    </sheetView>
  </sheetViews>
  <sheetFormatPr defaultColWidth="15.6640625" defaultRowHeight="13.2"/>
  <cols>
    <col min="1" max="1" width="1.6640625" style="28" customWidth="1"/>
    <col min="2" max="2" width="12.6640625" style="28" customWidth="1"/>
    <col min="3" max="3" width="41.6640625" style="28" customWidth="1"/>
    <col min="4" max="4" width="2.83203125" style="28" customWidth="1"/>
    <col min="5" max="5" width="15.83203125" style="28" customWidth="1"/>
    <col min="6" max="6" width="1.83203125" style="28" customWidth="1"/>
    <col min="7" max="7" width="15.83203125" style="28" customWidth="1"/>
    <col min="8" max="8" width="1.83203125" style="28" customWidth="1"/>
    <col min="9" max="9" width="15.83203125" style="28" bestFit="1" customWidth="1"/>
    <col min="10" max="10" width="1.83203125" style="28" customWidth="1"/>
    <col min="11" max="11" width="13" style="306" customWidth="1"/>
    <col min="12" max="12" width="1.83203125" style="155" customWidth="1"/>
    <col min="13" max="13" width="15.6640625" style="28" customWidth="1"/>
    <col min="14" max="14" width="1.83203125" style="155" customWidth="1"/>
    <col min="15" max="15" width="13" style="155" customWidth="1"/>
    <col min="16" max="16" width="8.83203125" style="28" customWidth="1"/>
    <col min="17" max="17" width="7.6640625" style="28" customWidth="1"/>
    <col min="18" max="18" width="13.5" style="28" customWidth="1"/>
    <col min="19" max="19" width="7.6640625" style="28" customWidth="1"/>
    <col min="20" max="20" width="13" style="28" customWidth="1"/>
    <col min="21" max="26" width="7.6640625" style="28" customWidth="1"/>
    <col min="27" max="16384" width="15.6640625" style="28"/>
  </cols>
  <sheetData>
    <row r="1" spans="2:24" ht="15" customHeight="1">
      <c r="B1" s="44">
        <v>8</v>
      </c>
      <c r="C1" s="148" t="s">
        <v>0</v>
      </c>
      <c r="D1" s="30"/>
      <c r="E1" s="30"/>
      <c r="F1" s="30"/>
      <c r="G1" s="30"/>
      <c r="H1" s="30"/>
      <c r="I1" s="30"/>
      <c r="J1" s="30"/>
      <c r="T1" s="29"/>
    </row>
    <row r="2" spans="2:24">
      <c r="B2" s="63"/>
      <c r="C2" s="63">
        <f ca="1">NOW()</f>
        <v>37147.471379861112</v>
      </c>
      <c r="D2" s="30"/>
      <c r="E2" s="30"/>
      <c r="F2" s="30"/>
      <c r="G2" s="30"/>
      <c r="H2" s="30"/>
      <c r="I2" s="30"/>
      <c r="J2" s="30"/>
      <c r="T2" s="29"/>
    </row>
    <row r="3" spans="2:24" ht="15.9" customHeight="1">
      <c r="B3" s="33" t="s">
        <v>1</v>
      </c>
      <c r="E3" s="32"/>
      <c r="G3" s="32"/>
      <c r="I3" s="32"/>
      <c r="J3" s="32"/>
      <c r="T3" s="31"/>
    </row>
    <row r="4" spans="2:24" ht="15.9" customHeight="1">
      <c r="B4" s="33" t="s">
        <v>2</v>
      </c>
      <c r="E4" s="32"/>
      <c r="G4" s="32"/>
      <c r="I4" s="32"/>
      <c r="J4" s="32"/>
    </row>
    <row r="5" spans="2:24" ht="15.9" customHeight="1">
      <c r="B5" s="36" t="str">
        <f>CHOOSE(mo,E153,E154,E155,E156,E157,E158,E159,E160,E161,E162,E163,E164)</f>
        <v>August 31, 2001</v>
      </c>
      <c r="C5" s="37"/>
    </row>
    <row r="6" spans="2:24" ht="15.9" customHeight="1">
      <c r="B6" s="33" t="s">
        <v>3</v>
      </c>
      <c r="M6" s="33"/>
      <c r="N6" s="187"/>
    </row>
    <row r="7" spans="2:24" ht="15.9" customHeight="1">
      <c r="E7" s="33"/>
      <c r="F7" s="33"/>
      <c r="G7" s="33"/>
      <c r="H7" s="33"/>
      <c r="I7" s="33"/>
      <c r="J7" s="33"/>
      <c r="M7" s="33"/>
      <c r="N7" s="187"/>
    </row>
    <row r="8" spans="2:24" ht="15.9" customHeight="1">
      <c r="E8" s="39" t="str">
        <f>CHOOSE(mo,I153,I154,I155,I156,I157,I158,I159,I160,I161,I162,I163,I164)</f>
        <v>August 31,</v>
      </c>
      <c r="F8" s="33"/>
      <c r="G8" s="39" t="str">
        <f>IF(mo=1,"December 31,",CHOOSE(mo-1,I153,I154,I155,I156,I157,I158,I159,I160,I161,I162,I163,I164))</f>
        <v>July 31,</v>
      </c>
      <c r="H8" s="33"/>
      <c r="I8" s="39" t="s">
        <v>4</v>
      </c>
      <c r="J8" s="188"/>
      <c r="K8" s="189" t="s">
        <v>429</v>
      </c>
      <c r="L8" s="189"/>
      <c r="M8" s="39" t="s">
        <v>211</v>
      </c>
      <c r="N8" s="188"/>
      <c r="O8" s="189" t="s">
        <v>429</v>
      </c>
      <c r="P8" s="33"/>
      <c r="R8" s="28" t="s">
        <v>603</v>
      </c>
      <c r="T8" s="36"/>
    </row>
    <row r="9" spans="2:24" ht="15.9" customHeight="1">
      <c r="E9" s="40" t="s">
        <v>495</v>
      </c>
      <c r="F9" s="33"/>
      <c r="G9" s="40" t="s">
        <v>495</v>
      </c>
      <c r="H9" s="33"/>
      <c r="I9" s="40" t="s">
        <v>312</v>
      </c>
      <c r="J9" s="304"/>
      <c r="K9" s="302" t="s">
        <v>396</v>
      </c>
      <c r="L9" s="188"/>
      <c r="M9" s="302" t="s">
        <v>396</v>
      </c>
      <c r="N9" s="190"/>
      <c r="O9" s="302" t="s">
        <v>396</v>
      </c>
      <c r="P9" s="33"/>
      <c r="R9" s="28" t="s">
        <v>604</v>
      </c>
    </row>
    <row r="10" spans="2:24" ht="15.9" customHeight="1">
      <c r="C10" s="33" t="s">
        <v>5</v>
      </c>
      <c r="J10" s="155"/>
      <c r="N10" s="187"/>
      <c r="R10" s="28" t="s">
        <v>605</v>
      </c>
    </row>
    <row r="11" spans="2:24" ht="15.9" customHeight="1">
      <c r="J11" s="155"/>
      <c r="N11" s="187"/>
    </row>
    <row r="12" spans="2:24" ht="15.9" customHeight="1">
      <c r="B12" s="33" t="s">
        <v>6</v>
      </c>
      <c r="K12" s="307"/>
      <c r="L12" s="191"/>
      <c r="M12" s="32"/>
      <c r="N12" s="187"/>
      <c r="O12" s="191"/>
      <c r="V12" s="32"/>
      <c r="X12" s="32"/>
    </row>
    <row r="13" spans="2:24" ht="15.9" customHeight="1">
      <c r="B13" s="28" t="s">
        <v>7</v>
      </c>
      <c r="E13" s="41">
        <f>+tpami2_CorpDiff!C12</f>
        <v>3</v>
      </c>
      <c r="F13" s="41"/>
      <c r="G13" s="41">
        <f>+tpami2_CorpDiff!D12</f>
        <v>3</v>
      </c>
      <c r="H13" s="41"/>
      <c r="I13" s="41">
        <f>+tpami2_CorpDiff!E12</f>
        <v>4</v>
      </c>
      <c r="J13" s="41"/>
      <c r="K13" s="308">
        <f>E13-G13</f>
        <v>0</v>
      </c>
      <c r="L13" s="296"/>
      <c r="M13" s="252">
        <f t="shared" ref="M13:M23" si="0">+E13-I13</f>
        <v>-1</v>
      </c>
      <c r="N13" s="192"/>
      <c r="O13" s="252">
        <f t="shared" ref="O13:O39" si="1">+E13-G13</f>
        <v>0</v>
      </c>
      <c r="V13" s="32"/>
      <c r="X13" s="32"/>
    </row>
    <row r="14" spans="2:24" ht="15.9" customHeight="1">
      <c r="B14" s="28" t="s">
        <v>8</v>
      </c>
      <c r="E14" s="41">
        <f>+tpami2_CorpDiff!C18</f>
        <v>-267</v>
      </c>
      <c r="F14" s="41"/>
      <c r="G14" s="41">
        <f>+tpami2_CorpDiff!D18</f>
        <v>790</v>
      </c>
      <c r="H14" s="41"/>
      <c r="I14" s="41">
        <f>+tpami2_CorpDiff!E18</f>
        <v>294</v>
      </c>
      <c r="J14" s="41"/>
      <c r="K14" s="308">
        <f>E14-G14</f>
        <v>-1057</v>
      </c>
      <c r="L14" s="296"/>
      <c r="M14" s="252">
        <f t="shared" si="0"/>
        <v>-561</v>
      </c>
      <c r="N14" s="192"/>
      <c r="O14" s="252">
        <f t="shared" si="1"/>
        <v>-1057</v>
      </c>
      <c r="R14" s="301">
        <f>SUM(M14:M15)-M45</f>
        <v>-100971</v>
      </c>
      <c r="V14" s="32"/>
      <c r="X14" s="32"/>
    </row>
    <row r="15" spans="2:24" ht="15.9" customHeight="1">
      <c r="B15" s="38" t="s">
        <v>557</v>
      </c>
      <c r="E15" s="41">
        <f>+tpami2_CorpDiff!C22</f>
        <v>276070</v>
      </c>
      <c r="F15" s="41"/>
      <c r="G15" s="41">
        <f>+tpami2_CorpDiff!D22</f>
        <v>261881</v>
      </c>
      <c r="H15" s="41"/>
      <c r="I15" s="41">
        <f>+tpami2_CorpDiff!E22</f>
        <v>378021</v>
      </c>
      <c r="J15" s="41"/>
      <c r="K15" s="308">
        <f t="shared" ref="K15:K22" si="2">E15-G15</f>
        <v>14189</v>
      </c>
      <c r="L15" s="296"/>
      <c r="M15" s="252">
        <f t="shared" si="0"/>
        <v>-101951</v>
      </c>
      <c r="N15" s="192"/>
      <c r="O15" s="252">
        <f t="shared" si="1"/>
        <v>14189</v>
      </c>
    </row>
    <row r="16" spans="2:24" ht="15" customHeight="1">
      <c r="B16" s="38" t="s">
        <v>9</v>
      </c>
      <c r="E16" s="41">
        <f>+tpami2_CorpDiff!C31</f>
        <v>17160</v>
      </c>
      <c r="F16" s="41"/>
      <c r="G16" s="41">
        <f>+tpami2_CorpDiff!D31</f>
        <v>19485</v>
      </c>
      <c r="H16" s="41"/>
      <c r="I16" s="41">
        <f>+tpami2_CorpDiff!E31</f>
        <v>7287</v>
      </c>
      <c r="J16" s="41"/>
      <c r="K16" s="308">
        <f t="shared" si="2"/>
        <v>-2325</v>
      </c>
      <c r="L16" s="296"/>
      <c r="M16" s="252">
        <f t="shared" si="0"/>
        <v>9873</v>
      </c>
      <c r="N16" s="192"/>
      <c r="O16" s="252">
        <f t="shared" si="1"/>
        <v>-2325</v>
      </c>
    </row>
    <row r="17" spans="2:24" ht="15" customHeight="1">
      <c r="B17" s="38" t="s">
        <v>423</v>
      </c>
      <c r="E17" s="41">
        <f>+tpami2_CorpDiff!C40</f>
        <v>5383</v>
      </c>
      <c r="F17" s="41"/>
      <c r="G17" s="41">
        <f>+tpami2_CorpDiff!D40</f>
        <v>5383</v>
      </c>
      <c r="H17" s="41"/>
      <c r="I17" s="41">
        <f>+tpami2_CorpDiff!E40</f>
        <v>0</v>
      </c>
      <c r="J17" s="41"/>
      <c r="K17" s="308">
        <f t="shared" si="2"/>
        <v>0</v>
      </c>
      <c r="L17" s="296"/>
      <c r="M17" s="252">
        <f>+E17-I17</f>
        <v>5383</v>
      </c>
      <c r="N17" s="192"/>
      <c r="O17" s="252">
        <f>+E17-G17</f>
        <v>0</v>
      </c>
    </row>
    <row r="18" spans="2:24" ht="15.75" customHeight="1">
      <c r="B18" s="28" t="s">
        <v>10</v>
      </c>
      <c r="E18" s="41">
        <f>+tpami2_CorpDiff!C37</f>
        <v>4021</v>
      </c>
      <c r="F18" s="41"/>
      <c r="G18" s="41">
        <f>+tpami2_CorpDiff!D37</f>
        <v>4033</v>
      </c>
      <c r="H18" s="41"/>
      <c r="I18" s="41">
        <f>+tpami2_CorpDiff!E37</f>
        <v>4134</v>
      </c>
      <c r="J18" s="41"/>
      <c r="K18" s="308">
        <f t="shared" si="2"/>
        <v>-12</v>
      </c>
      <c r="L18" s="296"/>
      <c r="M18" s="252">
        <f t="shared" si="0"/>
        <v>-113</v>
      </c>
      <c r="N18" s="192"/>
      <c r="O18" s="252">
        <f t="shared" si="1"/>
        <v>-12</v>
      </c>
      <c r="V18" s="32"/>
      <c r="X18" s="32"/>
    </row>
    <row r="19" spans="2:24" ht="15.9" customHeight="1">
      <c r="B19" s="28" t="s">
        <v>11</v>
      </c>
      <c r="E19" s="41">
        <f>+tpami2_CorpDiff!C42</f>
        <v>15789</v>
      </c>
      <c r="F19" s="41"/>
      <c r="G19" s="41">
        <f>+tpami2_CorpDiff!D42</f>
        <v>14543</v>
      </c>
      <c r="H19" s="41"/>
      <c r="I19" s="41">
        <f>+tpami2_CorpDiff!E42</f>
        <v>11991</v>
      </c>
      <c r="J19" s="41"/>
      <c r="K19" s="308">
        <f t="shared" si="2"/>
        <v>1246</v>
      </c>
      <c r="L19" s="296"/>
      <c r="M19" s="252">
        <f>+E19-I19</f>
        <v>3798</v>
      </c>
      <c r="N19" s="192"/>
      <c r="O19" s="252">
        <f>+E19-G19</f>
        <v>1246</v>
      </c>
      <c r="V19" s="32"/>
      <c r="X19" s="32"/>
    </row>
    <row r="20" spans="2:24" ht="16.5" customHeight="1">
      <c r="B20" s="28" t="s">
        <v>12</v>
      </c>
      <c r="E20" s="41">
        <f>+tpami2_CorpDiff!C48</f>
        <v>0</v>
      </c>
      <c r="F20" s="41"/>
      <c r="G20" s="41">
        <f>+tpami2_CorpDiff!D48</f>
        <v>0</v>
      </c>
      <c r="H20" s="41"/>
      <c r="I20" s="41">
        <f>+tpami2_CorpDiff!E48</f>
        <v>6</v>
      </c>
      <c r="J20" s="41"/>
      <c r="K20" s="308">
        <f t="shared" si="2"/>
        <v>0</v>
      </c>
      <c r="L20" s="296"/>
      <c r="M20" s="252">
        <f t="shared" si="0"/>
        <v>-6</v>
      </c>
      <c r="N20" s="192"/>
      <c r="O20" s="252">
        <f t="shared" si="1"/>
        <v>0</v>
      </c>
    </row>
    <row r="21" spans="2:24" ht="15.9" customHeight="1">
      <c r="B21" s="38" t="s">
        <v>13</v>
      </c>
      <c r="E21" s="41">
        <f>tpami2_CorpDiff!C79</f>
        <v>5660</v>
      </c>
      <c r="F21" s="41"/>
      <c r="G21" s="41">
        <f>tpami2_CorpDiff!D79</f>
        <v>5660</v>
      </c>
      <c r="H21" s="41"/>
      <c r="I21" s="41">
        <f>tpami2_CorpDiff!E79</f>
        <v>6553</v>
      </c>
      <c r="J21" s="41"/>
      <c r="K21" s="308">
        <f t="shared" si="2"/>
        <v>0</v>
      </c>
      <c r="L21" s="296"/>
      <c r="M21" s="252">
        <f t="shared" si="0"/>
        <v>-893</v>
      </c>
      <c r="N21" s="192"/>
      <c r="O21" s="252">
        <f t="shared" si="1"/>
        <v>0</v>
      </c>
    </row>
    <row r="22" spans="2:24" ht="15.9" customHeight="1">
      <c r="B22" s="28" t="s">
        <v>14</v>
      </c>
      <c r="E22" s="45">
        <f>+tpami2_CorpDiff!C84</f>
        <v>151</v>
      </c>
      <c r="F22" s="41"/>
      <c r="G22" s="45">
        <f>+tpami2_CorpDiff!D84</f>
        <v>1</v>
      </c>
      <c r="H22" s="41"/>
      <c r="I22" s="45">
        <f>+tpami2_CorpDiff!E84</f>
        <v>58</v>
      </c>
      <c r="J22" s="103"/>
      <c r="K22" s="308">
        <f t="shared" si="2"/>
        <v>150</v>
      </c>
      <c r="L22" s="296"/>
      <c r="M22" s="274">
        <f t="shared" si="0"/>
        <v>93</v>
      </c>
      <c r="N22" s="192"/>
      <c r="O22" s="274">
        <f t="shared" si="1"/>
        <v>150</v>
      </c>
    </row>
    <row r="23" spans="2:24" ht="18" customHeight="1">
      <c r="C23" s="38" t="s">
        <v>15</v>
      </c>
      <c r="E23" s="101">
        <f>SUM(E12:E22)</f>
        <v>323970</v>
      </c>
      <c r="F23" s="41"/>
      <c r="G23" s="297">
        <f>SUM(G12:G22)</f>
        <v>311779</v>
      </c>
      <c r="H23" s="41"/>
      <c r="I23" s="101">
        <f>SUM(I12:I22)</f>
        <v>408348</v>
      </c>
      <c r="J23" s="103"/>
      <c r="K23" s="309">
        <f>SUM(K12:K22)</f>
        <v>12191</v>
      </c>
      <c r="L23" s="303"/>
      <c r="M23" s="275">
        <f t="shared" si="0"/>
        <v>-84378</v>
      </c>
      <c r="O23" s="275">
        <f t="shared" si="1"/>
        <v>12191</v>
      </c>
    </row>
    <row r="24" spans="2:24" ht="15.9" customHeight="1">
      <c r="E24" s="41"/>
      <c r="F24" s="41"/>
      <c r="G24" s="103"/>
      <c r="H24" s="41"/>
      <c r="I24" s="41"/>
      <c r="J24" s="41"/>
      <c r="K24" s="308"/>
      <c r="L24" s="296"/>
      <c r="M24" s="252"/>
      <c r="O24" s="252"/>
      <c r="V24" s="32"/>
      <c r="X24" s="32"/>
    </row>
    <row r="25" spans="2:24" ht="15.9" customHeight="1">
      <c r="B25" s="33" t="s">
        <v>16</v>
      </c>
      <c r="E25" s="103"/>
      <c r="F25" s="41"/>
      <c r="G25" s="103"/>
      <c r="H25" s="41"/>
      <c r="I25" s="103"/>
      <c r="J25" s="103"/>
      <c r="K25" s="310"/>
      <c r="L25" s="296"/>
      <c r="M25" s="252"/>
      <c r="N25" s="192"/>
      <c r="O25" s="296"/>
      <c r="V25" s="32"/>
      <c r="X25" s="32"/>
    </row>
    <row r="26" spans="2:24" ht="15.9" customHeight="1">
      <c r="B26" s="38" t="s">
        <v>423</v>
      </c>
      <c r="E26" s="41">
        <f>tpami2_CorpDiff!C152</f>
        <v>14193</v>
      </c>
      <c r="F26" s="41"/>
      <c r="G26" s="41">
        <f>tpami2_CorpDiff!D152</f>
        <v>14193</v>
      </c>
      <c r="H26" s="41"/>
      <c r="I26" s="41">
        <f>tpami2_CorpDiff!E152</f>
        <v>0</v>
      </c>
      <c r="J26" s="41"/>
      <c r="K26" s="308">
        <f>E26-G26</f>
        <v>0</v>
      </c>
      <c r="L26" s="296"/>
      <c r="M26" s="252">
        <f>+E26-I26</f>
        <v>14193</v>
      </c>
      <c r="N26" s="192"/>
      <c r="O26" s="252">
        <f>+E26-G26</f>
        <v>0</v>
      </c>
      <c r="V26" s="32"/>
      <c r="X26" s="32"/>
    </row>
    <row r="27" spans="2:24" ht="15.9" customHeight="1">
      <c r="B27" s="28" t="s">
        <v>14</v>
      </c>
      <c r="E27" s="45">
        <f>tpami2_CorpDiff!C88</f>
        <v>0</v>
      </c>
      <c r="F27" s="41"/>
      <c r="G27" s="45">
        <f>tpami2_CorpDiff!D88</f>
        <v>0</v>
      </c>
      <c r="H27" s="41"/>
      <c r="I27" s="45">
        <f>tpami2_CorpDiff!E88</f>
        <v>0</v>
      </c>
      <c r="J27" s="103"/>
      <c r="K27" s="308">
        <f>E27-G27</f>
        <v>0</v>
      </c>
      <c r="L27" s="296"/>
      <c r="M27" s="274">
        <f>+E27-I27</f>
        <v>0</v>
      </c>
      <c r="N27" s="192"/>
      <c r="O27" s="274">
        <f>+E27-G27</f>
        <v>0</v>
      </c>
      <c r="V27" s="32"/>
      <c r="X27" s="32"/>
    </row>
    <row r="28" spans="2:24" ht="15.9" customHeight="1">
      <c r="E28" s="101">
        <f>SUM(E26:E27)</f>
        <v>14193</v>
      </c>
      <c r="F28" s="41"/>
      <c r="G28" s="101">
        <f>SUM(G26:G27)</f>
        <v>14193</v>
      </c>
      <c r="H28" s="41"/>
      <c r="I28" s="101">
        <f>SUM(I26:I27)</f>
        <v>0</v>
      </c>
      <c r="J28" s="103"/>
      <c r="K28" s="309">
        <f>SUM(K26:K27)</f>
        <v>0</v>
      </c>
      <c r="L28" s="303"/>
      <c r="M28" s="275">
        <f>+E28-I28</f>
        <v>14193</v>
      </c>
      <c r="N28" s="192"/>
      <c r="O28" s="275">
        <f t="shared" si="1"/>
        <v>0</v>
      </c>
      <c r="V28" s="32"/>
      <c r="X28" s="32"/>
    </row>
    <row r="29" spans="2:24" ht="15.9" customHeight="1">
      <c r="E29" s="103"/>
      <c r="F29" s="41"/>
      <c r="G29" s="103"/>
      <c r="H29" s="41"/>
      <c r="I29" s="103"/>
      <c r="J29" s="103"/>
      <c r="K29" s="308"/>
      <c r="L29" s="296"/>
      <c r="M29" s="296"/>
      <c r="N29" s="192"/>
      <c r="O29" s="252"/>
      <c r="V29" s="32"/>
      <c r="X29" s="32"/>
    </row>
    <row r="30" spans="2:24" ht="15.9" customHeight="1">
      <c r="B30" s="33" t="s">
        <v>17</v>
      </c>
      <c r="E30" s="41">
        <f>+tpami2_CorpDiff!C94</f>
        <v>1015233</v>
      </c>
      <c r="F30" s="41"/>
      <c r="G30" s="41">
        <f>+tpami2_CorpDiff!D94</f>
        <v>1011084</v>
      </c>
      <c r="H30" s="41"/>
      <c r="I30" s="41">
        <f>+tpami2_CorpDiff!E94</f>
        <v>987107</v>
      </c>
      <c r="J30" s="41"/>
      <c r="K30" s="308">
        <f>E30-G30</f>
        <v>4149</v>
      </c>
      <c r="L30" s="296"/>
      <c r="M30" s="252">
        <f>+E30-I30</f>
        <v>28126</v>
      </c>
      <c r="N30" s="192"/>
      <c r="O30" s="252">
        <f t="shared" si="1"/>
        <v>4149</v>
      </c>
    </row>
    <row r="31" spans="2:24" ht="15.9" customHeight="1">
      <c r="B31" s="28" t="s">
        <v>18</v>
      </c>
      <c r="E31" s="45">
        <f>+tpami2_CorpDiff!C100</f>
        <v>-116988</v>
      </c>
      <c r="F31" s="41"/>
      <c r="G31" s="45">
        <f>+tpami2_CorpDiff!D100</f>
        <v>-115443</v>
      </c>
      <c r="H31" s="41"/>
      <c r="I31" s="45">
        <f>+tpami2_CorpDiff!E100</f>
        <v>-104364</v>
      </c>
      <c r="J31" s="103"/>
      <c r="K31" s="308">
        <f>E31-G31</f>
        <v>-1545</v>
      </c>
      <c r="L31" s="296"/>
      <c r="M31" s="274">
        <f>+E31-I31</f>
        <v>-12624</v>
      </c>
      <c r="N31" s="192"/>
      <c r="O31" s="274">
        <f t="shared" si="1"/>
        <v>-1545</v>
      </c>
    </row>
    <row r="32" spans="2:24" ht="18" customHeight="1">
      <c r="C32" s="28" t="s">
        <v>19</v>
      </c>
      <c r="E32" s="101">
        <f>SUM(E30:E31)</f>
        <v>898245</v>
      </c>
      <c r="F32" s="41"/>
      <c r="G32" s="101">
        <f>SUM(G30:G31)</f>
        <v>895641</v>
      </c>
      <c r="H32" s="41"/>
      <c r="I32" s="101">
        <f>SUM(I30:I31)</f>
        <v>882743</v>
      </c>
      <c r="J32" s="103"/>
      <c r="K32" s="309">
        <f>SUM(K30:K31)</f>
        <v>2604</v>
      </c>
      <c r="L32" s="303"/>
      <c r="M32" s="275">
        <f>+E32-I32</f>
        <v>15502</v>
      </c>
      <c r="O32" s="275">
        <f t="shared" si="1"/>
        <v>2604</v>
      </c>
    </row>
    <row r="33" spans="2:26" ht="15.9" customHeight="1">
      <c r="E33" s="41"/>
      <c r="F33" s="41"/>
      <c r="G33" s="41"/>
      <c r="H33" s="41"/>
      <c r="I33" s="41"/>
      <c r="J33" s="41"/>
      <c r="K33" s="308"/>
      <c r="L33" s="296"/>
      <c r="M33" s="252"/>
      <c r="O33" s="252"/>
      <c r="V33" s="32"/>
      <c r="X33" s="32"/>
    </row>
    <row r="34" spans="2:26" ht="15.9" customHeight="1">
      <c r="B34" s="33" t="s">
        <v>20</v>
      </c>
      <c r="E34" s="41"/>
      <c r="F34" s="41"/>
      <c r="G34" s="41"/>
      <c r="H34" s="41"/>
      <c r="I34" s="41"/>
      <c r="J34" s="41"/>
      <c r="K34" s="308"/>
      <c r="L34" s="296"/>
      <c r="M34" s="252"/>
      <c r="O34" s="252"/>
      <c r="V34" s="32"/>
      <c r="X34" s="32"/>
    </row>
    <row r="35" spans="2:26" ht="15.9" customHeight="1">
      <c r="B35" s="38" t="s">
        <v>13</v>
      </c>
      <c r="C35" s="38"/>
      <c r="E35" s="41">
        <f>tpami2_CorpDiff!C150</f>
        <v>75407</v>
      </c>
      <c r="F35" s="41"/>
      <c r="G35" s="41">
        <f>tpami2_CorpDiff!D150</f>
        <v>75860</v>
      </c>
      <c r="H35" s="41"/>
      <c r="I35" s="41">
        <f>tpami2_CorpDiff!E150</f>
        <v>79054</v>
      </c>
      <c r="J35" s="41"/>
      <c r="K35" s="308">
        <f>E35-G35</f>
        <v>-453</v>
      </c>
      <c r="L35" s="296"/>
      <c r="M35" s="252">
        <f>+E35-I35</f>
        <v>-3647</v>
      </c>
      <c r="N35" s="192"/>
      <c r="O35" s="252">
        <f t="shared" si="1"/>
        <v>-453</v>
      </c>
    </row>
    <row r="36" spans="2:26" ht="15.9" customHeight="1">
      <c r="B36" s="38" t="s">
        <v>14</v>
      </c>
      <c r="E36" s="45">
        <f>+tpami2_CorpDiff!C160</f>
        <v>4164</v>
      </c>
      <c r="F36" s="41"/>
      <c r="G36" s="45">
        <f>+tpami2_CorpDiff!D160</f>
        <v>4026</v>
      </c>
      <c r="H36" s="41"/>
      <c r="I36" s="45">
        <f>+tpami2_CorpDiff!E160</f>
        <v>2254</v>
      </c>
      <c r="J36" s="103"/>
      <c r="K36" s="308">
        <f>E36-G36</f>
        <v>138</v>
      </c>
      <c r="L36" s="296"/>
      <c r="M36" s="274">
        <f>+E36-I36</f>
        <v>1910</v>
      </c>
      <c r="N36" s="192"/>
      <c r="O36" s="274">
        <f t="shared" si="1"/>
        <v>138</v>
      </c>
    </row>
    <row r="37" spans="2:26" ht="18" customHeight="1">
      <c r="C37" s="28" t="s">
        <v>21</v>
      </c>
      <c r="E37" s="101">
        <f>SUM(E35:E36)</f>
        <v>79571</v>
      </c>
      <c r="F37" s="41"/>
      <c r="G37" s="101">
        <f>SUM(G35:G36)</f>
        <v>79886</v>
      </c>
      <c r="H37" s="41"/>
      <c r="I37" s="101">
        <f>SUM(I35:I36)</f>
        <v>81308</v>
      </c>
      <c r="J37" s="103"/>
      <c r="K37" s="309">
        <f>SUM(K35:K36)</f>
        <v>-315</v>
      </c>
      <c r="L37" s="303"/>
      <c r="M37" s="275">
        <f>+E37-I37</f>
        <v>-1737</v>
      </c>
      <c r="O37" s="275">
        <f t="shared" si="1"/>
        <v>-315</v>
      </c>
    </row>
    <row r="38" spans="2:26" ht="15.9" customHeight="1">
      <c r="E38" s="41"/>
      <c r="F38" s="41"/>
      <c r="G38" s="41"/>
      <c r="H38" s="41"/>
      <c r="I38" s="41"/>
      <c r="J38" s="41"/>
      <c r="K38" s="308"/>
      <c r="L38" s="296"/>
      <c r="M38" s="252"/>
      <c r="O38" s="252"/>
    </row>
    <row r="39" spans="2:26" ht="15.9" customHeight="1" thickBot="1">
      <c r="B39" s="33" t="s">
        <v>22</v>
      </c>
      <c r="E39" s="102">
        <f>E23+E28+E32+E37</f>
        <v>1315979</v>
      </c>
      <c r="F39" s="41"/>
      <c r="G39" s="102">
        <f>G23+G28+G32+G37</f>
        <v>1301499</v>
      </c>
      <c r="H39" s="41"/>
      <c r="I39" s="102">
        <f>I23+I28+I32+I37</f>
        <v>1372399</v>
      </c>
      <c r="J39" s="103"/>
      <c r="K39" s="311">
        <f>K23+K28+K32+K37</f>
        <v>14480</v>
      </c>
      <c r="L39" s="303"/>
      <c r="M39" s="276">
        <f>+E39-I39</f>
        <v>-56420</v>
      </c>
      <c r="O39" s="276">
        <f t="shared" si="1"/>
        <v>14480</v>
      </c>
    </row>
    <row r="40" spans="2:26" ht="15.9" customHeight="1" thickTop="1">
      <c r="E40" s="41"/>
      <c r="F40" s="41"/>
      <c r="G40" s="41"/>
      <c r="H40" s="41"/>
      <c r="I40" s="41"/>
      <c r="J40" s="103"/>
      <c r="K40" s="308"/>
      <c r="L40" s="296"/>
      <c r="M40" s="252"/>
      <c r="N40" s="187"/>
      <c r="O40" s="252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2:26" ht="15.9" customHeight="1">
      <c r="B41" s="33" t="s">
        <v>23</v>
      </c>
      <c r="E41" s="41"/>
      <c r="F41" s="41"/>
      <c r="G41" s="41"/>
      <c r="H41" s="41"/>
      <c r="I41" s="41"/>
      <c r="J41" s="41"/>
      <c r="K41" s="308"/>
      <c r="L41" s="296"/>
      <c r="M41" s="252"/>
      <c r="N41" s="187"/>
      <c r="O41" s="252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2:26" ht="15.9" customHeight="1">
      <c r="E42" s="41"/>
      <c r="F42" s="41"/>
      <c r="G42" s="41"/>
      <c r="H42" s="41"/>
      <c r="I42" s="41"/>
      <c r="J42" s="41"/>
      <c r="K42" s="308"/>
      <c r="L42" s="296"/>
      <c r="M42" s="252"/>
      <c r="O42" s="252"/>
    </row>
    <row r="43" spans="2:26" ht="15.9" customHeight="1">
      <c r="B43" s="33" t="s">
        <v>24</v>
      </c>
      <c r="E43" s="41"/>
      <c r="F43" s="41"/>
      <c r="G43" s="41"/>
      <c r="H43" s="41"/>
      <c r="I43" s="41"/>
      <c r="J43" s="41"/>
      <c r="K43" s="308"/>
      <c r="L43" s="296"/>
      <c r="M43" s="252"/>
      <c r="O43" s="252"/>
    </row>
    <row r="44" spans="2:26" ht="15.9" customHeight="1">
      <c r="B44" s="38" t="s">
        <v>25</v>
      </c>
      <c r="E44" s="41">
        <f>+tpami2_CorpDiff!C165</f>
        <v>3850</v>
      </c>
      <c r="F44" s="41"/>
      <c r="G44" s="41">
        <f>+tpami2_CorpDiff!D165</f>
        <v>3850</v>
      </c>
      <c r="H44" s="41"/>
      <c r="I44" s="41">
        <f>+tpami2_CorpDiff!E165</f>
        <v>3850</v>
      </c>
      <c r="J44" s="41"/>
      <c r="K44" s="308">
        <f t="shared" ref="K44:K50" si="3">E44-G44</f>
        <v>0</v>
      </c>
      <c r="L44" s="296"/>
      <c r="M44" s="252">
        <f>+E44-I44</f>
        <v>0</v>
      </c>
      <c r="O44" s="252">
        <f t="shared" ref="O44:O70" si="4">+E44-G44</f>
        <v>0</v>
      </c>
    </row>
    <row r="45" spans="2:26" ht="15.9" customHeight="1">
      <c r="B45" s="38" t="s">
        <v>26</v>
      </c>
      <c r="E45" s="41">
        <f>+tpami2_CorpDiff!C169</f>
        <v>183</v>
      </c>
      <c r="F45" s="41"/>
      <c r="G45" s="41">
        <f>+tpami2_CorpDiff!D169</f>
        <v>1180</v>
      </c>
      <c r="H45" s="41"/>
      <c r="I45" s="41">
        <f>+tpami2_CorpDiff!E169</f>
        <v>1724</v>
      </c>
      <c r="J45" s="41"/>
      <c r="K45" s="308">
        <f t="shared" si="3"/>
        <v>-997</v>
      </c>
      <c r="L45" s="296"/>
      <c r="M45" s="252">
        <f t="shared" ref="M45:M70" si="5">+E45-I45</f>
        <v>-1541</v>
      </c>
      <c r="N45" s="192"/>
      <c r="O45" s="252">
        <f t="shared" si="4"/>
        <v>-997</v>
      </c>
      <c r="V45" s="32"/>
      <c r="X45" s="32"/>
    </row>
    <row r="46" spans="2:26" ht="15.9" customHeight="1">
      <c r="B46" s="28" t="s">
        <v>27</v>
      </c>
      <c r="E46" s="41">
        <f>+tpami2_CorpDiff!C171</f>
        <v>4292</v>
      </c>
      <c r="F46" s="41"/>
      <c r="G46" s="41">
        <f>+tpami2_CorpDiff!D171</f>
        <v>2297</v>
      </c>
      <c r="H46" s="41"/>
      <c r="I46" s="41">
        <f>+tpami2_CorpDiff!E171</f>
        <v>2161</v>
      </c>
      <c r="J46" s="41"/>
      <c r="K46" s="308">
        <f t="shared" si="3"/>
        <v>1995</v>
      </c>
      <c r="L46" s="296"/>
      <c r="M46" s="252">
        <f t="shared" si="5"/>
        <v>2131</v>
      </c>
      <c r="N46" s="192"/>
      <c r="O46" s="252">
        <f t="shared" si="4"/>
        <v>1995</v>
      </c>
      <c r="V46" s="32"/>
      <c r="X46" s="32"/>
    </row>
    <row r="47" spans="2:26" ht="15.9" customHeight="1">
      <c r="B47" s="38" t="s">
        <v>424</v>
      </c>
      <c r="E47" s="41">
        <f>+tpami2_CorpDiff!C173</f>
        <v>-10</v>
      </c>
      <c r="F47" s="41"/>
      <c r="G47" s="41">
        <f>+tpami2_CorpDiff!D173</f>
        <v>-10</v>
      </c>
      <c r="H47" s="41"/>
      <c r="I47" s="41">
        <f>+tpami2_CorpDiff!G173</f>
        <v>0</v>
      </c>
      <c r="J47" s="41"/>
      <c r="K47" s="308">
        <f t="shared" si="3"/>
        <v>0</v>
      </c>
      <c r="L47" s="296"/>
      <c r="M47" s="252">
        <f t="shared" si="5"/>
        <v>-10</v>
      </c>
      <c r="N47" s="192"/>
      <c r="O47" s="252">
        <f t="shared" si="4"/>
        <v>0</v>
      </c>
      <c r="V47" s="32"/>
      <c r="X47" s="32"/>
    </row>
    <row r="48" spans="2:26" ht="15.9" customHeight="1">
      <c r="B48" s="28" t="s">
        <v>28</v>
      </c>
      <c r="E48" s="41">
        <f>+tpami2_CorpDiff!C177</f>
        <v>15142</v>
      </c>
      <c r="F48" s="41"/>
      <c r="G48" s="41">
        <f>+tpami2_CorpDiff!D177</f>
        <v>13191</v>
      </c>
      <c r="H48" s="41"/>
      <c r="I48" s="41">
        <f>+tpami2_CorpDiff!E177</f>
        <v>7331</v>
      </c>
      <c r="J48" s="41"/>
      <c r="K48" s="308">
        <f t="shared" si="3"/>
        <v>1951</v>
      </c>
      <c r="L48" s="296"/>
      <c r="M48" s="252">
        <f t="shared" si="5"/>
        <v>7811</v>
      </c>
      <c r="N48" s="192"/>
      <c r="O48" s="252">
        <f t="shared" si="4"/>
        <v>1951</v>
      </c>
      <c r="V48" s="32"/>
      <c r="X48" s="32"/>
    </row>
    <row r="49" spans="2:24" ht="15.9" customHeight="1">
      <c r="B49" s="28" t="s">
        <v>29</v>
      </c>
      <c r="E49" s="41">
        <f>+tpami2_CorpDiff!C179+tpami2_CorpDiff!C183</f>
        <v>7026</v>
      </c>
      <c r="F49" s="41"/>
      <c r="G49" s="41">
        <f>+tpami2_CorpDiff!D179+tpami2_CorpDiff!D183</f>
        <v>6430</v>
      </c>
      <c r="H49" s="41"/>
      <c r="I49" s="41">
        <f>+tpami2_CorpDiff!E179+tpami2_CorpDiff!E183</f>
        <v>6126</v>
      </c>
      <c r="J49" s="41"/>
      <c r="K49" s="308">
        <f t="shared" si="3"/>
        <v>596</v>
      </c>
      <c r="L49" s="296"/>
      <c r="M49" s="252">
        <f t="shared" si="5"/>
        <v>900</v>
      </c>
      <c r="N49" s="192"/>
      <c r="O49" s="252">
        <f t="shared" si="4"/>
        <v>596</v>
      </c>
    </row>
    <row r="50" spans="2:24" ht="15.9" customHeight="1">
      <c r="B50" s="38" t="s">
        <v>30</v>
      </c>
      <c r="E50" s="41">
        <f>+tpami2_CorpDiff!C193</f>
        <v>2119</v>
      </c>
      <c r="F50" s="41"/>
      <c r="G50" s="41">
        <f>+tpami2_CorpDiff!D193</f>
        <v>2119</v>
      </c>
      <c r="H50" s="41"/>
      <c r="I50" s="41">
        <f>+tpami2_CorpDiff!E193</f>
        <v>2129</v>
      </c>
      <c r="J50" s="41"/>
      <c r="K50" s="308">
        <f t="shared" si="3"/>
        <v>0</v>
      </c>
      <c r="L50" s="296"/>
      <c r="M50" s="252">
        <f t="shared" si="5"/>
        <v>-10</v>
      </c>
      <c r="N50" s="192"/>
      <c r="O50" s="252">
        <f t="shared" si="4"/>
        <v>0</v>
      </c>
      <c r="V50" s="32"/>
      <c r="X50" s="32"/>
    </row>
    <row r="51" spans="2:24" ht="17.25" customHeight="1">
      <c r="B51" s="28" t="s">
        <v>31</v>
      </c>
      <c r="E51" s="41">
        <f>+tpami2_CorpDiff!C185</f>
        <v>474</v>
      </c>
      <c r="F51" s="41"/>
      <c r="G51" s="41">
        <f>+tpami2_CorpDiff!D185</f>
        <v>355</v>
      </c>
      <c r="H51" s="41"/>
      <c r="I51" s="41">
        <f>+tpami2_CorpDiff!E185</f>
        <v>3012</v>
      </c>
      <c r="J51" s="41"/>
      <c r="K51" s="308">
        <f>E51-G51</f>
        <v>119</v>
      </c>
      <c r="L51" s="296"/>
      <c r="M51" s="252">
        <f t="shared" si="5"/>
        <v>-2538</v>
      </c>
      <c r="N51" s="192"/>
      <c r="O51" s="252">
        <f t="shared" si="4"/>
        <v>119</v>
      </c>
    </row>
    <row r="52" spans="2:24" ht="16.5" customHeight="1">
      <c r="B52" s="28" t="s">
        <v>14</v>
      </c>
      <c r="E52" s="45">
        <f>+tpami2_CorpDiff!C201</f>
        <v>12896</v>
      </c>
      <c r="F52" s="41"/>
      <c r="G52" s="45">
        <f>+tpami2_CorpDiff!D201</f>
        <v>12645</v>
      </c>
      <c r="H52" s="41"/>
      <c r="I52" s="45">
        <f>+tpami2_CorpDiff!E201</f>
        <v>276</v>
      </c>
      <c r="J52" s="103"/>
      <c r="K52" s="308">
        <f>E52-G52</f>
        <v>251</v>
      </c>
      <c r="L52" s="296"/>
      <c r="M52" s="274">
        <f t="shared" si="5"/>
        <v>12620</v>
      </c>
      <c r="N52" s="192"/>
      <c r="O52" s="274">
        <f t="shared" si="4"/>
        <v>251</v>
      </c>
    </row>
    <row r="53" spans="2:24" ht="18" customHeight="1">
      <c r="C53" s="28" t="s">
        <v>32</v>
      </c>
      <c r="E53" s="101">
        <f>SUM(E44:E52)</f>
        <v>45972</v>
      </c>
      <c r="F53" s="41"/>
      <c r="G53" s="101">
        <f>SUM(G44:G52)</f>
        <v>42057</v>
      </c>
      <c r="H53" s="41"/>
      <c r="I53" s="101">
        <f>SUM(I44:I52)</f>
        <v>26609</v>
      </c>
      <c r="J53" s="103"/>
      <c r="K53" s="309">
        <f>SUM(K44:K52)</f>
        <v>3915</v>
      </c>
      <c r="L53" s="303"/>
      <c r="M53" s="275">
        <f t="shared" si="5"/>
        <v>19363</v>
      </c>
      <c r="O53" s="275">
        <f t="shared" si="4"/>
        <v>3915</v>
      </c>
      <c r="V53" s="32"/>
      <c r="X53" s="32"/>
    </row>
    <row r="54" spans="2:24" ht="15.9" customHeight="1">
      <c r="E54" s="41"/>
      <c r="F54" s="41"/>
      <c r="G54" s="41"/>
      <c r="H54" s="41"/>
      <c r="I54" s="41"/>
      <c r="J54" s="103"/>
      <c r="K54" s="310"/>
      <c r="L54" s="296"/>
      <c r="M54" s="252"/>
      <c r="O54" s="252"/>
    </row>
    <row r="55" spans="2:24" ht="15.9" customHeight="1">
      <c r="B55" s="33" t="s">
        <v>33</v>
      </c>
      <c r="E55" s="41"/>
      <c r="F55" s="41"/>
      <c r="G55" s="41"/>
      <c r="H55" s="41"/>
      <c r="I55" s="41"/>
      <c r="J55" s="103"/>
      <c r="K55" s="310"/>
      <c r="L55" s="296"/>
      <c r="M55" s="252"/>
      <c r="O55" s="252"/>
      <c r="V55" s="32"/>
      <c r="X55" s="32"/>
    </row>
    <row r="56" spans="2:24" ht="15.75" customHeight="1">
      <c r="B56" s="38" t="s">
        <v>425</v>
      </c>
      <c r="E56" s="41">
        <f>+tpami2_CorpDiff!C207</f>
        <v>235584</v>
      </c>
      <c r="F56" s="41"/>
      <c r="G56" s="41">
        <f>+tpami2_CorpDiff!D207</f>
        <v>235584</v>
      </c>
      <c r="H56" s="41"/>
      <c r="I56" s="41">
        <f>+tpami2_CorpDiff!E207</f>
        <v>238702</v>
      </c>
      <c r="J56" s="41"/>
      <c r="K56" s="308">
        <f>E56-G56</f>
        <v>0</v>
      </c>
      <c r="L56" s="296"/>
      <c r="M56" s="252">
        <f t="shared" si="5"/>
        <v>-3118</v>
      </c>
      <c r="N56" s="192"/>
      <c r="O56" s="252">
        <f t="shared" si="4"/>
        <v>0</v>
      </c>
    </row>
    <row r="57" spans="2:24" ht="15.75" customHeight="1">
      <c r="B57" s="38" t="s">
        <v>424</v>
      </c>
      <c r="E57" s="41">
        <f>+tpami2_CorpDiff!C211</f>
        <v>0</v>
      </c>
      <c r="F57" s="41"/>
      <c r="G57" s="41">
        <f>+tpami2_CorpDiff!D211</f>
        <v>0</v>
      </c>
      <c r="H57" s="41"/>
      <c r="I57" s="41">
        <f>+tpami2_CorpDiff!E211</f>
        <v>0</v>
      </c>
      <c r="J57" s="41"/>
      <c r="K57" s="308">
        <f>E57-G57</f>
        <v>0</v>
      </c>
      <c r="L57" s="296"/>
      <c r="M57" s="252">
        <f t="shared" si="5"/>
        <v>0</v>
      </c>
      <c r="N57" s="192"/>
      <c r="O57" s="252">
        <f t="shared" si="4"/>
        <v>0</v>
      </c>
    </row>
    <row r="58" spans="2:24" ht="16.5" customHeight="1">
      <c r="B58" s="28" t="s">
        <v>14</v>
      </c>
      <c r="E58" s="45">
        <f>+tpami2_CorpDiff!C217</f>
        <v>2473</v>
      </c>
      <c r="F58" s="41"/>
      <c r="G58" s="45">
        <f>+tpami2_CorpDiff!D217</f>
        <v>2497</v>
      </c>
      <c r="H58" s="41"/>
      <c r="I58" s="45">
        <f>+tpami2_CorpDiff!E217</f>
        <v>2661</v>
      </c>
      <c r="J58" s="103"/>
      <c r="K58" s="308">
        <f>E58-G58</f>
        <v>-24</v>
      </c>
      <c r="L58" s="296"/>
      <c r="M58" s="274">
        <f t="shared" si="5"/>
        <v>-188</v>
      </c>
      <c r="N58" s="192"/>
      <c r="O58" s="274">
        <f t="shared" si="4"/>
        <v>-24</v>
      </c>
    </row>
    <row r="59" spans="2:24" ht="18" customHeight="1">
      <c r="C59" s="38" t="s">
        <v>34</v>
      </c>
      <c r="E59" s="101">
        <f>SUM(E56:E58)</f>
        <v>238057</v>
      </c>
      <c r="F59" s="41"/>
      <c r="G59" s="101">
        <f>SUM(G56:G58)</f>
        <v>238081</v>
      </c>
      <c r="H59" s="41"/>
      <c r="I59" s="101">
        <f>SUM(I56:I58)</f>
        <v>241363</v>
      </c>
      <c r="J59" s="103"/>
      <c r="K59" s="309">
        <f>SUM(K56:K58)</f>
        <v>-24</v>
      </c>
      <c r="L59" s="303"/>
      <c r="M59" s="275">
        <f t="shared" si="5"/>
        <v>-3306</v>
      </c>
      <c r="O59" s="275">
        <f t="shared" si="4"/>
        <v>-24</v>
      </c>
    </row>
    <row r="60" spans="2:24" ht="15.9" customHeight="1">
      <c r="E60" s="103"/>
      <c r="F60" s="41"/>
      <c r="G60" s="103"/>
      <c r="H60" s="41"/>
      <c r="I60" s="103"/>
      <c r="J60" s="103"/>
      <c r="K60" s="308"/>
      <c r="L60" s="296"/>
      <c r="M60" s="252"/>
      <c r="O60" s="252"/>
    </row>
    <row r="61" spans="2:24" ht="15.9" customHeight="1">
      <c r="B61" s="36" t="s">
        <v>35</v>
      </c>
      <c r="E61" s="103">
        <f>+tpami2_CorpDiff!C223</f>
        <v>11600</v>
      </c>
      <c r="F61" s="41"/>
      <c r="G61" s="103">
        <f>+tpami2_CorpDiff!D223</f>
        <v>11600</v>
      </c>
      <c r="H61" s="41"/>
      <c r="I61" s="103">
        <f>+tpami2_CorpDiff!E223</f>
        <v>161600</v>
      </c>
      <c r="J61" s="103"/>
      <c r="K61" s="308">
        <f>E61-G61</f>
        <v>0</v>
      </c>
      <c r="L61" s="296"/>
      <c r="M61" s="252">
        <f t="shared" si="5"/>
        <v>-150000</v>
      </c>
      <c r="N61" s="192"/>
      <c r="O61" s="252">
        <f t="shared" si="4"/>
        <v>0</v>
      </c>
    </row>
    <row r="62" spans="2:24" ht="15.9" customHeight="1">
      <c r="E62" s="41"/>
      <c r="F62" s="41"/>
      <c r="G62" s="41"/>
      <c r="H62" s="41"/>
      <c r="I62" s="41"/>
      <c r="J62" s="41"/>
      <c r="K62" s="308"/>
      <c r="L62" s="296"/>
      <c r="M62" s="252"/>
      <c r="O62" s="252"/>
    </row>
    <row r="63" spans="2:24" ht="15.9" customHeight="1">
      <c r="B63" s="36" t="s">
        <v>36</v>
      </c>
      <c r="E63" s="41"/>
      <c r="F63" s="41"/>
      <c r="G63" s="41"/>
      <c r="H63" s="41"/>
      <c r="I63" s="41"/>
      <c r="J63" s="41"/>
      <c r="K63" s="308"/>
      <c r="L63" s="296"/>
      <c r="M63" s="252"/>
      <c r="O63" s="252"/>
    </row>
    <row r="64" spans="2:24" ht="15.9" customHeight="1">
      <c r="B64" s="38" t="s">
        <v>37</v>
      </c>
      <c r="E64" s="41">
        <f>+tpami2_CorpDiff!C225</f>
        <v>1</v>
      </c>
      <c r="F64" s="41"/>
      <c r="G64" s="41">
        <f>+tpami2_CorpDiff!D225</f>
        <v>1</v>
      </c>
      <c r="H64" s="41"/>
      <c r="I64" s="41">
        <f>+tpami2_CorpDiff!E225</f>
        <v>1</v>
      </c>
      <c r="J64" s="41"/>
      <c r="K64" s="308">
        <f>E64-G64</f>
        <v>0</v>
      </c>
      <c r="L64" s="296"/>
      <c r="M64" s="252">
        <f t="shared" si="5"/>
        <v>0</v>
      </c>
      <c r="N64" s="192"/>
      <c r="O64" s="252">
        <f t="shared" si="4"/>
        <v>0</v>
      </c>
    </row>
    <row r="65" spans="2:16" ht="15.9" customHeight="1">
      <c r="B65" s="38" t="s">
        <v>38</v>
      </c>
      <c r="E65" s="41">
        <f>+tpami2_CorpDiff!C227</f>
        <v>409191</v>
      </c>
      <c r="F65" s="41"/>
      <c r="G65" s="41">
        <f>+tpami2_CorpDiff!D227</f>
        <v>409191</v>
      </c>
      <c r="H65" s="41"/>
      <c r="I65" s="41">
        <f>+tpami2_CorpDiff!E227</f>
        <v>409191</v>
      </c>
      <c r="J65" s="41"/>
      <c r="K65" s="308">
        <f>E65-G65</f>
        <v>0</v>
      </c>
      <c r="L65" s="296"/>
      <c r="M65" s="252">
        <f t="shared" si="5"/>
        <v>0</v>
      </c>
      <c r="N65" s="192"/>
      <c r="O65" s="252">
        <f t="shared" si="4"/>
        <v>0</v>
      </c>
    </row>
    <row r="66" spans="2:16" ht="15.9" customHeight="1">
      <c r="B66" s="38" t="s">
        <v>533</v>
      </c>
      <c r="E66" s="41">
        <f>+tpami2_CorpDiff!C234+tpami2_CorpDiff!C235</f>
        <v>19452</v>
      </c>
      <c r="F66" s="41"/>
      <c r="G66" s="41">
        <f>+tpami2_CorpDiff!D234+tpami2_CorpDiff!D235</f>
        <v>19452</v>
      </c>
      <c r="H66" s="41"/>
      <c r="I66" s="41">
        <f>+tpami2_CorpDiff!E234+tpami2_CorpDiff!E235</f>
        <v>0</v>
      </c>
      <c r="J66" s="103"/>
      <c r="K66" s="308">
        <f>E66-G66</f>
        <v>0</v>
      </c>
      <c r="L66" s="296"/>
      <c r="M66" s="252">
        <f t="shared" si="5"/>
        <v>19452</v>
      </c>
      <c r="N66" s="192"/>
      <c r="O66" s="252">
        <f t="shared" si="4"/>
        <v>0</v>
      </c>
    </row>
    <row r="67" spans="2:16" ht="15.9" customHeight="1">
      <c r="B67" s="38" t="s">
        <v>39</v>
      </c>
      <c r="E67" s="45">
        <f>+tpami2_CorpDiff!C237-tpami2_CorpDiff!C235-tpami2_CorpDiff!C234</f>
        <v>591706</v>
      </c>
      <c r="F67" s="41"/>
      <c r="G67" s="45">
        <f>+tpami2_CorpDiff!D237-tpami2_CorpDiff!D235-tpami2_CorpDiff!D234</f>
        <v>581117</v>
      </c>
      <c r="H67" s="41"/>
      <c r="I67" s="45">
        <f>+tpami2_CorpDiff!E237-tpami2_CorpDiff!E235-tpami2_CorpDiff!E234</f>
        <v>533635</v>
      </c>
      <c r="J67" s="103"/>
      <c r="K67" s="308">
        <f>E67-G67</f>
        <v>10589</v>
      </c>
      <c r="L67" s="296"/>
      <c r="M67" s="274">
        <f t="shared" si="5"/>
        <v>58071</v>
      </c>
      <c r="N67" s="192"/>
      <c r="O67" s="274">
        <f t="shared" si="4"/>
        <v>10589</v>
      </c>
    </row>
    <row r="68" spans="2:16" ht="18" customHeight="1">
      <c r="B68" s="38" t="s">
        <v>40</v>
      </c>
      <c r="E68" s="45">
        <f>SUM(E64:E67)</f>
        <v>1020350</v>
      </c>
      <c r="F68" s="41"/>
      <c r="G68" s="45">
        <f>SUM(G64:G67)</f>
        <v>1009761</v>
      </c>
      <c r="H68" s="41"/>
      <c r="I68" s="45">
        <f>SUM(I64:I67)</f>
        <v>942827</v>
      </c>
      <c r="J68" s="103"/>
      <c r="K68" s="309">
        <f>SUM(K64:K67)</f>
        <v>10589</v>
      </c>
      <c r="L68" s="303"/>
      <c r="M68" s="275">
        <f t="shared" si="5"/>
        <v>77523</v>
      </c>
      <c r="O68" s="275">
        <f t="shared" si="4"/>
        <v>10589</v>
      </c>
    </row>
    <row r="69" spans="2:16" ht="15.9" customHeight="1">
      <c r="E69" s="41"/>
      <c r="F69" s="41"/>
      <c r="G69" s="41"/>
      <c r="H69" s="41"/>
      <c r="I69" s="41"/>
      <c r="J69" s="103"/>
      <c r="K69" s="308"/>
      <c r="L69" s="296"/>
      <c r="M69" s="252"/>
      <c r="O69" s="252"/>
    </row>
    <row r="70" spans="2:16" ht="15.9" customHeight="1" thickBot="1">
      <c r="B70" s="33" t="s">
        <v>41</v>
      </c>
      <c r="E70" s="102">
        <f>+E68+E61+E59+E53</f>
        <v>1315979</v>
      </c>
      <c r="F70" s="41"/>
      <c r="G70" s="102">
        <f>+G68+G61+G59+G53</f>
        <v>1301499</v>
      </c>
      <c r="H70" s="41"/>
      <c r="I70" s="102">
        <f>+I68+I61+I59+I53</f>
        <v>1372399</v>
      </c>
      <c r="J70" s="103"/>
      <c r="K70" s="311">
        <f>+K68+K61+K59+K53</f>
        <v>14480</v>
      </c>
      <c r="L70" s="303"/>
      <c r="M70" s="276">
        <f t="shared" si="5"/>
        <v>-56420</v>
      </c>
      <c r="O70" s="276">
        <f t="shared" si="4"/>
        <v>14480</v>
      </c>
    </row>
    <row r="71" spans="2:16" ht="15.9" customHeight="1" thickTop="1">
      <c r="J71" s="155"/>
      <c r="K71" s="308"/>
      <c r="L71" s="296"/>
      <c r="O71" s="252"/>
    </row>
    <row r="72" spans="2:16" ht="11.25" customHeight="1">
      <c r="J72" s="155"/>
      <c r="K72" s="308"/>
      <c r="L72" s="296"/>
      <c r="O72" s="252"/>
    </row>
    <row r="73" spans="2:16" ht="11.25" customHeight="1">
      <c r="E73" s="28">
        <f>E39-E70</f>
        <v>0</v>
      </c>
      <c r="G73" s="28">
        <f>G39-G70</f>
        <v>0</v>
      </c>
      <c r="I73" s="28">
        <f>I39-I70</f>
        <v>0</v>
      </c>
      <c r="J73" s="155"/>
      <c r="K73" s="312">
        <f>K39-K70</f>
        <v>0</v>
      </c>
      <c r="M73" s="28">
        <f>M39-M70</f>
        <v>0</v>
      </c>
      <c r="O73" s="28">
        <f>O39-O70</f>
        <v>0</v>
      </c>
    </row>
    <row r="74" spans="2:16" ht="11.25" customHeight="1">
      <c r="J74" s="155"/>
    </row>
    <row r="75" spans="2:16" ht="11.25" customHeight="1">
      <c r="J75" s="155"/>
    </row>
    <row r="76" spans="2:16" ht="11.25" customHeight="1">
      <c r="J76" s="155"/>
      <c r="L76" s="193"/>
      <c r="O76" s="193"/>
      <c r="P76" s="34"/>
    </row>
    <row r="77" spans="2:16" ht="11.25" customHeight="1">
      <c r="J77" s="155"/>
    </row>
    <row r="78" spans="2:16" ht="11.25" customHeight="1"/>
    <row r="79" spans="2:16" ht="11.25" customHeight="1"/>
    <row r="80" spans="2:16" ht="11.25" customHeight="1"/>
    <row r="81" ht="11.25" customHeight="1"/>
    <row r="82" ht="11.25" customHeight="1"/>
    <row r="150" spans="4:16" ht="13.8" thickBot="1"/>
    <row r="151" spans="4:16">
      <c r="D151" s="151"/>
      <c r="E151" s="153"/>
      <c r="F151" s="152"/>
      <c r="G151" s="153"/>
      <c r="H151" s="152"/>
      <c r="I151" s="153"/>
      <c r="J151" s="155"/>
    </row>
    <row r="152" spans="4:16">
      <c r="D152" s="154"/>
      <c r="E152" s="157"/>
      <c r="F152" s="155"/>
      <c r="G152" s="157"/>
      <c r="H152" s="156"/>
      <c r="I152" s="157"/>
      <c r="J152" s="156"/>
      <c r="K152" s="313"/>
      <c r="L152" s="156"/>
      <c r="M152" s="35"/>
      <c r="N152" s="156"/>
      <c r="O152" s="156"/>
      <c r="P152" s="35"/>
    </row>
    <row r="153" spans="4:16">
      <c r="D153" s="154"/>
      <c r="E153" s="157" t="s">
        <v>496</v>
      </c>
      <c r="F153" s="155"/>
      <c r="G153" s="157" t="s">
        <v>507</v>
      </c>
      <c r="H153" s="156"/>
      <c r="I153" s="157" t="s">
        <v>42</v>
      </c>
      <c r="J153" s="156"/>
      <c r="K153" s="313"/>
      <c r="L153" s="156"/>
      <c r="M153" s="35"/>
      <c r="N153" s="156"/>
      <c r="O153" s="156"/>
      <c r="P153" s="35"/>
    </row>
    <row r="154" spans="4:16">
      <c r="D154" s="154"/>
      <c r="E154" s="158" t="s">
        <v>542</v>
      </c>
      <c r="F154" s="155"/>
      <c r="G154" s="158" t="s">
        <v>508</v>
      </c>
      <c r="H154" s="156"/>
      <c r="I154" s="158" t="s">
        <v>543</v>
      </c>
      <c r="J154" s="305"/>
      <c r="K154" s="313"/>
      <c r="L154" s="156"/>
      <c r="M154" s="35"/>
      <c r="N154" s="156"/>
      <c r="O154" s="156"/>
      <c r="P154" s="35"/>
    </row>
    <row r="155" spans="4:16">
      <c r="D155" s="154"/>
      <c r="E155" s="157" t="s">
        <v>497</v>
      </c>
      <c r="F155" s="155"/>
      <c r="G155" s="157" t="s">
        <v>509</v>
      </c>
      <c r="H155" s="156"/>
      <c r="I155" s="157" t="s">
        <v>43</v>
      </c>
      <c r="J155" s="156"/>
      <c r="K155" s="313"/>
      <c r="L155" s="156"/>
      <c r="M155" s="35"/>
      <c r="N155" s="156"/>
      <c r="O155" s="156"/>
      <c r="P155" s="35"/>
    </row>
    <row r="156" spans="4:16">
      <c r="D156" s="154"/>
      <c r="E156" s="157" t="s">
        <v>498</v>
      </c>
      <c r="F156" s="155"/>
      <c r="G156" s="157" t="s">
        <v>510</v>
      </c>
      <c r="H156" s="156"/>
      <c r="I156" s="157" t="s">
        <v>44</v>
      </c>
      <c r="J156" s="156"/>
      <c r="K156" s="313"/>
      <c r="L156" s="156"/>
      <c r="M156" s="35"/>
      <c r="N156" s="156"/>
      <c r="O156" s="156"/>
      <c r="P156" s="35"/>
    </row>
    <row r="157" spans="4:16">
      <c r="D157" s="154"/>
      <c r="E157" s="157" t="s">
        <v>499</v>
      </c>
      <c r="F157" s="155"/>
      <c r="G157" s="157" t="s">
        <v>511</v>
      </c>
      <c r="H157" s="156"/>
      <c r="I157" s="157" t="s">
        <v>45</v>
      </c>
      <c r="J157" s="156"/>
      <c r="K157" s="313"/>
      <c r="L157" s="156"/>
      <c r="M157" s="35"/>
      <c r="N157" s="156"/>
      <c r="O157" s="156"/>
      <c r="P157" s="35"/>
    </row>
    <row r="158" spans="4:16">
      <c r="D158" s="154"/>
      <c r="E158" s="158" t="s">
        <v>500</v>
      </c>
      <c r="F158" s="155"/>
      <c r="G158" s="158" t="s">
        <v>512</v>
      </c>
      <c r="H158" s="156"/>
      <c r="I158" s="158" t="s">
        <v>46</v>
      </c>
      <c r="J158" s="305"/>
      <c r="K158" s="313"/>
      <c r="L158" s="156"/>
      <c r="M158" s="35"/>
      <c r="N158" s="156"/>
      <c r="O158" s="156"/>
      <c r="P158" s="35"/>
    </row>
    <row r="159" spans="4:16">
      <c r="D159" s="154"/>
      <c r="E159" s="157" t="s">
        <v>501</v>
      </c>
      <c r="F159" s="155"/>
      <c r="G159" s="157" t="s">
        <v>513</v>
      </c>
      <c r="H159" s="156"/>
      <c r="I159" s="157" t="s">
        <v>47</v>
      </c>
      <c r="J159" s="156"/>
      <c r="K159" s="313"/>
      <c r="L159" s="156"/>
      <c r="M159" s="35"/>
      <c r="N159" s="156"/>
      <c r="O159" s="156"/>
      <c r="P159" s="35"/>
    </row>
    <row r="160" spans="4:16">
      <c r="D160" s="154"/>
      <c r="E160" s="157" t="s">
        <v>502</v>
      </c>
      <c r="F160" s="155"/>
      <c r="G160" s="157" t="s">
        <v>514</v>
      </c>
      <c r="H160" s="156"/>
      <c r="I160" s="157" t="s">
        <v>48</v>
      </c>
      <c r="J160" s="156"/>
      <c r="K160" s="313"/>
      <c r="L160" s="156"/>
      <c r="M160" s="35"/>
      <c r="N160" s="156"/>
      <c r="O160" s="156"/>
      <c r="P160" s="35"/>
    </row>
    <row r="161" spans="4:16">
      <c r="D161" s="154"/>
      <c r="E161" s="157" t="s">
        <v>503</v>
      </c>
      <c r="F161" s="155"/>
      <c r="G161" s="157" t="s">
        <v>515</v>
      </c>
      <c r="H161" s="156"/>
      <c r="I161" s="157" t="s">
        <v>49</v>
      </c>
      <c r="J161" s="156"/>
      <c r="K161" s="313"/>
      <c r="L161" s="156"/>
      <c r="M161" s="35"/>
      <c r="N161" s="156"/>
      <c r="O161" s="156"/>
      <c r="P161" s="35"/>
    </row>
    <row r="162" spans="4:16">
      <c r="D162" s="154"/>
      <c r="E162" s="157" t="s">
        <v>504</v>
      </c>
      <c r="F162" s="155"/>
      <c r="G162" s="157" t="s">
        <v>516</v>
      </c>
      <c r="H162" s="156"/>
      <c r="I162" s="157" t="s">
        <v>50</v>
      </c>
      <c r="J162" s="156"/>
      <c r="K162" s="313"/>
      <c r="L162" s="156"/>
      <c r="M162" s="35"/>
      <c r="N162" s="156"/>
      <c r="O162" s="156"/>
      <c r="P162" s="35"/>
    </row>
    <row r="163" spans="4:16">
      <c r="D163" s="154"/>
      <c r="E163" s="157" t="s">
        <v>505</v>
      </c>
      <c r="F163" s="155"/>
      <c r="G163" s="157" t="s">
        <v>517</v>
      </c>
      <c r="H163" s="156"/>
      <c r="I163" s="157" t="s">
        <v>51</v>
      </c>
      <c r="J163" s="156"/>
      <c r="K163" s="313"/>
      <c r="L163" s="156"/>
      <c r="M163" s="35"/>
      <c r="N163" s="156"/>
      <c r="O163" s="156"/>
      <c r="P163" s="35"/>
    </row>
    <row r="164" spans="4:16">
      <c r="D164" s="154"/>
      <c r="E164" s="157" t="s">
        <v>506</v>
      </c>
      <c r="F164" s="155"/>
      <c r="G164" s="157" t="s">
        <v>518</v>
      </c>
      <c r="H164" s="156"/>
      <c r="I164" s="157" t="s">
        <v>4</v>
      </c>
      <c r="J164" s="156"/>
      <c r="K164" s="313"/>
      <c r="L164" s="156"/>
      <c r="M164" s="35"/>
      <c r="N164" s="156"/>
      <c r="O164" s="156"/>
      <c r="P164" s="35"/>
    </row>
    <row r="165" spans="4:16">
      <c r="D165" s="154"/>
      <c r="E165" s="157"/>
      <c r="F165" s="155"/>
      <c r="G165" s="157"/>
      <c r="H165" s="156"/>
      <c r="I165" s="157"/>
      <c r="J165" s="156"/>
      <c r="K165" s="313"/>
      <c r="L165" s="156"/>
      <c r="M165" s="35"/>
      <c r="N165" s="156"/>
      <c r="O165" s="156"/>
      <c r="P165" s="35"/>
    </row>
    <row r="166" spans="4:16" ht="13.8" thickBot="1">
      <c r="D166" s="159"/>
      <c r="E166" s="162"/>
      <c r="F166" s="160"/>
      <c r="G166" s="162"/>
      <c r="H166" s="161"/>
      <c r="I166" s="162"/>
      <c r="J166" s="156"/>
      <c r="K166" s="313"/>
      <c r="L166" s="156"/>
      <c r="M166" s="35"/>
      <c r="N166" s="156"/>
      <c r="O166" s="156"/>
      <c r="P166" s="35"/>
    </row>
    <row r="167" spans="4:16">
      <c r="E167" s="35"/>
      <c r="G167" s="35"/>
      <c r="H167" s="35"/>
      <c r="I167" s="35"/>
      <c r="J167" s="35"/>
      <c r="K167" s="313"/>
      <c r="L167" s="156"/>
      <c r="M167" s="35"/>
      <c r="N167" s="156"/>
      <c r="O167" s="156"/>
      <c r="P167" s="35"/>
    </row>
    <row r="168" spans="4:16">
      <c r="E168" s="35"/>
      <c r="G168" s="35"/>
      <c r="H168" s="35"/>
      <c r="I168" s="35"/>
      <c r="J168" s="35"/>
      <c r="K168" s="313"/>
      <c r="L168" s="156"/>
      <c r="M168" s="35"/>
      <c r="N168" s="156"/>
      <c r="O168" s="156"/>
      <c r="P168" s="35"/>
    </row>
    <row r="169" spans="4:16">
      <c r="E169" s="35"/>
      <c r="G169" s="35"/>
      <c r="H169" s="35"/>
      <c r="I169" s="35"/>
      <c r="J169" s="35"/>
      <c r="K169" s="313"/>
      <c r="L169" s="156"/>
      <c r="M169" s="35"/>
      <c r="N169" s="156"/>
      <c r="O169" s="156"/>
      <c r="P169" s="35"/>
    </row>
    <row r="170" spans="4:16">
      <c r="E170" s="35"/>
      <c r="G170" s="35"/>
      <c r="H170" s="35"/>
      <c r="I170" s="35"/>
      <c r="J170" s="35"/>
      <c r="K170" s="313"/>
      <c r="L170" s="156"/>
      <c r="M170" s="35"/>
      <c r="N170" s="156"/>
      <c r="O170" s="156"/>
      <c r="P170" s="35"/>
    </row>
    <row r="171" spans="4:16">
      <c r="E171" s="35"/>
      <c r="G171" s="35"/>
      <c r="H171" s="35"/>
      <c r="I171" s="35"/>
      <c r="J171" s="35"/>
      <c r="K171" s="313"/>
      <c r="L171" s="156"/>
      <c r="M171" s="35"/>
      <c r="N171" s="156"/>
      <c r="O171" s="156"/>
      <c r="P171" s="35"/>
    </row>
    <row r="172" spans="4:16">
      <c r="E172" s="35"/>
      <c r="G172" s="35"/>
      <c r="H172" s="35"/>
      <c r="I172" s="35"/>
      <c r="J172" s="35"/>
      <c r="K172" s="313"/>
      <c r="L172" s="156"/>
      <c r="M172" s="35"/>
      <c r="N172" s="156"/>
      <c r="O172" s="156"/>
      <c r="P172" s="35"/>
    </row>
    <row r="173" spans="4:16">
      <c r="E173" s="35"/>
      <c r="G173" s="35"/>
      <c r="H173" s="35"/>
      <c r="I173" s="35"/>
      <c r="J173" s="35"/>
      <c r="K173" s="313"/>
      <c r="L173" s="156"/>
      <c r="M173" s="35"/>
      <c r="N173" s="156"/>
      <c r="O173" s="156"/>
      <c r="P173" s="35"/>
    </row>
    <row r="174" spans="4:16">
      <c r="E174" s="35"/>
      <c r="G174" s="35"/>
      <c r="H174" s="35"/>
      <c r="I174" s="35"/>
      <c r="J174" s="35"/>
      <c r="K174" s="313"/>
      <c r="L174" s="156"/>
      <c r="M174" s="35"/>
      <c r="N174" s="156"/>
      <c r="O174" s="156"/>
      <c r="P174" s="35"/>
    </row>
    <row r="175" spans="4:16">
      <c r="E175" s="35"/>
      <c r="G175" s="35"/>
      <c r="H175" s="35"/>
      <c r="I175" s="35"/>
      <c r="J175" s="35"/>
      <c r="K175" s="313"/>
      <c r="L175" s="156"/>
      <c r="M175" s="35"/>
      <c r="N175" s="156"/>
      <c r="O175" s="156"/>
      <c r="P175" s="35"/>
    </row>
    <row r="176" spans="4:16">
      <c r="E176" s="35"/>
      <c r="G176" s="35"/>
      <c r="H176" s="35"/>
      <c r="I176" s="35"/>
      <c r="J176" s="35"/>
      <c r="K176" s="313"/>
      <c r="L176" s="156"/>
      <c r="M176" s="35"/>
      <c r="N176" s="156"/>
      <c r="O176" s="156"/>
      <c r="P176" s="35"/>
    </row>
    <row r="177" spans="5:16">
      <c r="E177" s="35"/>
      <c r="G177" s="35"/>
      <c r="H177" s="35"/>
      <c r="I177" s="35"/>
      <c r="J177" s="35"/>
      <c r="K177" s="313"/>
      <c r="L177" s="156"/>
      <c r="M177" s="35"/>
      <c r="N177" s="156"/>
      <c r="O177" s="156"/>
      <c r="P177" s="35"/>
    </row>
    <row r="178" spans="5:16">
      <c r="E178" s="35"/>
      <c r="G178" s="35"/>
      <c r="H178" s="35"/>
      <c r="I178" s="35"/>
      <c r="J178" s="35"/>
      <c r="K178" s="313"/>
      <c r="L178" s="156"/>
      <c r="M178" s="35"/>
      <c r="N178" s="156"/>
      <c r="O178" s="156"/>
      <c r="P178" s="35"/>
    </row>
    <row r="179" spans="5:16">
      <c r="E179" s="35"/>
      <c r="G179" s="35"/>
      <c r="H179" s="35"/>
      <c r="I179" s="35"/>
      <c r="J179" s="35"/>
      <c r="K179" s="313"/>
      <c r="L179" s="156"/>
      <c r="M179" s="35"/>
      <c r="N179" s="156"/>
      <c r="O179" s="156"/>
      <c r="P179" s="35"/>
    </row>
    <row r="180" spans="5:16">
      <c r="E180" s="35"/>
      <c r="G180" s="35"/>
      <c r="H180" s="35"/>
      <c r="I180" s="35"/>
      <c r="J180" s="35"/>
      <c r="K180" s="313"/>
      <c r="L180" s="156"/>
      <c r="M180" s="35"/>
      <c r="N180" s="156"/>
      <c r="O180" s="156"/>
      <c r="P180" s="35"/>
    </row>
    <row r="181" spans="5:16">
      <c r="E181" s="35"/>
      <c r="G181" s="35"/>
      <c r="H181" s="35"/>
      <c r="I181" s="35"/>
      <c r="J181" s="35"/>
      <c r="K181" s="313"/>
      <c r="L181" s="156"/>
      <c r="M181" s="35"/>
      <c r="N181" s="156"/>
      <c r="O181" s="156"/>
      <c r="P181" s="35"/>
    </row>
    <row r="182" spans="5:16">
      <c r="E182" s="35"/>
      <c r="G182" s="35"/>
      <c r="H182" s="35"/>
      <c r="I182" s="35"/>
      <c r="J182" s="35"/>
      <c r="K182" s="313"/>
      <c r="L182" s="156"/>
      <c r="M182" s="35"/>
      <c r="N182" s="156"/>
      <c r="O182" s="156"/>
      <c r="P182" s="35"/>
    </row>
    <row r="183" spans="5:16">
      <c r="E183" s="35"/>
      <c r="G183" s="35"/>
      <c r="H183" s="35"/>
      <c r="I183" s="35"/>
      <c r="J183" s="35"/>
      <c r="K183" s="313"/>
      <c r="L183" s="156"/>
      <c r="M183" s="35"/>
      <c r="N183" s="156"/>
      <c r="O183" s="156"/>
      <c r="P183" s="35"/>
    </row>
    <row r="184" spans="5:16">
      <c r="E184" s="35"/>
      <c r="G184" s="35"/>
      <c r="H184" s="35"/>
      <c r="I184" s="35"/>
      <c r="J184" s="35"/>
      <c r="K184" s="313"/>
      <c r="L184" s="156"/>
      <c r="M184" s="35"/>
      <c r="N184" s="156"/>
      <c r="O184" s="156"/>
      <c r="P184" s="35"/>
    </row>
    <row r="185" spans="5:16">
      <c r="E185" s="35"/>
      <c r="G185" s="35"/>
      <c r="H185" s="35"/>
      <c r="I185" s="35"/>
      <c r="J185" s="35"/>
      <c r="K185" s="313"/>
      <c r="L185" s="156"/>
      <c r="M185" s="35"/>
      <c r="N185" s="156"/>
      <c r="O185" s="156"/>
      <c r="P185" s="35"/>
    </row>
    <row r="186" spans="5:16">
      <c r="E186" s="35"/>
      <c r="G186" s="35"/>
      <c r="H186" s="35"/>
      <c r="I186" s="35"/>
      <c r="J186" s="35"/>
      <c r="K186" s="313"/>
      <c r="L186" s="156"/>
      <c r="M186" s="35"/>
      <c r="N186" s="156"/>
      <c r="O186" s="156"/>
      <c r="P186" s="35"/>
    </row>
    <row r="187" spans="5:16">
      <c r="E187" s="35"/>
      <c r="G187" s="35"/>
      <c r="H187" s="35"/>
      <c r="I187" s="35"/>
      <c r="J187" s="35"/>
      <c r="K187" s="313"/>
      <c r="L187" s="156"/>
      <c r="M187" s="35"/>
      <c r="N187" s="156"/>
      <c r="O187" s="156"/>
      <c r="P187" s="35"/>
    </row>
    <row r="188" spans="5:16">
      <c r="E188" s="35"/>
      <c r="G188" s="35"/>
      <c r="H188" s="35"/>
      <c r="I188" s="35"/>
      <c r="J188" s="35"/>
      <c r="K188" s="313"/>
      <c r="L188" s="156"/>
      <c r="M188" s="35"/>
      <c r="N188" s="156"/>
      <c r="O188" s="156"/>
      <c r="P188" s="35"/>
    </row>
    <row r="189" spans="5:16">
      <c r="E189" s="35"/>
      <c r="G189" s="35"/>
      <c r="H189" s="35"/>
      <c r="I189" s="35"/>
      <c r="J189" s="35"/>
      <c r="K189" s="313"/>
      <c r="L189" s="156"/>
      <c r="M189" s="35"/>
      <c r="N189" s="156"/>
      <c r="O189" s="156"/>
      <c r="P189" s="35"/>
    </row>
    <row r="190" spans="5:16">
      <c r="E190" s="35"/>
      <c r="G190" s="35"/>
      <c r="H190" s="35"/>
      <c r="I190" s="35"/>
      <c r="J190" s="35"/>
      <c r="K190" s="313"/>
      <c r="L190" s="156"/>
      <c r="M190" s="35"/>
      <c r="N190" s="156"/>
      <c r="O190" s="156"/>
      <c r="P190" s="35"/>
    </row>
    <row r="191" spans="5:16">
      <c r="E191" s="35"/>
      <c r="G191" s="35"/>
      <c r="H191" s="35"/>
      <c r="I191" s="35"/>
      <c r="J191" s="35"/>
      <c r="K191" s="313"/>
      <c r="L191" s="156"/>
      <c r="M191" s="35"/>
      <c r="N191" s="156"/>
      <c r="O191" s="156"/>
      <c r="P191" s="35"/>
    </row>
    <row r="192" spans="5:16">
      <c r="E192" s="35"/>
      <c r="G192" s="35"/>
      <c r="H192" s="35"/>
      <c r="I192" s="35"/>
      <c r="J192" s="35"/>
      <c r="K192" s="313"/>
      <c r="L192" s="156"/>
      <c r="M192" s="35"/>
      <c r="N192" s="156"/>
      <c r="O192" s="156"/>
      <c r="P192" s="35"/>
    </row>
    <row r="193" spans="5:16">
      <c r="E193" s="35"/>
      <c r="G193" s="35"/>
      <c r="H193" s="35"/>
      <c r="I193" s="35"/>
      <c r="J193" s="35"/>
      <c r="K193" s="313"/>
      <c r="L193" s="156"/>
      <c r="M193" s="35"/>
      <c r="N193" s="156"/>
      <c r="O193" s="156"/>
      <c r="P193" s="35"/>
    </row>
    <row r="194" spans="5:16">
      <c r="E194" s="35"/>
      <c r="G194" s="35"/>
      <c r="H194" s="35"/>
      <c r="I194" s="35"/>
      <c r="J194" s="35"/>
      <c r="K194" s="313"/>
      <c r="L194" s="156"/>
      <c r="M194" s="35"/>
      <c r="N194" s="156"/>
      <c r="O194" s="156"/>
      <c r="P194" s="35"/>
    </row>
    <row r="195" spans="5:16">
      <c r="E195" s="35"/>
      <c r="G195" s="35"/>
      <c r="H195" s="35"/>
      <c r="I195" s="35"/>
      <c r="J195" s="35"/>
      <c r="K195" s="313"/>
      <c r="L195" s="156"/>
      <c r="M195" s="35"/>
      <c r="N195" s="156"/>
      <c r="O195" s="156"/>
      <c r="P195" s="35"/>
    </row>
    <row r="196" spans="5:16">
      <c r="E196" s="35"/>
      <c r="G196" s="35"/>
      <c r="H196" s="35"/>
      <c r="I196" s="35"/>
      <c r="J196" s="35"/>
      <c r="K196" s="313"/>
      <c r="L196" s="156"/>
      <c r="M196" s="35"/>
      <c r="N196" s="156"/>
      <c r="O196" s="156"/>
      <c r="P196" s="35"/>
    </row>
    <row r="197" spans="5:16">
      <c r="E197" s="35"/>
      <c r="G197" s="35"/>
      <c r="H197" s="35"/>
      <c r="I197" s="35"/>
      <c r="J197" s="35"/>
      <c r="K197" s="313"/>
      <c r="L197" s="156"/>
      <c r="M197" s="35"/>
      <c r="N197" s="156"/>
      <c r="O197" s="156"/>
      <c r="P197" s="35"/>
    </row>
    <row r="198" spans="5:16">
      <c r="E198" s="35"/>
      <c r="G198" s="35"/>
      <c r="H198" s="35"/>
      <c r="I198" s="35"/>
      <c r="J198" s="35"/>
      <c r="K198" s="313"/>
      <c r="L198" s="156"/>
      <c r="M198" s="35"/>
      <c r="N198" s="156"/>
      <c r="O198" s="156"/>
      <c r="P198" s="35"/>
    </row>
    <row r="199" spans="5:16">
      <c r="E199" s="35"/>
      <c r="G199" s="35"/>
      <c r="H199" s="35"/>
      <c r="I199" s="35"/>
      <c r="J199" s="35"/>
      <c r="K199" s="313"/>
      <c r="L199" s="156"/>
      <c r="M199" s="35"/>
      <c r="N199" s="156"/>
      <c r="O199" s="156"/>
      <c r="P199" s="35"/>
    </row>
    <row r="200" spans="5:16">
      <c r="E200" s="35"/>
      <c r="G200" s="35"/>
      <c r="H200" s="35"/>
      <c r="I200" s="35"/>
      <c r="J200" s="35"/>
      <c r="K200" s="313"/>
      <c r="L200" s="156"/>
      <c r="M200" s="35"/>
      <c r="N200" s="156"/>
      <c r="O200" s="156"/>
      <c r="P200" s="35"/>
    </row>
    <row r="201" spans="5:16">
      <c r="E201" s="35"/>
      <c r="G201" s="35"/>
      <c r="H201" s="35"/>
      <c r="I201" s="35"/>
      <c r="J201" s="35"/>
      <c r="K201" s="313"/>
      <c r="L201" s="156"/>
      <c r="M201" s="35"/>
      <c r="N201" s="156"/>
      <c r="O201" s="156"/>
      <c r="P201" s="35"/>
    </row>
    <row r="202" spans="5:16">
      <c r="E202" s="35"/>
      <c r="G202" s="35"/>
      <c r="H202" s="35"/>
      <c r="I202" s="35"/>
      <c r="J202" s="35"/>
      <c r="K202" s="313"/>
      <c r="L202" s="156"/>
      <c r="M202" s="35"/>
      <c r="N202" s="156"/>
      <c r="O202" s="156"/>
      <c r="P202" s="35"/>
    </row>
    <row r="203" spans="5:16">
      <c r="E203" s="35"/>
      <c r="G203" s="35"/>
      <c r="H203" s="35"/>
      <c r="I203" s="35"/>
      <c r="J203" s="35"/>
      <c r="K203" s="313"/>
      <c r="L203" s="156"/>
      <c r="M203" s="35"/>
      <c r="N203" s="156"/>
      <c r="O203" s="156"/>
      <c r="P203" s="35"/>
    </row>
    <row r="204" spans="5:16">
      <c r="E204" s="35"/>
      <c r="G204" s="35"/>
      <c r="H204" s="35"/>
      <c r="I204" s="35"/>
      <c r="J204" s="35"/>
      <c r="K204" s="313"/>
      <c r="L204" s="156"/>
      <c r="M204" s="35"/>
      <c r="N204" s="156"/>
      <c r="O204" s="156"/>
      <c r="P204" s="35"/>
    </row>
    <row r="205" spans="5:16">
      <c r="E205" s="35"/>
      <c r="G205" s="35"/>
      <c r="H205" s="35"/>
      <c r="I205" s="35"/>
      <c r="J205" s="35"/>
      <c r="K205" s="313"/>
      <c r="L205" s="156"/>
      <c r="M205" s="35"/>
      <c r="N205" s="156"/>
      <c r="O205" s="156"/>
      <c r="P205" s="35"/>
    </row>
    <row r="206" spans="5:16">
      <c r="E206" s="35"/>
      <c r="G206" s="35"/>
      <c r="H206" s="35"/>
      <c r="I206" s="35"/>
      <c r="J206" s="35"/>
      <c r="K206" s="313"/>
      <c r="L206" s="156"/>
      <c r="M206" s="35"/>
      <c r="N206" s="156"/>
      <c r="O206" s="156"/>
      <c r="P206" s="35"/>
    </row>
    <row r="207" spans="5:16">
      <c r="E207" s="35"/>
      <c r="G207" s="35"/>
      <c r="H207" s="35"/>
      <c r="I207" s="35"/>
      <c r="J207" s="35"/>
      <c r="K207" s="313"/>
      <c r="L207" s="156"/>
      <c r="M207" s="35"/>
      <c r="N207" s="156"/>
      <c r="O207" s="156"/>
      <c r="P207" s="35"/>
    </row>
    <row r="208" spans="5:16">
      <c r="E208" s="35"/>
      <c r="G208" s="35"/>
      <c r="H208" s="35"/>
      <c r="I208" s="35"/>
      <c r="J208" s="35"/>
      <c r="K208" s="313"/>
      <c r="L208" s="156"/>
      <c r="M208" s="35"/>
      <c r="N208" s="156"/>
      <c r="O208" s="156"/>
      <c r="P208" s="35"/>
    </row>
    <row r="209" spans="5:16">
      <c r="E209" s="35"/>
      <c r="G209" s="35"/>
      <c r="H209" s="35"/>
      <c r="I209" s="35"/>
      <c r="J209" s="35"/>
      <c r="K209" s="313"/>
      <c r="L209" s="156"/>
      <c r="M209" s="35"/>
      <c r="N209" s="156"/>
      <c r="O209" s="156"/>
      <c r="P209" s="35"/>
    </row>
    <row r="210" spans="5:16">
      <c r="E210" s="35"/>
      <c r="G210" s="35"/>
      <c r="H210" s="35"/>
      <c r="I210" s="35"/>
      <c r="J210" s="35"/>
      <c r="K210" s="313"/>
      <c r="L210" s="156"/>
      <c r="M210" s="35"/>
      <c r="N210" s="156"/>
      <c r="O210" s="156"/>
      <c r="P210" s="35"/>
    </row>
    <row r="211" spans="5:16">
      <c r="E211" s="35"/>
      <c r="G211" s="35"/>
      <c r="H211" s="35"/>
      <c r="I211" s="35"/>
      <c r="J211" s="35"/>
      <c r="K211" s="313"/>
      <c r="L211" s="156"/>
      <c r="M211" s="35"/>
      <c r="N211" s="156"/>
      <c r="O211" s="156"/>
      <c r="P211" s="35"/>
    </row>
    <row r="212" spans="5:16">
      <c r="E212" s="35"/>
      <c r="G212" s="35"/>
      <c r="H212" s="35"/>
      <c r="I212" s="35"/>
      <c r="J212" s="35"/>
      <c r="K212" s="313"/>
      <c r="L212" s="156"/>
      <c r="M212" s="35"/>
      <c r="N212" s="156"/>
      <c r="O212" s="156"/>
      <c r="P212" s="35"/>
    </row>
    <row r="213" spans="5:16">
      <c r="E213" s="35"/>
      <c r="G213" s="35"/>
      <c r="H213" s="35"/>
      <c r="I213" s="35"/>
      <c r="J213" s="35"/>
      <c r="K213" s="313"/>
      <c r="L213" s="156"/>
      <c r="M213" s="35"/>
      <c r="N213" s="156"/>
      <c r="O213" s="156"/>
      <c r="P213" s="35"/>
    </row>
    <row r="214" spans="5:16">
      <c r="E214" s="35"/>
      <c r="G214" s="35"/>
      <c r="H214" s="35"/>
      <c r="I214" s="35"/>
      <c r="J214" s="35"/>
      <c r="K214" s="313"/>
      <c r="L214" s="156"/>
      <c r="M214" s="35"/>
      <c r="N214" s="156"/>
      <c r="O214" s="156"/>
      <c r="P214" s="35"/>
    </row>
    <row r="215" spans="5:16">
      <c r="E215" s="35"/>
      <c r="G215" s="35"/>
      <c r="H215" s="35"/>
      <c r="I215" s="35"/>
      <c r="J215" s="35"/>
      <c r="K215" s="313"/>
      <c r="L215" s="156"/>
      <c r="M215" s="35"/>
      <c r="N215" s="156"/>
      <c r="O215" s="156"/>
      <c r="P215" s="35"/>
    </row>
    <row r="216" spans="5:16">
      <c r="E216" s="35"/>
      <c r="G216" s="35"/>
      <c r="H216" s="35"/>
      <c r="I216" s="35"/>
      <c r="J216" s="35"/>
      <c r="K216" s="313"/>
      <c r="L216" s="156"/>
      <c r="M216" s="35"/>
      <c r="N216" s="156"/>
      <c r="O216" s="156"/>
      <c r="P216" s="35"/>
    </row>
    <row r="217" spans="5:16">
      <c r="E217" s="35"/>
      <c r="G217" s="35"/>
      <c r="H217" s="35"/>
      <c r="I217" s="35"/>
      <c r="J217" s="35"/>
      <c r="K217" s="313"/>
      <c r="L217" s="156"/>
      <c r="M217" s="35"/>
      <c r="N217" s="156"/>
      <c r="O217" s="156"/>
      <c r="P217" s="35"/>
    </row>
    <row r="218" spans="5:16">
      <c r="E218" s="35"/>
      <c r="G218" s="35"/>
      <c r="H218" s="35"/>
      <c r="I218" s="35"/>
      <c r="J218" s="35"/>
      <c r="K218" s="313"/>
      <c r="L218" s="156"/>
      <c r="M218" s="35"/>
      <c r="N218" s="156"/>
      <c r="O218" s="156"/>
      <c r="P218" s="35"/>
    </row>
    <row r="219" spans="5:16">
      <c r="E219" s="35"/>
      <c r="G219" s="35"/>
      <c r="H219" s="35"/>
      <c r="I219" s="35"/>
      <c r="J219" s="35"/>
      <c r="K219" s="313"/>
      <c r="L219" s="156"/>
      <c r="M219" s="35"/>
      <c r="N219" s="156"/>
      <c r="O219" s="156"/>
      <c r="P219" s="35"/>
    </row>
    <row r="220" spans="5:16">
      <c r="E220" s="35"/>
      <c r="G220" s="35"/>
      <c r="H220" s="35"/>
      <c r="I220" s="35"/>
      <c r="J220" s="35"/>
      <c r="K220" s="313"/>
      <c r="L220" s="156"/>
      <c r="M220" s="35"/>
      <c r="N220" s="156"/>
      <c r="O220" s="156"/>
      <c r="P220" s="35"/>
    </row>
    <row r="221" spans="5:16">
      <c r="E221" s="35"/>
      <c r="G221" s="35"/>
      <c r="H221" s="35"/>
      <c r="I221" s="35"/>
      <c r="J221" s="35"/>
      <c r="K221" s="313"/>
      <c r="L221" s="156"/>
      <c r="M221" s="35"/>
      <c r="N221" s="156"/>
      <c r="O221" s="156"/>
      <c r="P221" s="35"/>
    </row>
    <row r="222" spans="5:16">
      <c r="E222" s="35"/>
      <c r="G222" s="35"/>
      <c r="H222" s="35"/>
      <c r="I222" s="35"/>
      <c r="J222" s="35"/>
      <c r="K222" s="313"/>
      <c r="L222" s="156"/>
      <c r="M222" s="35"/>
      <c r="N222" s="156"/>
      <c r="O222" s="156"/>
      <c r="P222" s="35"/>
    </row>
    <row r="223" spans="5:16">
      <c r="E223" s="35"/>
      <c r="G223" s="35"/>
      <c r="H223" s="35"/>
      <c r="I223" s="35"/>
      <c r="J223" s="35"/>
      <c r="K223" s="313"/>
      <c r="L223" s="156"/>
      <c r="M223" s="35"/>
      <c r="N223" s="156"/>
      <c r="O223" s="156"/>
      <c r="P223" s="35"/>
    </row>
    <row r="224" spans="5:16">
      <c r="E224" s="35"/>
      <c r="G224" s="35"/>
      <c r="H224" s="35"/>
      <c r="I224" s="35"/>
      <c r="J224" s="35"/>
      <c r="K224" s="313"/>
      <c r="L224" s="156"/>
      <c r="M224" s="35"/>
      <c r="N224" s="156"/>
      <c r="O224" s="156"/>
      <c r="P224" s="35"/>
    </row>
    <row r="225" spans="5:16">
      <c r="E225" s="35"/>
      <c r="G225" s="35"/>
      <c r="H225" s="35"/>
      <c r="I225" s="35"/>
      <c r="J225" s="35"/>
      <c r="K225" s="313"/>
      <c r="L225" s="156"/>
      <c r="M225" s="35"/>
      <c r="N225" s="156"/>
      <c r="O225" s="156"/>
      <c r="P225" s="35"/>
    </row>
    <row r="226" spans="5:16">
      <c r="E226" s="35"/>
      <c r="G226" s="35"/>
      <c r="H226" s="35"/>
      <c r="I226" s="35"/>
      <c r="J226" s="35"/>
      <c r="K226" s="313"/>
      <c r="L226" s="156"/>
      <c r="M226" s="35"/>
      <c r="N226" s="156"/>
      <c r="O226" s="156"/>
      <c r="P226" s="35"/>
    </row>
    <row r="227" spans="5:16">
      <c r="E227" s="35"/>
      <c r="G227" s="35"/>
      <c r="H227" s="35"/>
      <c r="I227" s="35"/>
      <c r="J227" s="35"/>
      <c r="K227" s="313"/>
      <c r="L227" s="156"/>
      <c r="M227" s="35"/>
      <c r="N227" s="156"/>
      <c r="O227" s="156"/>
      <c r="P227" s="35"/>
    </row>
    <row r="228" spans="5:16">
      <c r="E228" s="35"/>
      <c r="G228" s="35"/>
      <c r="H228" s="35"/>
      <c r="I228" s="35"/>
      <c r="J228" s="35"/>
      <c r="K228" s="313"/>
      <c r="L228" s="156"/>
      <c r="M228" s="35"/>
      <c r="N228" s="156"/>
      <c r="O228" s="156"/>
      <c r="P228" s="35"/>
    </row>
    <row r="229" spans="5:16">
      <c r="E229" s="35"/>
      <c r="G229" s="35"/>
      <c r="H229" s="35"/>
      <c r="I229" s="35"/>
      <c r="J229" s="35"/>
      <c r="K229" s="313"/>
      <c r="L229" s="156"/>
      <c r="M229" s="35"/>
      <c r="N229" s="156"/>
      <c r="O229" s="156"/>
      <c r="P229" s="35"/>
    </row>
    <row r="230" spans="5:16">
      <c r="E230" s="35"/>
      <c r="G230" s="35"/>
      <c r="H230" s="35"/>
      <c r="I230" s="35"/>
      <c r="J230" s="35"/>
      <c r="K230" s="313"/>
      <c r="L230" s="156"/>
      <c r="M230" s="35"/>
      <c r="N230" s="156"/>
      <c r="O230" s="156"/>
      <c r="P230" s="35"/>
    </row>
    <row r="231" spans="5:16">
      <c r="E231" s="35"/>
      <c r="G231" s="35"/>
      <c r="H231" s="35"/>
      <c r="I231" s="35"/>
      <c r="J231" s="35"/>
      <c r="K231" s="313"/>
      <c r="L231" s="156"/>
      <c r="M231" s="35"/>
      <c r="N231" s="156"/>
      <c r="O231" s="156"/>
      <c r="P231" s="35"/>
    </row>
    <row r="232" spans="5:16">
      <c r="E232" s="35"/>
      <c r="G232" s="35"/>
      <c r="H232" s="35"/>
      <c r="I232" s="35"/>
      <c r="J232" s="35"/>
      <c r="K232" s="313"/>
      <c r="L232" s="156"/>
      <c r="M232" s="35"/>
      <c r="N232" s="156"/>
      <c r="O232" s="156"/>
      <c r="P232" s="35"/>
    </row>
    <row r="233" spans="5:16">
      <c r="E233" s="35"/>
      <c r="G233" s="35"/>
      <c r="H233" s="35"/>
      <c r="I233" s="35"/>
      <c r="J233" s="35"/>
      <c r="K233" s="313"/>
      <c r="L233" s="156"/>
      <c r="M233" s="35"/>
      <c r="N233" s="156"/>
      <c r="O233" s="156"/>
      <c r="P233" s="35"/>
    </row>
    <row r="234" spans="5:16">
      <c r="E234" s="35"/>
      <c r="G234" s="35"/>
      <c r="H234" s="35"/>
      <c r="I234" s="35"/>
      <c r="J234" s="35"/>
      <c r="K234" s="313"/>
      <c r="L234" s="156"/>
      <c r="M234" s="35"/>
      <c r="N234" s="156"/>
      <c r="O234" s="156"/>
      <c r="P234" s="35"/>
    </row>
    <row r="235" spans="5:16">
      <c r="E235" s="35"/>
      <c r="G235" s="35"/>
      <c r="H235" s="35"/>
      <c r="I235" s="35"/>
      <c r="J235" s="35"/>
      <c r="K235" s="313"/>
      <c r="L235" s="156"/>
      <c r="M235" s="35"/>
      <c r="N235" s="156"/>
      <c r="O235" s="156"/>
      <c r="P235" s="35"/>
    </row>
    <row r="236" spans="5:16">
      <c r="E236" s="35"/>
      <c r="G236" s="35"/>
      <c r="H236" s="35"/>
      <c r="I236" s="35"/>
      <c r="J236" s="35"/>
      <c r="K236" s="313"/>
      <c r="L236" s="156"/>
      <c r="M236" s="35"/>
      <c r="N236" s="156"/>
      <c r="O236" s="156"/>
      <c r="P236" s="35"/>
    </row>
    <row r="237" spans="5:16">
      <c r="E237" s="35"/>
      <c r="G237" s="35"/>
      <c r="H237" s="35"/>
      <c r="I237" s="35"/>
      <c r="J237" s="35"/>
      <c r="K237" s="313"/>
      <c r="L237" s="156"/>
      <c r="M237" s="35"/>
      <c r="N237" s="156"/>
      <c r="O237" s="156"/>
      <c r="P237" s="35"/>
    </row>
    <row r="238" spans="5:16">
      <c r="E238" s="35"/>
      <c r="G238" s="35"/>
      <c r="H238" s="35"/>
      <c r="I238" s="35"/>
      <c r="J238" s="35"/>
      <c r="K238" s="313"/>
      <c r="L238" s="156"/>
      <c r="M238" s="35"/>
      <c r="N238" s="156"/>
      <c r="O238" s="156"/>
      <c r="P238" s="35"/>
    </row>
    <row r="239" spans="5:16">
      <c r="E239" s="35"/>
      <c r="G239" s="35"/>
      <c r="H239" s="35"/>
      <c r="I239" s="35"/>
      <c r="J239" s="35"/>
      <c r="K239" s="313"/>
      <c r="L239" s="156"/>
      <c r="M239" s="35"/>
      <c r="N239" s="156"/>
      <c r="O239" s="156"/>
      <c r="P239" s="35"/>
    </row>
    <row r="240" spans="5:16">
      <c r="E240" s="35"/>
      <c r="G240" s="35"/>
      <c r="H240" s="35"/>
      <c r="I240" s="35"/>
      <c r="J240" s="35"/>
      <c r="K240" s="313"/>
      <c r="L240" s="156"/>
      <c r="M240" s="35"/>
      <c r="N240" s="156"/>
      <c r="O240" s="156"/>
      <c r="P240" s="35"/>
    </row>
    <row r="241" spans="5:16">
      <c r="E241" s="35"/>
      <c r="G241" s="35"/>
      <c r="H241" s="35"/>
      <c r="I241" s="35"/>
      <c r="J241" s="35"/>
      <c r="K241" s="313"/>
      <c r="L241" s="156"/>
      <c r="M241" s="35"/>
      <c r="N241" s="156"/>
      <c r="O241" s="156"/>
      <c r="P241" s="35"/>
    </row>
    <row r="242" spans="5:16">
      <c r="E242" s="35"/>
      <c r="G242" s="35"/>
      <c r="H242" s="35"/>
      <c r="I242" s="35"/>
      <c r="J242" s="35"/>
      <c r="K242" s="313"/>
      <c r="L242" s="156"/>
      <c r="M242" s="35"/>
      <c r="N242" s="156"/>
      <c r="O242" s="156"/>
      <c r="P242" s="35"/>
    </row>
    <row r="243" spans="5:16">
      <c r="E243" s="35"/>
      <c r="G243" s="35"/>
      <c r="H243" s="35"/>
      <c r="I243" s="35"/>
      <c r="J243" s="35"/>
      <c r="K243" s="313"/>
      <c r="L243" s="156"/>
      <c r="M243" s="35"/>
      <c r="N243" s="156"/>
      <c r="O243" s="156"/>
      <c r="P243" s="35"/>
    </row>
    <row r="244" spans="5:16">
      <c r="E244" s="35"/>
      <c r="G244" s="35"/>
      <c r="H244" s="35"/>
      <c r="I244" s="35"/>
      <c r="J244" s="35"/>
      <c r="K244" s="313"/>
      <c r="L244" s="156"/>
      <c r="M244" s="35"/>
      <c r="N244" s="156"/>
      <c r="O244" s="156"/>
      <c r="P244" s="35"/>
    </row>
    <row r="245" spans="5:16">
      <c r="E245" s="35"/>
      <c r="G245" s="35"/>
      <c r="H245" s="35"/>
      <c r="I245" s="35"/>
      <c r="J245" s="35"/>
      <c r="K245" s="313"/>
      <c r="L245" s="156"/>
      <c r="M245" s="35"/>
      <c r="N245" s="156"/>
      <c r="O245" s="156"/>
      <c r="P245" s="35"/>
    </row>
    <row r="246" spans="5:16">
      <c r="E246" s="35"/>
      <c r="G246" s="35"/>
      <c r="H246" s="35"/>
      <c r="I246" s="35"/>
      <c r="J246" s="35"/>
      <c r="K246" s="313"/>
      <c r="L246" s="156"/>
      <c r="M246" s="35"/>
      <c r="N246" s="156"/>
      <c r="O246" s="156"/>
      <c r="P246" s="35"/>
    </row>
    <row r="247" spans="5:16">
      <c r="E247" s="35"/>
      <c r="G247" s="35"/>
      <c r="H247" s="35"/>
      <c r="I247" s="35"/>
      <c r="J247" s="35"/>
      <c r="K247" s="313"/>
      <c r="L247" s="156"/>
      <c r="M247" s="35"/>
      <c r="N247" s="156"/>
      <c r="O247" s="156"/>
      <c r="P247" s="35"/>
    </row>
    <row r="248" spans="5:16">
      <c r="E248" s="35"/>
      <c r="G248" s="35"/>
      <c r="H248" s="35"/>
      <c r="I248" s="35"/>
      <c r="J248" s="35"/>
      <c r="K248" s="313"/>
      <c r="L248" s="156"/>
      <c r="M248" s="35"/>
      <c r="N248" s="156"/>
      <c r="O248" s="156"/>
      <c r="P248" s="35"/>
    </row>
    <row r="249" spans="5:16">
      <c r="E249" s="35"/>
      <c r="G249" s="35"/>
      <c r="H249" s="35"/>
      <c r="I249" s="35"/>
      <c r="J249" s="35"/>
      <c r="K249" s="313"/>
      <c r="L249" s="156"/>
      <c r="M249" s="35"/>
      <c r="N249" s="156"/>
      <c r="O249" s="156"/>
      <c r="P249" s="35"/>
    </row>
    <row r="250" spans="5:16">
      <c r="E250" s="35"/>
      <c r="G250" s="35"/>
      <c r="H250" s="35"/>
      <c r="I250" s="35"/>
      <c r="J250" s="35"/>
      <c r="K250" s="313"/>
      <c r="L250" s="156"/>
      <c r="M250" s="35"/>
      <c r="N250" s="156"/>
      <c r="O250" s="156"/>
      <c r="P250" s="35"/>
    </row>
    <row r="251" spans="5:16">
      <c r="E251" s="35"/>
      <c r="G251" s="35"/>
      <c r="H251" s="35"/>
      <c r="I251" s="35"/>
      <c r="J251" s="35"/>
      <c r="K251" s="313"/>
      <c r="L251" s="156"/>
      <c r="M251" s="35"/>
      <c r="N251" s="156"/>
      <c r="O251" s="156"/>
      <c r="P251" s="35"/>
    </row>
    <row r="252" spans="5:16">
      <c r="E252" s="35"/>
      <c r="G252" s="35"/>
      <c r="H252" s="35"/>
      <c r="I252" s="35"/>
      <c r="J252" s="35"/>
      <c r="K252" s="313"/>
      <c r="L252" s="156"/>
      <c r="M252" s="35"/>
      <c r="N252" s="156"/>
      <c r="O252" s="156"/>
      <c r="P252" s="35"/>
    </row>
    <row r="253" spans="5:16">
      <c r="E253" s="35"/>
      <c r="G253" s="35"/>
      <c r="H253" s="35"/>
      <c r="I253" s="35"/>
      <c r="J253" s="35"/>
      <c r="K253" s="313"/>
      <c r="L253" s="156"/>
      <c r="M253" s="35"/>
      <c r="N253" s="156"/>
      <c r="O253" s="156"/>
      <c r="P253" s="35"/>
    </row>
    <row r="254" spans="5:16">
      <c r="E254" s="35"/>
      <c r="G254" s="35"/>
      <c r="H254" s="35"/>
      <c r="I254" s="35"/>
      <c r="J254" s="35"/>
      <c r="K254" s="313"/>
      <c r="L254" s="156"/>
      <c r="M254" s="35"/>
      <c r="N254" s="156"/>
      <c r="O254" s="156"/>
      <c r="P254" s="35"/>
    </row>
    <row r="255" spans="5:16">
      <c r="E255" s="35"/>
      <c r="G255" s="35"/>
      <c r="H255" s="35"/>
      <c r="I255" s="35"/>
      <c r="J255" s="35"/>
      <c r="K255" s="313"/>
      <c r="L255" s="156"/>
      <c r="M255" s="35"/>
      <c r="N255" s="156"/>
      <c r="O255" s="156"/>
      <c r="P255" s="35"/>
    </row>
    <row r="256" spans="5:16">
      <c r="E256" s="35"/>
      <c r="G256" s="35"/>
      <c r="H256" s="35"/>
      <c r="I256" s="35"/>
      <c r="J256" s="35"/>
      <c r="K256" s="313"/>
      <c r="L256" s="156"/>
      <c r="M256" s="35"/>
      <c r="N256" s="156"/>
      <c r="O256" s="156"/>
      <c r="P256" s="35"/>
    </row>
    <row r="257" spans="5:16">
      <c r="E257" s="35"/>
      <c r="G257" s="35"/>
      <c r="H257" s="35"/>
      <c r="I257" s="35"/>
      <c r="J257" s="35"/>
      <c r="K257" s="313"/>
      <c r="L257" s="156"/>
      <c r="M257" s="35"/>
      <c r="N257" s="156"/>
      <c r="O257" s="156"/>
      <c r="P257" s="35"/>
    </row>
    <row r="258" spans="5:16">
      <c r="E258" s="35"/>
      <c r="G258" s="35"/>
      <c r="H258" s="35"/>
      <c r="I258" s="35"/>
      <c r="J258" s="35"/>
      <c r="K258" s="313"/>
      <c r="L258" s="156"/>
      <c r="M258" s="35"/>
      <c r="N258" s="156"/>
      <c r="O258" s="156"/>
      <c r="P258" s="35"/>
    </row>
    <row r="259" spans="5:16">
      <c r="E259" s="35"/>
      <c r="G259" s="35"/>
      <c r="H259" s="35"/>
      <c r="I259" s="35"/>
      <c r="J259" s="35"/>
      <c r="K259" s="313"/>
      <c r="L259" s="156"/>
      <c r="M259" s="35"/>
      <c r="N259" s="156"/>
      <c r="O259" s="156"/>
      <c r="P259" s="35"/>
    </row>
    <row r="260" spans="5:16">
      <c r="E260" s="35"/>
      <c r="G260" s="35"/>
      <c r="H260" s="35"/>
      <c r="I260" s="35"/>
      <c r="J260" s="35"/>
      <c r="K260" s="313"/>
      <c r="L260" s="156"/>
      <c r="M260" s="35"/>
      <c r="N260" s="156"/>
      <c r="O260" s="156"/>
      <c r="P260" s="35"/>
    </row>
    <row r="261" spans="5:16">
      <c r="E261" s="35"/>
      <c r="G261" s="35"/>
      <c r="H261" s="35"/>
      <c r="I261" s="35"/>
      <c r="J261" s="35"/>
      <c r="K261" s="313"/>
      <c r="L261" s="156"/>
      <c r="M261" s="35"/>
      <c r="N261" s="156"/>
      <c r="O261" s="156"/>
      <c r="P261" s="35"/>
    </row>
    <row r="262" spans="5:16">
      <c r="E262" s="35"/>
      <c r="G262" s="35"/>
      <c r="H262" s="35"/>
      <c r="I262" s="35"/>
      <c r="J262" s="35"/>
      <c r="K262" s="313"/>
      <c r="L262" s="156"/>
      <c r="M262" s="35"/>
      <c r="N262" s="156"/>
      <c r="O262" s="156"/>
      <c r="P262" s="35"/>
    </row>
    <row r="263" spans="5:16">
      <c r="E263" s="35"/>
      <c r="G263" s="35"/>
      <c r="H263" s="35"/>
      <c r="I263" s="35"/>
      <c r="J263" s="35"/>
      <c r="K263" s="313"/>
      <c r="L263" s="156"/>
      <c r="M263" s="35"/>
      <c r="N263" s="156"/>
      <c r="O263" s="156"/>
      <c r="P263" s="35"/>
    </row>
    <row r="264" spans="5:16">
      <c r="E264" s="35"/>
      <c r="G264" s="35"/>
      <c r="H264" s="35"/>
      <c r="I264" s="35"/>
      <c r="J264" s="35"/>
      <c r="K264" s="313"/>
      <c r="L264" s="156"/>
      <c r="M264" s="35"/>
      <c r="N264" s="156"/>
      <c r="O264" s="156"/>
      <c r="P264" s="35"/>
    </row>
    <row r="265" spans="5:16">
      <c r="E265" s="35"/>
      <c r="G265" s="35"/>
      <c r="H265" s="35"/>
      <c r="I265" s="35"/>
      <c r="J265" s="35"/>
      <c r="K265" s="313"/>
      <c r="L265" s="156"/>
      <c r="M265" s="35"/>
      <c r="N265" s="156"/>
      <c r="O265" s="156"/>
      <c r="P265" s="35"/>
    </row>
    <row r="266" spans="5:16">
      <c r="E266" s="35"/>
      <c r="G266" s="35"/>
      <c r="H266" s="35"/>
      <c r="I266" s="35"/>
      <c r="J266" s="35"/>
      <c r="K266" s="313"/>
      <c r="L266" s="156"/>
      <c r="M266" s="35"/>
      <c r="N266" s="156"/>
      <c r="O266" s="156"/>
      <c r="P266" s="35"/>
    </row>
    <row r="267" spans="5:16">
      <c r="E267" s="35"/>
      <c r="G267" s="35"/>
      <c r="H267" s="35"/>
      <c r="I267" s="35"/>
      <c r="J267" s="35"/>
      <c r="K267" s="313"/>
      <c r="L267" s="156"/>
      <c r="M267" s="35"/>
      <c r="N267" s="156"/>
      <c r="O267" s="156"/>
      <c r="P267" s="35"/>
    </row>
    <row r="268" spans="5:16">
      <c r="E268" s="35"/>
      <c r="G268" s="35"/>
      <c r="H268" s="35"/>
      <c r="I268" s="35"/>
      <c r="J268" s="35"/>
      <c r="K268" s="313"/>
      <c r="L268" s="156"/>
      <c r="M268" s="35"/>
      <c r="N268" s="156"/>
      <c r="O268" s="156"/>
      <c r="P268" s="35"/>
    </row>
    <row r="269" spans="5:16">
      <c r="E269" s="35"/>
      <c r="G269" s="35"/>
      <c r="H269" s="35"/>
      <c r="I269" s="35"/>
      <c r="J269" s="35"/>
      <c r="K269" s="313"/>
      <c r="L269" s="156"/>
      <c r="M269" s="35"/>
      <c r="N269" s="156"/>
      <c r="O269" s="156"/>
      <c r="P269" s="35"/>
    </row>
    <row r="270" spans="5:16">
      <c r="E270" s="35"/>
      <c r="G270" s="35"/>
      <c r="H270" s="35"/>
      <c r="I270" s="35"/>
      <c r="J270" s="35"/>
      <c r="K270" s="313"/>
      <c r="L270" s="156"/>
      <c r="M270" s="35"/>
      <c r="N270" s="156"/>
      <c r="O270" s="156"/>
      <c r="P270" s="35"/>
    </row>
    <row r="271" spans="5:16">
      <c r="E271" s="35"/>
      <c r="G271" s="35"/>
      <c r="H271" s="35"/>
      <c r="I271" s="35"/>
      <c r="J271" s="35"/>
      <c r="K271" s="313"/>
      <c r="L271" s="156"/>
      <c r="M271" s="35"/>
      <c r="N271" s="156"/>
      <c r="O271" s="156"/>
      <c r="P271" s="35"/>
    </row>
    <row r="272" spans="5:16">
      <c r="E272" s="35"/>
      <c r="G272" s="35"/>
      <c r="H272" s="35"/>
      <c r="I272" s="35"/>
      <c r="J272" s="35"/>
      <c r="K272" s="313"/>
      <c r="L272" s="156"/>
      <c r="M272" s="35"/>
      <c r="N272" s="156"/>
      <c r="O272" s="156"/>
      <c r="P272" s="35"/>
    </row>
    <row r="273" spans="5:16">
      <c r="E273" s="35"/>
      <c r="G273" s="35"/>
      <c r="H273" s="35"/>
      <c r="I273" s="35"/>
      <c r="J273" s="35"/>
      <c r="K273" s="313"/>
      <c r="L273" s="156"/>
      <c r="M273" s="35"/>
      <c r="N273" s="156"/>
      <c r="O273" s="156"/>
      <c r="P273" s="35"/>
    </row>
    <row r="274" spans="5:16">
      <c r="E274" s="35"/>
      <c r="G274" s="35"/>
      <c r="H274" s="35"/>
      <c r="I274" s="35"/>
      <c r="J274" s="35"/>
      <c r="K274" s="313"/>
      <c r="L274" s="156"/>
      <c r="M274" s="35"/>
      <c r="N274" s="156"/>
      <c r="O274" s="156"/>
      <c r="P274" s="35"/>
    </row>
    <row r="275" spans="5:16">
      <c r="E275" s="35"/>
      <c r="G275" s="35"/>
      <c r="H275" s="35"/>
      <c r="I275" s="35"/>
      <c r="J275" s="35"/>
      <c r="K275" s="313"/>
      <c r="L275" s="156"/>
      <c r="M275" s="35"/>
      <c r="N275" s="156"/>
      <c r="O275" s="156"/>
      <c r="P275" s="35"/>
    </row>
    <row r="276" spans="5:16">
      <c r="E276" s="35"/>
      <c r="G276" s="35"/>
      <c r="H276" s="35"/>
      <c r="I276" s="35"/>
      <c r="J276" s="35"/>
      <c r="K276" s="313"/>
      <c r="L276" s="156"/>
      <c r="M276" s="35"/>
      <c r="N276" s="156"/>
      <c r="O276" s="156"/>
      <c r="P276" s="35"/>
    </row>
    <row r="277" spans="5:16">
      <c r="E277" s="35"/>
      <c r="G277" s="35"/>
      <c r="H277" s="35"/>
      <c r="I277" s="35"/>
      <c r="J277" s="35"/>
      <c r="K277" s="313"/>
      <c r="L277" s="156"/>
      <c r="M277" s="35"/>
      <c r="N277" s="156"/>
      <c r="O277" s="156"/>
      <c r="P277" s="35"/>
    </row>
    <row r="278" spans="5:16">
      <c r="E278" s="35"/>
      <c r="G278" s="35"/>
      <c r="H278" s="35"/>
      <c r="I278" s="35"/>
      <c r="J278" s="35"/>
      <c r="K278" s="313"/>
      <c r="L278" s="156"/>
      <c r="M278" s="35"/>
      <c r="N278" s="156"/>
      <c r="O278" s="156"/>
      <c r="P278" s="35"/>
    </row>
    <row r="279" spans="5:16">
      <c r="E279" s="35"/>
      <c r="G279" s="35"/>
      <c r="H279" s="35"/>
      <c r="I279" s="35"/>
      <c r="J279" s="35"/>
      <c r="K279" s="313"/>
      <c r="L279" s="156"/>
      <c r="M279" s="35"/>
      <c r="N279" s="156"/>
      <c r="O279" s="156"/>
      <c r="P279" s="35"/>
    </row>
    <row r="280" spans="5:16">
      <c r="E280" s="35"/>
      <c r="G280" s="35"/>
      <c r="H280" s="35"/>
      <c r="I280" s="35"/>
      <c r="J280" s="35"/>
      <c r="K280" s="313"/>
      <c r="L280" s="156"/>
      <c r="M280" s="35"/>
      <c r="N280" s="156"/>
      <c r="O280" s="156"/>
      <c r="P280" s="35"/>
    </row>
    <row r="281" spans="5:16">
      <c r="E281" s="35"/>
      <c r="G281" s="35"/>
      <c r="H281" s="35"/>
      <c r="I281" s="35"/>
      <c r="J281" s="35"/>
      <c r="K281" s="313"/>
      <c r="L281" s="156"/>
      <c r="M281" s="35"/>
      <c r="N281" s="156"/>
      <c r="O281" s="156"/>
      <c r="P281" s="35"/>
    </row>
    <row r="282" spans="5:16">
      <c r="E282" s="35"/>
      <c r="G282" s="35"/>
      <c r="H282" s="35"/>
      <c r="I282" s="35"/>
      <c r="J282" s="35"/>
      <c r="K282" s="313"/>
      <c r="L282" s="156"/>
      <c r="M282" s="35"/>
      <c r="N282" s="156"/>
      <c r="O282" s="156"/>
      <c r="P282" s="35"/>
    </row>
    <row r="283" spans="5:16">
      <c r="E283" s="35"/>
      <c r="G283" s="35"/>
      <c r="H283" s="35"/>
      <c r="I283" s="35"/>
      <c r="J283" s="35"/>
      <c r="K283" s="313"/>
      <c r="L283" s="156"/>
      <c r="M283" s="35"/>
      <c r="N283" s="156"/>
      <c r="O283" s="156"/>
      <c r="P283" s="35"/>
    </row>
    <row r="284" spans="5:16">
      <c r="E284" s="35"/>
      <c r="G284" s="35"/>
      <c r="H284" s="35"/>
      <c r="I284" s="35"/>
      <c r="J284" s="35"/>
      <c r="K284" s="313"/>
      <c r="L284" s="156"/>
      <c r="M284" s="35"/>
      <c r="N284" s="156"/>
      <c r="O284" s="156"/>
      <c r="P284" s="35"/>
    </row>
    <row r="285" spans="5:16">
      <c r="E285" s="35"/>
      <c r="G285" s="35"/>
      <c r="H285" s="35"/>
      <c r="I285" s="35"/>
      <c r="J285" s="35"/>
      <c r="K285" s="313"/>
      <c r="L285" s="156"/>
      <c r="M285" s="35"/>
      <c r="N285" s="156"/>
      <c r="O285" s="156"/>
      <c r="P285" s="35"/>
    </row>
    <row r="286" spans="5:16">
      <c r="E286" s="35"/>
      <c r="G286" s="35"/>
      <c r="H286" s="35"/>
      <c r="I286" s="35"/>
      <c r="J286" s="35"/>
      <c r="K286" s="313"/>
      <c r="L286" s="156"/>
      <c r="M286" s="35"/>
      <c r="N286" s="156"/>
      <c r="O286" s="156"/>
      <c r="P286" s="35"/>
    </row>
    <row r="287" spans="5:16">
      <c r="E287" s="35"/>
      <c r="G287" s="35"/>
      <c r="H287" s="35"/>
      <c r="I287" s="35"/>
      <c r="J287" s="35"/>
      <c r="K287" s="313"/>
      <c r="L287" s="156"/>
      <c r="M287" s="35"/>
      <c r="N287" s="156"/>
      <c r="O287" s="156"/>
      <c r="P287" s="35"/>
    </row>
    <row r="288" spans="5:16">
      <c r="E288" s="35"/>
      <c r="G288" s="35"/>
      <c r="H288" s="35"/>
      <c r="I288" s="35"/>
      <c r="J288" s="35"/>
      <c r="K288" s="313"/>
      <c r="L288" s="156"/>
      <c r="M288" s="35"/>
      <c r="N288" s="156"/>
      <c r="O288" s="156"/>
      <c r="P288" s="35"/>
    </row>
    <row r="289" spans="5:16">
      <c r="E289" s="35"/>
      <c r="G289" s="35"/>
      <c r="H289" s="35"/>
      <c r="I289" s="35"/>
      <c r="J289" s="35"/>
      <c r="K289" s="313"/>
      <c r="L289" s="156"/>
      <c r="M289" s="35"/>
      <c r="N289" s="156"/>
      <c r="O289" s="156"/>
      <c r="P289" s="35"/>
    </row>
    <row r="290" spans="5:16">
      <c r="E290" s="35"/>
      <c r="G290" s="35"/>
      <c r="H290" s="35"/>
      <c r="I290" s="35"/>
      <c r="J290" s="35"/>
      <c r="K290" s="313"/>
      <c r="L290" s="156"/>
      <c r="M290" s="35"/>
      <c r="N290" s="156"/>
      <c r="O290" s="156"/>
      <c r="P290" s="35"/>
    </row>
    <row r="291" spans="5:16">
      <c r="E291" s="35"/>
      <c r="G291" s="35"/>
      <c r="H291" s="35"/>
      <c r="I291" s="35"/>
      <c r="J291" s="35"/>
      <c r="K291" s="313"/>
      <c r="L291" s="156"/>
      <c r="M291" s="35"/>
      <c r="N291" s="156"/>
      <c r="O291" s="156"/>
      <c r="P291" s="35"/>
    </row>
    <row r="292" spans="5:16">
      <c r="E292" s="35"/>
      <c r="G292" s="35"/>
      <c r="H292" s="35"/>
      <c r="I292" s="35"/>
      <c r="J292" s="35"/>
      <c r="K292" s="313"/>
      <c r="L292" s="156"/>
      <c r="M292" s="35"/>
      <c r="N292" s="156"/>
      <c r="O292" s="156"/>
      <c r="P292" s="35"/>
    </row>
    <row r="293" spans="5:16">
      <c r="E293" s="35"/>
      <c r="G293" s="35"/>
      <c r="H293" s="35"/>
      <c r="I293" s="35"/>
      <c r="J293" s="35"/>
      <c r="K293" s="313"/>
      <c r="L293" s="156"/>
      <c r="M293" s="35"/>
      <c r="N293" s="156"/>
      <c r="O293" s="156"/>
      <c r="P293" s="35"/>
    </row>
    <row r="294" spans="5:16">
      <c r="E294" s="35"/>
      <c r="G294" s="35"/>
      <c r="H294" s="35"/>
      <c r="I294" s="35"/>
      <c r="J294" s="35"/>
      <c r="K294" s="313"/>
      <c r="L294" s="156"/>
      <c r="M294" s="35"/>
      <c r="N294" s="156"/>
      <c r="O294" s="156"/>
      <c r="P294" s="35"/>
    </row>
    <row r="295" spans="5:16">
      <c r="E295" s="35"/>
      <c r="G295" s="35"/>
      <c r="H295" s="35"/>
      <c r="I295" s="35"/>
      <c r="J295" s="35"/>
      <c r="K295" s="313"/>
      <c r="L295" s="156"/>
      <c r="M295" s="35"/>
      <c r="N295" s="156"/>
      <c r="O295" s="156"/>
      <c r="P295" s="35"/>
    </row>
    <row r="296" spans="5:16">
      <c r="E296" s="35"/>
      <c r="G296" s="35"/>
      <c r="H296" s="35"/>
      <c r="I296" s="35"/>
      <c r="J296" s="35"/>
      <c r="K296" s="313"/>
      <c r="L296" s="156"/>
      <c r="M296" s="35"/>
      <c r="N296" s="156"/>
      <c r="O296" s="156"/>
      <c r="P296" s="35"/>
    </row>
    <row r="297" spans="5:16">
      <c r="E297" s="35"/>
      <c r="G297" s="35"/>
      <c r="H297" s="35"/>
      <c r="I297" s="35"/>
      <c r="J297" s="35"/>
      <c r="K297" s="313"/>
      <c r="L297" s="156"/>
      <c r="M297" s="35"/>
      <c r="N297" s="156"/>
      <c r="O297" s="156"/>
      <c r="P297" s="35"/>
    </row>
    <row r="298" spans="5:16">
      <c r="E298" s="35"/>
      <c r="G298" s="35"/>
      <c r="H298" s="35"/>
      <c r="I298" s="35"/>
      <c r="J298" s="35"/>
      <c r="K298" s="313"/>
      <c r="L298" s="156"/>
      <c r="M298" s="35"/>
      <c r="N298" s="156"/>
      <c r="O298" s="156"/>
      <c r="P298" s="35"/>
    </row>
    <row r="299" spans="5:16">
      <c r="E299" s="35"/>
      <c r="G299" s="35"/>
      <c r="H299" s="35"/>
      <c r="I299" s="35"/>
      <c r="J299" s="35"/>
      <c r="K299" s="313"/>
      <c r="L299" s="156"/>
      <c r="M299" s="35"/>
      <c r="N299" s="156"/>
      <c r="O299" s="156"/>
      <c r="P299" s="35"/>
    </row>
    <row r="300" spans="5:16">
      <c r="E300" s="35"/>
      <c r="G300" s="35"/>
      <c r="H300" s="35"/>
      <c r="I300" s="35"/>
      <c r="J300" s="35"/>
      <c r="K300" s="313"/>
      <c r="L300" s="156"/>
      <c r="M300" s="35"/>
      <c r="N300" s="156"/>
      <c r="O300" s="156"/>
      <c r="P300" s="35"/>
    </row>
    <row r="301" spans="5:16">
      <c r="E301" s="35"/>
      <c r="G301" s="35"/>
      <c r="H301" s="35"/>
      <c r="I301" s="35"/>
      <c r="J301" s="35"/>
      <c r="K301" s="313"/>
      <c r="L301" s="156"/>
      <c r="M301" s="35"/>
      <c r="N301" s="156"/>
      <c r="O301" s="156"/>
      <c r="P301" s="35"/>
    </row>
    <row r="302" spans="5:16">
      <c r="E302" s="35"/>
      <c r="G302" s="35"/>
      <c r="H302" s="35"/>
      <c r="I302" s="35"/>
      <c r="J302" s="35"/>
      <c r="K302" s="313"/>
      <c r="L302" s="156"/>
      <c r="M302" s="35"/>
      <c r="N302" s="156"/>
      <c r="O302" s="156"/>
      <c r="P302" s="35"/>
    </row>
    <row r="303" spans="5:16">
      <c r="E303" s="35"/>
      <c r="G303" s="35"/>
      <c r="H303" s="35"/>
      <c r="I303" s="35"/>
      <c r="J303" s="35"/>
      <c r="K303" s="313"/>
      <c r="L303" s="156"/>
      <c r="M303" s="35"/>
      <c r="N303" s="156"/>
      <c r="O303" s="156"/>
      <c r="P303" s="35"/>
    </row>
    <row r="304" spans="5:16">
      <c r="E304" s="35"/>
      <c r="G304" s="35"/>
      <c r="H304" s="35"/>
      <c r="I304" s="35"/>
      <c r="J304" s="35"/>
      <c r="K304" s="313"/>
      <c r="L304" s="156"/>
      <c r="M304" s="35"/>
      <c r="N304" s="156"/>
      <c r="O304" s="156"/>
      <c r="P304" s="35"/>
    </row>
    <row r="305" spans="5:16">
      <c r="E305" s="35"/>
      <c r="G305" s="35"/>
      <c r="H305" s="35"/>
      <c r="I305" s="35"/>
      <c r="J305" s="35"/>
      <c r="K305" s="313"/>
      <c r="L305" s="156"/>
      <c r="M305" s="35"/>
      <c r="N305" s="156"/>
      <c r="O305" s="156"/>
      <c r="P305" s="35"/>
    </row>
    <row r="306" spans="5:16">
      <c r="E306" s="35"/>
      <c r="G306" s="35"/>
      <c r="H306" s="35"/>
      <c r="I306" s="35"/>
      <c r="J306" s="35"/>
      <c r="K306" s="313"/>
      <c r="L306" s="156"/>
      <c r="M306" s="35"/>
      <c r="N306" s="156"/>
      <c r="O306" s="156"/>
      <c r="P306" s="35"/>
    </row>
    <row r="307" spans="5:16">
      <c r="E307" s="35"/>
      <c r="G307" s="35"/>
      <c r="H307" s="35"/>
      <c r="I307" s="35"/>
      <c r="J307" s="35"/>
      <c r="K307" s="313"/>
      <c r="L307" s="156"/>
      <c r="M307" s="35"/>
      <c r="N307" s="156"/>
      <c r="O307" s="156"/>
      <c r="P307" s="35"/>
    </row>
    <row r="308" spans="5:16">
      <c r="E308" s="35"/>
      <c r="G308" s="35"/>
      <c r="H308" s="35"/>
      <c r="I308" s="35"/>
      <c r="J308" s="35"/>
      <c r="K308" s="313"/>
      <c r="L308" s="156"/>
      <c r="M308" s="35"/>
      <c r="N308" s="156"/>
      <c r="O308" s="156"/>
      <c r="P308" s="35"/>
    </row>
    <row r="309" spans="5:16">
      <c r="E309" s="35"/>
      <c r="G309" s="35"/>
      <c r="H309" s="35"/>
      <c r="I309" s="35"/>
      <c r="J309" s="35"/>
      <c r="K309" s="313"/>
      <c r="L309" s="156"/>
      <c r="M309" s="35"/>
      <c r="N309" s="156"/>
      <c r="O309" s="156"/>
      <c r="P309" s="35"/>
    </row>
    <row r="310" spans="5:16">
      <c r="E310" s="35"/>
      <c r="G310" s="35"/>
      <c r="H310" s="35"/>
      <c r="I310" s="35"/>
      <c r="J310" s="35"/>
      <c r="K310" s="313"/>
      <c r="L310" s="156"/>
      <c r="M310" s="35"/>
      <c r="N310" s="156"/>
      <c r="O310" s="156"/>
      <c r="P310" s="35"/>
    </row>
    <row r="311" spans="5:16">
      <c r="E311" s="35"/>
      <c r="G311" s="35"/>
      <c r="H311" s="35"/>
      <c r="I311" s="35"/>
      <c r="J311" s="35"/>
      <c r="K311" s="313"/>
      <c r="L311" s="156"/>
      <c r="M311" s="35"/>
      <c r="N311" s="156"/>
      <c r="O311" s="156"/>
      <c r="P311" s="35"/>
    </row>
    <row r="312" spans="5:16">
      <c r="E312" s="35"/>
      <c r="G312" s="35"/>
      <c r="H312" s="35"/>
      <c r="I312" s="35"/>
      <c r="J312" s="35"/>
      <c r="K312" s="313"/>
      <c r="L312" s="156"/>
      <c r="M312" s="35"/>
      <c r="N312" s="156"/>
      <c r="O312" s="156"/>
      <c r="P312" s="35"/>
    </row>
    <row r="313" spans="5:16">
      <c r="E313" s="35"/>
      <c r="G313" s="35"/>
      <c r="H313" s="35"/>
      <c r="I313" s="35"/>
      <c r="J313" s="35"/>
      <c r="K313" s="313"/>
      <c r="L313" s="156"/>
      <c r="M313" s="35"/>
      <c r="N313" s="156"/>
      <c r="O313" s="156"/>
      <c r="P313" s="35"/>
    </row>
    <row r="314" spans="5:16">
      <c r="E314" s="35"/>
      <c r="G314" s="35"/>
      <c r="H314" s="35"/>
      <c r="I314" s="35"/>
      <c r="J314" s="35"/>
      <c r="K314" s="313"/>
      <c r="L314" s="156"/>
      <c r="M314" s="35"/>
      <c r="N314" s="156"/>
      <c r="O314" s="156"/>
      <c r="P314" s="35"/>
    </row>
    <row r="315" spans="5:16">
      <c r="E315" s="35"/>
      <c r="G315" s="35"/>
      <c r="H315" s="35"/>
      <c r="I315" s="35"/>
      <c r="J315" s="35"/>
      <c r="K315" s="313"/>
      <c r="L315" s="156"/>
      <c r="M315" s="35"/>
      <c r="N315" s="156"/>
      <c r="O315" s="156"/>
      <c r="P315" s="35"/>
    </row>
    <row r="316" spans="5:16">
      <c r="E316" s="35"/>
      <c r="G316" s="35"/>
      <c r="H316" s="35"/>
      <c r="I316" s="35"/>
      <c r="J316" s="35"/>
      <c r="K316" s="313"/>
      <c r="L316" s="156"/>
      <c r="M316" s="35"/>
      <c r="N316" s="156"/>
      <c r="O316" s="156"/>
      <c r="P316" s="35"/>
    </row>
    <row r="317" spans="5:16">
      <c r="E317" s="35"/>
      <c r="G317" s="35"/>
      <c r="H317" s="35"/>
      <c r="I317" s="35"/>
      <c r="J317" s="35"/>
      <c r="K317" s="313"/>
      <c r="L317" s="156"/>
      <c r="M317" s="35"/>
      <c r="N317" s="156"/>
      <c r="O317" s="156"/>
      <c r="P317" s="35"/>
    </row>
    <row r="318" spans="5:16">
      <c r="E318" s="35"/>
      <c r="G318" s="35"/>
      <c r="H318" s="35"/>
      <c r="I318" s="35"/>
      <c r="J318" s="35"/>
      <c r="K318" s="313"/>
      <c r="L318" s="156"/>
      <c r="M318" s="35"/>
      <c r="N318" s="156"/>
      <c r="O318" s="156"/>
      <c r="P318" s="35"/>
    </row>
    <row r="319" spans="5:16">
      <c r="E319" s="35"/>
      <c r="G319" s="35"/>
      <c r="H319" s="35"/>
      <c r="I319" s="35"/>
      <c r="J319" s="35"/>
      <c r="K319" s="313"/>
      <c r="L319" s="156"/>
      <c r="M319" s="35"/>
      <c r="N319" s="156"/>
      <c r="O319" s="156"/>
      <c r="P319" s="35"/>
    </row>
    <row r="320" spans="5:16">
      <c r="E320" s="35"/>
      <c r="G320" s="35"/>
      <c r="H320" s="35"/>
      <c r="I320" s="35"/>
      <c r="J320" s="35"/>
      <c r="K320" s="313"/>
      <c r="L320" s="156"/>
      <c r="M320" s="35"/>
      <c r="N320" s="156"/>
      <c r="O320" s="156"/>
      <c r="P320" s="35"/>
    </row>
    <row r="321" spans="5:16">
      <c r="E321" s="35"/>
      <c r="G321" s="35"/>
      <c r="H321" s="35"/>
      <c r="I321" s="35"/>
      <c r="J321" s="35"/>
      <c r="K321" s="313"/>
      <c r="L321" s="156"/>
      <c r="M321" s="35"/>
      <c r="N321" s="156"/>
      <c r="O321" s="156"/>
      <c r="P321" s="35"/>
    </row>
    <row r="322" spans="5:16">
      <c r="E322" s="35"/>
      <c r="G322" s="35"/>
      <c r="H322" s="35"/>
      <c r="I322" s="35"/>
      <c r="J322" s="35"/>
      <c r="K322" s="313"/>
      <c r="L322" s="156"/>
      <c r="M322" s="35"/>
      <c r="N322" s="156"/>
      <c r="O322" s="156"/>
      <c r="P322" s="35"/>
    </row>
    <row r="323" spans="5:16">
      <c r="E323" s="35"/>
      <c r="G323" s="35"/>
      <c r="H323" s="35"/>
      <c r="I323" s="35"/>
      <c r="J323" s="35"/>
      <c r="K323" s="313"/>
      <c r="L323" s="156"/>
      <c r="M323" s="35"/>
      <c r="N323" s="156"/>
      <c r="O323" s="156"/>
      <c r="P323" s="35"/>
    </row>
    <row r="324" spans="5:16">
      <c r="E324" s="35"/>
      <c r="G324" s="35"/>
      <c r="H324" s="35"/>
      <c r="I324" s="35"/>
      <c r="J324" s="35"/>
      <c r="K324" s="313"/>
      <c r="L324" s="156"/>
      <c r="M324" s="35"/>
      <c r="N324" s="156"/>
      <c r="O324" s="156"/>
      <c r="P324" s="35"/>
    </row>
    <row r="325" spans="5:16">
      <c r="E325" s="35"/>
      <c r="G325" s="35"/>
      <c r="H325" s="35"/>
      <c r="I325" s="35"/>
      <c r="J325" s="35"/>
      <c r="K325" s="313"/>
      <c r="L325" s="156"/>
      <c r="M325" s="35"/>
      <c r="N325" s="156"/>
      <c r="O325" s="156"/>
      <c r="P325" s="35"/>
    </row>
    <row r="326" spans="5:16">
      <c r="E326" s="35"/>
      <c r="G326" s="35"/>
      <c r="H326" s="35"/>
      <c r="I326" s="35"/>
      <c r="J326" s="35"/>
      <c r="K326" s="313"/>
      <c r="L326" s="156"/>
      <c r="M326" s="35"/>
      <c r="N326" s="156"/>
      <c r="O326" s="156"/>
      <c r="P326" s="35"/>
    </row>
    <row r="327" spans="5:16">
      <c r="E327" s="35"/>
      <c r="G327" s="35"/>
      <c r="H327" s="35"/>
      <c r="I327" s="35"/>
      <c r="J327" s="35"/>
      <c r="K327" s="313"/>
      <c r="L327" s="156"/>
      <c r="M327" s="35"/>
      <c r="N327" s="156"/>
      <c r="O327" s="156"/>
      <c r="P327" s="35"/>
    </row>
    <row r="328" spans="5:16">
      <c r="E328" s="35"/>
      <c r="G328" s="35"/>
      <c r="H328" s="35"/>
      <c r="I328" s="35"/>
      <c r="J328" s="35"/>
      <c r="K328" s="313"/>
      <c r="L328" s="156"/>
      <c r="M328" s="35"/>
      <c r="N328" s="156"/>
      <c r="O328" s="156"/>
      <c r="P328" s="35"/>
    </row>
    <row r="329" spans="5:16">
      <c r="E329" s="35"/>
      <c r="G329" s="35"/>
      <c r="H329" s="35"/>
      <c r="I329" s="35"/>
      <c r="J329" s="35"/>
      <c r="K329" s="313"/>
      <c r="L329" s="156"/>
      <c r="M329" s="35"/>
      <c r="N329" s="156"/>
      <c r="O329" s="156"/>
      <c r="P329" s="35"/>
    </row>
    <row r="330" spans="5:16">
      <c r="E330" s="35"/>
      <c r="G330" s="35"/>
      <c r="H330" s="35"/>
      <c r="I330" s="35"/>
      <c r="J330" s="35"/>
      <c r="K330" s="313"/>
      <c r="L330" s="156"/>
      <c r="M330" s="35"/>
      <c r="N330" s="156"/>
      <c r="O330" s="156"/>
      <c r="P330" s="35"/>
    </row>
    <row r="331" spans="5:16">
      <c r="E331" s="35"/>
      <c r="G331" s="35"/>
      <c r="H331" s="35"/>
      <c r="I331" s="35"/>
      <c r="J331" s="35"/>
      <c r="K331" s="313"/>
      <c r="L331" s="156"/>
      <c r="M331" s="35"/>
      <c r="N331" s="156"/>
      <c r="O331" s="156"/>
      <c r="P331" s="35"/>
    </row>
    <row r="332" spans="5:16">
      <c r="E332" s="35"/>
      <c r="G332" s="35"/>
      <c r="H332" s="35"/>
      <c r="I332" s="35"/>
      <c r="J332" s="35"/>
      <c r="K332" s="313"/>
      <c r="L332" s="156"/>
      <c r="M332" s="35"/>
      <c r="N332" s="156"/>
      <c r="O332" s="156"/>
      <c r="P332" s="35"/>
    </row>
    <row r="333" spans="5:16">
      <c r="E333" s="35"/>
      <c r="G333" s="35"/>
      <c r="H333" s="35"/>
      <c r="I333" s="35"/>
      <c r="J333" s="35"/>
      <c r="K333" s="313"/>
      <c r="L333" s="156"/>
      <c r="M333" s="35"/>
      <c r="N333" s="156"/>
      <c r="O333" s="156"/>
      <c r="P333" s="35"/>
    </row>
    <row r="334" spans="5:16">
      <c r="E334" s="35"/>
      <c r="G334" s="35"/>
      <c r="H334" s="35"/>
      <c r="I334" s="35"/>
      <c r="J334" s="35"/>
      <c r="K334" s="313"/>
      <c r="L334" s="156"/>
      <c r="M334" s="35"/>
      <c r="N334" s="156"/>
      <c r="O334" s="156"/>
      <c r="P334" s="35"/>
    </row>
    <row r="335" spans="5:16">
      <c r="E335" s="35"/>
      <c r="G335" s="35"/>
      <c r="H335" s="35"/>
      <c r="I335" s="35"/>
      <c r="J335" s="35"/>
      <c r="K335" s="313"/>
      <c r="L335" s="156"/>
      <c r="M335" s="35"/>
      <c r="N335" s="156"/>
      <c r="O335" s="156"/>
      <c r="P335" s="35"/>
    </row>
    <row r="336" spans="5:16">
      <c r="E336" s="35"/>
      <c r="G336" s="35"/>
      <c r="H336" s="35"/>
      <c r="I336" s="35"/>
      <c r="J336" s="35"/>
      <c r="K336" s="313"/>
      <c r="L336" s="156"/>
      <c r="M336" s="35"/>
      <c r="N336" s="156"/>
      <c r="O336" s="156"/>
      <c r="P336" s="35"/>
    </row>
    <row r="337" spans="5:16">
      <c r="E337" s="35"/>
      <c r="G337" s="35"/>
      <c r="H337" s="35"/>
      <c r="I337" s="35"/>
      <c r="J337" s="35"/>
      <c r="K337" s="313"/>
      <c r="L337" s="156"/>
      <c r="M337" s="35"/>
      <c r="N337" s="156"/>
      <c r="O337" s="156"/>
      <c r="P337" s="35"/>
    </row>
    <row r="338" spans="5:16">
      <c r="E338" s="35"/>
      <c r="G338" s="35"/>
      <c r="H338" s="35"/>
      <c r="I338" s="35"/>
      <c r="J338" s="35"/>
      <c r="K338" s="313"/>
      <c r="L338" s="156"/>
      <c r="M338" s="35"/>
      <c r="N338" s="156"/>
      <c r="O338" s="156"/>
      <c r="P338" s="35"/>
    </row>
    <row r="339" spans="5:16">
      <c r="E339" s="35"/>
      <c r="G339" s="35"/>
      <c r="H339" s="35"/>
      <c r="I339" s="35"/>
      <c r="J339" s="35"/>
      <c r="K339" s="313"/>
      <c r="L339" s="156"/>
      <c r="M339" s="35"/>
      <c r="N339" s="156"/>
      <c r="O339" s="156"/>
      <c r="P339" s="35"/>
    </row>
    <row r="340" spans="5:16">
      <c r="E340" s="35"/>
      <c r="G340" s="35"/>
      <c r="H340" s="35"/>
      <c r="I340" s="35"/>
      <c r="J340" s="35"/>
      <c r="K340" s="313"/>
      <c r="L340" s="156"/>
      <c r="M340" s="35"/>
      <c r="N340" s="156"/>
      <c r="O340" s="156"/>
      <c r="P340" s="35"/>
    </row>
    <row r="341" spans="5:16">
      <c r="E341" s="35"/>
      <c r="G341" s="35"/>
      <c r="H341" s="35"/>
      <c r="I341" s="35"/>
      <c r="J341" s="35"/>
      <c r="K341" s="313"/>
      <c r="L341" s="156"/>
      <c r="M341" s="35"/>
      <c r="N341" s="156"/>
      <c r="O341" s="156"/>
      <c r="P341" s="35"/>
    </row>
    <row r="342" spans="5:16">
      <c r="E342" s="35"/>
      <c r="G342" s="35"/>
      <c r="H342" s="35"/>
      <c r="I342" s="35"/>
      <c r="J342" s="35"/>
      <c r="K342" s="313"/>
      <c r="L342" s="156"/>
      <c r="M342" s="35"/>
      <c r="N342" s="156"/>
      <c r="O342" s="156"/>
      <c r="P342" s="35"/>
    </row>
    <row r="343" spans="5:16">
      <c r="E343" s="35"/>
      <c r="G343" s="35"/>
      <c r="H343" s="35"/>
      <c r="I343" s="35"/>
      <c r="J343" s="35"/>
      <c r="K343" s="313"/>
      <c r="L343" s="156"/>
      <c r="M343" s="35"/>
      <c r="N343" s="156"/>
      <c r="O343" s="156"/>
      <c r="P343" s="35"/>
    </row>
    <row r="344" spans="5:16">
      <c r="E344" s="35"/>
      <c r="G344" s="35"/>
      <c r="H344" s="35"/>
      <c r="I344" s="35"/>
      <c r="J344" s="35"/>
      <c r="K344" s="313"/>
      <c r="L344" s="156"/>
      <c r="M344" s="35"/>
      <c r="N344" s="156"/>
      <c r="O344" s="156"/>
      <c r="P344" s="35"/>
    </row>
    <row r="345" spans="5:16">
      <c r="E345" s="35"/>
      <c r="G345" s="35"/>
      <c r="H345" s="35"/>
      <c r="I345" s="35"/>
      <c r="J345" s="35"/>
      <c r="K345" s="313"/>
      <c r="L345" s="156"/>
      <c r="M345" s="35"/>
      <c r="N345" s="156"/>
      <c r="O345" s="156"/>
      <c r="P345" s="35"/>
    </row>
    <row r="346" spans="5:16">
      <c r="E346" s="35"/>
      <c r="G346" s="35"/>
      <c r="H346" s="35"/>
      <c r="I346" s="35"/>
      <c r="J346" s="35"/>
      <c r="K346" s="313"/>
      <c r="L346" s="156"/>
      <c r="M346" s="35"/>
      <c r="N346" s="156"/>
      <c r="O346" s="156"/>
      <c r="P346" s="35"/>
    </row>
    <row r="347" spans="5:16">
      <c r="E347" s="35"/>
      <c r="G347" s="35"/>
      <c r="H347" s="35"/>
      <c r="I347" s="35"/>
      <c r="J347" s="35"/>
      <c r="K347" s="313"/>
      <c r="L347" s="156"/>
      <c r="M347" s="35"/>
      <c r="N347" s="156"/>
      <c r="O347" s="156"/>
      <c r="P347" s="35"/>
    </row>
    <row r="348" spans="5:16">
      <c r="E348" s="35"/>
      <c r="G348" s="35"/>
      <c r="H348" s="35"/>
      <c r="I348" s="35"/>
      <c r="J348" s="35"/>
      <c r="K348" s="313"/>
      <c r="L348" s="156"/>
      <c r="M348" s="35"/>
      <c r="N348" s="156"/>
      <c r="O348" s="156"/>
      <c r="P348" s="35"/>
    </row>
    <row r="349" spans="5:16">
      <c r="E349" s="35"/>
      <c r="G349" s="35"/>
      <c r="H349" s="35"/>
      <c r="I349" s="35"/>
      <c r="J349" s="35"/>
      <c r="K349" s="313"/>
      <c r="L349" s="156"/>
      <c r="M349" s="35"/>
      <c r="N349" s="156"/>
      <c r="O349" s="156"/>
      <c r="P349" s="35"/>
    </row>
    <row r="350" spans="5:16">
      <c r="E350" s="35"/>
      <c r="G350" s="35"/>
      <c r="H350" s="35"/>
      <c r="I350" s="35"/>
      <c r="J350" s="35"/>
      <c r="K350" s="313"/>
      <c r="L350" s="156"/>
      <c r="M350" s="35"/>
      <c r="N350" s="156"/>
      <c r="O350" s="156"/>
      <c r="P350" s="35"/>
    </row>
    <row r="351" spans="5:16">
      <c r="E351" s="35"/>
      <c r="G351" s="35"/>
      <c r="H351" s="35"/>
      <c r="I351" s="35"/>
      <c r="J351" s="35"/>
      <c r="K351" s="313"/>
      <c r="L351" s="156"/>
      <c r="M351" s="35"/>
      <c r="N351" s="156"/>
      <c r="O351" s="156"/>
      <c r="P351" s="35"/>
    </row>
    <row r="352" spans="5:16">
      <c r="E352" s="35"/>
      <c r="G352" s="35"/>
      <c r="H352" s="35"/>
      <c r="I352" s="35"/>
      <c r="J352" s="35"/>
      <c r="K352" s="313"/>
      <c r="L352" s="156"/>
      <c r="M352" s="35"/>
      <c r="N352" s="156"/>
      <c r="O352" s="156"/>
      <c r="P352" s="35"/>
    </row>
    <row r="353" spans="5:16">
      <c r="E353" s="35"/>
      <c r="G353" s="35"/>
      <c r="H353" s="35"/>
      <c r="I353" s="35"/>
      <c r="J353" s="35"/>
      <c r="K353" s="313"/>
      <c r="L353" s="156"/>
      <c r="M353" s="35"/>
      <c r="N353" s="156"/>
      <c r="O353" s="156"/>
      <c r="P353" s="35"/>
    </row>
    <row r="354" spans="5:16">
      <c r="E354" s="35"/>
      <c r="G354" s="35"/>
      <c r="H354" s="35"/>
      <c r="I354" s="35"/>
      <c r="J354" s="35"/>
      <c r="K354" s="313"/>
      <c r="L354" s="156"/>
      <c r="M354" s="35"/>
      <c r="N354" s="156"/>
      <c r="O354" s="156"/>
      <c r="P354" s="35"/>
    </row>
    <row r="355" spans="5:16">
      <c r="E355" s="35"/>
      <c r="G355" s="35"/>
      <c r="H355" s="35"/>
      <c r="I355" s="35"/>
      <c r="J355" s="35"/>
      <c r="K355" s="313"/>
      <c r="L355" s="156"/>
      <c r="M355" s="35"/>
      <c r="N355" s="156"/>
      <c r="O355" s="156"/>
      <c r="P355" s="35"/>
    </row>
    <row r="356" spans="5:16">
      <c r="E356" s="35"/>
      <c r="G356" s="35"/>
      <c r="H356" s="35"/>
      <c r="I356" s="35"/>
      <c r="J356" s="35"/>
      <c r="K356" s="313"/>
      <c r="L356" s="156"/>
      <c r="M356" s="35"/>
      <c r="N356" s="156"/>
      <c r="O356" s="156"/>
      <c r="P356" s="35"/>
    </row>
    <row r="357" spans="5:16">
      <c r="E357" s="35"/>
      <c r="G357" s="35"/>
      <c r="H357" s="35"/>
      <c r="I357" s="35"/>
      <c r="J357" s="35"/>
      <c r="K357" s="313"/>
      <c r="L357" s="156"/>
      <c r="M357" s="35"/>
      <c r="N357" s="156"/>
      <c r="O357" s="156"/>
      <c r="P357" s="35"/>
    </row>
    <row r="358" spans="5:16">
      <c r="E358" s="35"/>
      <c r="G358" s="35"/>
      <c r="H358" s="35"/>
      <c r="I358" s="35"/>
      <c r="J358" s="35"/>
      <c r="K358" s="313"/>
      <c r="L358" s="156"/>
      <c r="M358" s="35"/>
      <c r="N358" s="156"/>
      <c r="O358" s="156"/>
      <c r="P358" s="35"/>
    </row>
    <row r="359" spans="5:16">
      <c r="E359" s="35"/>
      <c r="G359" s="35"/>
      <c r="H359" s="35"/>
      <c r="I359" s="35"/>
      <c r="J359" s="35"/>
      <c r="K359" s="313"/>
      <c r="L359" s="156"/>
      <c r="M359" s="35"/>
      <c r="N359" s="156"/>
      <c r="O359" s="156"/>
      <c r="P359" s="35"/>
    </row>
    <row r="360" spans="5:16">
      <c r="E360" s="35"/>
      <c r="G360" s="35"/>
      <c r="H360" s="35"/>
      <c r="I360" s="35"/>
      <c r="J360" s="35"/>
      <c r="K360" s="313"/>
      <c r="L360" s="156"/>
      <c r="M360" s="35"/>
      <c r="N360" s="156"/>
      <c r="O360" s="156"/>
      <c r="P360" s="35"/>
    </row>
    <row r="361" spans="5:16">
      <c r="E361" s="35"/>
      <c r="G361" s="35"/>
      <c r="H361" s="35"/>
      <c r="I361" s="35"/>
      <c r="J361" s="35"/>
      <c r="K361" s="313"/>
      <c r="L361" s="156"/>
      <c r="M361" s="35"/>
      <c r="N361" s="156"/>
      <c r="O361" s="156"/>
      <c r="P361" s="35"/>
    </row>
    <row r="362" spans="5:16">
      <c r="E362" s="35"/>
      <c r="G362" s="35"/>
      <c r="H362" s="35"/>
      <c r="I362" s="35"/>
      <c r="J362" s="35"/>
      <c r="K362" s="313"/>
      <c r="L362" s="156"/>
      <c r="M362" s="35"/>
      <c r="N362" s="156"/>
      <c r="O362" s="156"/>
      <c r="P362" s="35"/>
    </row>
    <row r="363" spans="5:16">
      <c r="E363" s="35"/>
      <c r="G363" s="35"/>
      <c r="H363" s="35"/>
      <c r="I363" s="35"/>
      <c r="J363" s="35"/>
      <c r="K363" s="313"/>
      <c r="L363" s="156"/>
      <c r="M363" s="35"/>
      <c r="N363" s="156"/>
      <c r="O363" s="156"/>
      <c r="P363" s="35"/>
    </row>
    <row r="364" spans="5:16">
      <c r="E364" s="35"/>
      <c r="G364" s="35"/>
      <c r="H364" s="35"/>
      <c r="I364" s="35"/>
      <c r="J364" s="35"/>
      <c r="K364" s="313"/>
      <c r="L364" s="156"/>
      <c r="M364" s="35"/>
      <c r="N364" s="156"/>
      <c r="O364" s="156"/>
      <c r="P364" s="35"/>
    </row>
    <row r="365" spans="5:16">
      <c r="E365" s="35"/>
      <c r="G365" s="35"/>
      <c r="H365" s="35"/>
      <c r="I365" s="35"/>
      <c r="J365" s="35"/>
      <c r="K365" s="313"/>
      <c r="L365" s="156"/>
      <c r="M365" s="35"/>
      <c r="N365" s="156"/>
      <c r="O365" s="156"/>
      <c r="P365" s="35"/>
    </row>
    <row r="366" spans="5:16">
      <c r="E366" s="35"/>
      <c r="G366" s="35"/>
      <c r="H366" s="35"/>
      <c r="I366" s="35"/>
      <c r="J366" s="35"/>
      <c r="K366" s="313"/>
      <c r="L366" s="156"/>
      <c r="M366" s="35"/>
      <c r="N366" s="156"/>
      <c r="O366" s="156"/>
      <c r="P366" s="35"/>
    </row>
    <row r="367" spans="5:16">
      <c r="E367" s="35"/>
      <c r="G367" s="35"/>
      <c r="H367" s="35"/>
      <c r="I367" s="35"/>
      <c r="J367" s="35"/>
      <c r="K367" s="313"/>
      <c r="L367" s="156"/>
      <c r="M367" s="35"/>
      <c r="N367" s="156"/>
      <c r="O367" s="156"/>
      <c r="P367" s="35"/>
    </row>
    <row r="368" spans="5:16">
      <c r="E368" s="35"/>
      <c r="G368" s="35"/>
      <c r="H368" s="35"/>
      <c r="I368" s="35"/>
      <c r="J368" s="35"/>
      <c r="K368" s="313"/>
      <c r="L368" s="156"/>
      <c r="M368" s="35"/>
      <c r="N368" s="156"/>
      <c r="O368" s="156"/>
      <c r="P368" s="35"/>
    </row>
    <row r="369" spans="5:16">
      <c r="E369" s="35"/>
      <c r="G369" s="35"/>
      <c r="H369" s="35"/>
      <c r="I369" s="35"/>
      <c r="J369" s="35"/>
      <c r="K369" s="313"/>
      <c r="L369" s="156"/>
      <c r="M369" s="35"/>
      <c r="N369" s="156"/>
      <c r="O369" s="156"/>
      <c r="P369" s="35"/>
    </row>
    <row r="370" spans="5:16">
      <c r="E370" s="35"/>
      <c r="G370" s="35"/>
      <c r="H370" s="35"/>
      <c r="I370" s="35"/>
      <c r="J370" s="35"/>
      <c r="K370" s="313"/>
      <c r="L370" s="156"/>
      <c r="M370" s="35"/>
      <c r="N370" s="156"/>
      <c r="O370" s="156"/>
      <c r="P370" s="35"/>
    </row>
    <row r="371" spans="5:16">
      <c r="E371" s="35"/>
      <c r="G371" s="35"/>
      <c r="H371" s="35"/>
      <c r="I371" s="35"/>
      <c r="J371" s="35"/>
      <c r="K371" s="313"/>
      <c r="L371" s="156"/>
      <c r="M371" s="35"/>
      <c r="N371" s="156"/>
      <c r="O371" s="156"/>
      <c r="P371" s="35"/>
    </row>
    <row r="372" spans="5:16">
      <c r="E372" s="35"/>
      <c r="G372" s="35"/>
      <c r="H372" s="35"/>
      <c r="I372" s="35"/>
      <c r="J372" s="35"/>
      <c r="K372" s="313"/>
      <c r="L372" s="156"/>
      <c r="M372" s="35"/>
      <c r="N372" s="156"/>
      <c r="O372" s="156"/>
      <c r="P372" s="35"/>
    </row>
    <row r="373" spans="5:16">
      <c r="E373" s="35"/>
      <c r="G373" s="35"/>
      <c r="H373" s="35"/>
      <c r="I373" s="35"/>
      <c r="J373" s="35"/>
      <c r="K373" s="313"/>
      <c r="L373" s="156"/>
      <c r="M373" s="35"/>
      <c r="N373" s="156"/>
      <c r="O373" s="156"/>
      <c r="P373" s="35"/>
    </row>
    <row r="374" spans="5:16">
      <c r="E374" s="35"/>
      <c r="G374" s="35"/>
      <c r="H374" s="35"/>
      <c r="I374" s="35"/>
      <c r="J374" s="35"/>
      <c r="K374" s="313"/>
      <c r="L374" s="156"/>
      <c r="M374" s="35"/>
      <c r="N374" s="156"/>
      <c r="O374" s="156"/>
      <c r="P374" s="35"/>
    </row>
    <row r="375" spans="5:16">
      <c r="E375" s="35"/>
      <c r="G375" s="35"/>
      <c r="H375" s="35"/>
      <c r="I375" s="35"/>
      <c r="J375" s="35"/>
      <c r="K375" s="313"/>
      <c r="L375" s="156"/>
      <c r="M375" s="35"/>
      <c r="N375" s="156"/>
      <c r="O375" s="156"/>
      <c r="P375" s="35"/>
    </row>
    <row r="376" spans="5:16">
      <c r="E376" s="35"/>
      <c r="G376" s="35"/>
      <c r="H376" s="35"/>
      <c r="I376" s="35"/>
      <c r="J376" s="35"/>
      <c r="K376" s="313"/>
      <c r="L376" s="156"/>
      <c r="M376" s="35"/>
      <c r="N376" s="156"/>
      <c r="O376" s="156"/>
      <c r="P376" s="35"/>
    </row>
    <row r="377" spans="5:16">
      <c r="E377" s="35"/>
      <c r="G377" s="35"/>
      <c r="H377" s="35"/>
      <c r="I377" s="35"/>
      <c r="J377" s="35"/>
      <c r="K377" s="313"/>
      <c r="L377" s="156"/>
      <c r="M377" s="35"/>
      <c r="N377" s="156"/>
      <c r="O377" s="156"/>
      <c r="P377" s="35"/>
    </row>
    <row r="378" spans="5:16">
      <c r="E378" s="35"/>
      <c r="G378" s="35"/>
      <c r="H378" s="35"/>
      <c r="I378" s="35"/>
      <c r="J378" s="35"/>
      <c r="K378" s="313"/>
      <c r="L378" s="156"/>
      <c r="M378" s="35"/>
      <c r="N378" s="156"/>
      <c r="O378" s="156"/>
      <c r="P378" s="35"/>
    </row>
    <row r="379" spans="5:16">
      <c r="E379" s="35"/>
      <c r="G379" s="35"/>
      <c r="H379" s="35"/>
      <c r="I379" s="35"/>
      <c r="J379" s="35"/>
      <c r="K379" s="313"/>
      <c r="L379" s="156"/>
      <c r="M379" s="35"/>
      <c r="N379" s="156"/>
      <c r="O379" s="156"/>
      <c r="P379" s="35"/>
    </row>
    <row r="380" spans="5:16">
      <c r="E380" s="35"/>
      <c r="G380" s="35"/>
      <c r="H380" s="35"/>
      <c r="I380" s="35"/>
      <c r="J380" s="35"/>
      <c r="K380" s="313"/>
      <c r="L380" s="156"/>
      <c r="M380" s="35"/>
      <c r="N380" s="156"/>
      <c r="O380" s="156"/>
      <c r="P380" s="35"/>
    </row>
    <row r="381" spans="5:16">
      <c r="E381" s="35"/>
      <c r="G381" s="35"/>
      <c r="H381" s="35"/>
      <c r="I381" s="35"/>
      <c r="J381" s="35"/>
      <c r="K381" s="313"/>
      <c r="L381" s="156"/>
      <c r="M381" s="35"/>
      <c r="N381" s="156"/>
      <c r="O381" s="156"/>
      <c r="P381" s="35"/>
    </row>
    <row r="382" spans="5:16">
      <c r="E382" s="35"/>
      <c r="G382" s="35"/>
      <c r="H382" s="35"/>
      <c r="I382" s="35"/>
      <c r="J382" s="35"/>
      <c r="K382" s="313"/>
      <c r="L382" s="156"/>
      <c r="M382" s="35"/>
      <c r="N382" s="156"/>
      <c r="O382" s="156"/>
      <c r="P382" s="35"/>
    </row>
    <row r="383" spans="5:16">
      <c r="E383" s="35"/>
      <c r="G383" s="35"/>
      <c r="H383" s="35"/>
      <c r="I383" s="35"/>
      <c r="J383" s="35"/>
      <c r="K383" s="313"/>
      <c r="L383" s="156"/>
      <c r="M383" s="35"/>
      <c r="N383" s="156"/>
      <c r="O383" s="156"/>
      <c r="P383" s="35"/>
    </row>
    <row r="384" spans="5:16">
      <c r="E384" s="35"/>
      <c r="G384" s="35"/>
      <c r="H384" s="35"/>
      <c r="I384" s="35"/>
      <c r="J384" s="35"/>
      <c r="K384" s="313"/>
      <c r="L384" s="156"/>
      <c r="M384" s="35"/>
      <c r="N384" s="156"/>
      <c r="O384" s="156"/>
      <c r="P384" s="35"/>
    </row>
    <row r="385" spans="5:16">
      <c r="E385" s="35"/>
      <c r="G385" s="35"/>
      <c r="H385" s="35"/>
      <c r="I385" s="35"/>
      <c r="J385" s="35"/>
      <c r="K385" s="313"/>
      <c r="L385" s="156"/>
      <c r="M385" s="35"/>
      <c r="N385" s="156"/>
      <c r="O385" s="156"/>
      <c r="P385" s="35"/>
    </row>
    <row r="386" spans="5:16">
      <c r="E386" s="35"/>
      <c r="G386" s="35"/>
      <c r="H386" s="35"/>
      <c r="I386" s="35"/>
      <c r="J386" s="35"/>
      <c r="K386" s="313"/>
      <c r="L386" s="156"/>
      <c r="M386" s="35"/>
      <c r="N386" s="156"/>
      <c r="O386" s="156"/>
      <c r="P386" s="35"/>
    </row>
    <row r="387" spans="5:16">
      <c r="E387" s="35"/>
      <c r="G387" s="35"/>
      <c r="H387" s="35"/>
      <c r="I387" s="35"/>
      <c r="J387" s="35"/>
      <c r="K387" s="313"/>
      <c r="L387" s="156"/>
      <c r="M387" s="35"/>
      <c r="N387" s="156"/>
      <c r="O387" s="156"/>
      <c r="P387" s="35"/>
    </row>
    <row r="388" spans="5:16">
      <c r="E388" s="35"/>
      <c r="G388" s="35"/>
      <c r="H388" s="35"/>
      <c r="I388" s="35"/>
      <c r="J388" s="35"/>
      <c r="K388" s="313"/>
      <c r="L388" s="156"/>
      <c r="M388" s="35"/>
      <c r="N388" s="156"/>
      <c r="O388" s="156"/>
      <c r="P388" s="35"/>
    </row>
    <row r="389" spans="5:16">
      <c r="E389" s="35"/>
      <c r="G389" s="35"/>
      <c r="H389" s="35"/>
      <c r="I389" s="35"/>
      <c r="J389" s="35"/>
      <c r="K389" s="313"/>
      <c r="L389" s="156"/>
      <c r="M389" s="35"/>
      <c r="N389" s="156"/>
      <c r="O389" s="156"/>
      <c r="P389" s="35"/>
    </row>
    <row r="390" spans="5:16">
      <c r="E390" s="35"/>
      <c r="G390" s="35"/>
      <c r="H390" s="35"/>
      <c r="I390" s="35"/>
      <c r="J390" s="35"/>
      <c r="K390" s="313"/>
      <c r="L390" s="156"/>
      <c r="M390" s="35"/>
      <c r="N390" s="156"/>
      <c r="O390" s="156"/>
      <c r="P390" s="35"/>
    </row>
    <row r="391" spans="5:16">
      <c r="E391" s="35"/>
      <c r="G391" s="35"/>
      <c r="H391" s="35"/>
      <c r="I391" s="35"/>
      <c r="J391" s="35"/>
      <c r="K391" s="313"/>
      <c r="L391" s="156"/>
      <c r="M391" s="35"/>
      <c r="N391" s="156"/>
      <c r="O391" s="156"/>
      <c r="P391" s="35"/>
    </row>
    <row r="392" spans="5:16">
      <c r="E392" s="35"/>
      <c r="G392" s="35"/>
      <c r="H392" s="35"/>
      <c r="I392" s="35"/>
      <c r="J392" s="35"/>
      <c r="K392" s="313"/>
      <c r="L392" s="156"/>
      <c r="M392" s="35"/>
      <c r="N392" s="156"/>
      <c r="O392" s="156"/>
      <c r="P392" s="35"/>
    </row>
    <row r="393" spans="5:16">
      <c r="E393" s="35"/>
      <c r="G393" s="35"/>
      <c r="H393" s="35"/>
      <c r="I393" s="35"/>
      <c r="J393" s="35"/>
      <c r="K393" s="313"/>
      <c r="L393" s="156"/>
      <c r="M393" s="35"/>
      <c r="N393" s="156"/>
      <c r="O393" s="156"/>
      <c r="P393" s="35"/>
    </row>
    <row r="394" spans="5:16">
      <c r="E394" s="35"/>
      <c r="G394" s="35"/>
      <c r="H394" s="35"/>
      <c r="I394" s="35"/>
      <c r="J394" s="35"/>
      <c r="K394" s="313"/>
      <c r="L394" s="156"/>
      <c r="M394" s="35"/>
      <c r="N394" s="156"/>
      <c r="O394" s="156"/>
      <c r="P394" s="35"/>
    </row>
    <row r="395" spans="5:16">
      <c r="E395" s="35"/>
      <c r="G395" s="35"/>
      <c r="H395" s="35"/>
      <c r="I395" s="35"/>
      <c r="J395" s="35"/>
      <c r="K395" s="313"/>
      <c r="L395" s="156"/>
      <c r="M395" s="35"/>
      <c r="N395" s="156"/>
      <c r="O395" s="156"/>
      <c r="P395" s="35"/>
    </row>
    <row r="396" spans="5:16">
      <c r="E396" s="35"/>
      <c r="G396" s="35"/>
      <c r="H396" s="35"/>
      <c r="I396" s="35"/>
      <c r="J396" s="35"/>
      <c r="K396" s="313"/>
      <c r="L396" s="156"/>
      <c r="M396" s="35"/>
      <c r="N396" s="156"/>
      <c r="O396" s="156"/>
      <c r="P396" s="35"/>
    </row>
    <row r="397" spans="5:16">
      <c r="E397" s="35"/>
      <c r="G397" s="35"/>
      <c r="H397" s="35"/>
      <c r="I397" s="35"/>
      <c r="J397" s="35"/>
      <c r="K397" s="313"/>
      <c r="L397" s="156"/>
      <c r="M397" s="35"/>
      <c r="N397" s="156"/>
      <c r="O397" s="156"/>
      <c r="P397" s="35"/>
    </row>
    <row r="398" spans="5:16">
      <c r="E398" s="35"/>
      <c r="G398" s="35"/>
      <c r="H398" s="35"/>
      <c r="I398" s="35"/>
      <c r="J398" s="35"/>
      <c r="K398" s="313"/>
      <c r="L398" s="156"/>
      <c r="M398" s="35"/>
      <c r="N398" s="156"/>
      <c r="O398" s="156"/>
      <c r="P398" s="35"/>
    </row>
    <row r="399" spans="5:16">
      <c r="E399" s="35"/>
      <c r="G399" s="35"/>
      <c r="H399" s="35"/>
      <c r="I399" s="35"/>
      <c r="J399" s="35"/>
      <c r="K399" s="313"/>
      <c r="L399" s="156"/>
      <c r="M399" s="35"/>
      <c r="N399" s="156"/>
      <c r="O399" s="156"/>
      <c r="P399" s="35"/>
    </row>
    <row r="400" spans="5:16">
      <c r="E400" s="35"/>
      <c r="G400" s="35"/>
      <c r="H400" s="35"/>
      <c r="I400" s="35"/>
      <c r="J400" s="35"/>
      <c r="K400" s="313"/>
      <c r="L400" s="156"/>
      <c r="M400" s="35"/>
      <c r="N400" s="156"/>
      <c r="O400" s="156"/>
      <c r="P400" s="35"/>
    </row>
    <row r="401" spans="5:16">
      <c r="E401" s="35"/>
      <c r="G401" s="35"/>
      <c r="H401" s="35"/>
      <c r="I401" s="35"/>
      <c r="J401" s="35"/>
      <c r="K401" s="313"/>
      <c r="L401" s="156"/>
      <c r="M401" s="35"/>
      <c r="N401" s="156"/>
      <c r="O401" s="156"/>
      <c r="P401" s="35"/>
    </row>
    <row r="402" spans="5:16">
      <c r="E402" s="35"/>
      <c r="G402" s="35"/>
      <c r="H402" s="35"/>
      <c r="I402" s="35"/>
      <c r="J402" s="35"/>
      <c r="K402" s="313"/>
      <c r="L402" s="156"/>
      <c r="M402" s="35"/>
      <c r="N402" s="156"/>
      <c r="O402" s="156"/>
      <c r="P402" s="35"/>
    </row>
    <row r="403" spans="5:16">
      <c r="E403" s="35"/>
      <c r="G403" s="35"/>
      <c r="H403" s="35"/>
      <c r="I403" s="35"/>
      <c r="J403" s="35"/>
      <c r="K403" s="313"/>
      <c r="L403" s="156"/>
      <c r="M403" s="35"/>
      <c r="N403" s="156"/>
      <c r="O403" s="156"/>
      <c r="P403" s="35"/>
    </row>
    <row r="404" spans="5:16">
      <c r="E404" s="35"/>
      <c r="G404" s="35"/>
      <c r="H404" s="35"/>
      <c r="I404" s="35"/>
      <c r="J404" s="35"/>
      <c r="K404" s="313"/>
      <c r="L404" s="156"/>
      <c r="M404" s="35"/>
      <c r="N404" s="156"/>
      <c r="O404" s="156"/>
      <c r="P404" s="35"/>
    </row>
    <row r="405" spans="5:16">
      <c r="E405" s="35"/>
      <c r="G405" s="35"/>
      <c r="H405" s="35"/>
      <c r="I405" s="35"/>
      <c r="J405" s="35"/>
      <c r="K405" s="313"/>
      <c r="L405" s="156"/>
      <c r="M405" s="35"/>
      <c r="N405" s="156"/>
      <c r="O405" s="156"/>
      <c r="P405" s="35"/>
    </row>
    <row r="406" spans="5:16">
      <c r="E406" s="35"/>
      <c r="G406" s="35"/>
      <c r="H406" s="35"/>
      <c r="I406" s="35"/>
      <c r="J406" s="35"/>
      <c r="K406" s="313"/>
      <c r="L406" s="156"/>
      <c r="M406" s="35"/>
      <c r="N406" s="156"/>
      <c r="O406" s="156"/>
      <c r="P406" s="35"/>
    </row>
    <row r="407" spans="5:16">
      <c r="E407" s="35"/>
      <c r="G407" s="35"/>
      <c r="H407" s="35"/>
      <c r="I407" s="35"/>
      <c r="J407" s="35"/>
      <c r="K407" s="313"/>
      <c r="L407" s="156"/>
      <c r="M407" s="35"/>
      <c r="N407" s="156"/>
      <c r="O407" s="156"/>
      <c r="P407" s="35"/>
    </row>
    <row r="408" spans="5:16">
      <c r="E408" s="35"/>
      <c r="G408" s="35"/>
      <c r="H408" s="35"/>
      <c r="I408" s="35"/>
      <c r="J408" s="35"/>
      <c r="K408" s="313"/>
      <c r="L408" s="156"/>
      <c r="M408" s="35"/>
      <c r="N408" s="156"/>
      <c r="O408" s="156"/>
      <c r="P408" s="35"/>
    </row>
    <row r="409" spans="5:16">
      <c r="E409" s="35"/>
      <c r="G409" s="35"/>
      <c r="H409" s="35"/>
      <c r="I409" s="35"/>
      <c r="J409" s="35"/>
      <c r="K409" s="313"/>
      <c r="L409" s="156"/>
      <c r="M409" s="35"/>
      <c r="N409" s="156"/>
      <c r="O409" s="156"/>
      <c r="P409" s="35"/>
    </row>
    <row r="410" spans="5:16">
      <c r="E410" s="35"/>
      <c r="G410" s="35"/>
      <c r="H410" s="35"/>
      <c r="I410" s="35"/>
      <c r="J410" s="35"/>
      <c r="K410" s="313"/>
      <c r="L410" s="156"/>
      <c r="M410" s="35"/>
      <c r="N410" s="156"/>
      <c r="O410" s="156"/>
      <c r="P410" s="35"/>
    </row>
    <row r="411" spans="5:16">
      <c r="E411" s="35"/>
      <c r="G411" s="35"/>
      <c r="H411" s="35"/>
      <c r="I411" s="35"/>
      <c r="J411" s="35"/>
      <c r="K411" s="313"/>
      <c r="L411" s="156"/>
      <c r="M411" s="35"/>
      <c r="N411" s="156"/>
      <c r="O411" s="156"/>
      <c r="P411" s="35"/>
    </row>
    <row r="412" spans="5:16">
      <c r="E412" s="35"/>
      <c r="G412" s="35"/>
      <c r="H412" s="35"/>
      <c r="I412" s="35"/>
      <c r="J412" s="35"/>
      <c r="K412" s="313"/>
      <c r="L412" s="156"/>
      <c r="M412" s="35"/>
      <c r="N412" s="156"/>
      <c r="O412" s="156"/>
      <c r="P412" s="35"/>
    </row>
    <row r="413" spans="5:16">
      <c r="E413" s="35"/>
      <c r="G413" s="35"/>
      <c r="H413" s="35"/>
      <c r="I413" s="35"/>
      <c r="J413" s="35"/>
      <c r="K413" s="313"/>
      <c r="L413" s="156"/>
      <c r="M413" s="35"/>
      <c r="N413" s="156"/>
      <c r="O413" s="156"/>
      <c r="P413" s="35"/>
    </row>
    <row r="414" spans="5:16">
      <c r="E414" s="35"/>
      <c r="G414" s="35"/>
      <c r="H414" s="35"/>
      <c r="I414" s="35"/>
      <c r="J414" s="35"/>
      <c r="K414" s="313"/>
      <c r="L414" s="156"/>
      <c r="M414" s="35"/>
      <c r="N414" s="156"/>
      <c r="O414" s="156"/>
      <c r="P414" s="35"/>
    </row>
    <row r="415" spans="5:16">
      <c r="E415" s="35"/>
      <c r="G415" s="35"/>
      <c r="H415" s="35"/>
      <c r="I415" s="35"/>
      <c r="J415" s="35"/>
      <c r="K415" s="313"/>
      <c r="L415" s="156"/>
      <c r="M415" s="35"/>
      <c r="N415" s="156"/>
      <c r="O415" s="156"/>
      <c r="P415" s="35"/>
    </row>
    <row r="416" spans="5:16">
      <c r="E416" s="35"/>
      <c r="G416" s="35"/>
      <c r="H416" s="35"/>
      <c r="I416" s="35"/>
      <c r="J416" s="35"/>
      <c r="K416" s="313"/>
      <c r="L416" s="156"/>
      <c r="M416" s="35"/>
      <c r="N416" s="156"/>
      <c r="O416" s="156"/>
      <c r="P416" s="35"/>
    </row>
    <row r="417" spans="5:16">
      <c r="E417" s="35"/>
      <c r="G417" s="35"/>
      <c r="H417" s="35"/>
      <c r="I417" s="35"/>
      <c r="J417" s="35"/>
      <c r="K417" s="313"/>
      <c r="L417" s="156"/>
      <c r="M417" s="35"/>
      <c r="N417" s="156"/>
      <c r="O417" s="156"/>
      <c r="P417" s="35"/>
    </row>
    <row r="418" spans="5:16">
      <c r="E418" s="35"/>
      <c r="G418" s="35"/>
      <c r="H418" s="35"/>
      <c r="I418" s="35"/>
      <c r="J418" s="35"/>
      <c r="K418" s="313"/>
      <c r="L418" s="156"/>
      <c r="M418" s="35"/>
      <c r="N418" s="156"/>
      <c r="O418" s="156"/>
      <c r="P418" s="35"/>
    </row>
    <row r="419" spans="5:16">
      <c r="E419" s="35"/>
      <c r="G419" s="35"/>
      <c r="H419" s="35"/>
      <c r="I419" s="35"/>
      <c r="J419" s="35"/>
      <c r="K419" s="313"/>
      <c r="L419" s="156"/>
      <c r="M419" s="35"/>
      <c r="N419" s="156"/>
      <c r="O419" s="156"/>
      <c r="P419" s="35"/>
    </row>
    <row r="420" spans="5:16">
      <c r="E420" s="35"/>
      <c r="G420" s="35"/>
      <c r="H420" s="35"/>
      <c r="I420" s="35"/>
      <c r="J420" s="35"/>
      <c r="K420" s="313"/>
      <c r="L420" s="156"/>
      <c r="M420" s="35"/>
      <c r="N420" s="156"/>
      <c r="O420" s="156"/>
      <c r="P420" s="35"/>
    </row>
    <row r="421" spans="5:16">
      <c r="E421" s="35"/>
      <c r="G421" s="35"/>
      <c r="H421" s="35"/>
      <c r="I421" s="35"/>
      <c r="J421" s="35"/>
      <c r="K421" s="313"/>
      <c r="L421" s="156"/>
      <c r="M421" s="35"/>
      <c r="N421" s="156"/>
      <c r="O421" s="156"/>
      <c r="P421" s="35"/>
    </row>
    <row r="422" spans="5:16">
      <c r="E422" s="35"/>
      <c r="G422" s="35"/>
      <c r="H422" s="35"/>
      <c r="I422" s="35"/>
      <c r="J422" s="35"/>
      <c r="K422" s="313"/>
      <c r="L422" s="156"/>
      <c r="M422" s="35"/>
      <c r="N422" s="156"/>
      <c r="O422" s="156"/>
      <c r="P422" s="35"/>
    </row>
    <row r="423" spans="5:16">
      <c r="E423" s="35"/>
      <c r="G423" s="35"/>
      <c r="H423" s="35"/>
      <c r="I423" s="35"/>
      <c r="J423" s="35"/>
      <c r="K423" s="313"/>
      <c r="L423" s="156"/>
      <c r="M423" s="35"/>
      <c r="N423" s="156"/>
      <c r="O423" s="156"/>
      <c r="P423" s="35"/>
    </row>
    <row r="424" spans="5:16">
      <c r="E424" s="35"/>
      <c r="G424" s="35"/>
      <c r="H424" s="35"/>
      <c r="I424" s="35"/>
      <c r="J424" s="35"/>
      <c r="K424" s="313"/>
      <c r="L424" s="156"/>
      <c r="M424" s="35"/>
      <c r="N424" s="156"/>
      <c r="O424" s="156"/>
      <c r="P424" s="35"/>
    </row>
    <row r="425" spans="5:16">
      <c r="E425" s="35"/>
      <c r="G425" s="35"/>
      <c r="H425" s="35"/>
      <c r="I425" s="35"/>
      <c r="J425" s="35"/>
      <c r="K425" s="313"/>
      <c r="L425" s="156"/>
      <c r="M425" s="35"/>
      <c r="N425" s="156"/>
      <c r="O425" s="156"/>
      <c r="P425" s="35"/>
    </row>
    <row r="426" spans="5:16">
      <c r="E426" s="35"/>
      <c r="G426" s="35"/>
      <c r="H426" s="35"/>
      <c r="I426" s="35"/>
      <c r="J426" s="35"/>
      <c r="K426" s="313"/>
      <c r="L426" s="156"/>
      <c r="M426" s="35"/>
      <c r="N426" s="156"/>
      <c r="O426" s="156"/>
      <c r="P426" s="35"/>
    </row>
    <row r="427" spans="5:16">
      <c r="E427" s="35"/>
      <c r="G427" s="35"/>
      <c r="H427" s="35"/>
      <c r="I427" s="35"/>
      <c r="J427" s="35"/>
      <c r="K427" s="313"/>
      <c r="L427" s="156"/>
      <c r="M427" s="35"/>
      <c r="N427" s="156"/>
      <c r="O427" s="156"/>
      <c r="P427" s="35"/>
    </row>
    <row r="428" spans="5:16">
      <c r="E428" s="35"/>
      <c r="G428" s="35"/>
      <c r="H428" s="35"/>
      <c r="I428" s="35"/>
      <c r="J428" s="35"/>
      <c r="K428" s="313"/>
      <c r="L428" s="156"/>
      <c r="M428" s="35"/>
      <c r="N428" s="156"/>
      <c r="O428" s="156"/>
      <c r="P428" s="35"/>
    </row>
    <row r="429" spans="5:16">
      <c r="E429" s="35"/>
      <c r="G429" s="35"/>
      <c r="H429" s="35"/>
      <c r="I429" s="35"/>
      <c r="J429" s="35"/>
      <c r="K429" s="313"/>
      <c r="L429" s="156"/>
      <c r="M429" s="35"/>
      <c r="N429" s="156"/>
      <c r="O429" s="156"/>
      <c r="P429" s="35"/>
    </row>
    <row r="430" spans="5:16">
      <c r="E430" s="35"/>
      <c r="G430" s="35"/>
      <c r="H430" s="35"/>
      <c r="I430" s="35"/>
      <c r="J430" s="35"/>
      <c r="K430" s="313"/>
      <c r="L430" s="156"/>
      <c r="M430" s="35"/>
      <c r="N430" s="156"/>
      <c r="O430" s="156"/>
      <c r="P430" s="35"/>
    </row>
    <row r="431" spans="5:16">
      <c r="E431" s="35"/>
      <c r="G431" s="35"/>
      <c r="H431" s="35"/>
      <c r="I431" s="35"/>
      <c r="J431" s="35"/>
      <c r="K431" s="313"/>
      <c r="L431" s="156"/>
      <c r="M431" s="35"/>
      <c r="N431" s="156"/>
      <c r="O431" s="156"/>
      <c r="P431" s="35"/>
    </row>
    <row r="432" spans="5:16">
      <c r="E432" s="35"/>
      <c r="G432" s="35"/>
      <c r="H432" s="35"/>
      <c r="I432" s="35"/>
      <c r="J432" s="35"/>
      <c r="K432" s="313"/>
      <c r="L432" s="156"/>
      <c r="M432" s="35"/>
      <c r="N432" s="156"/>
      <c r="O432" s="156"/>
      <c r="P432" s="35"/>
    </row>
    <row r="433" spans="5:16">
      <c r="E433" s="35"/>
      <c r="G433" s="35"/>
      <c r="H433" s="35"/>
      <c r="I433" s="35"/>
      <c r="J433" s="35"/>
      <c r="K433" s="313"/>
      <c r="L433" s="156"/>
      <c r="M433" s="35"/>
      <c r="N433" s="156"/>
      <c r="O433" s="156"/>
      <c r="P433" s="35"/>
    </row>
    <row r="434" spans="5:16">
      <c r="E434" s="35"/>
      <c r="G434" s="35"/>
      <c r="H434" s="35"/>
      <c r="I434" s="35"/>
      <c r="J434" s="35"/>
      <c r="K434" s="313"/>
      <c r="L434" s="156"/>
      <c r="M434" s="35"/>
      <c r="N434" s="156"/>
      <c r="O434" s="156"/>
      <c r="P434" s="35"/>
    </row>
    <row r="435" spans="5:16">
      <c r="E435" s="35"/>
      <c r="G435" s="35"/>
      <c r="H435" s="35"/>
      <c r="I435" s="35"/>
      <c r="J435" s="35"/>
      <c r="K435" s="313"/>
      <c r="L435" s="156"/>
      <c r="M435" s="35"/>
      <c r="N435" s="156"/>
      <c r="O435" s="156"/>
      <c r="P435" s="35"/>
    </row>
    <row r="436" spans="5:16">
      <c r="E436" s="35"/>
      <c r="G436" s="35"/>
      <c r="H436" s="35"/>
      <c r="I436" s="35"/>
      <c r="J436" s="35"/>
      <c r="K436" s="313"/>
      <c r="L436" s="156"/>
      <c r="M436" s="35"/>
      <c r="N436" s="156"/>
      <c r="O436" s="156"/>
      <c r="P436" s="35"/>
    </row>
    <row r="437" spans="5:16">
      <c r="E437" s="35"/>
      <c r="G437" s="35"/>
      <c r="H437" s="35"/>
      <c r="I437" s="35"/>
      <c r="J437" s="35"/>
      <c r="K437" s="313"/>
      <c r="L437" s="156"/>
      <c r="M437" s="35"/>
      <c r="N437" s="156"/>
      <c r="O437" s="156"/>
      <c r="P437" s="35"/>
    </row>
    <row r="438" spans="5:16">
      <c r="E438" s="35"/>
      <c r="G438" s="35"/>
      <c r="H438" s="35"/>
      <c r="I438" s="35"/>
      <c r="J438" s="35"/>
      <c r="K438" s="313"/>
      <c r="L438" s="156"/>
      <c r="M438" s="35"/>
      <c r="N438" s="156"/>
      <c r="O438" s="156"/>
      <c r="P438" s="35"/>
    </row>
    <row r="439" spans="5:16">
      <c r="E439" s="35"/>
      <c r="G439" s="35"/>
      <c r="H439" s="35"/>
      <c r="I439" s="35"/>
      <c r="J439" s="35"/>
      <c r="K439" s="313"/>
      <c r="L439" s="156"/>
      <c r="M439" s="35"/>
      <c r="N439" s="156"/>
      <c r="O439" s="156"/>
      <c r="P439" s="35"/>
    </row>
    <row r="440" spans="5:16">
      <c r="E440" s="35"/>
      <c r="G440" s="35"/>
      <c r="H440" s="35"/>
      <c r="I440" s="35"/>
      <c r="J440" s="35"/>
      <c r="K440" s="313"/>
      <c r="L440" s="156"/>
      <c r="M440" s="35"/>
      <c r="N440" s="156"/>
      <c r="O440" s="156"/>
      <c r="P440" s="35"/>
    </row>
    <row r="441" spans="5:16">
      <c r="E441" s="35"/>
      <c r="G441" s="35"/>
      <c r="H441" s="35"/>
      <c r="I441" s="35"/>
      <c r="J441" s="35"/>
      <c r="K441" s="313"/>
      <c r="L441" s="156"/>
      <c r="M441" s="35"/>
      <c r="N441" s="156"/>
      <c r="O441" s="156"/>
      <c r="P441" s="35"/>
    </row>
    <row r="442" spans="5:16">
      <c r="E442" s="35"/>
      <c r="G442" s="35"/>
      <c r="H442" s="35"/>
      <c r="I442" s="35"/>
      <c r="J442" s="35"/>
      <c r="K442" s="313"/>
      <c r="L442" s="156"/>
      <c r="M442" s="35"/>
      <c r="N442" s="156"/>
      <c r="O442" s="156"/>
      <c r="P442" s="35"/>
    </row>
    <row r="443" spans="5:16">
      <c r="E443" s="35"/>
      <c r="G443" s="35"/>
      <c r="H443" s="35"/>
      <c r="I443" s="35"/>
      <c r="J443" s="35"/>
      <c r="K443" s="313"/>
      <c r="L443" s="156"/>
      <c r="M443" s="35"/>
      <c r="N443" s="156"/>
      <c r="O443" s="156"/>
      <c r="P443" s="35"/>
    </row>
    <row r="444" spans="5:16">
      <c r="E444" s="35"/>
      <c r="G444" s="35"/>
      <c r="H444" s="35"/>
      <c r="I444" s="35"/>
      <c r="J444" s="35"/>
      <c r="K444" s="313"/>
      <c r="L444" s="156"/>
      <c r="M444" s="35"/>
      <c r="N444" s="156"/>
      <c r="O444" s="156"/>
      <c r="P444" s="35"/>
    </row>
    <row r="445" spans="5:16">
      <c r="E445" s="35"/>
      <c r="G445" s="35"/>
      <c r="H445" s="35"/>
      <c r="I445" s="35"/>
      <c r="J445" s="35"/>
      <c r="K445" s="313"/>
      <c r="L445" s="156"/>
      <c r="M445" s="35"/>
      <c r="N445" s="156"/>
      <c r="O445" s="156"/>
      <c r="P445" s="35"/>
    </row>
    <row r="446" spans="5:16">
      <c r="E446" s="35"/>
      <c r="G446" s="35"/>
      <c r="H446" s="35"/>
      <c r="I446" s="35"/>
      <c r="J446" s="35"/>
      <c r="K446" s="313"/>
      <c r="L446" s="156"/>
      <c r="M446" s="35"/>
      <c r="N446" s="156"/>
      <c r="O446" s="156"/>
      <c r="P446" s="35"/>
    </row>
    <row r="447" spans="5:16">
      <c r="E447" s="35"/>
      <c r="G447" s="35"/>
      <c r="H447" s="35"/>
      <c r="I447" s="35"/>
      <c r="J447" s="35"/>
      <c r="K447" s="313"/>
      <c r="L447" s="156"/>
      <c r="M447" s="35"/>
      <c r="N447" s="156"/>
      <c r="O447" s="156"/>
      <c r="P447" s="35"/>
    </row>
    <row r="448" spans="5:16">
      <c r="E448" s="35"/>
      <c r="G448" s="35"/>
      <c r="H448" s="35"/>
      <c r="I448" s="35"/>
      <c r="J448" s="35"/>
      <c r="K448" s="313"/>
      <c r="L448" s="156"/>
      <c r="M448" s="35"/>
      <c r="N448" s="156"/>
      <c r="O448" s="156"/>
      <c r="P448" s="35"/>
    </row>
    <row r="449" spans="5:16">
      <c r="E449" s="35"/>
      <c r="G449" s="35"/>
      <c r="H449" s="35"/>
      <c r="I449" s="35"/>
      <c r="J449" s="35"/>
      <c r="K449" s="313"/>
      <c r="L449" s="156"/>
      <c r="M449" s="35"/>
      <c r="N449" s="156"/>
      <c r="O449" s="156"/>
      <c r="P449" s="35"/>
    </row>
    <row r="450" spans="5:16">
      <c r="E450" s="35"/>
      <c r="G450" s="35"/>
      <c r="H450" s="35"/>
      <c r="I450" s="35"/>
      <c r="J450" s="35"/>
      <c r="K450" s="313"/>
      <c r="L450" s="156"/>
      <c r="M450" s="35"/>
      <c r="N450" s="156"/>
      <c r="O450" s="156"/>
      <c r="P450" s="35"/>
    </row>
    <row r="451" spans="5:16">
      <c r="E451" s="35"/>
      <c r="G451" s="35"/>
      <c r="H451" s="35"/>
      <c r="I451" s="35"/>
      <c r="J451" s="35"/>
      <c r="K451" s="313"/>
      <c r="L451" s="156"/>
      <c r="M451" s="35"/>
      <c r="N451" s="156"/>
      <c r="O451" s="156"/>
      <c r="P451" s="35"/>
    </row>
    <row r="452" spans="5:16">
      <c r="E452" s="35"/>
      <c r="G452" s="35"/>
      <c r="H452" s="35"/>
      <c r="I452" s="35"/>
      <c r="J452" s="35"/>
      <c r="K452" s="313"/>
      <c r="L452" s="156"/>
      <c r="M452" s="35"/>
      <c r="N452" s="156"/>
      <c r="O452" s="156"/>
      <c r="P452" s="35"/>
    </row>
    <row r="453" spans="5:16">
      <c r="E453" s="35"/>
      <c r="G453" s="35"/>
      <c r="H453" s="35"/>
      <c r="I453" s="35"/>
      <c r="J453" s="35"/>
      <c r="K453" s="313"/>
      <c r="L453" s="156"/>
      <c r="M453" s="35"/>
      <c r="N453" s="156"/>
      <c r="O453" s="156"/>
      <c r="P453" s="35"/>
    </row>
    <row r="454" spans="5:16">
      <c r="E454" s="35"/>
      <c r="G454" s="35"/>
      <c r="H454" s="35"/>
      <c r="I454" s="35"/>
      <c r="J454" s="35"/>
      <c r="K454" s="313"/>
      <c r="L454" s="156"/>
      <c r="M454" s="35"/>
      <c r="N454" s="156"/>
      <c r="O454" s="156"/>
      <c r="P454" s="35"/>
    </row>
    <row r="455" spans="5:16">
      <c r="E455" s="35"/>
      <c r="G455" s="35"/>
      <c r="H455" s="35"/>
      <c r="I455" s="35"/>
      <c r="J455" s="35"/>
      <c r="K455" s="313"/>
      <c r="L455" s="156"/>
      <c r="M455" s="35"/>
      <c r="N455" s="156"/>
      <c r="O455" s="156"/>
      <c r="P455" s="35"/>
    </row>
    <row r="456" spans="5:16">
      <c r="E456" s="35"/>
      <c r="G456" s="35"/>
      <c r="H456" s="35"/>
      <c r="I456" s="35"/>
      <c r="J456" s="35"/>
      <c r="K456" s="313"/>
      <c r="L456" s="156"/>
      <c r="M456" s="35"/>
      <c r="N456" s="156"/>
      <c r="O456" s="156"/>
      <c r="P456" s="35"/>
    </row>
    <row r="457" spans="5:16">
      <c r="E457" s="35"/>
      <c r="G457" s="35"/>
      <c r="H457" s="35"/>
      <c r="I457" s="35"/>
      <c r="J457" s="35"/>
      <c r="K457" s="313"/>
      <c r="L457" s="156"/>
      <c r="M457" s="35"/>
      <c r="N457" s="156"/>
      <c r="O457" s="156"/>
      <c r="P457" s="35"/>
    </row>
    <row r="458" spans="5:16">
      <c r="E458" s="35"/>
      <c r="G458" s="35"/>
      <c r="H458" s="35"/>
      <c r="I458" s="35"/>
      <c r="J458" s="35"/>
      <c r="K458" s="313"/>
      <c r="L458" s="156"/>
      <c r="M458" s="35"/>
      <c r="N458" s="156"/>
      <c r="O458" s="156"/>
      <c r="P458" s="35"/>
    </row>
    <row r="459" spans="5:16">
      <c r="E459" s="35"/>
      <c r="G459" s="35"/>
      <c r="H459" s="35"/>
      <c r="I459" s="35"/>
      <c r="J459" s="35"/>
      <c r="K459" s="313"/>
      <c r="L459" s="156"/>
      <c r="M459" s="35"/>
      <c r="N459" s="156"/>
      <c r="O459" s="156"/>
      <c r="P459" s="35"/>
    </row>
    <row r="460" spans="5:16">
      <c r="E460" s="35"/>
      <c r="G460" s="35"/>
      <c r="H460" s="35"/>
      <c r="I460" s="35"/>
      <c r="J460" s="35"/>
      <c r="K460" s="313"/>
      <c r="L460" s="156"/>
      <c r="M460" s="35"/>
      <c r="N460" s="156"/>
      <c r="O460" s="156"/>
      <c r="P460" s="35"/>
    </row>
    <row r="461" spans="5:16">
      <c r="E461" s="35"/>
      <c r="G461" s="35"/>
      <c r="H461" s="35"/>
      <c r="I461" s="35"/>
      <c r="J461" s="35"/>
      <c r="K461" s="313"/>
      <c r="L461" s="156"/>
      <c r="M461" s="35"/>
      <c r="N461" s="156"/>
      <c r="O461" s="156"/>
      <c r="P461" s="35"/>
    </row>
    <row r="462" spans="5:16">
      <c r="E462" s="35"/>
      <c r="G462" s="35"/>
      <c r="H462" s="35"/>
      <c r="I462" s="35"/>
      <c r="J462" s="35"/>
      <c r="K462" s="313"/>
      <c r="L462" s="156"/>
      <c r="M462" s="35"/>
      <c r="N462" s="156"/>
      <c r="O462" s="156"/>
      <c r="P462" s="35"/>
    </row>
    <row r="463" spans="5:16">
      <c r="E463" s="35"/>
      <c r="G463" s="35"/>
      <c r="H463" s="35"/>
      <c r="I463" s="35"/>
      <c r="J463" s="35"/>
      <c r="K463" s="313"/>
      <c r="L463" s="156"/>
      <c r="M463" s="35"/>
      <c r="N463" s="156"/>
      <c r="O463" s="156"/>
      <c r="P463" s="35"/>
    </row>
    <row r="464" spans="5:16">
      <c r="E464" s="35"/>
      <c r="G464" s="35"/>
      <c r="H464" s="35"/>
      <c r="I464" s="35"/>
      <c r="J464" s="35"/>
      <c r="K464" s="313"/>
      <c r="L464" s="156"/>
      <c r="M464" s="35"/>
      <c r="N464" s="156"/>
      <c r="O464" s="156"/>
      <c r="P464" s="35"/>
    </row>
    <row r="465" spans="5:16">
      <c r="E465" s="35"/>
      <c r="G465" s="35"/>
      <c r="H465" s="35"/>
      <c r="I465" s="35"/>
      <c r="J465" s="35"/>
      <c r="K465" s="313"/>
      <c r="L465" s="156"/>
      <c r="M465" s="35"/>
      <c r="N465" s="156"/>
      <c r="O465" s="156"/>
      <c r="P465" s="35"/>
    </row>
    <row r="466" spans="5:16">
      <c r="E466" s="35"/>
      <c r="G466" s="35"/>
      <c r="H466" s="35"/>
      <c r="I466" s="35"/>
      <c r="J466" s="35"/>
      <c r="K466" s="313"/>
      <c r="L466" s="156"/>
      <c r="M466" s="35"/>
      <c r="N466" s="156"/>
      <c r="O466" s="156"/>
      <c r="P466" s="35"/>
    </row>
    <row r="467" spans="5:16">
      <c r="E467" s="35"/>
      <c r="G467" s="35"/>
      <c r="H467" s="35"/>
      <c r="I467" s="35"/>
      <c r="J467" s="35"/>
      <c r="K467" s="313"/>
      <c r="L467" s="156"/>
      <c r="M467" s="35"/>
      <c r="N467" s="156"/>
      <c r="O467" s="156"/>
      <c r="P467" s="35"/>
    </row>
    <row r="468" spans="5:16">
      <c r="E468" s="35"/>
      <c r="G468" s="35"/>
      <c r="H468" s="35"/>
      <c r="I468" s="35"/>
      <c r="J468" s="35"/>
      <c r="K468" s="313"/>
      <c r="L468" s="156"/>
      <c r="M468" s="35"/>
      <c r="N468" s="156"/>
      <c r="O468" s="156"/>
      <c r="P468" s="35"/>
    </row>
    <row r="469" spans="5:16">
      <c r="E469" s="35"/>
      <c r="G469" s="35"/>
      <c r="H469" s="35"/>
      <c r="I469" s="35"/>
      <c r="J469" s="35"/>
      <c r="K469" s="313"/>
      <c r="L469" s="156"/>
      <c r="M469" s="35"/>
      <c r="N469" s="156"/>
      <c r="O469" s="156"/>
      <c r="P469" s="35"/>
    </row>
    <row r="470" spans="5:16">
      <c r="E470" s="35"/>
      <c r="G470" s="35"/>
      <c r="H470" s="35"/>
      <c r="I470" s="35"/>
      <c r="J470" s="35"/>
      <c r="K470" s="313"/>
      <c r="L470" s="156"/>
      <c r="M470" s="35"/>
      <c r="N470" s="156"/>
      <c r="O470" s="156"/>
      <c r="P470" s="35"/>
    </row>
    <row r="471" spans="5:16">
      <c r="E471" s="35"/>
      <c r="G471" s="35"/>
      <c r="H471" s="35"/>
      <c r="I471" s="35"/>
      <c r="J471" s="35"/>
      <c r="K471" s="313"/>
      <c r="L471" s="156"/>
      <c r="M471" s="35"/>
      <c r="N471" s="156"/>
      <c r="O471" s="156"/>
      <c r="P471" s="35"/>
    </row>
    <row r="472" spans="5:16">
      <c r="E472" s="35"/>
      <c r="G472" s="35"/>
      <c r="H472" s="35"/>
      <c r="I472" s="35"/>
      <c r="J472" s="35"/>
      <c r="K472" s="313"/>
      <c r="L472" s="156"/>
      <c r="M472" s="35"/>
      <c r="N472" s="156"/>
      <c r="O472" s="156"/>
      <c r="P472" s="35"/>
    </row>
    <row r="473" spans="5:16">
      <c r="E473" s="35"/>
      <c r="G473" s="35"/>
      <c r="H473" s="35"/>
      <c r="I473" s="35"/>
      <c r="J473" s="35"/>
      <c r="K473" s="313"/>
      <c r="L473" s="156"/>
      <c r="M473" s="35"/>
      <c r="N473" s="156"/>
      <c r="O473" s="156"/>
      <c r="P473" s="35"/>
    </row>
    <row r="474" spans="5:16">
      <c r="E474" s="35"/>
      <c r="G474" s="35"/>
      <c r="H474" s="35"/>
      <c r="I474" s="35"/>
      <c r="J474" s="35"/>
      <c r="K474" s="313"/>
      <c r="L474" s="156"/>
      <c r="M474" s="35"/>
      <c r="N474" s="156"/>
      <c r="O474" s="156"/>
      <c r="P474" s="35"/>
    </row>
    <row r="475" spans="5:16">
      <c r="E475" s="35"/>
      <c r="G475" s="35"/>
      <c r="H475" s="35"/>
      <c r="I475" s="35"/>
      <c r="J475" s="35"/>
      <c r="K475" s="313"/>
      <c r="L475" s="156"/>
      <c r="M475" s="35"/>
      <c r="N475" s="156"/>
      <c r="O475" s="156"/>
      <c r="P475" s="35"/>
    </row>
    <row r="476" spans="5:16">
      <c r="E476" s="35"/>
      <c r="G476" s="35"/>
      <c r="H476" s="35"/>
      <c r="I476" s="35"/>
      <c r="J476" s="35"/>
      <c r="K476" s="313"/>
      <c r="L476" s="156"/>
      <c r="M476" s="35"/>
      <c r="N476" s="156"/>
      <c r="O476" s="156"/>
      <c r="P476" s="35"/>
    </row>
    <row r="477" spans="5:16">
      <c r="E477" s="35"/>
      <c r="G477" s="35"/>
      <c r="H477" s="35"/>
      <c r="I477" s="35"/>
      <c r="J477" s="35"/>
      <c r="K477" s="313"/>
      <c r="L477" s="156"/>
      <c r="M477" s="35"/>
      <c r="N477" s="156"/>
      <c r="O477" s="156"/>
      <c r="P477" s="35"/>
    </row>
    <row r="478" spans="5:16">
      <c r="E478" s="35"/>
      <c r="G478" s="35"/>
      <c r="H478" s="35"/>
      <c r="I478" s="35"/>
      <c r="J478" s="35"/>
      <c r="K478" s="313"/>
      <c r="L478" s="156"/>
      <c r="M478" s="35"/>
      <c r="N478" s="156"/>
      <c r="O478" s="156"/>
      <c r="P478" s="35"/>
    </row>
    <row r="479" spans="5:16">
      <c r="E479" s="35"/>
      <c r="G479" s="35"/>
      <c r="H479" s="35"/>
      <c r="I479" s="35"/>
      <c r="J479" s="35"/>
      <c r="K479" s="313"/>
      <c r="L479" s="156"/>
      <c r="M479" s="35"/>
      <c r="N479" s="156"/>
      <c r="O479" s="156"/>
      <c r="P479" s="35"/>
    </row>
    <row r="480" spans="5:16">
      <c r="E480" s="35"/>
      <c r="G480" s="35"/>
      <c r="H480" s="35"/>
      <c r="I480" s="35"/>
      <c r="J480" s="35"/>
      <c r="K480" s="313"/>
      <c r="L480" s="156"/>
      <c r="M480" s="35"/>
      <c r="N480" s="156"/>
      <c r="O480" s="156"/>
      <c r="P480" s="35"/>
    </row>
    <row r="481" spans="5:16">
      <c r="E481" s="35"/>
      <c r="G481" s="35"/>
      <c r="H481" s="35"/>
      <c r="I481" s="35"/>
      <c r="J481" s="35"/>
      <c r="K481" s="313"/>
      <c r="L481" s="156"/>
      <c r="M481" s="35"/>
      <c r="N481" s="156"/>
      <c r="O481" s="156"/>
      <c r="P481" s="35"/>
    </row>
    <row r="482" spans="5:16">
      <c r="E482" s="35"/>
      <c r="G482" s="35"/>
      <c r="H482" s="35"/>
      <c r="I482" s="35"/>
      <c r="J482" s="35"/>
      <c r="K482" s="313"/>
      <c r="L482" s="156"/>
      <c r="M482" s="35"/>
      <c r="N482" s="156"/>
      <c r="O482" s="156"/>
      <c r="P482" s="35"/>
    </row>
    <row r="483" spans="5:16">
      <c r="E483" s="35"/>
      <c r="G483" s="35"/>
      <c r="H483" s="35"/>
      <c r="I483" s="35"/>
      <c r="J483" s="35"/>
      <c r="K483" s="313"/>
      <c r="L483" s="156"/>
      <c r="M483" s="35"/>
      <c r="N483" s="156"/>
      <c r="O483" s="156"/>
      <c r="P483" s="35"/>
    </row>
    <row r="484" spans="5:16">
      <c r="E484" s="35"/>
      <c r="G484" s="35"/>
      <c r="H484" s="35"/>
      <c r="I484" s="35"/>
      <c r="J484" s="35"/>
      <c r="K484" s="313"/>
      <c r="L484" s="156"/>
      <c r="M484" s="35"/>
      <c r="N484" s="156"/>
      <c r="O484" s="156"/>
      <c r="P484" s="35"/>
    </row>
    <row r="485" spans="5:16">
      <c r="E485" s="35"/>
      <c r="G485" s="35"/>
      <c r="H485" s="35"/>
      <c r="I485" s="35"/>
      <c r="J485" s="35"/>
      <c r="K485" s="313"/>
      <c r="L485" s="156"/>
      <c r="M485" s="35"/>
      <c r="N485" s="156"/>
      <c r="O485" s="156"/>
      <c r="P485" s="35"/>
    </row>
    <row r="486" spans="5:16">
      <c r="E486" s="35"/>
      <c r="G486" s="35"/>
      <c r="H486" s="35"/>
      <c r="I486" s="35"/>
      <c r="J486" s="35"/>
      <c r="K486" s="313"/>
      <c r="L486" s="156"/>
      <c r="M486" s="35"/>
      <c r="N486" s="156"/>
      <c r="O486" s="156"/>
      <c r="P486" s="35"/>
    </row>
    <row r="487" spans="5:16">
      <c r="E487" s="35"/>
      <c r="G487" s="35"/>
      <c r="H487" s="35"/>
      <c r="I487" s="35"/>
      <c r="J487" s="35"/>
      <c r="K487" s="313"/>
      <c r="L487" s="156"/>
      <c r="M487" s="35"/>
      <c r="N487" s="156"/>
      <c r="O487" s="156"/>
      <c r="P487" s="35"/>
    </row>
    <row r="488" spans="5:16">
      <c r="E488" s="35"/>
      <c r="G488" s="35"/>
      <c r="H488" s="35"/>
      <c r="I488" s="35"/>
      <c r="J488" s="35"/>
      <c r="K488" s="313"/>
      <c r="L488" s="156"/>
      <c r="M488" s="35"/>
      <c r="N488" s="156"/>
      <c r="O488" s="156"/>
      <c r="P488" s="35"/>
    </row>
    <row r="489" spans="5:16">
      <c r="E489" s="35"/>
      <c r="G489" s="35"/>
      <c r="H489" s="35"/>
      <c r="I489" s="35"/>
      <c r="J489" s="35"/>
      <c r="K489" s="313"/>
      <c r="L489" s="156"/>
      <c r="M489" s="35"/>
      <c r="N489" s="156"/>
      <c r="O489" s="156"/>
      <c r="P489" s="35"/>
    </row>
    <row r="490" spans="5:16">
      <c r="E490" s="35"/>
      <c r="G490" s="35"/>
      <c r="H490" s="35"/>
      <c r="I490" s="35"/>
      <c r="J490" s="35"/>
      <c r="K490" s="313"/>
      <c r="L490" s="156"/>
      <c r="M490" s="35"/>
      <c r="N490" s="156"/>
      <c r="O490" s="156"/>
      <c r="P490" s="35"/>
    </row>
    <row r="491" spans="5:16">
      <c r="E491" s="35"/>
      <c r="G491" s="35"/>
      <c r="H491" s="35"/>
      <c r="I491" s="35"/>
      <c r="J491" s="35"/>
      <c r="K491" s="313"/>
      <c r="L491" s="156"/>
      <c r="M491" s="35"/>
      <c r="N491" s="156"/>
      <c r="O491" s="156"/>
      <c r="P491" s="35"/>
    </row>
    <row r="492" spans="5:16">
      <c r="E492" s="35"/>
      <c r="G492" s="35"/>
      <c r="H492" s="35"/>
      <c r="I492" s="35"/>
      <c r="J492" s="35"/>
      <c r="K492" s="313"/>
      <c r="L492" s="156"/>
      <c r="M492" s="35"/>
      <c r="N492" s="156"/>
      <c r="O492" s="156"/>
      <c r="P492" s="35"/>
    </row>
    <row r="493" spans="5:16">
      <c r="E493" s="35"/>
      <c r="G493" s="35"/>
      <c r="H493" s="35"/>
      <c r="I493" s="35"/>
      <c r="J493" s="35"/>
      <c r="K493" s="313"/>
      <c r="L493" s="156"/>
      <c r="M493" s="35"/>
      <c r="N493" s="156"/>
      <c r="O493" s="156"/>
      <c r="P493" s="35"/>
    </row>
    <row r="494" spans="5:16">
      <c r="E494" s="35"/>
      <c r="G494" s="35"/>
      <c r="H494" s="35"/>
      <c r="I494" s="35"/>
      <c r="J494" s="35"/>
      <c r="K494" s="313"/>
      <c r="L494" s="156"/>
      <c r="M494" s="35"/>
      <c r="N494" s="156"/>
      <c r="O494" s="156"/>
      <c r="P494" s="35"/>
    </row>
    <row r="495" spans="5:16">
      <c r="E495" s="35"/>
      <c r="G495" s="35"/>
      <c r="H495" s="35"/>
      <c r="I495" s="35"/>
      <c r="J495" s="35"/>
      <c r="K495" s="313"/>
      <c r="L495" s="156"/>
      <c r="M495" s="35"/>
      <c r="N495" s="156"/>
      <c r="O495" s="156"/>
      <c r="P495" s="35"/>
    </row>
    <row r="496" spans="5:16">
      <c r="E496" s="35"/>
      <c r="G496" s="35"/>
      <c r="H496" s="35"/>
      <c r="I496" s="35"/>
      <c r="J496" s="35"/>
      <c r="K496" s="313"/>
      <c r="L496" s="156"/>
      <c r="M496" s="35"/>
      <c r="N496" s="156"/>
      <c r="O496" s="156"/>
      <c r="P496" s="35"/>
    </row>
    <row r="497" spans="5:16">
      <c r="E497" s="35"/>
      <c r="G497" s="35"/>
      <c r="H497" s="35"/>
      <c r="I497" s="35"/>
      <c r="J497" s="35"/>
      <c r="K497" s="313"/>
      <c r="L497" s="156"/>
      <c r="M497" s="35"/>
      <c r="N497" s="156"/>
      <c r="O497" s="156"/>
      <c r="P497" s="35"/>
    </row>
    <row r="498" spans="5:16">
      <c r="E498" s="35"/>
      <c r="G498" s="35"/>
      <c r="H498" s="35"/>
      <c r="I498" s="35"/>
      <c r="J498" s="35"/>
      <c r="K498" s="313"/>
      <c r="L498" s="156"/>
      <c r="M498" s="35"/>
      <c r="N498" s="156"/>
      <c r="O498" s="156"/>
      <c r="P498" s="35"/>
    </row>
    <row r="499" spans="5:16">
      <c r="E499" s="35"/>
      <c r="G499" s="35"/>
      <c r="H499" s="35"/>
      <c r="I499" s="35"/>
      <c r="J499" s="35"/>
      <c r="K499" s="313"/>
      <c r="L499" s="156"/>
      <c r="M499" s="35"/>
      <c r="N499" s="156"/>
      <c r="O499" s="156"/>
      <c r="P499" s="35"/>
    </row>
    <row r="500" spans="5:16">
      <c r="E500" s="35"/>
      <c r="G500" s="35"/>
      <c r="H500" s="35"/>
      <c r="I500" s="35"/>
      <c r="J500" s="35"/>
      <c r="K500" s="313"/>
      <c r="L500" s="156"/>
      <c r="M500" s="35"/>
      <c r="N500" s="156"/>
      <c r="O500" s="156"/>
      <c r="P500" s="35"/>
    </row>
    <row r="501" spans="5:16">
      <c r="E501" s="35"/>
      <c r="G501" s="35"/>
      <c r="H501" s="35"/>
      <c r="I501" s="35"/>
      <c r="J501" s="35"/>
      <c r="K501" s="313"/>
      <c r="L501" s="156"/>
      <c r="M501" s="35"/>
      <c r="N501" s="156"/>
      <c r="O501" s="156"/>
      <c r="P501" s="35"/>
    </row>
    <row r="502" spans="5:16">
      <c r="E502" s="35"/>
      <c r="G502" s="35"/>
      <c r="H502" s="35"/>
      <c r="I502" s="35"/>
      <c r="J502" s="35"/>
      <c r="K502" s="313"/>
      <c r="L502" s="156"/>
      <c r="M502" s="35"/>
      <c r="N502" s="156"/>
      <c r="O502" s="156"/>
      <c r="P502" s="35"/>
    </row>
    <row r="503" spans="5:16">
      <c r="E503" s="35"/>
      <c r="G503" s="35"/>
      <c r="H503" s="35"/>
      <c r="I503" s="35"/>
      <c r="J503" s="35"/>
      <c r="K503" s="313"/>
      <c r="L503" s="156"/>
      <c r="M503" s="35"/>
      <c r="N503" s="156"/>
      <c r="O503" s="156"/>
      <c r="P503" s="35"/>
    </row>
    <row r="504" spans="5:16">
      <c r="E504" s="35"/>
      <c r="G504" s="35"/>
      <c r="H504" s="35"/>
      <c r="I504" s="35"/>
      <c r="J504" s="35"/>
      <c r="K504" s="313"/>
      <c r="L504" s="156"/>
      <c r="M504" s="35"/>
      <c r="N504" s="156"/>
      <c r="O504" s="156"/>
      <c r="P504" s="35"/>
    </row>
    <row r="505" spans="5:16">
      <c r="E505" s="35"/>
      <c r="G505" s="35"/>
      <c r="H505" s="35"/>
      <c r="I505" s="35"/>
      <c r="J505" s="35"/>
      <c r="K505" s="313"/>
      <c r="L505" s="156"/>
      <c r="M505" s="35"/>
      <c r="N505" s="156"/>
      <c r="O505" s="156"/>
      <c r="P505" s="35"/>
    </row>
    <row r="506" spans="5:16">
      <c r="E506" s="35"/>
      <c r="G506" s="35"/>
      <c r="H506" s="35"/>
      <c r="I506" s="35"/>
      <c r="J506" s="35"/>
      <c r="K506" s="313"/>
      <c r="L506" s="156"/>
      <c r="M506" s="35"/>
      <c r="N506" s="156"/>
      <c r="O506" s="156"/>
      <c r="P506" s="35"/>
    </row>
    <row r="507" spans="5:16">
      <c r="E507" s="35"/>
      <c r="G507" s="35"/>
      <c r="H507" s="35"/>
      <c r="I507" s="35"/>
      <c r="J507" s="35"/>
      <c r="K507" s="313"/>
      <c r="L507" s="156"/>
      <c r="M507" s="35"/>
      <c r="N507" s="156"/>
      <c r="O507" s="156"/>
      <c r="P507" s="35"/>
    </row>
    <row r="508" spans="5:16">
      <c r="E508" s="35"/>
      <c r="G508" s="35"/>
      <c r="H508" s="35"/>
      <c r="I508" s="35"/>
      <c r="J508" s="35"/>
      <c r="K508" s="313"/>
      <c r="L508" s="156"/>
      <c r="M508" s="35"/>
      <c r="N508" s="156"/>
      <c r="O508" s="156"/>
      <c r="P508" s="35"/>
    </row>
    <row r="509" spans="5:16">
      <c r="E509" s="35"/>
      <c r="G509" s="35"/>
      <c r="H509" s="35"/>
      <c r="I509" s="35"/>
      <c r="J509" s="35"/>
      <c r="K509" s="313"/>
      <c r="L509" s="156"/>
      <c r="M509" s="35"/>
      <c r="N509" s="156"/>
      <c r="O509" s="156"/>
      <c r="P509" s="35"/>
    </row>
    <row r="510" spans="5:16">
      <c r="E510" s="35"/>
      <c r="G510" s="35"/>
      <c r="H510" s="35"/>
      <c r="I510" s="35"/>
      <c r="J510" s="35"/>
      <c r="K510" s="313"/>
      <c r="L510" s="156"/>
      <c r="M510" s="35"/>
      <c r="N510" s="156"/>
      <c r="O510" s="156"/>
      <c r="P510" s="35"/>
    </row>
    <row r="511" spans="5:16">
      <c r="E511" s="35"/>
      <c r="G511" s="35"/>
      <c r="H511" s="35"/>
      <c r="I511" s="35"/>
      <c r="J511" s="35"/>
      <c r="K511" s="313"/>
      <c r="L511" s="156"/>
      <c r="M511" s="35"/>
      <c r="N511" s="156"/>
      <c r="O511" s="156"/>
      <c r="P511" s="35"/>
    </row>
    <row r="512" spans="5:16">
      <c r="E512" s="35"/>
      <c r="G512" s="35"/>
      <c r="H512" s="35"/>
      <c r="I512" s="35"/>
      <c r="J512" s="35"/>
      <c r="K512" s="313"/>
      <c r="L512" s="156"/>
      <c r="M512" s="35"/>
      <c r="N512" s="156"/>
      <c r="O512" s="156"/>
      <c r="P512" s="35"/>
    </row>
    <row r="513" spans="5:16">
      <c r="E513" s="35"/>
      <c r="G513" s="35"/>
      <c r="H513" s="35"/>
      <c r="I513" s="35"/>
      <c r="J513" s="35"/>
      <c r="K513" s="313"/>
      <c r="L513" s="156"/>
      <c r="M513" s="35"/>
      <c r="N513" s="156"/>
      <c r="O513" s="156"/>
      <c r="P513" s="35"/>
    </row>
    <row r="514" spans="5:16">
      <c r="E514" s="35"/>
      <c r="G514" s="35"/>
      <c r="H514" s="35"/>
      <c r="I514" s="35"/>
      <c r="J514" s="35"/>
      <c r="K514" s="313"/>
      <c r="L514" s="156"/>
      <c r="M514" s="35"/>
      <c r="N514" s="156"/>
      <c r="O514" s="156"/>
      <c r="P514" s="35"/>
    </row>
    <row r="515" spans="5:16">
      <c r="E515" s="35"/>
      <c r="G515" s="35"/>
      <c r="H515" s="35"/>
      <c r="I515" s="35"/>
      <c r="J515" s="35"/>
      <c r="K515" s="313"/>
      <c r="L515" s="156"/>
      <c r="M515" s="35"/>
      <c r="N515" s="156"/>
      <c r="O515" s="156"/>
      <c r="P515" s="35"/>
    </row>
    <row r="516" spans="5:16">
      <c r="E516" s="35"/>
      <c r="G516" s="35"/>
      <c r="H516" s="35"/>
      <c r="I516" s="35"/>
      <c r="J516" s="35"/>
      <c r="K516" s="313"/>
      <c r="L516" s="156"/>
      <c r="M516" s="35"/>
      <c r="N516" s="156"/>
      <c r="O516" s="156"/>
      <c r="P516" s="35"/>
    </row>
    <row r="517" spans="5:16">
      <c r="E517" s="35"/>
      <c r="G517" s="35"/>
      <c r="H517" s="35"/>
      <c r="I517" s="35"/>
      <c r="J517" s="35"/>
      <c r="K517" s="313"/>
      <c r="L517" s="156"/>
      <c r="M517" s="35"/>
      <c r="N517" s="156"/>
      <c r="O517" s="156"/>
      <c r="P517" s="35"/>
    </row>
    <row r="518" spans="5:16">
      <c r="E518" s="35"/>
      <c r="G518" s="35"/>
      <c r="H518" s="35"/>
      <c r="I518" s="35"/>
      <c r="J518" s="35"/>
      <c r="K518" s="313"/>
      <c r="L518" s="156"/>
      <c r="M518" s="35"/>
      <c r="N518" s="156"/>
      <c r="O518" s="156"/>
      <c r="P518" s="35"/>
    </row>
    <row r="519" spans="5:16">
      <c r="E519" s="35"/>
      <c r="G519" s="35"/>
      <c r="H519" s="35"/>
      <c r="I519" s="35"/>
      <c r="J519" s="35"/>
      <c r="K519" s="313"/>
      <c r="L519" s="156"/>
      <c r="M519" s="35"/>
      <c r="N519" s="156"/>
      <c r="O519" s="156"/>
      <c r="P519" s="35"/>
    </row>
    <row r="520" spans="5:16">
      <c r="E520" s="35"/>
      <c r="G520" s="35"/>
      <c r="H520" s="35"/>
      <c r="I520" s="35"/>
      <c r="J520" s="35"/>
      <c r="K520" s="313"/>
      <c r="L520" s="156"/>
      <c r="M520" s="35"/>
      <c r="N520" s="156"/>
      <c r="O520" s="156"/>
      <c r="P520" s="35"/>
    </row>
    <row r="521" spans="5:16">
      <c r="E521" s="35"/>
      <c r="G521" s="35"/>
      <c r="H521" s="35"/>
      <c r="I521" s="35"/>
      <c r="J521" s="35"/>
      <c r="K521" s="313"/>
      <c r="L521" s="156"/>
      <c r="M521" s="35"/>
      <c r="N521" s="156"/>
      <c r="O521" s="156"/>
      <c r="P521" s="35"/>
    </row>
    <row r="522" spans="5:16">
      <c r="E522" s="35"/>
      <c r="G522" s="35"/>
      <c r="H522" s="35"/>
      <c r="I522" s="35"/>
      <c r="J522" s="35"/>
      <c r="K522" s="313"/>
      <c r="L522" s="156"/>
      <c r="M522" s="35"/>
      <c r="N522" s="156"/>
      <c r="O522" s="156"/>
      <c r="P522" s="35"/>
    </row>
    <row r="523" spans="5:16">
      <c r="E523" s="35"/>
      <c r="G523" s="35"/>
      <c r="H523" s="35"/>
      <c r="I523" s="35"/>
      <c r="J523" s="35"/>
      <c r="K523" s="313"/>
      <c r="L523" s="156"/>
      <c r="M523" s="35"/>
      <c r="N523" s="156"/>
      <c r="O523" s="156"/>
      <c r="P523" s="35"/>
    </row>
    <row r="524" spans="5:16">
      <c r="E524" s="35"/>
      <c r="G524" s="35"/>
      <c r="H524" s="35"/>
      <c r="I524" s="35"/>
      <c r="J524" s="35"/>
      <c r="K524" s="313"/>
      <c r="L524" s="156"/>
      <c r="M524" s="35"/>
      <c r="N524" s="156"/>
      <c r="O524" s="156"/>
      <c r="P524" s="35"/>
    </row>
    <row r="525" spans="5:16">
      <c r="E525" s="35"/>
      <c r="G525" s="35"/>
      <c r="H525" s="35"/>
      <c r="I525" s="35"/>
      <c r="J525" s="35"/>
      <c r="K525" s="313"/>
      <c r="L525" s="156"/>
      <c r="M525" s="35"/>
      <c r="N525" s="156"/>
      <c r="O525" s="156"/>
      <c r="P525" s="35"/>
    </row>
    <row r="526" spans="5:16">
      <c r="E526" s="35"/>
      <c r="G526" s="35"/>
      <c r="H526" s="35"/>
      <c r="I526" s="35"/>
      <c r="J526" s="35"/>
      <c r="K526" s="313"/>
      <c r="L526" s="156"/>
      <c r="M526" s="35"/>
      <c r="N526" s="156"/>
      <c r="O526" s="156"/>
      <c r="P526" s="35"/>
    </row>
    <row r="527" spans="5:16">
      <c r="E527" s="35"/>
      <c r="G527" s="35"/>
      <c r="H527" s="35"/>
      <c r="I527" s="35"/>
      <c r="J527" s="35"/>
      <c r="K527" s="313"/>
      <c r="L527" s="156"/>
      <c r="M527" s="35"/>
      <c r="N527" s="156"/>
      <c r="O527" s="156"/>
      <c r="P527" s="35"/>
    </row>
    <row r="528" spans="5:16">
      <c r="E528" s="35"/>
      <c r="G528" s="35"/>
      <c r="H528" s="35"/>
      <c r="I528" s="35"/>
      <c r="J528" s="35"/>
      <c r="K528" s="313"/>
      <c r="L528" s="156"/>
      <c r="M528" s="35"/>
      <c r="N528" s="156"/>
      <c r="O528" s="156"/>
      <c r="P528" s="35"/>
    </row>
    <row r="529" spans="5:16">
      <c r="E529" s="35"/>
      <c r="G529" s="35"/>
      <c r="H529" s="35"/>
      <c r="I529" s="35"/>
      <c r="J529" s="35"/>
      <c r="K529" s="313"/>
      <c r="L529" s="156"/>
      <c r="M529" s="35"/>
      <c r="N529" s="156"/>
      <c r="O529" s="156"/>
      <c r="P529" s="35"/>
    </row>
    <row r="530" spans="5:16">
      <c r="E530" s="35"/>
      <c r="G530" s="35"/>
      <c r="H530" s="35"/>
      <c r="I530" s="35"/>
      <c r="J530" s="35"/>
      <c r="K530" s="313"/>
      <c r="L530" s="156"/>
      <c r="M530" s="35"/>
      <c r="N530" s="156"/>
      <c r="O530" s="156"/>
      <c r="P530" s="35"/>
    </row>
    <row r="531" spans="5:16">
      <c r="E531" s="35"/>
      <c r="G531" s="35"/>
      <c r="H531" s="35"/>
      <c r="I531" s="35"/>
      <c r="J531" s="35"/>
      <c r="K531" s="313"/>
      <c r="L531" s="156"/>
      <c r="M531" s="35"/>
      <c r="N531" s="156"/>
      <c r="O531" s="156"/>
      <c r="P531" s="35"/>
    </row>
    <row r="532" spans="5:16">
      <c r="E532" s="35"/>
      <c r="G532" s="35"/>
      <c r="H532" s="35"/>
      <c r="I532" s="35"/>
      <c r="J532" s="35"/>
      <c r="K532" s="313"/>
      <c r="L532" s="156"/>
      <c r="M532" s="35"/>
      <c r="N532" s="156"/>
      <c r="O532" s="156"/>
      <c r="P532" s="35"/>
    </row>
    <row r="533" spans="5:16">
      <c r="E533" s="35"/>
      <c r="G533" s="35"/>
      <c r="H533" s="35"/>
      <c r="I533" s="35"/>
      <c r="J533" s="35"/>
      <c r="K533" s="313"/>
      <c r="L533" s="156"/>
      <c r="M533" s="35"/>
      <c r="N533" s="156"/>
      <c r="O533" s="156"/>
      <c r="P533" s="35"/>
    </row>
    <row r="534" spans="5:16">
      <c r="E534" s="35"/>
      <c r="G534" s="35"/>
      <c r="H534" s="35"/>
      <c r="I534" s="35"/>
      <c r="J534" s="35"/>
      <c r="K534" s="313"/>
      <c r="L534" s="156"/>
      <c r="M534" s="35"/>
      <c r="N534" s="156"/>
      <c r="O534" s="156"/>
      <c r="P534" s="35"/>
    </row>
    <row r="535" spans="5:16">
      <c r="E535" s="35"/>
      <c r="G535" s="35"/>
      <c r="H535" s="35"/>
      <c r="I535" s="35"/>
      <c r="J535" s="35"/>
      <c r="K535" s="313"/>
      <c r="L535" s="156"/>
      <c r="M535" s="35"/>
      <c r="N535" s="156"/>
      <c r="O535" s="156"/>
      <c r="P535" s="35"/>
    </row>
    <row r="536" spans="5:16">
      <c r="E536" s="35"/>
      <c r="G536" s="35"/>
      <c r="H536" s="35"/>
      <c r="I536" s="35"/>
      <c r="J536" s="35"/>
      <c r="K536" s="313"/>
      <c r="L536" s="156"/>
      <c r="M536" s="35"/>
      <c r="N536" s="156"/>
      <c r="O536" s="156"/>
      <c r="P536" s="35"/>
    </row>
    <row r="537" spans="5:16">
      <c r="E537" s="35"/>
      <c r="G537" s="35"/>
      <c r="H537" s="35"/>
      <c r="I537" s="35"/>
      <c r="J537" s="35"/>
      <c r="K537" s="313"/>
      <c r="L537" s="156"/>
      <c r="M537" s="35"/>
      <c r="N537" s="156"/>
      <c r="O537" s="156"/>
      <c r="P537" s="35"/>
    </row>
    <row r="538" spans="5:16">
      <c r="E538" s="35"/>
      <c r="G538" s="35"/>
      <c r="H538" s="35"/>
      <c r="I538" s="35"/>
      <c r="J538" s="35"/>
      <c r="K538" s="313"/>
      <c r="L538" s="156"/>
      <c r="M538" s="35"/>
      <c r="N538" s="156"/>
      <c r="O538" s="156"/>
      <c r="P538" s="35"/>
    </row>
    <row r="539" spans="5:16">
      <c r="E539" s="35"/>
      <c r="G539" s="35"/>
      <c r="H539" s="35"/>
      <c r="I539" s="35"/>
      <c r="J539" s="35"/>
      <c r="K539" s="313"/>
      <c r="L539" s="156"/>
      <c r="M539" s="35"/>
      <c r="N539" s="156"/>
      <c r="O539" s="156"/>
      <c r="P539" s="35"/>
    </row>
    <row r="540" spans="5:16">
      <c r="E540" s="35"/>
      <c r="G540" s="35"/>
      <c r="H540" s="35"/>
      <c r="I540" s="35"/>
      <c r="J540" s="35"/>
      <c r="K540" s="313"/>
      <c r="L540" s="156"/>
      <c r="M540" s="35"/>
      <c r="N540" s="156"/>
      <c r="O540" s="156"/>
      <c r="P540" s="35"/>
    </row>
    <row r="541" spans="5:16">
      <c r="E541" s="35"/>
      <c r="G541" s="35"/>
      <c r="H541" s="35"/>
      <c r="I541" s="35"/>
      <c r="J541" s="35"/>
      <c r="K541" s="313"/>
      <c r="L541" s="156"/>
      <c r="M541" s="35"/>
      <c r="N541" s="156"/>
      <c r="O541" s="156"/>
      <c r="P541" s="35"/>
    </row>
    <row r="542" spans="5:16">
      <c r="E542" s="35"/>
      <c r="G542" s="35"/>
      <c r="H542" s="35"/>
      <c r="I542" s="35"/>
      <c r="J542" s="35"/>
      <c r="K542" s="313"/>
      <c r="L542" s="156"/>
      <c r="M542" s="35"/>
      <c r="N542" s="156"/>
      <c r="O542" s="156"/>
      <c r="P542" s="35"/>
    </row>
    <row r="543" spans="5:16">
      <c r="E543" s="35"/>
      <c r="G543" s="35"/>
      <c r="H543" s="35"/>
      <c r="I543" s="35"/>
      <c r="J543" s="35"/>
      <c r="K543" s="313"/>
      <c r="L543" s="156"/>
      <c r="M543" s="35"/>
      <c r="N543" s="156"/>
      <c r="O543" s="156"/>
      <c r="P543" s="35"/>
    </row>
    <row r="544" spans="5:16">
      <c r="E544" s="35"/>
      <c r="G544" s="35"/>
      <c r="H544" s="35"/>
      <c r="I544" s="35"/>
      <c r="J544" s="35"/>
      <c r="K544" s="313"/>
      <c r="L544" s="156"/>
      <c r="M544" s="35"/>
      <c r="N544" s="156"/>
      <c r="O544" s="156"/>
      <c r="P544" s="35"/>
    </row>
    <row r="545" spans="5:16">
      <c r="E545" s="35"/>
      <c r="G545" s="35"/>
      <c r="H545" s="35"/>
      <c r="I545" s="35"/>
      <c r="J545" s="35"/>
      <c r="K545" s="313"/>
      <c r="L545" s="156"/>
      <c r="M545" s="35"/>
      <c r="N545" s="156"/>
      <c r="O545" s="156"/>
      <c r="P545" s="35"/>
    </row>
    <row r="546" spans="5:16">
      <c r="E546" s="35"/>
      <c r="G546" s="35"/>
      <c r="H546" s="35"/>
      <c r="I546" s="35"/>
      <c r="J546" s="35"/>
      <c r="K546" s="313"/>
      <c r="L546" s="156"/>
      <c r="M546" s="35"/>
      <c r="N546" s="156"/>
      <c r="O546" s="156"/>
      <c r="P546" s="35"/>
    </row>
    <row r="547" spans="5:16">
      <c r="E547" s="35"/>
      <c r="G547" s="35"/>
      <c r="H547" s="35"/>
      <c r="I547" s="35"/>
      <c r="J547" s="35"/>
      <c r="K547" s="313"/>
      <c r="L547" s="156"/>
      <c r="M547" s="35"/>
      <c r="N547" s="156"/>
      <c r="O547" s="156"/>
      <c r="P547" s="35"/>
    </row>
    <row r="548" spans="5:16">
      <c r="E548" s="35"/>
      <c r="G548" s="35"/>
      <c r="H548" s="35"/>
      <c r="I548" s="35"/>
      <c r="J548" s="35"/>
      <c r="K548" s="313"/>
      <c r="L548" s="156"/>
      <c r="M548" s="35"/>
      <c r="N548" s="156"/>
      <c r="O548" s="156"/>
      <c r="P548" s="35"/>
    </row>
    <row r="549" spans="5:16">
      <c r="E549" s="35"/>
      <c r="G549" s="35"/>
      <c r="H549" s="35"/>
      <c r="I549" s="35"/>
      <c r="J549" s="35"/>
      <c r="K549" s="313"/>
      <c r="L549" s="156"/>
      <c r="M549" s="35"/>
      <c r="N549" s="156"/>
      <c r="O549" s="156"/>
      <c r="P549" s="35"/>
    </row>
    <row r="550" spans="5:16">
      <c r="E550" s="35"/>
      <c r="G550" s="35"/>
      <c r="H550" s="35"/>
      <c r="I550" s="35"/>
      <c r="J550" s="35"/>
      <c r="K550" s="313"/>
      <c r="L550" s="156"/>
      <c r="M550" s="35"/>
      <c r="N550" s="156"/>
      <c r="O550" s="156"/>
      <c r="P550" s="35"/>
    </row>
    <row r="551" spans="5:16">
      <c r="E551" s="35"/>
      <c r="G551" s="35"/>
      <c r="H551" s="35"/>
      <c r="I551" s="35"/>
      <c r="J551" s="35"/>
      <c r="K551" s="313"/>
      <c r="L551" s="156"/>
      <c r="M551" s="35"/>
      <c r="N551" s="156"/>
      <c r="O551" s="156"/>
      <c r="P551" s="35"/>
    </row>
    <row r="552" spans="5:16">
      <c r="E552" s="35"/>
      <c r="G552" s="35"/>
      <c r="H552" s="35"/>
      <c r="I552" s="35"/>
      <c r="J552" s="35"/>
      <c r="K552" s="313"/>
      <c r="L552" s="156"/>
      <c r="M552" s="35"/>
      <c r="N552" s="156"/>
      <c r="O552" s="156"/>
      <c r="P552" s="35"/>
    </row>
    <row r="553" spans="5:16">
      <c r="E553" s="35"/>
      <c r="G553" s="35"/>
      <c r="H553" s="35"/>
      <c r="I553" s="35"/>
      <c r="J553" s="35"/>
      <c r="K553" s="313"/>
      <c r="L553" s="156"/>
      <c r="M553" s="35"/>
      <c r="N553" s="156"/>
      <c r="O553" s="156"/>
      <c r="P553" s="35"/>
    </row>
    <row r="554" spans="5:16">
      <c r="E554" s="35"/>
      <c r="G554" s="35"/>
      <c r="H554" s="35"/>
      <c r="I554" s="35"/>
      <c r="J554" s="35"/>
      <c r="K554" s="313"/>
      <c r="L554" s="156"/>
      <c r="M554" s="35"/>
      <c r="N554" s="156"/>
      <c r="O554" s="156"/>
      <c r="P554" s="35"/>
    </row>
    <row r="555" spans="5:16">
      <c r="E555" s="35"/>
      <c r="G555" s="35"/>
      <c r="H555" s="35"/>
      <c r="I555" s="35"/>
      <c r="J555" s="35"/>
      <c r="K555" s="313"/>
      <c r="L555" s="156"/>
      <c r="M555" s="35"/>
      <c r="N555" s="156"/>
      <c r="O555" s="156"/>
      <c r="P555" s="35"/>
    </row>
    <row r="556" spans="5:16">
      <c r="E556" s="35"/>
      <c r="G556" s="35"/>
      <c r="H556" s="35"/>
      <c r="I556" s="35"/>
      <c r="J556" s="35"/>
      <c r="K556" s="313"/>
      <c r="L556" s="156"/>
      <c r="M556" s="35"/>
      <c r="N556" s="156"/>
      <c r="O556" s="156"/>
      <c r="P556" s="35"/>
    </row>
    <row r="557" spans="5:16">
      <c r="E557" s="35"/>
      <c r="G557" s="35"/>
      <c r="H557" s="35"/>
      <c r="I557" s="35"/>
      <c r="J557" s="35"/>
      <c r="K557" s="313"/>
      <c r="L557" s="156"/>
      <c r="M557" s="35"/>
      <c r="N557" s="156"/>
      <c r="O557" s="156"/>
      <c r="P557" s="35"/>
    </row>
    <row r="558" spans="5:16">
      <c r="E558" s="35"/>
      <c r="G558" s="35"/>
      <c r="H558" s="35"/>
      <c r="I558" s="35"/>
      <c r="J558" s="35"/>
      <c r="K558" s="313"/>
      <c r="L558" s="156"/>
      <c r="M558" s="35"/>
      <c r="N558" s="156"/>
      <c r="O558" s="156"/>
      <c r="P558" s="35"/>
    </row>
    <row r="559" spans="5:16">
      <c r="E559" s="35"/>
      <c r="G559" s="35"/>
      <c r="H559" s="35"/>
      <c r="I559" s="35"/>
      <c r="J559" s="35"/>
      <c r="K559" s="313"/>
      <c r="L559" s="156"/>
      <c r="M559" s="35"/>
      <c r="N559" s="156"/>
      <c r="O559" s="156"/>
      <c r="P559" s="35"/>
    </row>
    <row r="560" spans="5:16">
      <c r="E560" s="35"/>
      <c r="G560" s="35"/>
      <c r="H560" s="35"/>
      <c r="I560" s="35"/>
      <c r="J560" s="35"/>
      <c r="K560" s="313"/>
      <c r="L560" s="156"/>
      <c r="M560" s="35"/>
      <c r="N560" s="156"/>
      <c r="O560" s="156"/>
      <c r="P560" s="35"/>
    </row>
    <row r="561" spans="5:16">
      <c r="E561" s="35"/>
      <c r="G561" s="35"/>
      <c r="H561" s="35"/>
      <c r="I561" s="35"/>
      <c r="J561" s="35"/>
      <c r="K561" s="313"/>
      <c r="L561" s="156"/>
      <c r="M561" s="35"/>
      <c r="N561" s="156"/>
      <c r="O561" s="156"/>
      <c r="P561" s="35"/>
    </row>
    <row r="562" spans="5:16">
      <c r="E562" s="35"/>
      <c r="G562" s="35"/>
      <c r="H562" s="35"/>
      <c r="I562" s="35"/>
      <c r="J562" s="35"/>
      <c r="K562" s="313"/>
      <c r="L562" s="156"/>
      <c r="M562" s="35"/>
      <c r="N562" s="156"/>
      <c r="O562" s="156"/>
      <c r="P562" s="35"/>
    </row>
    <row r="563" spans="5:16">
      <c r="E563" s="35"/>
      <c r="G563" s="35"/>
      <c r="H563" s="35"/>
      <c r="I563" s="35"/>
      <c r="J563" s="35"/>
      <c r="K563" s="313"/>
      <c r="L563" s="156"/>
      <c r="M563" s="35"/>
      <c r="N563" s="156"/>
      <c r="O563" s="156"/>
      <c r="P563" s="35"/>
    </row>
    <row r="564" spans="5:16">
      <c r="E564" s="35"/>
      <c r="G564" s="35"/>
      <c r="H564" s="35"/>
      <c r="I564" s="35"/>
      <c r="J564" s="35"/>
      <c r="K564" s="313"/>
      <c r="L564" s="156"/>
      <c r="M564" s="35"/>
      <c r="N564" s="156"/>
      <c r="O564" s="156"/>
      <c r="P564" s="35"/>
    </row>
    <row r="565" spans="5:16">
      <c r="E565" s="35"/>
      <c r="G565" s="35"/>
      <c r="H565" s="35"/>
      <c r="I565" s="35"/>
      <c r="J565" s="35"/>
      <c r="K565" s="313"/>
      <c r="L565" s="156"/>
      <c r="M565" s="35"/>
      <c r="N565" s="156"/>
      <c r="O565" s="156"/>
      <c r="P565" s="35"/>
    </row>
    <row r="566" spans="5:16">
      <c r="E566" s="35"/>
      <c r="G566" s="35"/>
      <c r="H566" s="35"/>
      <c r="I566" s="35"/>
      <c r="J566" s="35"/>
      <c r="K566" s="313"/>
      <c r="L566" s="156"/>
      <c r="M566" s="35"/>
      <c r="N566" s="156"/>
      <c r="O566" s="156"/>
      <c r="P566" s="35"/>
    </row>
    <row r="567" spans="5:16">
      <c r="E567" s="35"/>
      <c r="G567" s="35"/>
      <c r="H567" s="35"/>
      <c r="I567" s="35"/>
      <c r="J567" s="35"/>
      <c r="K567" s="313"/>
      <c r="L567" s="156"/>
      <c r="M567" s="35"/>
      <c r="N567" s="156"/>
      <c r="O567" s="156"/>
      <c r="P567" s="35"/>
    </row>
    <row r="568" spans="5:16">
      <c r="E568" s="35"/>
      <c r="G568" s="35"/>
      <c r="H568" s="35"/>
      <c r="I568" s="35"/>
      <c r="J568" s="35"/>
      <c r="K568" s="313"/>
      <c r="L568" s="156"/>
      <c r="M568" s="35"/>
      <c r="N568" s="156"/>
      <c r="O568" s="156"/>
      <c r="P568" s="35"/>
    </row>
    <row r="569" spans="5:16">
      <c r="E569" s="35"/>
      <c r="G569" s="35"/>
      <c r="H569" s="35"/>
      <c r="I569" s="35"/>
      <c r="J569" s="35"/>
      <c r="K569" s="313"/>
      <c r="L569" s="156"/>
      <c r="M569" s="35"/>
      <c r="N569" s="156"/>
      <c r="O569" s="156"/>
      <c r="P569" s="35"/>
    </row>
    <row r="570" spans="5:16">
      <c r="E570" s="35"/>
      <c r="G570" s="35"/>
      <c r="H570" s="35"/>
      <c r="I570" s="35"/>
      <c r="J570" s="35"/>
      <c r="K570" s="313"/>
      <c r="L570" s="156"/>
      <c r="M570" s="35"/>
      <c r="N570" s="156"/>
      <c r="O570" s="156"/>
      <c r="P570" s="35"/>
    </row>
    <row r="571" spans="5:16">
      <c r="E571" s="35"/>
      <c r="G571" s="35"/>
      <c r="H571" s="35"/>
      <c r="I571" s="35"/>
      <c r="J571" s="35"/>
      <c r="K571" s="313"/>
      <c r="L571" s="156"/>
      <c r="M571" s="35"/>
      <c r="N571" s="156"/>
      <c r="O571" s="156"/>
      <c r="P571" s="35"/>
    </row>
    <row r="572" spans="5:16">
      <c r="E572" s="35"/>
      <c r="G572" s="35"/>
      <c r="H572" s="35"/>
      <c r="I572" s="35"/>
      <c r="J572" s="35"/>
      <c r="K572" s="313"/>
      <c r="L572" s="156"/>
      <c r="M572" s="35"/>
      <c r="N572" s="156"/>
      <c r="O572" s="156"/>
      <c r="P572" s="35"/>
    </row>
    <row r="573" spans="5:16">
      <c r="E573" s="35"/>
      <c r="G573" s="35"/>
      <c r="H573" s="35"/>
      <c r="I573" s="35"/>
      <c r="J573" s="35"/>
      <c r="K573" s="313"/>
      <c r="L573" s="156"/>
      <c r="M573" s="35"/>
      <c r="N573" s="156"/>
      <c r="O573" s="156"/>
      <c r="P573" s="35"/>
    </row>
    <row r="574" spans="5:16">
      <c r="E574" s="35"/>
      <c r="G574" s="35"/>
      <c r="H574" s="35"/>
      <c r="I574" s="35"/>
      <c r="J574" s="35"/>
      <c r="K574" s="313"/>
      <c r="L574" s="156"/>
      <c r="M574" s="35"/>
      <c r="N574" s="156"/>
      <c r="O574" s="156"/>
      <c r="P574" s="35"/>
    </row>
    <row r="575" spans="5:16">
      <c r="E575" s="35"/>
      <c r="G575" s="35"/>
      <c r="H575" s="35"/>
      <c r="I575" s="35"/>
      <c r="J575" s="35"/>
      <c r="K575" s="313"/>
      <c r="L575" s="156"/>
      <c r="M575" s="35"/>
      <c r="N575" s="156"/>
      <c r="O575" s="156"/>
      <c r="P575" s="35"/>
    </row>
    <row r="576" spans="5:16">
      <c r="E576" s="35"/>
      <c r="G576" s="35"/>
      <c r="H576" s="35"/>
      <c r="I576" s="35"/>
      <c r="J576" s="35"/>
      <c r="K576" s="313"/>
      <c r="L576" s="156"/>
      <c r="M576" s="35"/>
      <c r="N576" s="156"/>
      <c r="O576" s="156"/>
      <c r="P576" s="35"/>
    </row>
    <row r="577" spans="5:16">
      <c r="E577" s="35"/>
      <c r="G577" s="35"/>
      <c r="H577" s="35"/>
      <c r="I577" s="35"/>
      <c r="J577" s="35"/>
      <c r="K577" s="313"/>
      <c r="L577" s="156"/>
      <c r="M577" s="35"/>
      <c r="N577" s="156"/>
      <c r="O577" s="156"/>
      <c r="P577" s="35"/>
    </row>
    <row r="578" spans="5:16">
      <c r="E578" s="35"/>
      <c r="G578" s="35"/>
      <c r="H578" s="35"/>
      <c r="I578" s="35"/>
      <c r="J578" s="35"/>
      <c r="K578" s="313"/>
      <c r="L578" s="156"/>
      <c r="M578" s="35"/>
      <c r="N578" s="156"/>
      <c r="O578" s="156"/>
      <c r="P578" s="35"/>
    </row>
    <row r="579" spans="5:16">
      <c r="E579" s="35"/>
      <c r="G579" s="35"/>
      <c r="H579" s="35"/>
      <c r="I579" s="35"/>
      <c r="J579" s="35"/>
      <c r="K579" s="313"/>
      <c r="L579" s="156"/>
      <c r="M579" s="35"/>
      <c r="N579" s="156"/>
      <c r="O579" s="156"/>
      <c r="P579" s="35"/>
    </row>
    <row r="580" spans="5:16">
      <c r="E580" s="35"/>
      <c r="G580" s="35"/>
      <c r="H580" s="35"/>
      <c r="I580" s="35"/>
      <c r="J580" s="35"/>
      <c r="K580" s="313"/>
      <c r="L580" s="156"/>
      <c r="M580" s="35"/>
      <c r="N580" s="156"/>
      <c r="O580" s="156"/>
      <c r="P580" s="35"/>
    </row>
    <row r="581" spans="5:16">
      <c r="E581" s="35"/>
      <c r="G581" s="35"/>
      <c r="H581" s="35"/>
      <c r="I581" s="35"/>
      <c r="J581" s="35"/>
      <c r="K581" s="313"/>
      <c r="L581" s="156"/>
      <c r="M581" s="35"/>
      <c r="N581" s="156"/>
      <c r="O581" s="156"/>
      <c r="P581" s="35"/>
    </row>
    <row r="582" spans="5:16">
      <c r="E582" s="35"/>
      <c r="G582" s="35"/>
      <c r="H582" s="35"/>
      <c r="I582" s="35"/>
      <c r="J582" s="35"/>
      <c r="K582" s="313"/>
      <c r="L582" s="156"/>
      <c r="M582" s="35"/>
      <c r="N582" s="156"/>
      <c r="O582" s="156"/>
      <c r="P582" s="35"/>
    </row>
    <row r="583" spans="5:16">
      <c r="E583" s="35"/>
      <c r="G583" s="35"/>
      <c r="H583" s="35"/>
      <c r="I583" s="35"/>
      <c r="J583" s="35"/>
      <c r="K583" s="313"/>
      <c r="L583" s="156"/>
      <c r="M583" s="35"/>
      <c r="N583" s="156"/>
      <c r="O583" s="156"/>
      <c r="P583" s="35"/>
    </row>
    <row r="584" spans="5:16">
      <c r="E584" s="35"/>
      <c r="G584" s="35"/>
      <c r="H584" s="35"/>
      <c r="I584" s="35"/>
      <c r="J584" s="35"/>
      <c r="K584" s="313"/>
      <c r="L584" s="156"/>
      <c r="M584" s="35"/>
      <c r="N584" s="156"/>
      <c r="O584" s="156"/>
      <c r="P584" s="35"/>
    </row>
    <row r="585" spans="5:16">
      <c r="E585" s="35"/>
      <c r="G585" s="35"/>
      <c r="H585" s="35"/>
      <c r="I585" s="35"/>
      <c r="J585" s="35"/>
      <c r="K585" s="313"/>
      <c r="L585" s="156"/>
      <c r="M585" s="35"/>
      <c r="N585" s="156"/>
      <c r="O585" s="156"/>
      <c r="P585" s="35"/>
    </row>
    <row r="586" spans="5:16">
      <c r="E586" s="35"/>
      <c r="G586" s="35"/>
      <c r="H586" s="35"/>
      <c r="I586" s="35"/>
      <c r="J586" s="35"/>
      <c r="K586" s="313"/>
      <c r="L586" s="156"/>
      <c r="M586" s="35"/>
      <c r="N586" s="156"/>
      <c r="O586" s="156"/>
      <c r="P586" s="35"/>
    </row>
    <row r="587" spans="5:16">
      <c r="E587" s="35"/>
      <c r="G587" s="35"/>
      <c r="H587" s="35"/>
      <c r="I587" s="35"/>
      <c r="J587" s="35"/>
      <c r="K587" s="313"/>
      <c r="L587" s="156"/>
      <c r="M587" s="35"/>
      <c r="N587" s="156"/>
      <c r="O587" s="156"/>
      <c r="P587" s="35"/>
    </row>
    <row r="588" spans="5:16">
      <c r="E588" s="35"/>
      <c r="G588" s="35"/>
      <c r="H588" s="35"/>
      <c r="I588" s="35"/>
      <c r="J588" s="35"/>
      <c r="K588" s="313"/>
      <c r="L588" s="156"/>
      <c r="M588" s="35"/>
      <c r="N588" s="156"/>
      <c r="O588" s="156"/>
      <c r="P588" s="35"/>
    </row>
    <row r="589" spans="5:16">
      <c r="E589" s="35"/>
      <c r="G589" s="35"/>
      <c r="H589" s="35"/>
      <c r="I589" s="35"/>
      <c r="J589" s="35"/>
      <c r="K589" s="313"/>
      <c r="L589" s="156"/>
      <c r="M589" s="35"/>
      <c r="N589" s="156"/>
      <c r="O589" s="156"/>
      <c r="P589" s="35"/>
    </row>
    <row r="590" spans="5:16">
      <c r="E590" s="35"/>
      <c r="G590" s="35"/>
      <c r="H590" s="35"/>
      <c r="I590" s="35"/>
      <c r="J590" s="35"/>
      <c r="K590" s="313"/>
      <c r="L590" s="156"/>
      <c r="M590" s="35"/>
      <c r="N590" s="156"/>
      <c r="O590" s="156"/>
      <c r="P590" s="35"/>
    </row>
    <row r="591" spans="5:16">
      <c r="E591" s="35"/>
      <c r="G591" s="35"/>
      <c r="H591" s="35"/>
      <c r="I591" s="35"/>
      <c r="J591" s="35"/>
      <c r="K591" s="313"/>
      <c r="L591" s="156"/>
      <c r="M591" s="35"/>
      <c r="N591" s="156"/>
      <c r="O591" s="156"/>
      <c r="P591" s="35"/>
    </row>
    <row r="592" spans="5:16">
      <c r="E592" s="35"/>
      <c r="G592" s="35"/>
      <c r="H592" s="35"/>
      <c r="I592" s="35"/>
      <c r="J592" s="35"/>
      <c r="K592" s="313"/>
      <c r="L592" s="156"/>
      <c r="M592" s="35"/>
      <c r="N592" s="156"/>
      <c r="O592" s="156"/>
      <c r="P592" s="35"/>
    </row>
    <row r="593" spans="5:16">
      <c r="E593" s="35"/>
      <c r="G593" s="35"/>
      <c r="H593" s="35"/>
      <c r="I593" s="35"/>
      <c r="J593" s="35"/>
      <c r="K593" s="313"/>
      <c r="L593" s="156"/>
      <c r="M593" s="35"/>
      <c r="N593" s="156"/>
      <c r="O593" s="156"/>
      <c r="P593" s="35"/>
    </row>
    <row r="594" spans="5:16">
      <c r="E594" s="35"/>
      <c r="G594" s="35"/>
      <c r="H594" s="35"/>
      <c r="I594" s="35"/>
      <c r="J594" s="35"/>
      <c r="K594" s="313"/>
      <c r="L594" s="156"/>
      <c r="M594" s="35"/>
      <c r="N594" s="156"/>
      <c r="O594" s="156"/>
      <c r="P594" s="35"/>
    </row>
    <row r="595" spans="5:16">
      <c r="E595" s="35"/>
      <c r="G595" s="35"/>
      <c r="H595" s="35"/>
      <c r="I595" s="35"/>
      <c r="J595" s="35"/>
      <c r="K595" s="313"/>
      <c r="L595" s="156"/>
      <c r="M595" s="35"/>
      <c r="N595" s="156"/>
      <c r="O595" s="156"/>
      <c r="P595" s="35"/>
    </row>
    <row r="596" spans="5:16">
      <c r="E596" s="35"/>
      <c r="G596" s="35"/>
      <c r="H596" s="35"/>
      <c r="I596" s="35"/>
      <c r="J596" s="35"/>
      <c r="K596" s="313"/>
      <c r="L596" s="156"/>
      <c r="M596" s="35"/>
      <c r="N596" s="156"/>
      <c r="O596" s="156"/>
      <c r="P596" s="35"/>
    </row>
    <row r="597" spans="5:16">
      <c r="E597" s="35"/>
      <c r="G597" s="35"/>
      <c r="H597" s="35"/>
      <c r="I597" s="35"/>
      <c r="J597" s="35"/>
      <c r="K597" s="313"/>
      <c r="L597" s="156"/>
      <c r="M597" s="35"/>
      <c r="N597" s="156"/>
      <c r="O597" s="156"/>
      <c r="P597" s="35"/>
    </row>
    <row r="598" spans="5:16">
      <c r="E598" s="35"/>
      <c r="G598" s="35"/>
      <c r="H598" s="35"/>
      <c r="I598" s="35"/>
      <c r="J598" s="35"/>
      <c r="K598" s="313"/>
      <c r="L598" s="156"/>
      <c r="M598" s="35"/>
      <c r="N598" s="156"/>
      <c r="O598" s="156"/>
      <c r="P598" s="35"/>
    </row>
    <row r="599" spans="5:16">
      <c r="E599" s="35"/>
      <c r="G599" s="35"/>
      <c r="H599" s="35"/>
      <c r="I599" s="35"/>
      <c r="J599" s="35"/>
      <c r="K599" s="313"/>
      <c r="L599" s="156"/>
      <c r="M599" s="35"/>
      <c r="N599" s="156"/>
      <c r="O599" s="156"/>
      <c r="P599" s="35"/>
    </row>
    <row r="600" spans="5:16">
      <c r="E600" s="35"/>
      <c r="G600" s="35"/>
      <c r="H600" s="35"/>
      <c r="I600" s="35"/>
      <c r="J600" s="35"/>
      <c r="K600" s="313"/>
      <c r="L600" s="156"/>
      <c r="M600" s="35"/>
      <c r="N600" s="156"/>
      <c r="O600" s="156"/>
      <c r="P600" s="35"/>
    </row>
    <row r="601" spans="5:16">
      <c r="E601" s="35"/>
      <c r="G601" s="35"/>
      <c r="H601" s="35"/>
      <c r="I601" s="35"/>
      <c r="J601" s="35"/>
      <c r="K601" s="313"/>
      <c r="L601" s="156"/>
      <c r="M601" s="35"/>
      <c r="N601" s="156"/>
      <c r="O601" s="156"/>
      <c r="P601" s="35"/>
    </row>
    <row r="602" spans="5:16">
      <c r="E602" s="35"/>
      <c r="G602" s="35"/>
      <c r="H602" s="35"/>
      <c r="I602" s="35"/>
      <c r="J602" s="35"/>
      <c r="K602" s="313"/>
      <c r="L602" s="156"/>
      <c r="M602" s="35"/>
      <c r="N602" s="156"/>
      <c r="O602" s="156"/>
      <c r="P602" s="35"/>
    </row>
    <row r="603" spans="5:16">
      <c r="E603" s="35"/>
      <c r="G603" s="35"/>
      <c r="H603" s="35"/>
      <c r="I603" s="35"/>
      <c r="J603" s="35"/>
      <c r="K603" s="313"/>
      <c r="L603" s="156"/>
      <c r="M603" s="35"/>
      <c r="N603" s="156"/>
      <c r="O603" s="156"/>
      <c r="P603" s="35"/>
    </row>
    <row r="604" spans="5:16">
      <c r="E604" s="35"/>
      <c r="G604" s="35"/>
      <c r="H604" s="35"/>
      <c r="I604" s="35"/>
      <c r="J604" s="35"/>
      <c r="K604" s="313"/>
      <c r="L604" s="156"/>
      <c r="M604" s="35"/>
      <c r="N604" s="156"/>
      <c r="O604" s="156"/>
      <c r="P604" s="35"/>
    </row>
    <row r="605" spans="5:16">
      <c r="E605" s="35"/>
      <c r="G605" s="35"/>
      <c r="H605" s="35"/>
      <c r="I605" s="35"/>
      <c r="J605" s="35"/>
      <c r="K605" s="313"/>
      <c r="L605" s="156"/>
      <c r="M605" s="35"/>
      <c r="N605" s="156"/>
      <c r="O605" s="156"/>
      <c r="P605" s="35"/>
    </row>
    <row r="606" spans="5:16">
      <c r="E606" s="35"/>
      <c r="G606" s="35"/>
      <c r="H606" s="35"/>
      <c r="I606" s="35"/>
      <c r="J606" s="35"/>
      <c r="K606" s="313"/>
      <c r="L606" s="156"/>
      <c r="M606" s="35"/>
      <c r="N606" s="156"/>
      <c r="O606" s="156"/>
      <c r="P606" s="35"/>
    </row>
    <row r="607" spans="5:16">
      <c r="E607" s="35"/>
      <c r="G607" s="35"/>
      <c r="H607" s="35"/>
      <c r="I607" s="35"/>
      <c r="J607" s="35"/>
      <c r="K607" s="313"/>
      <c r="L607" s="156"/>
      <c r="M607" s="35"/>
      <c r="N607" s="156"/>
      <c r="O607" s="156"/>
      <c r="P607" s="35"/>
    </row>
    <row r="608" spans="5:16">
      <c r="E608" s="35"/>
      <c r="G608" s="35"/>
      <c r="H608" s="35"/>
      <c r="I608" s="35"/>
      <c r="J608" s="35"/>
      <c r="K608" s="313"/>
      <c r="L608" s="156"/>
      <c r="M608" s="35"/>
      <c r="N608" s="156"/>
      <c r="O608" s="156"/>
      <c r="P608" s="35"/>
    </row>
    <row r="609" spans="5:16">
      <c r="E609" s="35"/>
      <c r="G609" s="35"/>
      <c r="H609" s="35"/>
      <c r="I609" s="35"/>
      <c r="J609" s="35"/>
      <c r="K609" s="313"/>
      <c r="L609" s="156"/>
      <c r="M609" s="35"/>
      <c r="N609" s="156"/>
      <c r="O609" s="156"/>
      <c r="P609" s="35"/>
    </row>
    <row r="610" spans="5:16">
      <c r="E610" s="35"/>
      <c r="G610" s="35"/>
      <c r="H610" s="35"/>
      <c r="I610" s="35"/>
      <c r="J610" s="35"/>
      <c r="K610" s="313"/>
      <c r="L610" s="156"/>
      <c r="M610" s="35"/>
      <c r="N610" s="156"/>
      <c r="O610" s="156"/>
      <c r="P610" s="35"/>
    </row>
  </sheetData>
  <phoneticPr fontId="41" type="noConversion"/>
  <printOptions horizontalCentered="1"/>
  <pageMargins left="0.8" right="0.8" top="0.25" bottom="0.25" header="0.5" footer="0.5"/>
  <pageSetup scale="73" orientation="portrait" horizontalDpi="4294967292" verticalDpi="300" r:id="rId1"/>
  <headerFooter alignWithMargins="0"/>
  <rowBreaks count="1" manualBreakCount="1">
    <brk id="73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249"/>
  <sheetViews>
    <sheetView zoomScale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26" sqref="C26"/>
    </sheetView>
  </sheetViews>
  <sheetFormatPr defaultRowHeight="10.199999999999999"/>
  <cols>
    <col min="1" max="1" width="27.1640625" style="5" customWidth="1"/>
    <col min="2" max="2" width="44.5" style="5" customWidth="1"/>
    <col min="3" max="5" width="14.83203125" style="5" customWidth="1"/>
    <col min="6" max="16384" width="9.33203125" style="5"/>
  </cols>
  <sheetData>
    <row r="1" spans="1:8" ht="12" customHeight="1">
      <c r="A1" s="57"/>
      <c r="B1" s="61" t="s">
        <v>52</v>
      </c>
      <c r="C1" s="58"/>
      <c r="D1" s="145" t="s">
        <v>53</v>
      </c>
      <c r="E1" s="58"/>
      <c r="F1" s="96" t="s">
        <v>54</v>
      </c>
      <c r="G1" s="96" t="s">
        <v>53</v>
      </c>
      <c r="H1" s="96" t="s">
        <v>55</v>
      </c>
    </row>
    <row r="2" spans="1:8" ht="12">
      <c r="A2" s="59"/>
      <c r="B2" s="61" t="s">
        <v>56</v>
      </c>
      <c r="C2" s="58"/>
      <c r="D2" s="99">
        <v>37134</v>
      </c>
      <c r="E2" s="58"/>
    </row>
    <row r="3" spans="1:8" ht="12">
      <c r="A3" s="60"/>
      <c r="B3" s="62" t="s">
        <v>57</v>
      </c>
      <c r="C3" s="58"/>
      <c r="D3" s="99">
        <v>37103</v>
      </c>
      <c r="E3" s="58"/>
    </row>
    <row r="4" spans="1:8" ht="12">
      <c r="A4" s="59"/>
      <c r="B4" s="61" t="s">
        <v>58</v>
      </c>
      <c r="C4" s="58"/>
      <c r="D4" s="99">
        <v>36891</v>
      </c>
      <c r="E4" s="58"/>
    </row>
    <row r="5" spans="1:8" ht="10.8" thickBot="1">
      <c r="A5" s="63">
        <f ca="1">NOW()</f>
        <v>37147.471379861112</v>
      </c>
      <c r="B5" s="59"/>
      <c r="C5" s="58"/>
      <c r="D5" s="46"/>
      <c r="E5" s="58"/>
    </row>
    <row r="6" spans="1:8" ht="12.6" thickBot="1">
      <c r="A6" s="64" t="s">
        <v>314</v>
      </c>
      <c r="B6" s="65" t="s">
        <v>59</v>
      </c>
      <c r="C6" s="323" t="s">
        <v>60</v>
      </c>
      <c r="D6" s="147"/>
      <c r="E6" s="255"/>
    </row>
    <row r="7" spans="1:8" ht="12">
      <c r="A7" s="322" t="s">
        <v>315</v>
      </c>
      <c r="B7" s="67"/>
      <c r="C7" s="48"/>
      <c r="D7" s="48"/>
      <c r="E7" s="256"/>
    </row>
    <row r="8" spans="1:8" ht="12.6" thickBot="1">
      <c r="A8" s="68"/>
      <c r="B8" s="69"/>
      <c r="C8" s="49">
        <f>+D2</f>
        <v>37134</v>
      </c>
      <c r="D8" s="49">
        <f>+D3</f>
        <v>37103</v>
      </c>
      <c r="E8" s="257">
        <f>+D4</f>
        <v>36891</v>
      </c>
    </row>
    <row r="9" spans="1:8" ht="11.4">
      <c r="A9" s="9"/>
      <c r="B9" s="9"/>
      <c r="C9" s="42"/>
      <c r="D9" s="42"/>
      <c r="E9" s="258"/>
    </row>
    <row r="10" spans="1:8">
      <c r="A10" s="6" t="s">
        <v>64</v>
      </c>
      <c r="B10" s="6" t="str">
        <f>_xll.HPHEA($A10,"gpg")</f>
        <v>Cash in Bank</v>
      </c>
      <c r="C10" s="18">
        <f>ROUND(_xll.HPVAL($D$1,"actual",$A10,$D$2,"ytd","gpg")/1000,0)</f>
        <v>0</v>
      </c>
      <c r="D10" s="5">
        <f>ROUND(_xll.HPVAL($D$1,"actual",$A10,$D$3,"ytd","gpg")/1000,0)</f>
        <v>0</v>
      </c>
      <c r="E10" s="259">
        <f>ROUND(_xll.HPVAL($D$1,"py1",$A10,$D$4,"ytd","gpg")/1000,0)</f>
        <v>0</v>
      </c>
    </row>
    <row r="11" spans="1:8">
      <c r="A11" s="6" t="s">
        <v>65</v>
      </c>
      <c r="B11" s="6" t="str">
        <f>_xll.HPHEA($A11,"gpg")</f>
        <v>Working Funds</v>
      </c>
      <c r="C11" s="7">
        <f>ROUND(_xll.HPVAL($D$1,"actual",$A11,$D$2,"ytd","gpg")/1000,0)</f>
        <v>3</v>
      </c>
      <c r="D11" s="7">
        <f>ROUND(_xll.HPVAL($D$1,"actual",$A11,$D$3,"ytd","gpg")/1000,0)</f>
        <v>3</v>
      </c>
      <c r="E11" s="260">
        <f>ROUND(_xll.HPVAL($D$1,"py1",$A11,$D$4,"ytd","gpg")/1000,0)</f>
        <v>4</v>
      </c>
    </row>
    <row r="12" spans="1:8" ht="10.8" thickBot="1">
      <c r="C12" s="8">
        <f>SUM(C10:C11)</f>
        <v>3</v>
      </c>
      <c r="D12" s="8">
        <f>SUM(D10:D11)</f>
        <v>3</v>
      </c>
      <c r="E12" s="261">
        <f>SUM(E10:E11)</f>
        <v>4</v>
      </c>
    </row>
    <row r="13" spans="1:8" ht="10.8" thickTop="1">
      <c r="E13" s="259"/>
    </row>
    <row r="14" spans="1:8">
      <c r="A14" s="6" t="s">
        <v>66</v>
      </c>
      <c r="B14" s="6" t="str">
        <f>_xll.HPHEA($A14,"gpg")</f>
        <v>Accts Rec-Consolidated Subs</v>
      </c>
      <c r="C14" s="9">
        <f>ROUND(_xll.HPVAL($D$1,"actual",$A14,$D$2,"ytd","gpg")/1000,0)</f>
        <v>157933</v>
      </c>
      <c r="D14" s="9">
        <f>ROUND(_xll.HPVAL($D$1,"actual",$A14,$D$3,"ytd","gpg")/1000,0)</f>
        <v>142462</v>
      </c>
      <c r="E14" s="259">
        <f>ROUND(_xll.HPVAL($D$1,"py1",$A14,$D$4,"ytd","gpg")/1000,0)</f>
        <v>63639</v>
      </c>
    </row>
    <row r="15" spans="1:8">
      <c r="A15" s="6"/>
      <c r="B15" s="16" t="s">
        <v>414</v>
      </c>
      <c r="C15" s="9"/>
      <c r="D15" s="9"/>
      <c r="E15" s="259"/>
    </row>
    <row r="16" spans="1:8">
      <c r="A16" s="84" t="s">
        <v>323</v>
      </c>
      <c r="B16" s="84" t="str">
        <f>_xll.HPHEA($A16,"gpg")</f>
        <v xml:space="preserve">0051_20023000 - GPG Cash Services (acctg </v>
      </c>
      <c r="C16" s="75">
        <f>-ROUND(_xll.HPVAL($D$1,"actual",$A16,$D$2,"ytd","gpg")/1000,0)</f>
        <v>-158383</v>
      </c>
      <c r="D16" s="75">
        <f>-ROUND(_xll.HPVAL($D$1,"actual",$A16,$D$3,"ytd","gpg")/1000,0)</f>
        <v>-142852</v>
      </c>
      <c r="E16" s="262">
        <f>-ROUND(_xll.HPVAL($D$1,"PY1",$A16,$D$4,"ytd","gpg")/1000,0)</f>
        <v>-65069</v>
      </c>
    </row>
    <row r="17" spans="1:5">
      <c r="A17" s="84" t="s">
        <v>386</v>
      </c>
      <c r="B17" s="84" t="str">
        <f>_xll.HPHEA($A17,"gpg")</f>
        <v>Accounts payable-trade-interco</v>
      </c>
      <c r="C17" s="85">
        <f>-ROUND(_xll.HPVAL($D$1,"actual",$A17,$D$2,"ytd","gpg")/1000,0)</f>
        <v>183</v>
      </c>
      <c r="D17" s="85">
        <f>-ROUND(_xll.HPVAL($D$1,"actual",$A17,$D$3,"ytd","gpg")/1000,0)</f>
        <v>1180</v>
      </c>
      <c r="E17" s="263">
        <f>-ROUND(_xll.HPVAL($D$1,"PY1",$A17,$D$4,"ytd","gpg")/1000,0)</f>
        <v>1724</v>
      </c>
    </row>
    <row r="18" spans="1:5" ht="10.8" thickBot="1">
      <c r="A18" s="84" t="s">
        <v>66</v>
      </c>
      <c r="B18" s="84" t="str">
        <f>_xll.HPHEA($A18,"gpg")</f>
        <v>Accts Rec-Consolidated Subs</v>
      </c>
      <c r="C18" s="94">
        <f>SUM(C14:C17)</f>
        <v>-267</v>
      </c>
      <c r="D18" s="94">
        <f>SUM(D14:D17)</f>
        <v>790</v>
      </c>
      <c r="E18" s="264">
        <f>SUM(E14:E17)</f>
        <v>294</v>
      </c>
    </row>
    <row r="19" spans="1:5" ht="10.8" thickTop="1">
      <c r="E19" s="259"/>
    </row>
    <row r="20" spans="1:5">
      <c r="A20" s="6" t="s">
        <v>67</v>
      </c>
      <c r="B20" s="6" t="str">
        <f>_xll.HPHEA($A20,"gpg")</f>
        <v>Long-term debt/notes payable - Enron</v>
      </c>
      <c r="C20" s="9">
        <f>ROUND(_xll.HPVAL($D$1,"actual",$A20,$D$2,"ytd","gpg")/1000,0)*-1</f>
        <v>117687</v>
      </c>
      <c r="D20" s="9">
        <f>ROUND(_xll.HPVAL($D$1,"actual",$A20,$D$3,"ytd","gpg")/1000,0)*-1</f>
        <v>119029</v>
      </c>
      <c r="E20" s="259">
        <f>ROUND(_xll.HPVAL($D$1,"py1",$A20,$D$4,"ytd","gpg")/1000,0)*-1</f>
        <v>312952</v>
      </c>
    </row>
    <row r="21" spans="1:5">
      <c r="A21" s="84" t="s">
        <v>323</v>
      </c>
      <c r="B21" s="84" t="str">
        <f>_xll.HPHEA($A21,"gpg")</f>
        <v xml:space="preserve">0051_20023000 - GPG Cash Services (acctg </v>
      </c>
      <c r="C21" s="85">
        <f>ROUND(_xll.HPVAL($D$1,"actual",$A21,$D$2,"ytd","gpg")/1000,0)</f>
        <v>158383</v>
      </c>
      <c r="D21" s="85">
        <f>ROUND(_xll.HPVAL($D$1,"actual",$A21,$D$3,"ytd","gpg")/1000,0)</f>
        <v>142852</v>
      </c>
      <c r="E21" s="263">
        <f>ROUND(_xll.HPVAL($D$1,"PY1",$A21,$D$4,"ytd","gpg")/1000,0)</f>
        <v>65069</v>
      </c>
    </row>
    <row r="22" spans="1:5" ht="10.8" thickBot="1">
      <c r="A22" s="84"/>
      <c r="B22" s="89" t="s">
        <v>415</v>
      </c>
      <c r="C22" s="94">
        <f>SUM(C20:C21)</f>
        <v>276070</v>
      </c>
      <c r="D22" s="94">
        <f>SUM(D20:D21)</f>
        <v>261881</v>
      </c>
      <c r="E22" s="264">
        <f>SUM(E20:E21)</f>
        <v>378021</v>
      </c>
    </row>
    <row r="23" spans="1:5" ht="10.8" thickTop="1">
      <c r="E23" s="259"/>
    </row>
    <row r="24" spans="1:5">
      <c r="A24" s="6" t="s">
        <v>68</v>
      </c>
      <c r="B24" s="6" t="str">
        <f>_xll.HPHEA($A24,"gpg")</f>
        <v>Accts Rec-Trade</v>
      </c>
      <c r="C24" s="5">
        <f>ROUND(_xll.HPVAL($D$1,"actual",$A24,$D$2,"ytd","gpg")/1000,0)</f>
        <v>17106</v>
      </c>
      <c r="D24" s="5">
        <f>ROUND(_xll.HPVAL($D$1,"actual",$A24,$D$3,"ytd","gpg")/1000,0)</f>
        <v>19374</v>
      </c>
      <c r="E24" s="259">
        <f>ROUND(_xll.HPVAL($D$1,"py1",$A24,$D$4,"ytd","gpg")/1000,0)</f>
        <v>20036</v>
      </c>
    </row>
    <row r="25" spans="1:5">
      <c r="A25" s="6" t="s">
        <v>69</v>
      </c>
      <c r="B25" s="6" t="str">
        <f>_xll.HPHEA($A25,"gpg")</f>
        <v>Accts Rec-Unconsol Assoc Companies</v>
      </c>
      <c r="C25" s="5">
        <f>ROUND(_xll.HPVAL($D$1,"actual",$A25,$D$2,"ytd","gpg")/1000,0)</f>
        <v>62</v>
      </c>
      <c r="D25" s="5">
        <f>ROUND(_xll.HPVAL($D$1,"actual",$A25,$D$3,"ytd","gpg")/1000,0)</f>
        <v>62</v>
      </c>
      <c r="E25" s="259">
        <f>ROUND(_xll.HPVAL($D$1,"py1",$A25,$D$4,"ytd","gpg")/1000,0)</f>
        <v>113</v>
      </c>
    </row>
    <row r="26" spans="1:5">
      <c r="A26" s="6" t="s">
        <v>70</v>
      </c>
      <c r="B26" s="6" t="str">
        <f>_xll.HPHEA($A26,"gpg")</f>
        <v>Accts Rec-Officers and Employees</v>
      </c>
      <c r="C26" s="5">
        <f>ROUND(_xll.HPVAL($D$1,"actual",$A26,$D$2,"ytd","gpg")/1000,0)</f>
        <v>-1</v>
      </c>
      <c r="D26" s="5">
        <f>ROUND(_xll.HPVAL($D$1,"actual",$A26,$D$3,"ytd","gpg")/1000,0)</f>
        <v>-1</v>
      </c>
      <c r="E26" s="259">
        <f>ROUND(_xll.HPVAL($D$1,"py1",$A26,$D$4,"ytd","gpg")/1000,0)</f>
        <v>1</v>
      </c>
    </row>
    <row r="27" spans="1:5">
      <c r="A27" s="6" t="s">
        <v>71</v>
      </c>
      <c r="B27" s="6" t="str">
        <f>_xll.HPHEA($A27,"gpg")</f>
        <v>Accts Rec-Other</v>
      </c>
      <c r="C27" s="9">
        <f>ROUND(_xll.HPVAL($D$1,"actual",$A27,$D$2,"ytd","gpg")/1000,0)</f>
        <v>-47</v>
      </c>
      <c r="D27" s="9">
        <f>ROUND(_xll.HPVAL($D$1,"actual",$A27,$D$3,"ytd","gpg")/1000,0)</f>
        <v>9</v>
      </c>
      <c r="E27" s="259">
        <f>ROUND(_xll.HPVAL($D$1,"py1",$A27,$D$4,"ytd","gpg")/1000,0)</f>
        <v>43</v>
      </c>
    </row>
    <row r="28" spans="1:5">
      <c r="A28" s="6" t="s">
        <v>72</v>
      </c>
      <c r="B28" s="6" t="str">
        <f>_xll.HPHEA($A28,"gpg")</f>
        <v>Notes Rec - Other</v>
      </c>
      <c r="C28" s="9">
        <f>ROUND(_xll.HPVAL($D$1,"actual",$A28,$D$2,"ytd","gpg")/1000,0)</f>
        <v>40</v>
      </c>
      <c r="D28" s="9">
        <f>ROUND(_xll.HPVAL($D$1,"actual",$A28,$D$3,"ytd","gpg")/1000,0)</f>
        <v>41</v>
      </c>
      <c r="E28" s="259">
        <f>ROUND(_xll.HPVAL($D$1,"py1",$A28,$D$4,"ytd","gpg")/1000,0)</f>
        <v>56</v>
      </c>
    </row>
    <row r="29" spans="1:5">
      <c r="A29" s="6" t="s">
        <v>172</v>
      </c>
      <c r="B29" s="6" t="str">
        <f>_xll.HPHEA($A29,"gpg")</f>
        <v>Assigned Receivables-Contra Accts</v>
      </c>
      <c r="C29" s="9">
        <f>ROUND(_xll.HPVAL($D$1,"actual",$A29,$D$2,"ytd","gpg")/1000,0)</f>
        <v>0</v>
      </c>
      <c r="D29" s="9">
        <f>ROUND(_xll.HPVAL($D$1,"actual",$A29,$D$3,"ytd","gpg")/1000,0)</f>
        <v>0</v>
      </c>
      <c r="E29" s="259">
        <f>ROUND(_xll.HPVAL($D$1,"py1",$A29,$D$4,"ytd","gpg")/1000,0)</f>
        <v>-12962</v>
      </c>
    </row>
    <row r="30" spans="1:5">
      <c r="A30" s="6" t="s">
        <v>73</v>
      </c>
      <c r="B30" s="6" t="str">
        <f>_xll.HPHEA($A30,"gpg")</f>
        <v>A/R - Acc Prov Uncollect Accts (Contra)</v>
      </c>
      <c r="C30" s="7">
        <f>ROUND(_xll.HPVAL($D$1,"actual",$A30,$D$2,"ytd","gpg")/1000,0)</f>
        <v>0</v>
      </c>
      <c r="D30" s="7">
        <f>ROUND(_xll.HPVAL($D$1,"actual",$A30,$D$3,"ytd","gpg")/1000,0)</f>
        <v>0</v>
      </c>
      <c r="E30" s="260">
        <f>ROUND(_xll.HPVAL($D$1,"py1",$A30,$D$4,"ytd","gpg")/1000,0)</f>
        <v>0</v>
      </c>
    </row>
    <row r="31" spans="1:5" ht="10.8" thickBot="1">
      <c r="A31" s="6"/>
      <c r="C31" s="8">
        <f>SUM(C24:C30)</f>
        <v>17160</v>
      </c>
      <c r="D31" s="8">
        <f>SUM(D24:D30)</f>
        <v>19485</v>
      </c>
      <c r="E31" s="261">
        <f>SUM(E24:E30)</f>
        <v>7287</v>
      </c>
    </row>
    <row r="32" spans="1:5" ht="10.8" thickTop="1">
      <c r="E32" s="259"/>
    </row>
    <row r="33" spans="1:5" ht="10.8" thickBot="1">
      <c r="A33" s="6" t="s">
        <v>74</v>
      </c>
      <c r="B33" s="6" t="str">
        <f>_xll.HPHEA($A33,"gpg")</f>
        <v>Unrecovered Purchased Gas Costs</v>
      </c>
      <c r="C33" s="8">
        <f>ROUND(_xll.HPVAL($D$1,"actual",$A33,$D$2,"ytd","gpg")/1000,0)</f>
        <v>0</v>
      </c>
      <c r="D33" s="8">
        <f>ROUND(_xll.HPVAL($D$1,"actual",$A33,$D$3,"ytd","gpg")/1000,0)</f>
        <v>0</v>
      </c>
      <c r="E33" s="261">
        <f>ROUND(_xll.HPVAL($D$1,"py1",$A33,$D$4,"ytd","gpg")/1000,0)</f>
        <v>0</v>
      </c>
    </row>
    <row r="34" spans="1:5" ht="10.8" thickTop="1">
      <c r="A34" s="6"/>
      <c r="B34" s="6"/>
      <c r="C34" s="9"/>
      <c r="D34" s="9"/>
      <c r="E34" s="259"/>
    </row>
    <row r="35" spans="1:5" ht="10.8" thickBot="1">
      <c r="A35" s="6" t="s">
        <v>75</v>
      </c>
      <c r="B35" s="6" t="str">
        <f>_xll.HPHEA($A35,"gpg")</f>
        <v>Inventory-Gas in Storage</v>
      </c>
      <c r="C35" s="8">
        <f>ROUND(_xll.HPVAL($D$1,"actual",$A35,$D$2,"ytd","gpg")/1000,0)</f>
        <v>0</v>
      </c>
      <c r="D35" s="8">
        <f>ROUND(_xll.HPVAL($D$1,"actual",$A35,$D$3,"ytd","gpg")/1000,0)</f>
        <v>0</v>
      </c>
      <c r="E35" s="261">
        <f>ROUND(_xll.HPVAL($D$1,"py1",$A35,$D$4,"ytd","gpg")/1000,0)</f>
        <v>0</v>
      </c>
    </row>
    <row r="36" spans="1:5" ht="10.8" thickTop="1">
      <c r="E36" s="259"/>
    </row>
    <row r="37" spans="1:5" ht="10.8" thickBot="1">
      <c r="A37" s="6" t="s">
        <v>76</v>
      </c>
      <c r="B37" s="6" t="str">
        <f>_xll.HPHEA($A37,"gpg")</f>
        <v>Materials and Supplies</v>
      </c>
      <c r="C37" s="8">
        <f>ROUND(_xll.HPVAL($D$1,"actual",$A37,$D$2,"ytd","gpg")/1000,0)</f>
        <v>4021</v>
      </c>
      <c r="D37" s="8">
        <f>ROUND(_xll.HPVAL($D$1,"actual",$A37,$D$3,"ytd","gpg")/1000,0)</f>
        <v>4033</v>
      </c>
      <c r="E37" s="261">
        <f>ROUND(_xll.HPVAL($D$1,"py1",$A37,$D$4,"ytd","gpg")/1000,0)</f>
        <v>4134</v>
      </c>
    </row>
    <row r="38" spans="1:5" ht="10.8" thickTop="1">
      <c r="A38" s="6"/>
      <c r="B38" s="6"/>
      <c r="C38" s="9"/>
      <c r="D38" s="9"/>
      <c r="E38" s="259"/>
    </row>
    <row r="39" spans="1:5">
      <c r="E39" s="259"/>
    </row>
    <row r="40" spans="1:5" ht="10.8" thickBot="1">
      <c r="A40" s="6" t="s">
        <v>569</v>
      </c>
      <c r="B40" s="6" t="str">
        <f>_xll.HPHEA($A40,"gpg")</f>
        <v>Price risk mgmnt activ-current assets</v>
      </c>
      <c r="C40" s="8">
        <f>ROUND(_xll.HPVAL($D$1,"actual",$A40,$D$2,"ytd","gpg")/1000,0)</f>
        <v>5383</v>
      </c>
      <c r="D40" s="8">
        <f>ROUND(_xll.HPVAL($D$1,"actual",$A40,$D$3,"ytd","gpg")/1000,0)</f>
        <v>5383</v>
      </c>
      <c r="E40" s="261">
        <f>ROUND(_xll.HPVAL($D$1,"py1",$A40,$D$4,"ytd","gpg")/1000,0)</f>
        <v>0</v>
      </c>
    </row>
    <row r="41" spans="1:5" ht="10.8" thickTop="1">
      <c r="E41" s="259"/>
    </row>
    <row r="42" spans="1:5" ht="10.8" thickBot="1">
      <c r="A42" s="6" t="s">
        <v>79</v>
      </c>
      <c r="B42" s="6" t="str">
        <f>_xll.HPHEA($A42,"gpg")</f>
        <v>Commodities Exchange Rec-Trade</v>
      </c>
      <c r="C42" s="8">
        <f>ROUND(_xll.HPVAL($D$1,"actual",$A42,$D$2,"ytd","gpg")/1000,0)</f>
        <v>15789</v>
      </c>
      <c r="D42" s="8">
        <f>ROUND(_xll.HPVAL($D$1,"actual",$A42,$D$3,"ytd","gpg")/1000,0)</f>
        <v>14543</v>
      </c>
      <c r="E42" s="261">
        <f>ROUND(_xll.HPVAL($D$1,"py1",$A42,$D$4,"ytd","gpg")/1000,0)</f>
        <v>11991</v>
      </c>
    </row>
    <row r="43" spans="1:5" ht="10.8" thickTop="1">
      <c r="E43" s="259"/>
    </row>
    <row r="44" spans="1:5">
      <c r="A44" s="6" t="s">
        <v>80</v>
      </c>
      <c r="B44" s="6" t="str">
        <f>_xll.HPHEA($A44,"gpg")</f>
        <v>Insurance Premiums</v>
      </c>
      <c r="C44" s="5">
        <f>ROUND(_xll.HPVAL($D$1,"actual",$A44,$D$2,"ytd","gpg")/1000,0)</f>
        <v>0</v>
      </c>
      <c r="D44" s="5">
        <f>ROUND(_xll.HPVAL($D$1,"actual",$A44,$D$3,"ytd","gpg")/1000,0)</f>
        <v>0</v>
      </c>
      <c r="E44" s="259">
        <f>ROUND(_xll.HPVAL($D$1,"py1",$A44,$D$4,"ytd","gpg")/1000,0)</f>
        <v>0</v>
      </c>
    </row>
    <row r="45" spans="1:5">
      <c r="A45" s="6" t="s">
        <v>81</v>
      </c>
      <c r="B45" s="6" t="str">
        <f>_xll.HPHEA($A45,"gpg")</f>
        <v>Special Deposits - Other</v>
      </c>
      <c r="C45" s="5">
        <f>ROUND(_xll.HPVAL($D$1,"actual",$A45,$D$2,"ytd","gpg")/1000,0)</f>
        <v>0</v>
      </c>
      <c r="D45" s="5">
        <f>ROUND(_xll.HPVAL($D$1,"actual",$A45,$D$3,"ytd","gpg")/1000,0)</f>
        <v>0</v>
      </c>
      <c r="E45" s="259">
        <f>ROUND(_xll.HPVAL($D$1,"py1",$A45,$D$4,"ytd","gpg")/1000,0)</f>
        <v>0</v>
      </c>
    </row>
    <row r="46" spans="1:5">
      <c r="A46" s="6" t="s">
        <v>82</v>
      </c>
      <c r="B46" s="6" t="str">
        <f>_xll.HPHEA($A46,"gpg")</f>
        <v>Prepayments - Prepaid Gas Purchases</v>
      </c>
      <c r="C46" s="5">
        <f>ROUND(_xll.HPVAL($D$1,"actual",$A46,$D$2,"ytd","gpg")/1000,0)</f>
        <v>0</v>
      </c>
      <c r="D46" s="5">
        <f>ROUND(_xll.HPVAL($D$1,"actual",$A46,$D$3,"ytd","gpg")/1000,0)</f>
        <v>0</v>
      </c>
      <c r="E46" s="259">
        <f>ROUND(_xll.HPVAL($D$1,"py1",$A46,$D$4,"ytd","gpg")/1000,0)</f>
        <v>0</v>
      </c>
    </row>
    <row r="47" spans="1:5">
      <c r="A47" s="6" t="s">
        <v>83</v>
      </c>
      <c r="B47" s="6" t="str">
        <f>_xll.HPHEA($A47,"gpg")</f>
        <v>Other</v>
      </c>
      <c r="C47" s="7">
        <f>ROUND(_xll.HPVAL($D$1,"actual",$A47,$D$2,"ytd","gpg")/1000,0)</f>
        <v>0</v>
      </c>
      <c r="D47" s="7">
        <f>ROUND(_xll.HPVAL($D$1,"actual",$A47,$D$3,"ytd","gpg")/1000,0)</f>
        <v>0</v>
      </c>
      <c r="E47" s="260">
        <f>ROUND(_xll.HPVAL($D$1,"py1",$A47,$D$4,"ytd","gpg")/1000,0)</f>
        <v>6</v>
      </c>
    </row>
    <row r="48" spans="1:5" ht="10.8" thickBot="1">
      <c r="C48" s="8">
        <f>SUM(C44:C47)</f>
        <v>0</v>
      </c>
      <c r="D48" s="8">
        <f>SUM(D44:D47)</f>
        <v>0</v>
      </c>
      <c r="E48" s="261">
        <f>SUM(E44:E47)</f>
        <v>6</v>
      </c>
    </row>
    <row r="49" spans="1:5" ht="10.8" thickTop="1">
      <c r="C49" s="9"/>
      <c r="D49" s="9"/>
      <c r="E49" s="259"/>
    </row>
    <row r="50" spans="1:5">
      <c r="A50" s="16" t="s">
        <v>84</v>
      </c>
      <c r="B50" s="6" t="str">
        <f>_xll.HPHEA($A50,"gpg")</f>
        <v>Current env/litigation costs</v>
      </c>
      <c r="C50" s="5">
        <f>ROUND(_xll.HPVAL($D$1,"actual",$A50,$D$2,"ytd","gpg")/1000,0)</f>
        <v>0</v>
      </c>
      <c r="D50" s="5">
        <f>ROUND(_xll.HPVAL($D$1,"actual",$A50,$D$3,"ytd","gpg")/1000,0)</f>
        <v>0</v>
      </c>
      <c r="E50" s="259">
        <f>ROUND(_xll.HPVAL($D$1,"py1",$A50,$D$4,"ytd","gpg")/1000,0)</f>
        <v>0</v>
      </c>
    </row>
    <row r="51" spans="1:5">
      <c r="A51" s="16" t="s">
        <v>85</v>
      </c>
      <c r="B51" s="6" t="str">
        <f>_xll.HPHEA($A51,"gpg")</f>
        <v>Environmental costs</v>
      </c>
      <c r="C51" s="5">
        <f>ROUND(_xll.HPVAL($D$1,"actual",$A51,$D$2,"ytd","gpg")/1000,0)</f>
        <v>0</v>
      </c>
      <c r="D51" s="5">
        <f>ROUND(_xll.HPVAL($D$1,"actual",$A51,$D$3,"ytd","gpg")/1000,0)</f>
        <v>0</v>
      </c>
      <c r="E51" s="259">
        <f>ROUND(_xll.HPVAL($D$1,"py1",$A51,$D$4,"ytd","gpg")/1000,0)</f>
        <v>0</v>
      </c>
    </row>
    <row r="52" spans="1:5">
      <c r="A52" s="16" t="s">
        <v>86</v>
      </c>
      <c r="B52" s="6" t="str">
        <f>_xll.HPHEA($A52,"gpg")</f>
        <v>Litigation costs</v>
      </c>
      <c r="C52" s="5">
        <f>ROUND(_xll.HPVAL($D$1,"actual",$A52,$D$2,"ytd","gpg")/1000,0)</f>
        <v>0</v>
      </c>
      <c r="D52" s="5">
        <f>ROUND(_xll.HPVAL($D$1,"actual",$A52,$D$3,"ytd","gpg")/1000,0)</f>
        <v>0</v>
      </c>
      <c r="E52" s="259">
        <f>ROUND(_xll.HPVAL($D$1,"py1",$A52,$D$4,"ytd","gpg")/1000,0)</f>
        <v>0</v>
      </c>
    </row>
    <row r="53" spans="1:5">
      <c r="A53" s="16" t="s">
        <v>87</v>
      </c>
      <c r="B53" s="6" t="str">
        <f>_xll.HPHEA($A53,"gpg")</f>
        <v>Env/litigation reserves</v>
      </c>
      <c r="C53" s="7">
        <f>ROUND(_xll.HPVAL($D$1,"actual",$A53,$D$2,"ytd","gpg")/1000,0)</f>
        <v>0</v>
      </c>
      <c r="D53" s="7">
        <f>ROUND(_xll.HPVAL($D$1,"actual",$A53,$D$3,"ytd","gpg")/1000,0)</f>
        <v>0</v>
      </c>
      <c r="E53" s="260">
        <f>ROUND(_xll.HPVAL($D$1,"py1",$A53,$D$4,"ytd","gpg")/1000,0)</f>
        <v>0</v>
      </c>
    </row>
    <row r="54" spans="1:5" ht="10.8" thickBot="1">
      <c r="B54" s="5" t="s">
        <v>88</v>
      </c>
      <c r="C54" s="8">
        <f>SUM(C50:C53)</f>
        <v>0</v>
      </c>
      <c r="D54" s="8">
        <f>SUM(D50:D53)</f>
        <v>0</v>
      </c>
      <c r="E54" s="261">
        <f>SUM(E50:E53)</f>
        <v>0</v>
      </c>
    </row>
    <row r="55" spans="1:5" ht="10.8" thickTop="1">
      <c r="C55" s="9"/>
      <c r="D55" s="9"/>
      <c r="E55" s="259"/>
    </row>
    <row r="56" spans="1:5">
      <c r="A56" s="16" t="s">
        <v>318</v>
      </c>
      <c r="B56" s="6" t="str">
        <f>_xll.HPHEA($A56,"gpg")</f>
        <v>Regulatory assets - current</v>
      </c>
      <c r="C56" s="5">
        <f>ROUND(_xll.HPVAL($D$1,"actual",$A56,$D$2,"ytd","gpg")/1000,0)</f>
        <v>0</v>
      </c>
      <c r="D56" s="5">
        <f>ROUND(_xll.HPVAL($D$1,"actual",$A56,$D$3,"ytd","gpg")/1000,0)</f>
        <v>0</v>
      </c>
      <c r="E56" s="259">
        <f>ROUND(_xll.HPVAL($D$1,"py1",$A56,$D$4,"ytd","gpg")/1000,0)</f>
        <v>0</v>
      </c>
    </row>
    <row r="57" spans="1:5">
      <c r="A57" s="16" t="s">
        <v>426</v>
      </c>
      <c r="B57" s="6" t="str">
        <f>_xll.HPHEA($A57,"gpg")</f>
        <v>Reclass to stat orders</v>
      </c>
      <c r="C57" s="5">
        <f>ROUND(_xll.HPVAL($D$1,"actual",$A57,$D$2,"ytd","gpg")/1000,0)</f>
        <v>0</v>
      </c>
      <c r="D57" s="5">
        <f>ROUND(_xll.HPVAL($D$1,"actual",$A57,$D$3,"ytd","gpg")/1000,0)</f>
        <v>0</v>
      </c>
      <c r="E57" s="259">
        <f>ROUND(_xll.HPVAL($D$1,"py1",$A57,$D$4,"ytd","gpg")/1000,0)</f>
        <v>0</v>
      </c>
    </row>
    <row r="58" spans="1:5">
      <c r="A58" s="16" t="s">
        <v>106</v>
      </c>
      <c r="B58" s="6" t="str">
        <f>_xll.HPHEA($A58,"gpg")</f>
        <v>FERC Annual Charge</v>
      </c>
      <c r="C58" s="5">
        <f>ROUND(_xll.HPVAL($D$1,"actual",$A58,$D$2,"ytd","gpg")/1000,0)</f>
        <v>0</v>
      </c>
      <c r="D58" s="5">
        <f>ROUND(_xll.HPVAL($D$1,"actual",$A58,$D$3,"ytd","gpg")/1000,0)</f>
        <v>0</v>
      </c>
      <c r="E58" s="259">
        <f>ROUND(_xll.HPVAL($D$1,"py1",$A58,$D$4,"ytd","gpg")/1000,0)</f>
        <v>0</v>
      </c>
    </row>
    <row r="59" spans="1:5">
      <c r="A59" s="16" t="s">
        <v>427</v>
      </c>
      <c r="B59" s="6" t="str">
        <f>_xll.HPHEA($A59,"gpg")</f>
        <v>ACA</v>
      </c>
      <c r="C59" s="5">
        <f>ROUND(_xll.HPVAL($D$1,"actual",$A59,$D$2,"ytd","gpg")/1000,0)</f>
        <v>0</v>
      </c>
      <c r="D59" s="5">
        <f>ROUND(_xll.HPVAL($D$1,"actual",$A59,$D$3,"ytd","gpg")/1000,0)</f>
        <v>0</v>
      </c>
      <c r="E59" s="259">
        <f>ROUND(_xll.HPVAL($D$1,"py1",$A59,$D$4,"ytd","gpg")/1000,0)</f>
        <v>2959</v>
      </c>
    </row>
    <row r="60" spans="1:5">
      <c r="A60" s="16" t="s">
        <v>428</v>
      </c>
      <c r="B60" s="6" t="str">
        <f>_xll.HPHEA($A60,"gpg")</f>
        <v>FERC annual charge</v>
      </c>
      <c r="C60" s="5">
        <f>ROUND(_xll.HPVAL($D$1,"actual",$A60,$D$2,"ytd","gpg")/1000,0)</f>
        <v>0</v>
      </c>
      <c r="D60" s="5">
        <f>ROUND(_xll.HPVAL($D$1,"actual",$A60,$D$3,"ytd","gpg")/1000,0)</f>
        <v>0</v>
      </c>
      <c r="E60" s="259">
        <f>ROUND(_xll.HPVAL($D$1,"py1",$A60,$D$4,"ytd","gpg")/1000,0)</f>
        <v>-2087</v>
      </c>
    </row>
    <row r="61" spans="1:5">
      <c r="A61" s="16" t="s">
        <v>89</v>
      </c>
      <c r="B61" s="6" t="str">
        <f>_xll.HPHEA($A61,"gpg")</f>
        <v>Current TCR C (11-14)</v>
      </c>
      <c r="C61" s="5">
        <f>ROUND(_xll.HPVAL($D$1,"actual",$A61,$D$2,"ytd","gpg")/1000,0)</f>
        <v>0</v>
      </c>
      <c r="D61" s="5">
        <f>ROUND(_xll.HPVAL($D$1,"actual",$A61,$D$3,"ytd","gpg")/1000,0)</f>
        <v>0</v>
      </c>
      <c r="E61" s="259">
        <f>ROUND(_xll.HPVAL($D$1,"py1",$A61,$D$4,"ytd","gpg")/1000,0)</f>
        <v>0</v>
      </c>
    </row>
    <row r="62" spans="1:5">
      <c r="A62" s="6" t="s">
        <v>90</v>
      </c>
      <c r="B62" s="6" t="str">
        <f>_xll.HPHEA($A62,"gpg")</f>
        <v>Current TCR II (1 &amp; 2)</v>
      </c>
      <c r="C62" s="5">
        <f>ROUND(_xll.HPVAL($D$1,"actual",$A62,$D$2,"ytd","gpg")/1000,0)</f>
        <v>1290</v>
      </c>
      <c r="D62" s="5">
        <f>ROUND(_xll.HPVAL($D$1,"actual",$A62,$D$3,"ytd","gpg")/1000,0)</f>
        <v>1290</v>
      </c>
      <c r="E62" s="259">
        <f>ROUND(_xll.HPVAL($D$1,"py1",$A62,$D$4,"ytd","gpg")/1000,0)</f>
        <v>1668</v>
      </c>
    </row>
    <row r="63" spans="1:5">
      <c r="A63" s="6" t="s">
        <v>91</v>
      </c>
      <c r="B63" s="6" t="str">
        <f>_xll.HPHEA($A63,"gpg")</f>
        <v>TCR C - current portion</v>
      </c>
      <c r="C63" s="5">
        <f>ROUND(_xll.HPVAL($D$1,"actual",$A63,$D$2,"ytd","gpg")/1000,0)</f>
        <v>378</v>
      </c>
      <c r="D63" s="5">
        <f>ROUND(_xll.HPVAL($D$1,"actual",$A63,$D$3,"ytd","gpg")/1000,0)</f>
        <v>378</v>
      </c>
      <c r="E63" s="259">
        <f>ROUND(_xll.HPVAL($D$1,"py1",$A63,$D$4,"ytd","gpg")/1000,0)</f>
        <v>0</v>
      </c>
    </row>
    <row r="64" spans="1:5">
      <c r="A64" s="16" t="s">
        <v>92</v>
      </c>
      <c r="B64" s="6" t="str">
        <f>_xll.HPHEA($A64,"gpg")</f>
        <v>Current TCR interest</v>
      </c>
      <c r="C64" s="9">
        <f>ROUND(_xll.HPVAL($D$1,"actual",$A64,$D$2,"ytd","gpg")/1000,0)</f>
        <v>0</v>
      </c>
      <c r="D64" s="9">
        <f>ROUND(_xll.HPVAL($D$1,"actual",$A64,$D$3,"ytd","gpg")/1000,0)</f>
        <v>0</v>
      </c>
      <c r="E64" s="259">
        <f>ROUND(_xll.HPVAL($D$1,"py1",$A64,$D$4,"ytd","gpg")/1000,0)</f>
        <v>0</v>
      </c>
    </row>
    <row r="65" spans="1:5">
      <c r="A65" s="5" t="s">
        <v>93</v>
      </c>
      <c r="B65" s="6" t="str">
        <f>_xll.HPHEA($A65,"gpg")</f>
        <v>Current Audit Adjustment</v>
      </c>
      <c r="C65" s="5">
        <f>ROUND(_xll.HPVAL($D$1,"actual",$A65,$D$2,"ytd","gpg")/1000,0)</f>
        <v>126</v>
      </c>
      <c r="D65" s="5">
        <f>ROUND(_xll.HPVAL($D$1,"actual",$A65,$D$3,"ytd","gpg")/1000,0)</f>
        <v>126</v>
      </c>
      <c r="E65" s="259">
        <f>ROUND(_xll.HPVAL($D$1,"py1",$A65,$D$4,"ytd","gpg")/1000,0)</f>
        <v>126</v>
      </c>
    </row>
    <row r="66" spans="1:5">
      <c r="A66" s="5" t="s">
        <v>94</v>
      </c>
      <c r="B66" s="6" t="str">
        <f>_xll.HPHEA($A66,"gpg")</f>
        <v>Extraordinary environmental costs</v>
      </c>
      <c r="C66" s="5">
        <f>ROUND(_xll.HPVAL($D$1,"actual",$A66,$D$2,"ytd","gpg")/1000,0)</f>
        <v>83</v>
      </c>
      <c r="D66" s="5">
        <f>ROUND(_xll.HPVAL($D$1,"actual",$A66,$D$3,"ytd","gpg")/1000,0)</f>
        <v>83</v>
      </c>
      <c r="E66" s="259">
        <f>ROUND(_xll.HPVAL($D$1,"py1",$A66,$D$4,"ytd","gpg")/1000,0)</f>
        <v>83</v>
      </c>
    </row>
    <row r="67" spans="1:5">
      <c r="A67" s="5" t="s">
        <v>95</v>
      </c>
      <c r="B67" s="6" t="str">
        <f>_xll.HPHEA($A67,"gpg")</f>
        <v>Litigation costs</v>
      </c>
      <c r="C67" s="5">
        <f>ROUND(_xll.HPVAL($D$1,"actual",$A67,$D$2,"ytd","gpg")/1000,0)</f>
        <v>760</v>
      </c>
      <c r="D67" s="5">
        <f>ROUND(_xll.HPVAL($D$1,"actual",$A67,$D$3,"ytd","gpg")/1000,0)</f>
        <v>760</v>
      </c>
      <c r="E67" s="259">
        <f>ROUND(_xll.HPVAL($D$1,"py1",$A67,$D$4,"ytd","gpg")/1000,0)</f>
        <v>760</v>
      </c>
    </row>
    <row r="68" spans="1:5">
      <c r="A68" s="16" t="s">
        <v>96</v>
      </c>
      <c r="B68" s="6" t="str">
        <f>_xll.HPHEA($A68,"gpg")</f>
        <v>Current PGAR</v>
      </c>
      <c r="C68" s="5">
        <f>ROUND(_xll.HPVAL($D$1,"actual",$A68,$D$2,"ytd","gpg")/1000,0)</f>
        <v>537</v>
      </c>
      <c r="D68" s="5">
        <f>ROUND(_xll.HPVAL($D$1,"actual",$A68,$D$3,"ytd","gpg")/1000,0)</f>
        <v>537</v>
      </c>
      <c r="E68" s="259">
        <f>ROUND(_xll.HPVAL($D$1,"py1",$A68,$D$4,"ytd","gpg")/1000,0)</f>
        <v>537</v>
      </c>
    </row>
    <row r="69" spans="1:5">
      <c r="A69" s="6" t="s">
        <v>97</v>
      </c>
      <c r="B69" s="6" t="str">
        <f>_xll.HPHEA($A69,"gpg")</f>
        <v>Current S. GA.</v>
      </c>
      <c r="C69" s="5">
        <f>ROUND(_xll.HPVAL($D$1,"actual",$A69,$D$2,"ytd","gpg")/1000,0)</f>
        <v>49</v>
      </c>
      <c r="D69" s="5">
        <f>ROUND(_xll.HPVAL($D$1,"actual",$A69,$D$3,"ytd","gpg")/1000,0)</f>
        <v>49</v>
      </c>
      <c r="E69" s="259">
        <f>ROUND(_xll.HPVAL($D$1,"py1",$A69,$D$4,"ytd","gpg")/1000,0)</f>
        <v>49</v>
      </c>
    </row>
    <row r="70" spans="1:5">
      <c r="A70" s="6" t="s">
        <v>98</v>
      </c>
      <c r="B70" s="6" t="str">
        <f>_xll.HPHEA($A70,"gpg")</f>
        <v>Current portion - TCR C</v>
      </c>
      <c r="C70" s="5">
        <f>ROUND(_xll.HPVAL($D$1,"actual",$A70,$D$2,"ytd","gpg")/1000,0)</f>
        <v>0</v>
      </c>
      <c r="D70" s="5">
        <f>ROUND(_xll.HPVAL($D$1,"actual",$A70,$D$3,"ytd","gpg")/1000,0)</f>
        <v>0</v>
      </c>
      <c r="E70" s="259">
        <f>ROUND(_xll.HPVAL($D$1,"py1",$A70,$D$4,"ytd","gpg")/1000,0)</f>
        <v>0</v>
      </c>
    </row>
    <row r="71" spans="1:5">
      <c r="A71" s="6" t="s">
        <v>99</v>
      </c>
      <c r="B71" s="6" t="str">
        <f>_xll.HPHEA($A71,"gpg")</f>
        <v>Current TCR prefiling interest</v>
      </c>
      <c r="C71" s="5">
        <f>ROUND(_xll.HPVAL($D$1,"actual",$A71,$D$2,"ytd","gpg")/1000,0)</f>
        <v>90</v>
      </c>
      <c r="D71" s="5">
        <f>ROUND(_xll.HPVAL($D$1,"actual",$A71,$D$3,"ytd","gpg")/1000,0)</f>
        <v>90</v>
      </c>
      <c r="E71" s="259">
        <f>ROUND(_xll.HPVAL($D$1,"py1",$A71,$D$4,"ytd","gpg")/1000,0)</f>
        <v>90</v>
      </c>
    </row>
    <row r="72" spans="1:5">
      <c r="A72" s="16" t="s">
        <v>100</v>
      </c>
      <c r="B72" s="6" t="str">
        <f>_xll.HPHEA($A72,"gpg")</f>
        <v>Current severance/relocation</v>
      </c>
      <c r="C72" s="5">
        <f>ROUND(_xll.HPVAL($D$1,"actual",$A72,$D$2,"ytd","gpg")/1000,0)</f>
        <v>454</v>
      </c>
      <c r="D72" s="5">
        <f>ROUND(_xll.HPVAL($D$1,"actual",$A72,$D$3,"ytd","gpg")/1000,0)</f>
        <v>454</v>
      </c>
      <c r="E72" s="259">
        <f>ROUND(_xll.HPVAL($D$1,"py1",$A72,$D$4,"ytd","gpg")/1000,0)</f>
        <v>454</v>
      </c>
    </row>
    <row r="73" spans="1:5">
      <c r="A73" s="16" t="s">
        <v>101</v>
      </c>
      <c r="B73" s="6" t="str">
        <f>_xll.HPHEA($A73,"gpg")</f>
        <v>Current pipe recoating</v>
      </c>
      <c r="C73" s="5">
        <f>ROUND(_xll.HPVAL($D$1,"actual",$A73,$D$2,"ytd","gpg")/1000,0)</f>
        <v>207</v>
      </c>
      <c r="D73" s="5">
        <f>ROUND(_xll.HPVAL($D$1,"actual",$A73,$D$3,"ytd","gpg")/1000,0)</f>
        <v>207</v>
      </c>
      <c r="E73" s="259">
        <f>ROUND(_xll.HPVAL($D$1,"py1",$A73,$D$4,"ytd","gpg")/1000,0)</f>
        <v>207</v>
      </c>
    </row>
    <row r="74" spans="1:5">
      <c r="A74" s="16" t="s">
        <v>102</v>
      </c>
      <c r="B74" s="6" t="str">
        <f>_xll.HPHEA($A74,"gpg")</f>
        <v>Current AFUDC Gross Up</v>
      </c>
      <c r="C74" s="5">
        <f>ROUND(_xll.HPVAL($D$1,"actual",$A74,$D$2,"ytd","gpg")/1000,0)</f>
        <v>102</v>
      </c>
      <c r="D74" s="5">
        <f>ROUND(_xll.HPVAL($D$1,"actual",$A74,$D$3,"ytd","gpg")/1000,0)</f>
        <v>102</v>
      </c>
      <c r="E74" s="259">
        <f>ROUND(_xll.HPVAL($D$1,"py1",$A74,$D$4,"ytd","gpg")/1000,0)</f>
        <v>101</v>
      </c>
    </row>
    <row r="75" spans="1:5">
      <c r="A75" s="16" t="s">
        <v>103</v>
      </c>
      <c r="B75" s="6" t="str">
        <f>_xll.HPHEA($A75,"gpg")</f>
        <v>Current accumulated reserve adjustment</v>
      </c>
      <c r="C75" s="5">
        <f>ROUND(_xll.HPVAL($D$1,"actual",$A75,$D$2,"ytd","gpg")/1000,0)</f>
        <v>601</v>
      </c>
      <c r="D75" s="5">
        <f>ROUND(_xll.HPVAL($D$1,"actual",$A75,$D$3,"ytd","gpg")/1000,0)</f>
        <v>601</v>
      </c>
      <c r="E75" s="259">
        <f>ROUND(_xll.HPVAL($D$1,"py1",$A75,$D$4,"ytd","gpg")/1000,0)</f>
        <v>601</v>
      </c>
    </row>
    <row r="76" spans="1:5">
      <c r="A76" s="16" t="s">
        <v>104</v>
      </c>
      <c r="B76" s="6" t="str">
        <f>_xll.HPHEA($A76,"gpg")</f>
        <v>Current uncoll receivables</v>
      </c>
      <c r="C76" s="5">
        <f>ROUND(_xll.HPVAL($D$1,"actual",$A76,$D$2,"ytd","gpg")/1000,0)</f>
        <v>867</v>
      </c>
      <c r="D76" s="5">
        <f>ROUND(_xll.HPVAL($D$1,"actual",$A76,$D$3,"ytd","gpg")/1000,0)</f>
        <v>867</v>
      </c>
      <c r="E76" s="259">
        <f>ROUND(_xll.HPVAL($D$1,"py1",$A76,$D$4,"ytd","gpg")/1000,0)</f>
        <v>889</v>
      </c>
    </row>
    <row r="77" spans="1:5">
      <c r="A77" s="6" t="s">
        <v>105</v>
      </c>
      <c r="B77" s="6" t="str">
        <f>_xll.HPHEA($A77,"gpg")</f>
        <v>Current portion - rate case cost</v>
      </c>
      <c r="C77" s="5">
        <f>ROUND(_xll.HPVAL($D$1,"actual",$A77,$D$2,"ytd","gpg")/1000,0)</f>
        <v>0</v>
      </c>
      <c r="D77" s="5">
        <f>ROUND(_xll.HPVAL($D$1,"actual",$A77,$D$3,"ytd","gpg")/1000,0)</f>
        <v>0</v>
      </c>
      <c r="E77" s="259">
        <f>ROUND(_xll.HPVAL($D$1,"py1",$A77,$D$4,"ytd","gpg")/1000,0)</f>
        <v>0</v>
      </c>
    </row>
    <row r="78" spans="1:5">
      <c r="A78" s="6" t="s">
        <v>391</v>
      </c>
      <c r="B78" s="6" t="str">
        <f>_xll.HPHEA($A78,"gpg")</f>
        <v>Current regulatory commission expense</v>
      </c>
      <c r="C78" s="7">
        <f>ROUND(_xll.HPVAL($D$1,"actual",$A78,$D$2,"ytd","gpg")/1000,0)</f>
        <v>116</v>
      </c>
      <c r="D78" s="7">
        <f>ROUND(_xll.HPVAL($D$1,"actual",$A78,$D$3,"ytd","gpg")/1000,0)</f>
        <v>116</v>
      </c>
      <c r="E78" s="260">
        <f>ROUND(_xll.HPVAL($D$1,"py1",$A78,$D$4,"ytd","gpg")/1000,0)</f>
        <v>116</v>
      </c>
    </row>
    <row r="79" spans="1:5" ht="10.8" thickBot="1">
      <c r="B79" s="5" t="s">
        <v>107</v>
      </c>
      <c r="C79" s="8">
        <f>SUM(C56:C78)</f>
        <v>5660</v>
      </c>
      <c r="D79" s="8">
        <f>SUM(D56:D78)</f>
        <v>5660</v>
      </c>
      <c r="E79" s="261">
        <f>SUM(E56:E78)</f>
        <v>6553</v>
      </c>
    </row>
    <row r="80" spans="1:5" ht="10.8" thickTop="1">
      <c r="E80" s="259"/>
    </row>
    <row r="81" spans="1:5">
      <c r="A81" s="6" t="s">
        <v>108</v>
      </c>
      <c r="B81" s="6" t="str">
        <f>_xll.HPHEA($A81,"gpg")</f>
        <v>Miscellaneous Other Current Assets</v>
      </c>
      <c r="C81" s="5">
        <f>ROUND(_xll.HPVAL($D$1,"actual",$A81,$D$2,"ytd","gpg")/1000,0)</f>
        <v>5811</v>
      </c>
      <c r="D81" s="5">
        <f>ROUND(_xll.HPVAL($D$1,"actual",$A81,$D$3,"ytd","gpg")/1000,0)</f>
        <v>5661</v>
      </c>
      <c r="E81" s="259">
        <f>ROUND(_xll.HPVAL($D$1,"py1",$A81,$D$4,"ytd","gpg")/1000,0)</f>
        <v>6611</v>
      </c>
    </row>
    <row r="82" spans="1:5">
      <c r="A82" s="16"/>
      <c r="B82" s="5" t="s">
        <v>88</v>
      </c>
      <c r="C82" s="5">
        <f>-C54</f>
        <v>0</v>
      </c>
      <c r="D82" s="5">
        <f>-D54</f>
        <v>0</v>
      </c>
      <c r="E82" s="259">
        <f>-E54</f>
        <v>0</v>
      </c>
    </row>
    <row r="83" spans="1:5">
      <c r="A83" s="16"/>
      <c r="B83" s="5" t="s">
        <v>107</v>
      </c>
      <c r="C83" s="7">
        <f>-C79</f>
        <v>-5660</v>
      </c>
      <c r="D83" s="7">
        <f>-D79</f>
        <v>-5660</v>
      </c>
      <c r="E83" s="260">
        <f>-E79</f>
        <v>-6553</v>
      </c>
    </row>
    <row r="84" spans="1:5" ht="10.8" thickBot="1">
      <c r="A84" s="6"/>
      <c r="B84" s="5" t="s">
        <v>109</v>
      </c>
      <c r="C84" s="8">
        <f>SUM(C81:C83)</f>
        <v>151</v>
      </c>
      <c r="D84" s="8">
        <f>SUM(D81:D83)</f>
        <v>1</v>
      </c>
      <c r="E84" s="261">
        <f>SUM(E81:E83)</f>
        <v>58</v>
      </c>
    </row>
    <row r="85" spans="1:5" ht="10.8" thickTop="1">
      <c r="E85" s="259"/>
    </row>
    <row r="86" spans="1:5" ht="10.8" thickBot="1">
      <c r="A86" s="6" t="s">
        <v>110</v>
      </c>
      <c r="B86" s="6" t="str">
        <f>_xll.HPHEA($A86,"gpg")</f>
        <v>Investment in Pipeline Partnerships</v>
      </c>
      <c r="C86" s="8">
        <f>ROUND(_xll.HPVAL($D$1,"actual",$A86,$D$2,"ytd","gpg")/1000,0)</f>
        <v>0</v>
      </c>
      <c r="D86" s="8">
        <f>ROUND(_xll.HPVAL($D$1,"actual",$A86,$D$3,"ytd","gpg")/1000,0)</f>
        <v>0</v>
      </c>
      <c r="E86" s="261">
        <f>ROUND(_xll.HPVAL($D$1,"py1",$A86,$D$4,"ytd","gpg")/1000,0)</f>
        <v>0</v>
      </c>
    </row>
    <row r="87" spans="1:5" ht="10.8" thickTop="1">
      <c r="E87" s="259"/>
    </row>
    <row r="88" spans="1:5" ht="10.8" thickBot="1">
      <c r="A88" s="6" t="s">
        <v>111</v>
      </c>
      <c r="B88" s="6" t="str">
        <f>_xll.HPHEA($A88,"gpg")</f>
        <v>Noncurrent Notes Rec-Trade</v>
      </c>
      <c r="C88" s="8">
        <f>ROUND(_xll.HPVAL($D$1,"actual",$A88,$D$2,"ytd","gpg")/1000,0)</f>
        <v>0</v>
      </c>
      <c r="D88" s="8">
        <f>ROUND(_xll.HPVAL($D$1,"actual",$A88,$D$3,"ytd","gpg")/1000,0)</f>
        <v>0</v>
      </c>
      <c r="E88" s="261">
        <f>ROUND(_xll.HPVAL($D$1,"py1",$A88,$D$4,"ytd","gpg")/1000,0)</f>
        <v>0</v>
      </c>
    </row>
    <row r="89" spans="1:5" ht="10.8" thickTop="1">
      <c r="E89" s="259"/>
    </row>
    <row r="90" spans="1:5">
      <c r="A90" s="6" t="s">
        <v>112</v>
      </c>
      <c r="B90" s="6" t="str">
        <f>_xll.HPHEA($A90,"gpg")</f>
        <v>Operating Equipment and Property</v>
      </c>
      <c r="C90" s="5">
        <f>ROUND(_xll.HPVAL($D$1,"actual",$A90,$D$2,"ytd","gpg")/1000,0)</f>
        <v>942978</v>
      </c>
      <c r="D90" s="5">
        <f>ROUND(_xll.HPVAL($D$1,"actual",$A90,$D$3,"ytd","gpg")/1000,0)</f>
        <v>942970</v>
      </c>
      <c r="E90" s="259">
        <f>ROUND(_xll.HPVAL($D$1,"py1",$A90,$D$4,"ytd","gpg")/1000,0)</f>
        <v>921995</v>
      </c>
    </row>
    <row r="91" spans="1:5">
      <c r="A91" s="6" t="s">
        <v>113</v>
      </c>
      <c r="B91" s="6" t="str">
        <f>_xll.HPHEA($A91,"gpg")</f>
        <v>Construction Work in Progress</v>
      </c>
      <c r="C91" s="5">
        <f>ROUND(_xll.HPVAL($D$1,"actual",$A91,$D$2,"ytd","gpg")/1000,0)</f>
        <v>59429</v>
      </c>
      <c r="D91" s="5">
        <f>ROUND(_xll.HPVAL($D$1,"actual",$A91,$D$3,"ytd","gpg")/1000,0)</f>
        <v>55288</v>
      </c>
      <c r="E91" s="259">
        <f>ROUND(_xll.HPVAL($D$1,"py1",$A91,$D$4,"ytd","gpg")/1000,0)</f>
        <v>52286</v>
      </c>
    </row>
    <row r="92" spans="1:5">
      <c r="A92" s="6" t="s">
        <v>114</v>
      </c>
      <c r="B92" s="6" t="str">
        <f>_xll.HPHEA($A92,"gpg")</f>
        <v>Prop Plant &amp; Equip - FVA</v>
      </c>
      <c r="C92" s="9">
        <f>ROUND(_xll.HPVAL($D$1,"actual",$A92,$D$2,"ytd","gpg")/1000,0)</f>
        <v>0</v>
      </c>
      <c r="D92" s="9">
        <f>ROUND(_xll.HPVAL($D$1,"actual",$A92,$D$3,"ytd","gpg")/1000,0)</f>
        <v>0</v>
      </c>
      <c r="E92" s="259">
        <f>ROUND(_xll.HPVAL($D$1,"py1",$A92,$D$4,"ytd","gpg")/1000,0)</f>
        <v>0</v>
      </c>
    </row>
    <row r="93" spans="1:5">
      <c r="A93" s="6" t="s">
        <v>317</v>
      </c>
      <c r="B93" s="6" t="str">
        <f>_xll.HPHEA($A93,"gpg")</f>
        <v>Intangible plant-other</v>
      </c>
      <c r="C93" s="7">
        <f>ROUND(_xll.HPVAL($D$1,"actual",$A93,$D$2,"ytd","gpg")/1000,0)</f>
        <v>12826</v>
      </c>
      <c r="D93" s="7">
        <f>ROUND(_xll.HPVAL($D$1,"actual",$A93,$D$3,"ytd","gpg")/1000,0)</f>
        <v>12826</v>
      </c>
      <c r="E93" s="260">
        <f>ROUND(_xll.HPVAL($D$1,"py1",$A93,$D$4,"ytd","gpg")/1000,0)</f>
        <v>12826</v>
      </c>
    </row>
    <row r="94" spans="1:5" ht="10.8" thickBot="1">
      <c r="C94" s="8">
        <f>SUM(C90:C93)</f>
        <v>1015233</v>
      </c>
      <c r="D94" s="8">
        <f>SUM(D90:D93)</f>
        <v>1011084</v>
      </c>
      <c r="E94" s="261">
        <f>SUM(E90:E93)</f>
        <v>987107</v>
      </c>
    </row>
    <row r="95" spans="1:5" ht="10.8" thickTop="1">
      <c r="E95" s="259"/>
    </row>
    <row r="96" spans="1:5">
      <c r="A96" s="6" t="s">
        <v>115</v>
      </c>
      <c r="B96" s="6" t="str">
        <f>_xll.HPHEA($A96,"gpg")</f>
        <v>Accum Deprec -Plnt in Service &amp; Non-Util</v>
      </c>
      <c r="C96" s="5">
        <f>ROUND(_xll.HPVAL($D$1,"actual",$A96,$D$2,"ytd","gpg")/1000,0)</f>
        <v>-110488</v>
      </c>
      <c r="D96" s="5">
        <f>ROUND(_xll.HPVAL($D$1,"actual",$A96,$D$3,"ytd","gpg")/1000,0)</f>
        <v>-109037</v>
      </c>
      <c r="E96" s="259">
        <f>ROUND(_xll.HPVAL($D$1,"py1",$A96,$D$4,"ytd","gpg")/1000,0)</f>
        <v>-98614</v>
      </c>
    </row>
    <row r="97" spans="1:5">
      <c r="A97" s="6" t="s">
        <v>116</v>
      </c>
      <c r="B97" s="6" t="str">
        <f>_xll.HPHEA($A97,"gpg")</f>
        <v>Accum Depreciation - FVA</v>
      </c>
      <c r="C97" s="5">
        <f>ROUND(_xll.HPVAL($D$1,"actual",$A97,$D$2,"ytd","gpg")/1000,0)</f>
        <v>0</v>
      </c>
      <c r="D97" s="5">
        <f>ROUND(_xll.HPVAL($D$1,"actual",$A97,$D$3,"ytd","gpg")/1000,0)</f>
        <v>0</v>
      </c>
      <c r="E97" s="259">
        <f>ROUND(_xll.HPVAL($D$1,"py1",$A97,$D$4,"ytd","gpg")/1000,0)</f>
        <v>0</v>
      </c>
    </row>
    <row r="98" spans="1:5">
      <c r="A98" s="6" t="s">
        <v>117</v>
      </c>
      <c r="B98" s="6" t="str">
        <f>_xll.HPHEA($A98,"gpg")</f>
        <v>Accumulated Depletion</v>
      </c>
      <c r="C98" s="5">
        <f>ROUND(_xll.HPVAL($D$1,"actual",$A98,$D$2,"ytd","gpg")/1000,0)</f>
        <v>0</v>
      </c>
      <c r="D98" s="5">
        <f>ROUND(_xll.HPVAL($D$1,"actual",$A98,$D$3,"ytd","gpg")/1000,0)</f>
        <v>0</v>
      </c>
      <c r="E98" s="259">
        <f>ROUND(_xll.HPVAL($D$1,"py1",$A98,$D$4,"ytd","gpg")/1000,0)</f>
        <v>0</v>
      </c>
    </row>
    <row r="99" spans="1:5">
      <c r="A99" s="6" t="s">
        <v>118</v>
      </c>
      <c r="B99" s="6" t="str">
        <f>_xll.HPHEA($A99,"gpg")</f>
        <v>Accumulated Amortization</v>
      </c>
      <c r="C99" s="7">
        <f>ROUND(_xll.HPVAL($D$1,"actual",$A99,$D$2,"ytd","gpg")/1000,0)</f>
        <v>-6500</v>
      </c>
      <c r="D99" s="7">
        <f>ROUND(_xll.HPVAL($D$1,"actual",$A99,$D$3,"ytd","gpg")/1000,0)</f>
        <v>-6406</v>
      </c>
      <c r="E99" s="260">
        <f>ROUND(_xll.HPVAL($D$1,"py1",$A99,$D$4,"ytd","gpg")/1000,0)</f>
        <v>-5750</v>
      </c>
    </row>
    <row r="100" spans="1:5" ht="10.8" thickBot="1">
      <c r="C100" s="8">
        <f>SUM(C96:C99)</f>
        <v>-116988</v>
      </c>
      <c r="D100" s="8">
        <f>SUM(D96:D99)</f>
        <v>-115443</v>
      </c>
      <c r="E100" s="261">
        <f>SUM(E96:E99)</f>
        <v>-104364</v>
      </c>
    </row>
    <row r="101" spans="1:5" ht="10.8" thickTop="1">
      <c r="E101" s="259"/>
    </row>
    <row r="102" spans="1:5">
      <c r="A102" s="6" t="s">
        <v>119</v>
      </c>
      <c r="B102" s="6" t="str">
        <f>_xll.HPHEA($A102,"gpg")</f>
        <v>Deferred Contract Reformation Costs</v>
      </c>
      <c r="C102" s="9">
        <f>ROUND(_xll.HPVAL($D$1,"actual",$A102,$D$2,"ytd","gpg")/1000,0)</f>
        <v>0</v>
      </c>
      <c r="D102" s="9">
        <f>ROUND(_xll.HPVAL($D$1,"actual",$A102,$D$3,"ytd","gpg")/1000,0)</f>
        <v>0</v>
      </c>
      <c r="E102" s="259">
        <f>ROUND(_xll.HPVAL($D$1,"py1",$A102,$D$4,"ytd","gpg")/1000,0)</f>
        <v>0</v>
      </c>
    </row>
    <row r="103" spans="1:5">
      <c r="A103" s="16" t="s">
        <v>319</v>
      </c>
      <c r="B103" s="6" t="str">
        <f>_xll.HPHEA($A103,"gpg")</f>
        <v>Regulatory assets-noncurrent</v>
      </c>
      <c r="C103" s="5">
        <f>ROUND(_xll.HPVAL($D$1,"actual",$A103,$D$2,"ytd","gpg")/1000,0)</f>
        <v>47489</v>
      </c>
      <c r="D103" s="5">
        <f>ROUND(_xll.HPVAL($D$1,"actual",$A103,$D$3,"ytd","gpg")/1000,0)</f>
        <v>47560</v>
      </c>
      <c r="E103" s="259">
        <f>ROUND(_xll.HPVAL($D$1,"py1",$A103,$D$4,"ytd","gpg")/1000,0)</f>
        <v>0</v>
      </c>
    </row>
    <row r="104" spans="1:5">
      <c r="A104" s="16" t="s">
        <v>320</v>
      </c>
      <c r="B104" s="6" t="str">
        <f>_xll.HPHEA($A104,"gpg")</f>
        <v>Regulatory assets-noncurrent (DP)</v>
      </c>
      <c r="C104" s="5">
        <f>ROUND(_xll.HPVAL($D$1,"actual",$A104,$D$2,"ytd","gpg")/1000,0)</f>
        <v>33577</v>
      </c>
      <c r="D104" s="5">
        <f>ROUND(_xll.HPVAL($D$1,"actual",$A104,$D$3,"ytd","gpg")/1000,0)</f>
        <v>33958</v>
      </c>
      <c r="E104" s="259">
        <f>ROUND(_xll.HPVAL($D$1,"py1",$A104,$D$4,"ytd","gpg")/1000,0)</f>
        <v>0</v>
      </c>
    </row>
    <row r="105" spans="1:5">
      <c r="A105" s="16" t="s">
        <v>120</v>
      </c>
      <c r="B105" s="6" t="str">
        <f>_xll.HPHEA($A105,"gpg")</f>
        <v>Monsanto litigation costs</v>
      </c>
      <c r="C105" s="5">
        <f>ROUND(_xll.HPVAL($D$1,"actual",$A105,$D$2,"ytd","gpg")/1000,0)</f>
        <v>0</v>
      </c>
      <c r="D105" s="5">
        <f>ROUND(_xll.HPVAL($D$1,"actual",$A105,$D$3,"ytd","gpg")/1000,0)</f>
        <v>0</v>
      </c>
      <c r="E105" s="259">
        <f>ROUND(_xll.HPVAL($D$1,"py1",$A105,$D$4,"ytd","gpg")/1000,0)</f>
        <v>0</v>
      </c>
    </row>
    <row r="106" spans="1:5">
      <c r="A106" s="16" t="s">
        <v>121</v>
      </c>
      <c r="B106" s="6" t="str">
        <f>_xll.HPHEA($A106,"gpg")</f>
        <v>Other regulatory assets-litg</v>
      </c>
      <c r="C106" s="5">
        <f>ROUND(_xll.HPVAL($D$1,"actual",$A106,$D$2,"ytd","gpg")/1000,0)</f>
        <v>0</v>
      </c>
      <c r="D106" s="5">
        <f>ROUND(_xll.HPVAL($D$1,"actual",$A106,$D$3,"ytd","gpg")/1000,0)</f>
        <v>0</v>
      </c>
      <c r="E106" s="259">
        <f>ROUND(_xll.HPVAL($D$1,"py1",$A106,$D$4,"ytd","gpg")/1000,0)</f>
        <v>0</v>
      </c>
    </row>
    <row r="107" spans="1:5">
      <c r="A107" s="6" t="s">
        <v>122</v>
      </c>
      <c r="B107" s="6" t="str">
        <f>_xll.HPHEA($A107,"gpg")</f>
        <v>JJCC litigation costs</v>
      </c>
      <c r="C107" s="5">
        <f>ROUND(_xll.HPVAL($D$1,"actual",$A107,$D$2,"ytd","gpg")/1000,0)</f>
        <v>0</v>
      </c>
      <c r="D107" s="5">
        <f>ROUND(_xll.HPVAL($D$1,"actual",$A107,$D$3,"ytd","gpg")/1000,0)</f>
        <v>0</v>
      </c>
      <c r="E107" s="259">
        <f>ROUND(_xll.HPVAL($D$1,"py1",$A107,$D$4,"ytd","gpg")/1000,0)</f>
        <v>0</v>
      </c>
    </row>
    <row r="108" spans="1:5">
      <c r="A108" s="6" t="s">
        <v>123</v>
      </c>
      <c r="B108" s="6" t="str">
        <f>_xll.HPHEA($A108,"gpg")</f>
        <v>Uncollectible receivables</v>
      </c>
      <c r="C108" s="5">
        <f>ROUND(_xll.HPVAL($D$1,"actual",$A108,$D$2,"ytd","gpg")/1000,0)</f>
        <v>0</v>
      </c>
      <c r="D108" s="5">
        <f>ROUND(_xll.HPVAL($D$1,"actual",$A108,$D$3,"ytd","gpg")/1000,0)</f>
        <v>0</v>
      </c>
      <c r="E108" s="259">
        <f>ROUND(_xll.HPVAL($D$1,"py1",$A108,$D$4,"ytd","gpg")/1000,0)</f>
        <v>0</v>
      </c>
    </row>
    <row r="109" spans="1:5">
      <c r="A109" s="6" t="s">
        <v>124</v>
      </c>
      <c r="B109" s="6" t="str">
        <f>_xll.HPHEA($A109,"gpg")</f>
        <v>Sunrise uncollectible receivable</v>
      </c>
      <c r="C109" s="5">
        <f>ROUND(_xll.HPVAL($D$1,"actual",$A109,$D$2,"ytd","gpg")/1000,0)</f>
        <v>0</v>
      </c>
      <c r="D109" s="5">
        <f>ROUND(_xll.HPVAL($D$1,"actual",$A109,$D$3,"ytd","gpg")/1000,0)</f>
        <v>0</v>
      </c>
      <c r="E109" s="259">
        <f>ROUND(_xll.HPVAL($D$1,"py1",$A109,$D$4,"ytd","gpg")/1000,0)</f>
        <v>0</v>
      </c>
    </row>
    <row r="110" spans="1:5">
      <c r="A110" s="6" t="s">
        <v>125</v>
      </c>
      <c r="B110" s="6" t="str">
        <f>_xll.HPHEA($A110,"gpg")</f>
        <v>FERC audit adjustments</v>
      </c>
      <c r="C110" s="5">
        <f>ROUND(_xll.HPVAL($D$1,"actual",$A110,$D$2,"ytd","gpg")/1000,0)</f>
        <v>0</v>
      </c>
      <c r="D110" s="5">
        <f>ROUND(_xll.HPVAL($D$1,"actual",$A110,$D$3,"ytd","gpg")/1000,0)</f>
        <v>0</v>
      </c>
      <c r="E110" s="259">
        <f>ROUND(_xll.HPVAL($D$1,"py1",$A110,$D$4,"ytd","gpg")/1000,0)</f>
        <v>0</v>
      </c>
    </row>
    <row r="111" spans="1:5">
      <c r="A111" s="6" t="s">
        <v>126</v>
      </c>
      <c r="B111" s="6" t="str">
        <f>_xll.HPHEA($A111,"gpg")</f>
        <v>Regulatory commission expense</v>
      </c>
      <c r="C111" s="5">
        <f>ROUND(_xll.HPVAL($D$1,"actual",$A111,$D$2,"ytd","gpg")/1000,0)</f>
        <v>0</v>
      </c>
      <c r="D111" s="5">
        <f>ROUND(_xll.HPVAL($D$1,"actual",$A111,$D$3,"ytd","gpg")/1000,0)</f>
        <v>0</v>
      </c>
      <c r="E111" s="259">
        <f>ROUND(_xll.HPVAL($D$1,"py1",$A111,$D$4,"ytd","gpg")/1000,0)</f>
        <v>0</v>
      </c>
    </row>
    <row r="112" spans="1:5">
      <c r="A112" s="5" t="s">
        <v>127</v>
      </c>
      <c r="B112" s="6" t="str">
        <f>_xll.HPHEA($A112,"gpg")</f>
        <v>Other regulatory assets - PGAR</v>
      </c>
      <c r="C112" s="5">
        <f>ROUND(_xll.HPVAL($D$1,"actual",$A112,$D$2,"ytd","gpg")/1000,0)</f>
        <v>0</v>
      </c>
      <c r="D112" s="5">
        <f>ROUND(_xll.HPVAL($D$1,"actual",$A112,$D$3,"ytd","gpg")/1000,0)</f>
        <v>0</v>
      </c>
      <c r="E112" s="259">
        <f>ROUND(_xll.HPVAL($D$1,"py1",$A112,$D$4,"ytd","gpg")/1000,0)</f>
        <v>0</v>
      </c>
    </row>
    <row r="113" spans="1:5">
      <c r="A113" s="5" t="s">
        <v>128</v>
      </c>
      <c r="B113" s="6" t="str">
        <f>_xll.HPHEA($A113,"gpg")</f>
        <v>Other regulatory assets - PGAR</v>
      </c>
      <c r="C113" s="5">
        <f>ROUND(_xll.HPVAL($D$1,"actual",$A113,$D$2,"ytd","gpg")/1000,0)</f>
        <v>0</v>
      </c>
      <c r="D113" s="5">
        <f>ROUND(_xll.HPVAL($D$1,"actual",$A113,$D$3,"ytd","gpg")/1000,0)</f>
        <v>0</v>
      </c>
      <c r="E113" s="259">
        <f>ROUND(_xll.HPVAL($D$1,"py1",$A113,$D$4,"ytd","gpg")/1000,0)</f>
        <v>0</v>
      </c>
    </row>
    <row r="114" spans="1:5">
      <c r="A114" s="6" t="s">
        <v>129</v>
      </c>
      <c r="B114" s="6" t="str">
        <f>_xll.HPHEA($A114,"gpg")</f>
        <v>Other regulatory assets - TOP payments</v>
      </c>
      <c r="C114" s="5">
        <f>ROUND(_xll.HPVAL($D$1,"actual",$A114,$D$2,"ytd","gpg")/1000,0)</f>
        <v>0</v>
      </c>
      <c r="D114" s="5">
        <f>ROUND(_xll.HPVAL($D$1,"actual",$A114,$D$3,"ytd","gpg")/1000,0)</f>
        <v>0</v>
      </c>
      <c r="E114" s="259">
        <f>ROUND(_xll.HPVAL($D$1,"py1",$A114,$D$4,"ytd","gpg")/1000,0)</f>
        <v>0</v>
      </c>
    </row>
    <row r="115" spans="1:5">
      <c r="A115" s="6" t="s">
        <v>130</v>
      </c>
      <c r="B115" s="6" t="str">
        <f>_xll.HPHEA($A115,"gpg")</f>
        <v>Other regulatory assets-TCR amortization</v>
      </c>
      <c r="C115" s="5">
        <f>ROUND(_xll.HPVAL($D$1,"actual",$A115,$D$2,"ytd","gpg")/1000,0)</f>
        <v>0</v>
      </c>
      <c r="D115" s="5">
        <f>ROUND(_xll.HPVAL($D$1,"actual",$A115,$D$3,"ytd","gpg")/1000,0)</f>
        <v>0</v>
      </c>
      <c r="E115" s="259">
        <f>ROUND(_xll.HPVAL($D$1,"py1",$A115,$D$4,"ytd","gpg")/1000,0)</f>
        <v>0</v>
      </c>
    </row>
    <row r="116" spans="1:5">
      <c r="A116" s="6" t="s">
        <v>131</v>
      </c>
      <c r="B116" s="6" t="str">
        <f>_xll.HPHEA($A116,"gpg")</f>
        <v>TCR C assets</v>
      </c>
      <c r="C116" s="5">
        <f>ROUND(_xll.HPVAL($D$1,"actual",$A116,$D$2,"ytd","gpg")/1000,0)</f>
        <v>0</v>
      </c>
      <c r="D116" s="5">
        <f>ROUND(_xll.HPVAL($D$1,"actual",$A116,$D$3,"ytd","gpg")/1000,0)</f>
        <v>0</v>
      </c>
      <c r="E116" s="259">
        <f>ROUND(_xll.HPVAL($D$1,"py1",$A116,$D$4,"ytd","gpg")/1000,0)</f>
        <v>0</v>
      </c>
    </row>
    <row r="117" spans="1:5">
      <c r="A117" s="6" t="s">
        <v>132</v>
      </c>
      <c r="B117" s="6" t="str">
        <f>_xll.HPHEA($A117,"gpg")</f>
        <v>TCR II - other costs</v>
      </c>
      <c r="C117" s="5">
        <f>ROUND(_xll.HPVAL($D$1,"actual",$A117,$D$2,"ytd","gpg")/1000,0)</f>
        <v>0</v>
      </c>
      <c r="D117" s="5">
        <f>ROUND(_xll.HPVAL($D$1,"actual",$A117,$D$3,"ytd","gpg")/1000,0)</f>
        <v>0</v>
      </c>
      <c r="E117" s="259">
        <f>ROUND(_xll.HPVAL($D$1,"py1",$A117,$D$4,"ytd","gpg")/1000,0)</f>
        <v>0</v>
      </c>
    </row>
    <row r="118" spans="1:5">
      <c r="A118" s="6" t="s">
        <v>133</v>
      </c>
      <c r="B118" s="6" t="str">
        <f>_xll.HPHEA($A118,"gpg")</f>
        <v>TCR II - other cost amort</v>
      </c>
      <c r="C118" s="5">
        <f>ROUND(_xll.HPVAL($D$1,"actual",$A118,$D$2,"ytd","gpg")/1000,0)</f>
        <v>0</v>
      </c>
      <c r="D118" s="5">
        <f>ROUND(_xll.HPVAL($D$1,"actual",$A118,$D$3,"ytd","gpg")/1000,0)</f>
        <v>0</v>
      </c>
      <c r="E118" s="259">
        <f>ROUND(_xll.HPVAL($D$1,"py1",$A118,$D$4,"ytd","gpg")/1000,0)</f>
        <v>0</v>
      </c>
    </row>
    <row r="119" spans="1:5">
      <c r="A119" s="6" t="s">
        <v>134</v>
      </c>
      <c r="B119" s="6" t="str">
        <f>_xll.HPHEA($A119,"gpg")</f>
        <v>TCR C amortization</v>
      </c>
      <c r="C119" s="5">
        <f>ROUND(_xll.HPVAL($D$1,"actual",$A119,$D$2,"ytd","gpg")/1000,0)</f>
        <v>0</v>
      </c>
      <c r="D119" s="5">
        <f>ROUND(_xll.HPVAL($D$1,"actual",$A119,$D$3,"ytd","gpg")/1000,0)</f>
        <v>0</v>
      </c>
      <c r="E119" s="259">
        <f>ROUND(_xll.HPVAL($D$1,"py1",$A119,$D$4,"ytd","gpg")/1000,0)</f>
        <v>0</v>
      </c>
    </row>
    <row r="120" spans="1:5">
      <c r="A120" s="6" t="s">
        <v>135</v>
      </c>
      <c r="B120" s="6" t="str">
        <f>_xll.HPHEA($A120,"gpg")</f>
        <v>TCR pref int</v>
      </c>
      <c r="C120" s="5">
        <f>ROUND(_xll.HPVAL($D$1,"actual",$A120,$D$2,"ytd","gpg")/1000,0)</f>
        <v>0</v>
      </c>
      <c r="D120" s="5">
        <f>ROUND(_xll.HPVAL($D$1,"actual",$A120,$D$3,"ytd","gpg")/1000,0)</f>
        <v>0</v>
      </c>
      <c r="E120" s="259">
        <f>ROUND(_xll.HPVAL($D$1,"py1",$A120,$D$4,"ytd","gpg")/1000,0)</f>
        <v>0</v>
      </c>
    </row>
    <row r="121" spans="1:5">
      <c r="A121" s="6" t="s">
        <v>136</v>
      </c>
      <c r="B121" s="6" t="str">
        <f>_xll.HPHEA($A121,"gpg")</f>
        <v>TCR pref int amortization</v>
      </c>
      <c r="C121" s="5">
        <f>ROUND(_xll.HPVAL($D$1,"actual",$A121,$D$2,"ytd","gpg")/1000,0)</f>
        <v>0</v>
      </c>
      <c r="D121" s="5">
        <f>ROUND(_xll.HPVAL($D$1,"actual",$A121,$D$3,"ytd","gpg")/1000,0)</f>
        <v>0</v>
      </c>
      <c r="E121" s="259">
        <f>ROUND(_xll.HPVAL($D$1,"py1",$A121,$D$4,"ytd","gpg")/1000,0)</f>
        <v>0</v>
      </c>
    </row>
    <row r="122" spans="1:5">
      <c r="A122" s="5" t="s">
        <v>137</v>
      </c>
      <c r="B122" s="6" t="str">
        <f>_xll.HPHEA($A122,"gpg")</f>
        <v>Other regulatory assets - SO GA</v>
      </c>
      <c r="C122" s="5">
        <f>ROUND(_xll.HPVAL($D$1,"actual",$A122,$D$2,"ytd","gpg")/1000,0)</f>
        <v>0</v>
      </c>
      <c r="D122" s="5">
        <f>ROUND(_xll.HPVAL($D$1,"actual",$A122,$D$3,"ytd","gpg")/1000,0)</f>
        <v>0</v>
      </c>
      <c r="E122" s="259">
        <f>ROUND(_xll.HPVAL($D$1,"py1",$A122,$D$4,"ytd","gpg")/1000,0)</f>
        <v>0</v>
      </c>
    </row>
    <row r="123" spans="1:5">
      <c r="A123" s="6" t="s">
        <v>138</v>
      </c>
      <c r="B123" s="6" t="str">
        <f>_xll.HPHEA($A123,"gpg")</f>
        <v>FERC annual billing</v>
      </c>
      <c r="C123" s="5">
        <f>ROUND(_xll.HPVAL($D$1,"actual",$A123,$D$2,"ytd","gpg")/1000,0)</f>
        <v>0</v>
      </c>
      <c r="D123" s="5">
        <f>ROUND(_xll.HPVAL($D$1,"actual",$A123,$D$3,"ytd","gpg")/1000,0)</f>
        <v>0</v>
      </c>
      <c r="E123" s="259">
        <f>ROUND(_xll.HPVAL($D$1,"py1",$A123,$D$4,"ytd","gpg")/1000,0)</f>
        <v>0</v>
      </c>
    </row>
    <row r="124" spans="1:5">
      <c r="A124" s="5" t="s">
        <v>139</v>
      </c>
      <c r="B124" s="6" t="str">
        <f>_xll.HPHEA($A124,"gpg")</f>
        <v>Other regulatory assets-pipe recoat</v>
      </c>
      <c r="C124" s="5">
        <f>ROUND(_xll.HPVAL($D$1,"actual",$A124,$D$2,"ytd","gpg")/1000,0)</f>
        <v>0</v>
      </c>
      <c r="D124" s="5">
        <f>ROUND(_xll.HPVAL($D$1,"actual",$A124,$D$3,"ytd","gpg")/1000,0)</f>
        <v>0</v>
      </c>
      <c r="E124" s="259">
        <f>ROUND(_xll.HPVAL($D$1,"py1",$A124,$D$4,"ytd","gpg")/1000,0)</f>
        <v>0</v>
      </c>
    </row>
    <row r="125" spans="1:5">
      <c r="A125" s="5" t="s">
        <v>140</v>
      </c>
      <c r="B125" s="6" t="str">
        <f>_xll.HPHEA($A125,"gpg")</f>
        <v>Other regulatory assets-severance/reloc</v>
      </c>
      <c r="C125" s="5">
        <f>ROUND(_xll.HPVAL($D$1,"actual",$A125,$D$2,"ytd","gpg")/1000,0)</f>
        <v>0</v>
      </c>
      <c r="D125" s="5">
        <f>ROUND(_xll.HPVAL($D$1,"actual",$A125,$D$3,"ytd","gpg")/1000,0)</f>
        <v>0</v>
      </c>
      <c r="E125" s="259">
        <f>ROUND(_xll.HPVAL($D$1,"py1",$A125,$D$4,"ytd","gpg")/1000,0)</f>
        <v>0</v>
      </c>
    </row>
    <row r="126" spans="1:5">
      <c r="A126" s="6" t="s">
        <v>141</v>
      </c>
      <c r="B126" s="6" t="str">
        <f>_xll.HPHEA($A126,"gpg")</f>
        <v>Other regulatory assets-AFUDC gross-up</v>
      </c>
      <c r="C126" s="5">
        <f>ROUND(_xll.HPVAL($D$1,"actual",$A126,$D$2,"ytd","gpg")/1000,0)</f>
        <v>0</v>
      </c>
      <c r="D126" s="5">
        <f>ROUND(_xll.HPVAL($D$1,"actual",$A126,$D$3,"ytd","gpg")/1000,0)</f>
        <v>0</v>
      </c>
      <c r="E126" s="259">
        <f>ROUND(_xll.HPVAL($D$1,"py1",$A126,$D$4,"ytd","gpg")/1000,0)</f>
        <v>0</v>
      </c>
    </row>
    <row r="127" spans="1:5">
      <c r="A127" s="5" t="s">
        <v>142</v>
      </c>
      <c r="B127" s="6" t="str">
        <f>_xll.HPHEA($A127,"gpg")</f>
        <v>Other reg assets-AFUDC gross-up amor</v>
      </c>
      <c r="C127" s="5">
        <f>ROUND(_xll.HPVAL($D$1,"actual",$A127,$D$2,"ytd","gpg")/1000,0)</f>
        <v>0</v>
      </c>
      <c r="D127" s="5">
        <f>ROUND(_xll.HPVAL($D$1,"actual",$A127,$D$3,"ytd","gpg")/1000,0)</f>
        <v>0</v>
      </c>
      <c r="E127" s="259">
        <f>ROUND(_xll.HPVAL($D$1,"py1",$A127,$D$4,"ytd","gpg")/1000,0)</f>
        <v>0</v>
      </c>
    </row>
    <row r="128" spans="1:5">
      <c r="A128" s="5" t="s">
        <v>143</v>
      </c>
      <c r="B128" s="6" t="str">
        <f>_xll.HPHEA($A128,"gpg")</f>
        <v>Other reg assets-accumulated reserve adj</v>
      </c>
      <c r="C128" s="5">
        <f>ROUND(_xll.HPVAL($D$1,"actual",$A128,$D$2,"ytd","gpg")/1000,0)</f>
        <v>0</v>
      </c>
      <c r="D128" s="5">
        <f>ROUND(_xll.HPVAL($D$1,"actual",$A128,$D$3,"ytd","gpg")/1000,0)</f>
        <v>0</v>
      </c>
      <c r="E128" s="259">
        <f>ROUND(_xll.HPVAL($D$1,"py1",$A128,$D$4,"ytd","gpg")/1000,0)</f>
        <v>0</v>
      </c>
    </row>
    <row r="129" spans="1:5">
      <c r="A129" s="6" t="s">
        <v>144</v>
      </c>
      <c r="B129" s="6" t="str">
        <f>_xll.HPHEA($A129,"gpg")</f>
        <v>Extraordinary environmental cost</v>
      </c>
      <c r="C129" s="5">
        <f>ROUND(_xll.HPVAL($D$1,"actual",$A129,$D$2,"ytd","gpg")/1000,0)</f>
        <v>0</v>
      </c>
      <c r="D129" s="5">
        <f>ROUND(_xll.HPVAL($D$1,"actual",$A129,$D$3,"ytd","gpg")/1000,0)</f>
        <v>0</v>
      </c>
      <c r="E129" s="259">
        <f>ROUND(_xll.HPVAL($D$1,"py1",$A129,$D$4,"ytd","gpg")/1000,0)</f>
        <v>0</v>
      </c>
    </row>
    <row r="130" spans="1:5">
      <c r="A130" s="5" t="s">
        <v>145</v>
      </c>
      <c r="B130" s="6" t="str">
        <f>_xll.HPHEA($A130,"gpg")</f>
        <v>Other regulatory assets-other</v>
      </c>
      <c r="C130" s="5">
        <f>ROUND(_xll.HPVAL($D$1,"actual",$A130,$D$2,"ytd","gpg")/1000,0)</f>
        <v>0</v>
      </c>
      <c r="D130" s="5">
        <f>ROUND(_xll.HPVAL($D$1,"actual",$A130,$D$3,"ytd","gpg")/1000,0)</f>
        <v>0</v>
      </c>
      <c r="E130" s="259">
        <f>ROUND(_xll.HPVAL($D$1,"py1",$A130,$D$4,"ytd","gpg")/1000,0)</f>
        <v>0</v>
      </c>
    </row>
    <row r="131" spans="1:5">
      <c r="A131" s="5" t="s">
        <v>146</v>
      </c>
      <c r="B131" s="6" t="str">
        <f>_xll.HPHEA($A131,"gpg")</f>
        <v>Deferred ACA payment</v>
      </c>
      <c r="C131" s="5">
        <f>ROUND(_xll.HPVAL($D$1,"actual",$A131,$D$2,"ytd","gpg")/1000,0)</f>
        <v>0</v>
      </c>
      <c r="D131" s="5">
        <f>ROUND(_xll.HPVAL($D$1,"actual",$A131,$D$3,"ytd","gpg")/1000,0)</f>
        <v>0</v>
      </c>
      <c r="E131" s="259">
        <f>ROUND(_xll.HPVAL($D$1,"py1",$A131,$D$4,"ytd","gpg")/1000,0)</f>
        <v>0</v>
      </c>
    </row>
    <row r="132" spans="1:5">
      <c r="A132" s="6" t="s">
        <v>147</v>
      </c>
      <c r="B132" s="6" t="str">
        <f>_xll.HPHEA($A132,"gpg")</f>
        <v>Current ACA</v>
      </c>
      <c r="C132" s="5">
        <f>ROUND(_xll.HPVAL($D$1,"actual",$A132,$D$2,"ytd","gpg")/1000,0)</f>
        <v>0</v>
      </c>
      <c r="D132" s="5">
        <f>ROUND(_xll.HPVAL($D$1,"actual",$A132,$D$3,"ytd","gpg")/1000,0)</f>
        <v>0</v>
      </c>
      <c r="E132" s="259">
        <f>ROUND(_xll.HPVAL($D$1,"py1",$A132,$D$4,"ytd","gpg")/1000,0)</f>
        <v>0</v>
      </c>
    </row>
    <row r="133" spans="1:5">
      <c r="A133" s="6" t="s">
        <v>148</v>
      </c>
      <c r="B133" s="6" t="str">
        <f>_xll.HPHEA($A133,"gpg")</f>
        <v>Current AFUDC gross-up</v>
      </c>
      <c r="C133" s="5">
        <f>ROUND(_xll.HPVAL($D$1,"actual",$A133,$D$2,"ytd","gpg")/1000,0)</f>
        <v>-102</v>
      </c>
      <c r="D133" s="5">
        <f>ROUND(_xll.HPVAL($D$1,"actual",$A133,$D$3,"ytd","gpg")/1000,0)</f>
        <v>-102</v>
      </c>
      <c r="E133" s="259">
        <f>ROUND(_xll.HPVAL($D$1,"py1",$A133,$D$4,"ytd","gpg")/1000,0)</f>
        <v>-101</v>
      </c>
    </row>
    <row r="134" spans="1:5">
      <c r="A134" s="6" t="s">
        <v>149</v>
      </c>
      <c r="B134" s="6" t="str">
        <f>_xll.HPHEA($A134,"gpg")</f>
        <v>Current audit adjustment</v>
      </c>
      <c r="C134" s="5">
        <f>ROUND(_xll.HPVAL($D$1,"actual",$A134,$D$2,"ytd","gpg")/1000,0)</f>
        <v>-126</v>
      </c>
      <c r="D134" s="5">
        <f>ROUND(_xll.HPVAL($D$1,"actual",$A134,$D$3,"ytd","gpg")/1000,0)</f>
        <v>-126</v>
      </c>
      <c r="E134" s="259">
        <f>ROUND(_xll.HPVAL($D$1,"py1",$A134,$D$4,"ytd","gpg")/1000,0)</f>
        <v>-126</v>
      </c>
    </row>
    <row r="135" spans="1:5">
      <c r="A135" s="6" t="s">
        <v>150</v>
      </c>
      <c r="B135" s="6" t="str">
        <f>_xll.HPHEA($A135,"gpg")</f>
        <v>Current environmental costs</v>
      </c>
      <c r="C135" s="5">
        <f>ROUND(_xll.HPVAL($D$1,"actual",$A135,$D$2,"ytd","gpg")/1000,0)</f>
        <v>0</v>
      </c>
      <c r="D135" s="5">
        <f>ROUND(_xll.HPVAL($D$1,"actual",$A135,$D$3,"ytd","gpg")/1000,0)</f>
        <v>0</v>
      </c>
      <c r="E135" s="259">
        <f>ROUND(_xll.HPVAL($D$1,"py1",$A135,$D$4,"ytd","gpg")/1000,0)</f>
        <v>0</v>
      </c>
    </row>
    <row r="136" spans="1:5">
      <c r="A136" s="16" t="s">
        <v>151</v>
      </c>
      <c r="B136" s="6" t="str">
        <f>_xll.HPHEA($A136,"gpg")</f>
        <v>Current extraord. environ. costs</v>
      </c>
      <c r="C136" s="5">
        <f>ROUND(_xll.HPVAL($D$1,"actual",$A136,$D$2,"ytd","gpg")/1000,0)</f>
        <v>-83</v>
      </c>
      <c r="D136" s="5">
        <f>ROUND(_xll.HPVAL($D$1,"actual",$A136,$D$3,"ytd","gpg")/1000,0)</f>
        <v>-83</v>
      </c>
      <c r="E136" s="259">
        <f>ROUND(_xll.HPVAL($D$1,"py1",$A136,$D$4,"ytd","gpg")/1000,0)</f>
        <v>-83</v>
      </c>
    </row>
    <row r="137" spans="1:5">
      <c r="A137" s="6" t="s">
        <v>152</v>
      </c>
      <c r="B137" s="6" t="str">
        <f>_xll.HPHEA($A137,"gpg")</f>
        <v>Current Litigation</v>
      </c>
      <c r="C137" s="5">
        <f>ROUND(_xll.HPVAL($D$1,"actual",$A137,$D$2,"ytd","gpg")/1000,0)</f>
        <v>-760</v>
      </c>
      <c r="D137" s="5">
        <f>ROUND(_xll.HPVAL($D$1,"actual",$A137,$D$3,"ytd","gpg")/1000,0)</f>
        <v>-760</v>
      </c>
      <c r="E137" s="259">
        <f>ROUND(_xll.HPVAL($D$1,"py1",$A137,$D$4,"ytd","gpg")/1000,0)</f>
        <v>-760</v>
      </c>
    </row>
    <row r="138" spans="1:5">
      <c r="A138" s="6" t="s">
        <v>153</v>
      </c>
      <c r="B138" s="6" t="str">
        <f>_xll.HPHEA($A138,"gpg")</f>
        <v>Current pipe recoat</v>
      </c>
      <c r="C138" s="5">
        <f>ROUND(_xll.HPVAL($D$1,"actual",$A138,$D$2,"ytd","gpg")/1000,0)</f>
        <v>-207</v>
      </c>
      <c r="D138" s="5">
        <f>ROUND(_xll.HPVAL($D$1,"actual",$A138,$D$3,"ytd","gpg")/1000,0)</f>
        <v>-207</v>
      </c>
      <c r="E138" s="259">
        <f>ROUND(_xll.HPVAL($D$1,"py1",$A138,$D$4,"ytd","gpg")/1000,0)</f>
        <v>-207</v>
      </c>
    </row>
    <row r="139" spans="1:5">
      <c r="A139" s="5" t="s">
        <v>154</v>
      </c>
      <c r="B139" s="6" t="str">
        <f>_xll.HPHEA($A139,"gpg")</f>
        <v>Current PGAR</v>
      </c>
      <c r="C139" s="5">
        <f>ROUND(_xll.HPVAL($D$1,"actual",$A139,$D$2,"ytd","gpg")/1000,0)</f>
        <v>-537</v>
      </c>
      <c r="D139" s="5">
        <f>ROUND(_xll.HPVAL($D$1,"actual",$A139,$D$3,"ytd","gpg")/1000,0)</f>
        <v>-537</v>
      </c>
      <c r="E139" s="259">
        <f>ROUND(_xll.HPVAL($D$1,"py1",$A139,$D$4,"ytd","gpg")/1000,0)</f>
        <v>-537</v>
      </c>
    </row>
    <row r="140" spans="1:5">
      <c r="A140" s="6" t="s">
        <v>155</v>
      </c>
      <c r="B140" s="6" t="str">
        <f>_xll.HPHEA($A140,"gpg")</f>
        <v>PGAR Mini settlement</v>
      </c>
      <c r="C140" s="5">
        <f>ROUND(_xll.HPVAL($D$1,"actual",$A140,$D$2,"ytd","gpg")/1000,0)</f>
        <v>0</v>
      </c>
      <c r="D140" s="5">
        <f>ROUND(_xll.HPVAL($D$1,"actual",$A140,$D$3,"ytd","gpg")/1000,0)</f>
        <v>0</v>
      </c>
      <c r="E140" s="259">
        <f>ROUND(_xll.HPVAL($D$1,"py1",$A140,$D$4,"ytd","gpg")/1000,0)</f>
        <v>0</v>
      </c>
    </row>
    <row r="141" spans="1:5">
      <c r="A141" s="6" t="s">
        <v>156</v>
      </c>
      <c r="B141" s="6" t="str">
        <f>_xll.HPHEA($A141,"gpg")</f>
        <v>Regulatory commission expense</v>
      </c>
      <c r="C141" s="5">
        <f>ROUND(_xll.HPVAL($D$1,"actual",$A141,$D$2,"ytd","gpg")/1000,0)</f>
        <v>-116</v>
      </c>
      <c r="D141" s="5">
        <f>ROUND(_xll.HPVAL($D$1,"actual",$A141,$D$3,"ytd","gpg")/1000,0)</f>
        <v>-116</v>
      </c>
      <c r="E141" s="259">
        <f>ROUND(_xll.HPVAL($D$1,"py1",$A141,$D$4,"ytd","gpg")/1000,0)</f>
        <v>-116</v>
      </c>
    </row>
    <row r="142" spans="1:5">
      <c r="A142" s="6" t="s">
        <v>157</v>
      </c>
      <c r="B142" s="6" t="str">
        <f>_xll.HPHEA($A142,"gpg")</f>
        <v>Current accumulated reserve adj</v>
      </c>
      <c r="C142" s="5">
        <f>ROUND(_xll.HPVAL($D$1,"actual",$A142,$D$2,"ytd","gpg")/1000,0)</f>
        <v>-601</v>
      </c>
      <c r="D142" s="5">
        <f>ROUND(_xll.HPVAL($D$1,"actual",$A142,$D$3,"ytd","gpg")/1000,0)</f>
        <v>-601</v>
      </c>
      <c r="E142" s="259">
        <f>ROUND(_xll.HPVAL($D$1,"py1",$A142,$D$4,"ytd","gpg")/1000,0)</f>
        <v>-601</v>
      </c>
    </row>
    <row r="143" spans="1:5">
      <c r="A143" s="5" t="s">
        <v>158</v>
      </c>
      <c r="B143" s="6" t="str">
        <f>_xll.HPHEA($A143,"gpg")</f>
        <v>Current SO. GA.</v>
      </c>
      <c r="C143" s="5">
        <f>ROUND(_xll.HPVAL($D$1,"actual",$A143,$D$2,"ytd","gpg")/1000,0)</f>
        <v>-49</v>
      </c>
      <c r="D143" s="5">
        <f>ROUND(_xll.HPVAL($D$1,"actual",$A143,$D$3,"ytd","gpg")/1000,0)</f>
        <v>-49</v>
      </c>
      <c r="E143" s="259">
        <f>ROUND(_xll.HPVAL($D$1,"py1",$A143,$D$4,"ytd","gpg")/1000,0)</f>
        <v>-49</v>
      </c>
    </row>
    <row r="144" spans="1:5">
      <c r="A144" s="6" t="s">
        <v>159</v>
      </c>
      <c r="B144" s="6" t="str">
        <f>_xll.HPHEA($A144,"gpg")</f>
        <v>Current severance/relocation</v>
      </c>
      <c r="C144" s="5">
        <f>ROUND(_xll.HPVAL($D$1,"actual",$A144,$D$2,"ytd","gpg")/1000,0)</f>
        <v>-454</v>
      </c>
      <c r="D144" s="5">
        <f>ROUND(_xll.HPVAL($D$1,"actual",$A144,$D$3,"ytd","gpg")/1000,0)</f>
        <v>-454</v>
      </c>
      <c r="E144" s="259">
        <f>ROUND(_xll.HPVAL($D$1,"py1",$A144,$D$4,"ytd","gpg")/1000,0)</f>
        <v>-454</v>
      </c>
    </row>
    <row r="145" spans="1:5">
      <c r="A145" s="6" t="s">
        <v>306</v>
      </c>
      <c r="B145" s="6" t="str">
        <f>_xll.HPHEA($A145,"gpg")</f>
        <v>0357_TCRII_CURR</v>
      </c>
      <c r="C145" s="5">
        <f>ROUND(_xll.HPVAL($D$1,"actual",$A145,$D$2,"ytd","gpg")/1000,0)</f>
        <v>-1290</v>
      </c>
      <c r="D145" s="5">
        <f>ROUND(_xll.HPVAL($D$1,"actual",$A145,$D$3,"ytd","gpg")/1000,0)</f>
        <v>-1290</v>
      </c>
      <c r="E145" s="259">
        <f>ROUND(_xll.HPVAL($D$1,"py1",$A145,$D$4,"ytd","gpg")/1000,0)</f>
        <v>-1290</v>
      </c>
    </row>
    <row r="146" spans="1:5">
      <c r="A146" s="6" t="s">
        <v>160</v>
      </c>
      <c r="B146" s="6" t="str">
        <f>_xll.HPHEA($A146,"gpg")</f>
        <v>Current TCR C</v>
      </c>
      <c r="C146" s="5">
        <f>ROUND(_xll.HPVAL($D$1,"actual",$A146,$D$2,"ytd","gpg")/1000,0)</f>
        <v>-378</v>
      </c>
      <c r="D146" s="5">
        <f>ROUND(_xll.HPVAL($D$1,"actual",$A146,$D$3,"ytd","gpg")/1000,0)</f>
        <v>-378</v>
      </c>
      <c r="E146" s="259">
        <f>ROUND(_xll.HPVAL($D$1,"py1",$A146,$D$4,"ytd","gpg")/1000,0)</f>
        <v>-378</v>
      </c>
    </row>
    <row r="147" spans="1:5">
      <c r="A147" s="6" t="s">
        <v>161</v>
      </c>
      <c r="B147" s="6" t="str">
        <f>_xll.HPHEA($A147,"gpg")</f>
        <v>Current TCR prefiling interest</v>
      </c>
      <c r="C147" s="9">
        <f>ROUND(_xll.HPVAL($D$1,"actual",$A147,$D$2,"ytd","gpg")/1000,0)</f>
        <v>-90</v>
      </c>
      <c r="D147" s="9">
        <f>ROUND(_xll.HPVAL($D$1,"actual",$A147,$D$3,"ytd","gpg")/1000,0)</f>
        <v>-90</v>
      </c>
      <c r="E147" s="259">
        <f>ROUND(_xll.HPVAL($D$1,"py1",$A147,$D$4,"ytd","gpg")/1000,0)</f>
        <v>-90</v>
      </c>
    </row>
    <row r="148" spans="1:5">
      <c r="A148" s="6" t="s">
        <v>162</v>
      </c>
      <c r="B148" s="6" t="str">
        <f>_xll.HPHEA($A148,"gpg")</f>
        <v>Current uncoll receivables</v>
      </c>
      <c r="C148" s="9">
        <f>ROUND(_xll.HPVAL($D$1,"actual",$A148,$D$2,"ytd","gpg")/1000,0)</f>
        <v>-867</v>
      </c>
      <c r="D148" s="9">
        <f>ROUND(_xll.HPVAL($D$1,"actual",$A148,$D$3,"ytd","gpg")/1000,0)</f>
        <v>-867</v>
      </c>
      <c r="E148" s="259">
        <f>ROUND(_xll.HPVAL($D$1,"py1",$A148,$D$4,"ytd","gpg")/1000,0)</f>
        <v>-889</v>
      </c>
    </row>
    <row r="149" spans="1:5">
      <c r="A149" s="6"/>
      <c r="B149" s="16" t="s">
        <v>216</v>
      </c>
      <c r="C149" s="9">
        <f>C150-SUM(C102:C148)</f>
        <v>1</v>
      </c>
      <c r="D149" s="9">
        <f>D150-SUM(D102:D148)</f>
        <v>2</v>
      </c>
      <c r="E149" s="259">
        <f>E150-SUM(E102:E148)</f>
        <v>84735</v>
      </c>
    </row>
    <row r="150" spans="1:5" ht="10.8" thickBot="1">
      <c r="A150" s="6" t="s">
        <v>305</v>
      </c>
      <c r="B150" s="6"/>
      <c r="C150" s="24">
        <f>ROUND(_xll.HPVAL($D$1,"actual","0350",$D$2,"ytd","gpg")/1000,0)+ROUND(_xll.HPVAL($D$1,"actual","0357",$D$2,"ytd","gpg")/1000,0)</f>
        <v>75407</v>
      </c>
      <c r="D150" s="24">
        <f>ROUND(_xll.HPVAL($D$1,"actual","0350",$D$3,"ytd","gpg")/1000,0)+ROUND(_xll.HPVAL($D$1,"actual","0357",$D$3,"ytd","gpg")/1000,0)</f>
        <v>75860</v>
      </c>
      <c r="E150" s="265">
        <f>ROUND(_xll.HPVAL($D$1,"py1","0350",$D$4,"ytd","gpg")/1000,0)+ROUND(_xll.HPVAL($D$1,"py1","0357",$D$4,"ytd","gpg")/1000,0)</f>
        <v>79054</v>
      </c>
    </row>
    <row r="151" spans="1:5" ht="10.8" thickTop="1">
      <c r="A151" s="6"/>
      <c r="B151" s="6"/>
      <c r="C151" s="9"/>
      <c r="D151" s="9"/>
      <c r="E151" s="259"/>
    </row>
    <row r="152" spans="1:5" ht="10.8" thickBot="1">
      <c r="A152" s="6" t="s">
        <v>430</v>
      </c>
      <c r="B152" s="6" t="str">
        <f>_xll.HPHEA($A152,"gpg")</f>
        <v>Deferred assets-risk mgmnt activities</v>
      </c>
      <c r="C152" s="8">
        <f>ROUND(_xll.HPVAL($D$1,"actual",$A152,$D$2,"ytd","gpg")/1000,0)</f>
        <v>14193</v>
      </c>
      <c r="D152" s="8">
        <f>ROUND(_xll.HPVAL($D$1,"actual",$A152,$D$3,"ytd","gpg")/1000,0)</f>
        <v>14193</v>
      </c>
      <c r="E152" s="261">
        <f>ROUND(_xll.HPVAL($D$1,"py1",$A152,$D$4,"ytd","gpg")/1000,0)</f>
        <v>0</v>
      </c>
    </row>
    <row r="153" spans="1:5" ht="10.8" thickTop="1">
      <c r="E153" s="259"/>
    </row>
    <row r="154" spans="1:5">
      <c r="A154" s="6" t="s">
        <v>164</v>
      </c>
      <c r="B154" s="6" t="str">
        <f>_xll.HPHEA($A154,"gpg")</f>
        <v>Deferred Charges-Debt Expense</v>
      </c>
      <c r="C154" s="5">
        <f>ROUND(_xll.HPVAL($D$1,"actual",$A154,$D$2,"ytd","gpg")/1000,0)</f>
        <v>10</v>
      </c>
      <c r="D154" s="5">
        <f>ROUND(_xll.HPVAL($D$1,"actual",$A154,$D$3,"ytd","gpg")/1000,0)</f>
        <v>10</v>
      </c>
      <c r="E154" s="259">
        <f>ROUND(_xll.HPVAL($D$1,"py1",$A154,$D$4,"ytd","gpg")/1000,0)</f>
        <v>14</v>
      </c>
    </row>
    <row r="155" spans="1:5">
      <c r="A155" s="6" t="s">
        <v>165</v>
      </c>
      <c r="B155" s="6" t="str">
        <f>_xll.HPHEA($A155,"gpg")</f>
        <v>Misc Deferred Debits</v>
      </c>
      <c r="C155" s="5">
        <f>ROUND(_xll.HPVAL($D$1,"actual",$A155,$D$2,"ytd","gpg")/1000,0)</f>
        <v>2404</v>
      </c>
      <c r="D155" s="5">
        <f>ROUND(_xll.HPVAL($D$1,"actual",$A155,$D$3,"ytd","gpg")/1000,0)</f>
        <v>2103</v>
      </c>
      <c r="E155" s="259">
        <f>ROUND(_xll.HPVAL($D$1,"py1",$A155,$D$4,"ytd","gpg")/1000,0)</f>
        <v>593</v>
      </c>
    </row>
    <row r="156" spans="1:5">
      <c r="A156" s="6" t="s">
        <v>166</v>
      </c>
      <c r="B156" s="6" t="str">
        <f>_xll.HPHEA($A156,"gpg")</f>
        <v>Deferred Charges - Other</v>
      </c>
      <c r="C156" s="9">
        <f>ROUND(_xll.HPVAL($D$1,"actual",$A156,$D$2,"ytd","gpg")/1000,0)</f>
        <v>1750</v>
      </c>
      <c r="D156" s="9">
        <f>ROUND(_xll.HPVAL($D$1,"actual",$A156,$D$3,"ytd","gpg")/1000,0)</f>
        <v>1913</v>
      </c>
      <c r="E156" s="259">
        <f>ROUND(_xll.HPVAL($D$1,"py1",$A156,$D$4,"ytd","gpg")/1000,0)</f>
        <v>1647</v>
      </c>
    </row>
    <row r="157" spans="1:5" s="19" customFormat="1">
      <c r="A157" s="195"/>
      <c r="B157" s="196" t="s">
        <v>216</v>
      </c>
      <c r="C157" s="211">
        <f>+C158-SUM(C154:C156)</f>
        <v>0</v>
      </c>
      <c r="D157" s="211">
        <f>+D158-SUM(D154:D156)</f>
        <v>0</v>
      </c>
      <c r="E157" s="266">
        <f>+E158-SUM(E154:E156)</f>
        <v>0</v>
      </c>
    </row>
    <row r="158" spans="1:5">
      <c r="C158" s="9">
        <f>ROUND(_xll.HPVAL($D$1,"actual","0341",$D$2,"ytd","gpg")/1000,0)+ROUND(_xll.HPVAL($D$1,"actual","0343",$D$2,"ytd","gpg")/1000,0)+ROUND(_xll.HPVAL($D$1,"actual","0360",$D$2,"ytd","gpg")/1000,0)</f>
        <v>4164</v>
      </c>
      <c r="D158" s="9">
        <f>ROUND(_xll.HPVAL($D$1,"actual","0341",$D$3,"ytd","gpg")/1000,0)+ROUND(_xll.HPVAL($D$1,"actual","0343",$D$3,"ytd","gpg")/1000,0)+ROUND(_xll.HPVAL($D$1,"actual","0360",$D$3,"ytd","gpg")/1000,0)</f>
        <v>4026</v>
      </c>
      <c r="E158" s="259">
        <f>ROUND(_xll.HPVAL($D$1,"py1","0341",$D$4,"ytd","gpg")/1000,0)+ROUND(_xll.HPVAL($D$1,"py1","0343",$D$4,"ytd","gpg")/1000,0)+ROUND(_xll.HPVAL($D$1,"py1","0360",$D$4,"ytd","gpg")/1000,0)</f>
        <v>2254</v>
      </c>
    </row>
    <row r="159" spans="1:5" s="10" customFormat="1">
      <c r="B159" s="10" t="s">
        <v>311</v>
      </c>
      <c r="C159" s="194">
        <v>0</v>
      </c>
      <c r="D159" s="194">
        <v>0</v>
      </c>
      <c r="E159" s="267">
        <v>0</v>
      </c>
    </row>
    <row r="160" spans="1:5" ht="10.8" thickBot="1">
      <c r="C160" s="24">
        <f>SUM(C158:C159)</f>
        <v>4164</v>
      </c>
      <c r="D160" s="24">
        <f>SUM(D158:D159)</f>
        <v>4026</v>
      </c>
      <c r="E160" s="265">
        <f>SUM(E158:E159)</f>
        <v>2254</v>
      </c>
    </row>
    <row r="161" spans="1:5" ht="10.8" thickTop="1">
      <c r="C161" s="9"/>
      <c r="D161" s="9"/>
      <c r="E161" s="259"/>
    </row>
    <row r="162" spans="1:5" ht="10.8" thickBot="1">
      <c r="B162" s="13" t="s">
        <v>22</v>
      </c>
      <c r="C162" s="141">
        <f>+C160+C152+C150+C100+C94+C88+C86+C84+C79+C54+C48+C42+C40++C37+C35+C33+C31+C22+C18+C12</f>
        <v>1315979</v>
      </c>
      <c r="D162" s="141">
        <f>+D160+D152+D150+D100+D94+D88+D86+D84+D79+D54+D48+D42+D40++D37+D35+D33+D31+D22+D18+D12</f>
        <v>1301499</v>
      </c>
      <c r="E162" s="141">
        <f>+E160+E152+E150+E100+E94+E88+E86+E84+E79+E54+E48+E42+E40++E37+E35+E33+E31+E22+E18+E12</f>
        <v>1372399</v>
      </c>
    </row>
    <row r="163" spans="1:5" ht="10.8" thickTop="1">
      <c r="C163" s="9"/>
      <c r="D163" s="9"/>
      <c r="E163" s="259"/>
    </row>
    <row r="164" spans="1:5">
      <c r="C164" s="9"/>
      <c r="D164" s="9"/>
      <c r="E164" s="259"/>
    </row>
    <row r="165" spans="1:5" ht="10.8" thickBot="1">
      <c r="A165" s="6" t="s">
        <v>168</v>
      </c>
      <c r="B165" s="6" t="str">
        <f>_xll.HPHEA($A165,"gpg")</f>
        <v>Current Maturities of Long-Term Debt</v>
      </c>
      <c r="C165" s="8">
        <f>ROUND(_xll.HPVAL($D$1,"actual",$A165,$D$2,"ytd","gpg")/1000,0)</f>
        <v>3850</v>
      </c>
      <c r="D165" s="8">
        <f>ROUND(_xll.HPVAL($D$1,"actual",$A165,$D$3,"ytd","gpg")/1000,0)</f>
        <v>3850</v>
      </c>
      <c r="E165" s="261">
        <f>ROUND(_xll.HPVAL($D$1,"py1",$A165,$D$4,"ytd","gpg")/1000,0)</f>
        <v>3850</v>
      </c>
    </row>
    <row r="166" spans="1:5" ht="10.8" thickTop="1">
      <c r="E166" s="259"/>
    </row>
    <row r="167" spans="1:5">
      <c r="A167" s="84" t="s">
        <v>386</v>
      </c>
      <c r="B167" s="84" t="str">
        <f>_xll.HPHEA($A167,"gpg")</f>
        <v>Accounts payable-trade-interco</v>
      </c>
      <c r="C167" s="75">
        <f>-ROUND(_xll.HPVAL($D$1,"actual",$A167,$D$2,"ytd","gpg")/1000,0)</f>
        <v>183</v>
      </c>
      <c r="D167" s="75">
        <f>-ROUND(_xll.HPVAL($D$1,"actual",$A167,$D$3,"ytd","gpg")/1000,0)</f>
        <v>1180</v>
      </c>
      <c r="E167" s="262">
        <f>-ROUND(_xll.HPVAL($D$1,"PY1",$A167,$D$4,"ytd","gpg")/1000,0)</f>
        <v>1724</v>
      </c>
    </row>
    <row r="168" spans="1:5">
      <c r="A168" s="6" t="s">
        <v>169</v>
      </c>
      <c r="B168" s="6" t="str">
        <f>_xll.HPHEA($A168,"gpg")</f>
        <v>Accounts Payable - Consolidated Subs</v>
      </c>
      <c r="C168" s="9">
        <f>ROUND(_xll.HPVAL($D$1,"actual",$A168,$D$2,"ytd","gpg")/1000,0)</f>
        <v>0</v>
      </c>
      <c r="D168" s="9">
        <f>ROUND(_xll.HPVAL($D$1,"actual",$A168,$D$3,"ytd","gpg")/1000,0)</f>
        <v>0</v>
      </c>
      <c r="E168" s="259">
        <f>ROUND(_xll.HPVAL($D$1,"py1",$A168,$D$4,"ytd","gpg")/1000,0)</f>
        <v>0</v>
      </c>
    </row>
    <row r="169" spans="1:5" ht="10.8" thickBot="1">
      <c r="A169" s="84"/>
      <c r="B169" s="84"/>
      <c r="C169" s="175">
        <f>SUM(C167:C168)</f>
        <v>183</v>
      </c>
      <c r="D169" s="175">
        <f>SUM(D167:D168)</f>
        <v>1180</v>
      </c>
      <c r="E169" s="268">
        <f>SUM(E167:E168)</f>
        <v>1724</v>
      </c>
    </row>
    <row r="170" spans="1:5" ht="10.8" thickTop="1">
      <c r="E170" s="259"/>
    </row>
    <row r="171" spans="1:5" ht="10.8" thickBot="1">
      <c r="A171" s="6" t="s">
        <v>173</v>
      </c>
      <c r="B171" s="6" t="str">
        <f>_xll.HPHEA($A171,"gpg")</f>
        <v>Accts Payable - Trade</v>
      </c>
      <c r="C171" s="8">
        <f>ROUND(_xll.HPVAL($D$1,"actual",$A171,$D$2,"ytd","gpg")/1000,0)</f>
        <v>4292</v>
      </c>
      <c r="D171" s="8">
        <f>ROUND(_xll.HPVAL($D$1,"actual",$A171,$D$3,"ytd","gpg")/1000,0)</f>
        <v>2297</v>
      </c>
      <c r="E171" s="261">
        <f>ROUND(_xll.HPVAL($D$1,"py1",$A171,$D$4,"ytd","gpg")/1000,0)</f>
        <v>2161</v>
      </c>
    </row>
    <row r="172" spans="1:5" ht="10.8" thickTop="1">
      <c r="E172" s="259"/>
    </row>
    <row r="173" spans="1:5" ht="10.8" thickBot="1">
      <c r="A173" s="6" t="s">
        <v>570</v>
      </c>
      <c r="B173" s="6" t="str">
        <f>_xll.HPHEA($A173,"gpg")</f>
        <v>Price risk management liab-current</v>
      </c>
      <c r="C173" s="8">
        <f>ROUND(_xll.HPVAL($D$1,"actual",$A173,$D$2,"ytd","gpg")/1000,0)</f>
        <v>-10</v>
      </c>
      <c r="D173" s="8">
        <f>ROUND(_xll.HPVAL($D$1,"actual",$A173,$D$3,"ytd","gpg")/1000,0)</f>
        <v>-10</v>
      </c>
      <c r="E173" s="261">
        <f>ROUND(_xll.HPVAL($D$1,"py1",$A173,$D$4,"ytd","gpg")/1000,0)</f>
        <v>0</v>
      </c>
    </row>
    <row r="174" spans="1:5" ht="10.8" thickTop="1">
      <c r="E174" s="259"/>
    </row>
    <row r="175" spans="1:5">
      <c r="A175" s="6" t="s">
        <v>174</v>
      </c>
      <c r="B175" s="6" t="str">
        <f>_xll.HPHEA($A175,"gpg")</f>
        <v>Commodities Exchange Payable - Trade</v>
      </c>
      <c r="C175" s="9">
        <f>ROUND(_xll.HPVAL($D$1,"actual",$A175,$D$2,"ytd","gpg")/1000,0)</f>
        <v>15142</v>
      </c>
      <c r="D175" s="9">
        <f>ROUND(_xll.HPVAL($D$1,"actual",$A175,$D$3,"ytd","gpg")/1000,0)</f>
        <v>13191</v>
      </c>
      <c r="E175" s="259">
        <f>ROUND(_xll.HPVAL($D$1,"py1",$A175,$D$4,"ytd","gpg")/1000,0)</f>
        <v>7331</v>
      </c>
    </row>
    <row r="176" spans="1:5">
      <c r="A176" s="6" t="s">
        <v>175</v>
      </c>
      <c r="B176" s="6" t="str">
        <f>_xll.HPHEA($A176,"gpg")</f>
        <v>Commodities exchange payable-assoc co</v>
      </c>
      <c r="C176" s="9">
        <f>ROUND(_xll.HPVAL($D$1,"actual",$A176,$D$2,"ytd","gpg")/1000,0)</f>
        <v>0</v>
      </c>
      <c r="D176" s="9">
        <f>ROUND(_xll.HPVAL($D$1,"actual",$A176,$D$3,"ytd","gpg")/1000,0)</f>
        <v>0</v>
      </c>
      <c r="E176" s="259">
        <f>ROUND(_xll.HPVAL($D$1,"py1",$A176,$D$4,"ytd","gpg")/1000,0)</f>
        <v>0</v>
      </c>
    </row>
    <row r="177" spans="1:5" ht="10.8" thickBot="1">
      <c r="A177" s="6"/>
      <c r="B177" s="6"/>
      <c r="C177" s="24">
        <f>SUM(C175:C176)</f>
        <v>15142</v>
      </c>
      <c r="D177" s="24">
        <f>SUM(D175:D176)</f>
        <v>13191</v>
      </c>
      <c r="E177" s="265">
        <f>SUM(E175:E176)</f>
        <v>7331</v>
      </c>
    </row>
    <row r="178" spans="1:5" ht="10.8" thickTop="1">
      <c r="E178" s="259"/>
    </row>
    <row r="179" spans="1:5" ht="10.8" thickBot="1">
      <c r="A179" s="6" t="s">
        <v>176</v>
      </c>
      <c r="B179" s="6" t="str">
        <f>_xll.HPHEA($A179,"gpg")</f>
        <v>Accrued Taxes Payable - Other</v>
      </c>
      <c r="C179" s="8">
        <f>ROUND(_xll.HPVAL($D$1,"actual",$A179,$D$2,"ytd","gpg")/1000,0)</f>
        <v>6546</v>
      </c>
      <c r="D179" s="8">
        <f>ROUND(_xll.HPVAL($D$1,"actual",$A179,$D$3,"ytd","gpg")/1000,0)</f>
        <v>5950</v>
      </c>
      <c r="E179" s="261">
        <f>ROUND(_xll.HPVAL($D$1,"py1",$A179,$D$4,"ytd","gpg")/1000,0)</f>
        <v>5662</v>
      </c>
    </row>
    <row r="180" spans="1:5" ht="10.8" thickTop="1">
      <c r="E180" s="259"/>
    </row>
    <row r="181" spans="1:5">
      <c r="A181" s="6" t="s">
        <v>177</v>
      </c>
      <c r="B181" s="6" t="str">
        <f>_xll.HPHEA($A181,"gpg")</f>
        <v>Income Taxes Payable - State</v>
      </c>
      <c r="C181" s="9">
        <f>ROUND(_xll.HPVAL($D$1,"actual",$A181,$D$2,"ytd","gpg")/1000,0)</f>
        <v>480</v>
      </c>
      <c r="D181" s="9">
        <f>ROUND(_xll.HPVAL($D$1,"actual",$A181,$D$3,"ytd","gpg")/1000,0)</f>
        <v>480</v>
      </c>
      <c r="E181" s="259">
        <f>ROUND(_xll.HPVAL($D$1,"py1",$A181,$D$4,"ytd","gpg")/1000,0)</f>
        <v>464</v>
      </c>
    </row>
    <row r="182" spans="1:5">
      <c r="A182" s="6" t="s">
        <v>178</v>
      </c>
      <c r="B182" s="6" t="str">
        <f>_xll.HPHEA($A182,"gpg")</f>
        <v>Income Taxes Payable - Federal</v>
      </c>
      <c r="C182" s="9">
        <f>ROUND(_xll.HPVAL($D$1,"actual",$A182,$D$2,"ytd","gpg")/1000,0)</f>
        <v>0</v>
      </c>
      <c r="D182" s="9">
        <f>ROUND(_xll.HPVAL($D$1,"actual",$A182,$D$3,"ytd","gpg")/1000,0)</f>
        <v>0</v>
      </c>
      <c r="E182" s="259">
        <f>ROUND(_xll.HPVAL($D$1,"py1",$A182,$D$4,"ytd","gpg")/1000,0)</f>
        <v>0</v>
      </c>
    </row>
    <row r="183" spans="1:5" ht="10.8" thickBot="1">
      <c r="A183" s="6"/>
      <c r="B183" s="6"/>
      <c r="C183" s="24">
        <f>SUM(C181:C182)</f>
        <v>480</v>
      </c>
      <c r="D183" s="24">
        <f>SUM(D181:D182)</f>
        <v>480</v>
      </c>
      <c r="E183" s="265">
        <f>SUM(E181:E182)</f>
        <v>464</v>
      </c>
    </row>
    <row r="184" spans="1:5" ht="10.8" thickTop="1">
      <c r="A184" s="6"/>
      <c r="B184" s="6"/>
      <c r="C184" s="9"/>
      <c r="D184" s="9"/>
      <c r="E184" s="259"/>
    </row>
    <row r="185" spans="1:5" ht="10.8" thickBot="1">
      <c r="A185" s="6" t="s">
        <v>179</v>
      </c>
      <c r="B185" s="6" t="str">
        <f>_xll.HPHEA($A185,"gpg")</f>
        <v>Accrued Interest - Other</v>
      </c>
      <c r="C185" s="8">
        <f>ROUND(_xll.HPVAL($D$1,"actual",$A185,$D$2,"ytd","gpg")/1000,0)</f>
        <v>474</v>
      </c>
      <c r="D185" s="8">
        <f>ROUND(_xll.HPVAL($D$1,"actual",$A185,$D$3,"ytd","gpg")/1000,0)</f>
        <v>355</v>
      </c>
      <c r="E185" s="261">
        <f>ROUND(_xll.HPVAL($D$1,"py1",$A185,$D$4,"ytd","gpg")/1000,0)</f>
        <v>3012</v>
      </c>
    </row>
    <row r="186" spans="1:5" ht="10.8" thickTop="1">
      <c r="E186" s="259"/>
    </row>
    <row r="187" spans="1:5">
      <c r="A187" s="6" t="s">
        <v>180</v>
      </c>
      <c r="B187" s="6" t="str">
        <f>_xll.HPHEA($A187,"gpg")</f>
        <v>Current Dfrd Taxes Payable-Federal</v>
      </c>
      <c r="C187" s="9">
        <f>ROUND(_xll.HPVAL($D$1,"actual",$A187,$D$2,"ytd","gpg")/1000,0)</f>
        <v>1794</v>
      </c>
      <c r="D187" s="9">
        <f>ROUND(_xll.HPVAL($D$1,"actual",$A187,$D$3,"ytd","gpg")/1000,0)</f>
        <v>1794</v>
      </c>
      <c r="E187" s="259">
        <f>ROUND(_xll.HPVAL($D$1,"py1",$A187,$D$4,"ytd","gpg")/1000,0)</f>
        <v>1802</v>
      </c>
    </row>
    <row r="188" spans="1:5">
      <c r="A188" s="6" t="s">
        <v>181</v>
      </c>
      <c r="B188" s="6" t="str">
        <f>_xll.HPHEA($A188,"gpg")</f>
        <v>ADSIT current</v>
      </c>
      <c r="C188" s="9">
        <f>ROUND(_xll.HPVAL($D$1,"actual",$A188,$D$2,"ytd","gpg")/1000,0)</f>
        <v>325</v>
      </c>
      <c r="D188" s="9">
        <f>ROUND(_xll.HPVAL($D$1,"actual",$A188,$D$3,"ytd","gpg")/1000,0)</f>
        <v>325</v>
      </c>
      <c r="E188" s="9">
        <f>ROUND(_xll.HPVAL($D$1,"py1",$A188,$D$4,"ytd","gpg")/1000,0)</f>
        <v>327</v>
      </c>
    </row>
    <row r="189" spans="1:5">
      <c r="A189" s="6"/>
      <c r="B189" s="299" t="s">
        <v>588</v>
      </c>
      <c r="C189" s="9"/>
      <c r="D189" s="9"/>
      <c r="E189" s="259"/>
    </row>
    <row r="190" spans="1:5">
      <c r="A190" s="6" t="s">
        <v>77</v>
      </c>
      <c r="B190" s="6" t="str">
        <f>_xll.HPHEA($A190,"gpg")</f>
        <v>Current Def'd Taxes Receivable - Federal</v>
      </c>
      <c r="C190" s="75">
        <f>-ROUND(_xll.HPVAL($D$1,"actual",$A190,$D$2,"ytd","gpg")/1000,0)</f>
        <v>0</v>
      </c>
      <c r="D190" s="75">
        <f>-ROUND(_xll.HPVAL($D$1,"actual",$A190,$D$3,"ytd","gpg")/1000,0)</f>
        <v>0</v>
      </c>
      <c r="E190" s="262">
        <f>-ROUND(_xll.HPVAL($D$1,"PY1",$A190,$D$4,"ytd","gpg")/1000,0)</f>
        <v>0</v>
      </c>
    </row>
    <row r="191" spans="1:5">
      <c r="A191" s="6" t="s">
        <v>78</v>
      </c>
      <c r="B191" s="6" t="str">
        <f>_xll.HPHEA($A191,"gpg")</f>
        <v>Current Def'd Taxes Receivable - State</v>
      </c>
      <c r="C191" s="75">
        <f>-ROUND(_xll.HPVAL($D$1,"actual",$A191,$D$2,"ytd","gpg")/1000,0)</f>
        <v>0</v>
      </c>
      <c r="D191" s="75">
        <f>-ROUND(_xll.HPVAL($D$1,"actual",$A191,$D$3,"ytd","gpg")/1000,0)</f>
        <v>0</v>
      </c>
      <c r="E191" s="262">
        <f>-ROUND(_xll.HPVAL($D$1,"PY1",$A191,$D$4,"ytd","gpg")/1000,0)</f>
        <v>0</v>
      </c>
    </row>
    <row r="192" spans="1:5">
      <c r="A192" s="6"/>
      <c r="B192" s="16"/>
      <c r="C192" s="7"/>
      <c r="D192" s="7"/>
      <c r="E192" s="260"/>
    </row>
    <row r="193" spans="1:5" ht="10.8" thickBot="1">
      <c r="C193" s="8">
        <f>SUM(C187:C192)</f>
        <v>2119</v>
      </c>
      <c r="D193" s="8">
        <f>SUM(D187:D192)</f>
        <v>2119</v>
      </c>
      <c r="E193" s="261">
        <f>SUM(E187:E192)</f>
        <v>2129</v>
      </c>
    </row>
    <row r="194" spans="1:5" ht="10.8" thickTop="1">
      <c r="E194" s="259"/>
    </row>
    <row r="195" spans="1:5">
      <c r="A195" s="6" t="s">
        <v>397</v>
      </c>
      <c r="B195" s="6" t="str">
        <f>_xll.HPHEA($A195,"gpg")</f>
        <v>Misc Current &amp; Accrued Liabilities</v>
      </c>
      <c r="C195" s="9">
        <f>ROUND(_xll.HPVAL($D$1,"actual",$A195,$D$2,"ytd","gpg")/1000,0)</f>
        <v>33</v>
      </c>
      <c r="D195" s="9">
        <f>ROUND(_xll.HPVAL($D$1,"actual",$A195,$D$3,"ytd","gpg")/1000,0)</f>
        <v>31</v>
      </c>
      <c r="E195" s="259">
        <f>ROUND(_xll.HPVAL($D$1,"py1",$A195,$D$4,"ytd","gpg")/1000,0)</f>
        <v>26</v>
      </c>
    </row>
    <row r="196" spans="1:5">
      <c r="A196" s="6" t="s">
        <v>316</v>
      </c>
      <c r="B196" s="6" t="str">
        <f>_xll.HPHEA($A196,"gpg")</f>
        <v>Net pay clearing</v>
      </c>
      <c r="C196" s="9">
        <f>ROUND(_xll.HPVAL($D$1,"actual",$A196,$D$2,"ytd","gpg")/1000,0)</f>
        <v>-10</v>
      </c>
      <c r="D196" s="9">
        <f>ROUND(_xll.HPVAL($D$1,"actual",$A196,$D$3,"ytd","gpg")/1000,0)</f>
        <v>-10</v>
      </c>
      <c r="E196" s="259">
        <f>ROUND(_xll.HPVAL($D$1,"py1",$A196,$D$4,"ytd","gpg")/1000,0)</f>
        <v>-13</v>
      </c>
    </row>
    <row r="197" spans="1:5">
      <c r="A197" s="6" t="s">
        <v>184</v>
      </c>
      <c r="B197" s="6" t="str">
        <f>_xll.HPHEA($A197,"gpg")</f>
        <v>Reserve for Regulatory Issues</v>
      </c>
      <c r="C197" s="9">
        <f>ROUND(_xll.HPVAL($D$1,"actual",$A197,$D$2,"ytd","gpg")/1000,0)</f>
        <v>0</v>
      </c>
      <c r="D197" s="9">
        <f>ROUND(_xll.HPVAL($D$1,"actual",$A197,$D$3,"ytd","gpg")/1000,0)</f>
        <v>0</v>
      </c>
      <c r="E197" s="259">
        <f>ROUND(_xll.HPVAL($D$1,"py1",$A197,$D$4,"ytd","gpg")/1000,0)</f>
        <v>0</v>
      </c>
    </row>
    <row r="198" spans="1:5">
      <c r="A198" s="6" t="s">
        <v>185</v>
      </c>
      <c r="B198" s="6" t="str">
        <f>_xll.HPHEA($A198,"gpg")</f>
        <v>Misc Current &amp; Accrued Liabilities-Other</v>
      </c>
      <c r="C198" s="9">
        <f>ROUND(_xll.HPVAL($D$1,"actual",$A198,$D$2,"ytd","gpg")/1000,0)</f>
        <v>12873</v>
      </c>
      <c r="D198" s="9">
        <f>ROUND(_xll.HPVAL($D$1,"actual",$A198,$D$3,"ytd","gpg")/1000,0)</f>
        <v>12624</v>
      </c>
      <c r="E198" s="259">
        <f>ROUND(_xll.HPVAL($D$1,"py1",$A198,$D$4,"ytd","gpg")/1000,0)</f>
        <v>263</v>
      </c>
    </row>
    <row r="199" spans="1:5">
      <c r="A199" s="6" t="s">
        <v>182</v>
      </c>
      <c r="B199" s="6" t="str">
        <f>_xll.HPHEA($A199,"gpg")</f>
        <v>Current GSR</v>
      </c>
      <c r="C199" s="9">
        <f>ROUND(-_xll.HPVAL($D$1,"actual",$A199,$D$2,"ytd","gpg")/1000,0)</f>
        <v>0</v>
      </c>
      <c r="D199" s="9">
        <f>ROUND(-_xll.HPVAL($D$1,"actual",$A199,$D$3,"ytd","gpg")/1000,0)</f>
        <v>0</v>
      </c>
      <c r="E199" s="259">
        <f>ROUND(-_xll.HPVAL($D$1,"py1",$A199,$D$4,"ytd","gpg")/1000,0)</f>
        <v>0</v>
      </c>
    </row>
    <row r="200" spans="1:5">
      <c r="A200" s="6" t="s">
        <v>183</v>
      </c>
      <c r="B200" s="6" t="str">
        <f>_xll.HPHEA($A200,"gpg")</f>
        <v>Current PGA</v>
      </c>
      <c r="C200" s="7">
        <f>ROUND(-_xll.HPVAL($D$1,"actual",$A200,$D$2,"ytd","gpg")/1000,0)</f>
        <v>0</v>
      </c>
      <c r="D200" s="7">
        <f>ROUND(-_xll.HPVAL($D$1,"actual",$A200,$D$3,"ytd","gpg")/1000,0)</f>
        <v>0</v>
      </c>
      <c r="E200" s="260">
        <f>ROUND(-_xll.HPVAL($D$1,"py1",$A200,$D$4,"ytd","gpg")/1000,0)</f>
        <v>0</v>
      </c>
    </row>
    <row r="201" spans="1:5" ht="10.8" thickBot="1">
      <c r="C201" s="8">
        <f>SUM(C195:C200)</f>
        <v>12896</v>
      </c>
      <c r="D201" s="8">
        <f>SUM(D195:D200)</f>
        <v>12645</v>
      </c>
      <c r="E201" s="261">
        <f>SUM(E195:E200)</f>
        <v>276</v>
      </c>
    </row>
    <row r="202" spans="1:5" ht="10.8" thickTop="1">
      <c r="E202" s="259"/>
    </row>
    <row r="203" spans="1:5">
      <c r="A203" s="6" t="s">
        <v>186</v>
      </c>
      <c r="B203" s="6" t="str">
        <f>_xll.HPHEA($A203,"gpg")</f>
        <v>Deferred Income Taxes - Federal</v>
      </c>
      <c r="C203" s="9">
        <f>ROUND(_xll.HPVAL($D$1,"actual",$A203,$D$2,"ytd","gpg")/1000,0)</f>
        <v>216086</v>
      </c>
      <c r="D203" s="9">
        <f>ROUND(_xll.HPVAL($D$1,"actual",$A203,$D$3,"ytd","gpg")/1000,0)</f>
        <v>216086</v>
      </c>
      <c r="E203" s="259">
        <f>ROUND(_xll.HPVAL($D$1,"py1",$A203,$D$4,"ytd","gpg")/1000,0)</f>
        <v>218914</v>
      </c>
    </row>
    <row r="204" spans="1:5">
      <c r="A204" s="6" t="s">
        <v>187</v>
      </c>
      <c r="B204" s="6" t="str">
        <f>_xll.HPHEA($A204,"gpg")</f>
        <v>Deferred Inc Taxes - Fed'l - Fair Value</v>
      </c>
      <c r="C204" s="9">
        <f>ROUND(_xll.HPVAL($D$1,"actual",$A204,$D$2,"ytd","gpg")/1000,0)</f>
        <v>0</v>
      </c>
      <c r="D204" s="9">
        <f>ROUND(_xll.HPVAL($D$1,"actual",$A204,$D$3,"ytd","gpg")/1000,0)</f>
        <v>0</v>
      </c>
      <c r="E204" s="259">
        <f>ROUND(_xll.HPVAL($D$1,"py1",$A204,$D$4,"ytd","gpg")/1000,0)</f>
        <v>0</v>
      </c>
    </row>
    <row r="205" spans="1:5">
      <c r="A205" s="6" t="s">
        <v>188</v>
      </c>
      <c r="B205" s="6" t="str">
        <f>_xll.HPHEA($A205,"gpg")</f>
        <v>Deferred Income Taxes - State</v>
      </c>
      <c r="C205" s="9">
        <f>ROUND(_xll.HPVAL($D$1,"actual",$A205,$D$2,"ytd","gpg")/1000,0)</f>
        <v>19498</v>
      </c>
      <c r="D205" s="9">
        <f>ROUND(_xll.HPVAL($D$1,"actual",$A205,$D$3,"ytd","gpg")/1000,0)</f>
        <v>19498</v>
      </c>
      <c r="E205" s="259">
        <f>ROUND(_xll.HPVAL($D$1,"py1",$A205,$D$4,"ytd","gpg")/1000,0)</f>
        <v>19788</v>
      </c>
    </row>
    <row r="206" spans="1:5">
      <c r="A206" s="6" t="s">
        <v>189</v>
      </c>
      <c r="B206" s="6" t="str">
        <f>_xll.HPHEA($A206,"gpg")</f>
        <v>Deferred investment tax credits</v>
      </c>
      <c r="C206" s="7">
        <f>ROUND(_xll.HPVAL($D$1,"actual",$A206,$D$2,"ytd","gpg")/1000,0)</f>
        <v>0</v>
      </c>
      <c r="D206" s="7">
        <f>ROUND(_xll.HPVAL($D$1,"actual",$A206,$D$3,"ytd","gpg")/1000,0)</f>
        <v>0</v>
      </c>
      <c r="E206" s="260">
        <f>ROUND(_xll.HPVAL($D$1,"py1",$A206,$D$4,"ytd","gpg")/1000,0)</f>
        <v>0</v>
      </c>
    </row>
    <row r="207" spans="1:5" ht="10.8" thickBot="1">
      <c r="C207" s="8">
        <f>SUM(C203:C206)</f>
        <v>235584</v>
      </c>
      <c r="D207" s="8">
        <f>SUM(D203:D206)</f>
        <v>235584</v>
      </c>
      <c r="E207" s="261">
        <f>SUM(E203:E206)</f>
        <v>238702</v>
      </c>
    </row>
    <row r="208" spans="1:5" ht="10.8" thickTop="1">
      <c r="E208" s="259"/>
    </row>
    <row r="209" spans="1:5" ht="10.8" thickBot="1">
      <c r="A209" s="6" t="s">
        <v>191</v>
      </c>
      <c r="B209" s="6" t="str">
        <f>_xll.HPHEA($A209,"gpg")</f>
        <v>Other Dfrd Cr-FERC Order 636</v>
      </c>
      <c r="C209" s="8">
        <f>ROUND(_xll.HPVAL($D$1,"actual",$A209,$D$2,"ytd","gpg")/1000,0)</f>
        <v>0</v>
      </c>
      <c r="D209" s="8">
        <f>ROUND(_xll.HPVAL($D$1,"actual",$A209,$D$3,"ytd","gpg")/1000,0)</f>
        <v>0</v>
      </c>
      <c r="E209" s="261">
        <f>ROUND(_xll.HPVAL($D$1,"py1",$A209,$D$4,"ytd","gpg")/1000,0)</f>
        <v>0</v>
      </c>
    </row>
    <row r="210" spans="1:5" ht="10.8" thickTop="1">
      <c r="E210" s="259"/>
    </row>
    <row r="211" spans="1:5" ht="10.8" thickBot="1">
      <c r="A211" s="6" t="s">
        <v>421</v>
      </c>
      <c r="B211" s="6" t="str">
        <f>_xll.HPHEA($A211,"gpg")</f>
        <v>Price risk managment liabilities</v>
      </c>
      <c r="C211" s="8">
        <f>ROUND(_xll.HPVAL($D$1,"actual",$A211,$D$2,"ytd","gpg")/1000,0)</f>
        <v>0</v>
      </c>
      <c r="D211" s="8">
        <f>ROUND(_xll.HPVAL($D$1,"actual",$A211,$D$3,"ytd","gpg")/1000,0)</f>
        <v>0</v>
      </c>
      <c r="E211" s="261">
        <f>ROUND(_xll.HPVAL($D$1,"py1",$A211,$D$4,"ytd","gpg")/1000,0)</f>
        <v>0</v>
      </c>
    </row>
    <row r="212" spans="1:5" ht="10.8" thickTop="1">
      <c r="A212" s="6"/>
      <c r="B212" s="6"/>
      <c r="C212" s="9"/>
      <c r="D212" s="9"/>
      <c r="E212" s="259"/>
    </row>
    <row r="213" spans="1:5">
      <c r="A213" s="6" t="s">
        <v>192</v>
      </c>
      <c r="B213" s="6" t="str">
        <f>_xll.HPHEA($A213,"gpg")</f>
        <v>Other Dfrd Cr-Unam Gain Reacqd Debit</v>
      </c>
      <c r="C213" s="9">
        <f>ROUND(_xll.HPVAL($D$1,"actual",$A213,$D$2,"ytd","gpg")/1000,0)</f>
        <v>0</v>
      </c>
      <c r="D213" s="9">
        <f>ROUND(_xll.HPVAL($D$1,"actual",$A213,$D$3,"ytd","gpg")/1000,0)</f>
        <v>0</v>
      </c>
      <c r="E213" s="259">
        <f>ROUND(_xll.HPVAL($D$1,"py1",$A213,$D$4,"ytd","gpg")/1000,0)</f>
        <v>0</v>
      </c>
    </row>
    <row r="214" spans="1:5">
      <c r="A214" s="6" t="s">
        <v>193</v>
      </c>
      <c r="B214" s="6" t="str">
        <f>_xll.HPHEA($A214,"gpg")</f>
        <v>Othr Dfrd Cr-Other</v>
      </c>
      <c r="C214" s="9">
        <f>ROUND(_xll.HPVAL($D$1,"actual",$A214,$D$2,"ytd","gpg")/1000,0)</f>
        <v>2473</v>
      </c>
      <c r="D214" s="9">
        <f>ROUND(_xll.HPVAL($D$1,"actual",$A214,$D$3,"ytd","gpg")/1000,0)</f>
        <v>2497</v>
      </c>
      <c r="E214" s="259">
        <f>ROUND(_xll.HPVAL($D$1,"py1",$A214,$D$4,"ytd","gpg")/1000,0)</f>
        <v>2663</v>
      </c>
    </row>
    <row r="215" spans="1:5">
      <c r="A215" s="6" t="s">
        <v>190</v>
      </c>
      <c r="B215" s="6" t="str">
        <f>_xll.HPHEA($A215,"gpg")</f>
        <v>Assignment proceeds - GSR/PGA</v>
      </c>
      <c r="C215" s="9">
        <f>ROUND(-_xll.HPVAL($D$1,"actual",$A215,$D$2,"ytd","gpg")/1000,0)</f>
        <v>0</v>
      </c>
      <c r="D215" s="9">
        <f>ROUND(-_xll.HPVAL($D$1,"actual",$A215,$D$3,"ytd","gpg")/1000,0)</f>
        <v>0</v>
      </c>
      <c r="E215" s="259">
        <f>ROUND(-_xll.HPVAL($D$1,"py1",$A215,$D$4,"ytd","gpg")/1000,0)</f>
        <v>0</v>
      </c>
    </row>
    <row r="216" spans="1:5" s="19" customFormat="1">
      <c r="A216" s="10"/>
      <c r="B216" s="10" t="s">
        <v>167</v>
      </c>
      <c r="C216" s="194">
        <v>0</v>
      </c>
      <c r="D216" s="194">
        <v>0</v>
      </c>
      <c r="E216" s="267">
        <v>-2</v>
      </c>
    </row>
    <row r="217" spans="1:5" ht="10.8" thickBot="1">
      <c r="C217" s="8">
        <f>SUM(C213:C216)</f>
        <v>2473</v>
      </c>
      <c r="D217" s="8">
        <f>SUM(D213:D216)</f>
        <v>2497</v>
      </c>
      <c r="E217" s="8">
        <f>SUM(E213:E216)</f>
        <v>2661</v>
      </c>
    </row>
    <row r="218" spans="1:5" ht="10.8" thickTop="1">
      <c r="E218" s="259"/>
    </row>
    <row r="219" spans="1:5">
      <c r="A219" s="6" t="s">
        <v>313</v>
      </c>
      <c r="B219" s="6" t="str">
        <f>_xll.HPHEA($A219,"gpg")</f>
        <v>Long-term debt-assoc co-Enron Corp</v>
      </c>
      <c r="C219" s="9">
        <f>ROUND(_xll.HPVAL($D$1,"actual",$A219,$D$2,"ytd","gpg")/1000,0)</f>
        <v>0</v>
      </c>
      <c r="D219" s="9">
        <f>ROUND(_xll.HPVAL($D$1,"actual",$A219,$D$3,"ytd","gpg")/1000,0)</f>
        <v>0</v>
      </c>
      <c r="E219" s="259">
        <f>ROUND(_xll.HPVAL($D$1,"py1",$A219,$D$4,"ytd","gpg")/1000,0)</f>
        <v>150000</v>
      </c>
    </row>
    <row r="220" spans="1:5">
      <c r="A220" s="6" t="s">
        <v>194</v>
      </c>
      <c r="B220" s="6" t="str">
        <f>_xll.HPHEA($A220,"gpg")</f>
        <v>Long-Term Debt</v>
      </c>
      <c r="C220" s="9">
        <f>ROUND(_xll.HPVAL($D$1,"actual",$A220,$D$2,"ytd","gpg")/1000,0)</f>
        <v>15450</v>
      </c>
      <c r="D220" s="9">
        <f>ROUND(_xll.HPVAL($D$1,"actual",$A220,$D$3,"ytd","gpg")/1000,0)</f>
        <v>15450</v>
      </c>
      <c r="E220" s="259">
        <f>ROUND(_xll.HPVAL($D$1,"py1",$A220,$D$4,"ytd","gpg")/1000,0)</f>
        <v>15450</v>
      </c>
    </row>
    <row r="221" spans="1:5">
      <c r="A221" s="6" t="s">
        <v>195</v>
      </c>
      <c r="B221" s="6" t="str">
        <f>_xll.HPHEA($A221,"gpg")</f>
        <v>Unamortized Premium on L/T Debt - Debit</v>
      </c>
      <c r="C221" s="9">
        <f>ROUND(_xll.HPVAL($D$1,"actual",$A221,$D$2,"ytd","gpg")/1000,0)</f>
        <v>0</v>
      </c>
      <c r="D221" s="9">
        <f>ROUND(_xll.HPVAL($D$1,"actual",$A221,$D$3,"ytd","gpg")/1000,0)</f>
        <v>0</v>
      </c>
      <c r="E221" s="259">
        <f>ROUND(_xll.HPVAL($D$1,"py1",$A221,$D$4,"ytd","gpg")/1000,0)</f>
        <v>0</v>
      </c>
    </row>
    <row r="222" spans="1:5">
      <c r="A222" s="6" t="s">
        <v>196</v>
      </c>
      <c r="B222" s="6" t="str">
        <f>_xll.HPHEA($A222,"gpg")</f>
        <v>Current Maturities of LT Debt - Contra</v>
      </c>
      <c r="C222" s="9">
        <f>ROUND(_xll.HPVAL($D$1,"actual",$A222,$D$2,"ytd","gpg")/1000,0)</f>
        <v>-3850</v>
      </c>
      <c r="D222" s="9">
        <f>ROUND(_xll.HPVAL($D$1,"actual",$A222,$D$3,"ytd","gpg")/1000,0)</f>
        <v>-3850</v>
      </c>
      <c r="E222" s="259">
        <f>ROUND(_xll.HPVAL($D$1,"py1",$A222,$D$4,"ytd","gpg")/1000,0)</f>
        <v>-3850</v>
      </c>
    </row>
    <row r="223" spans="1:5" ht="10.8" thickBot="1">
      <c r="C223" s="24">
        <f>SUM(C219:C222)</f>
        <v>11600</v>
      </c>
      <c r="D223" s="24">
        <f>SUM(D219:D222)</f>
        <v>11600</v>
      </c>
      <c r="E223" s="265">
        <f>SUM(E219:E222)</f>
        <v>161600</v>
      </c>
    </row>
    <row r="224" spans="1:5" ht="10.8" thickTop="1">
      <c r="E224" s="259"/>
    </row>
    <row r="225" spans="1:5" ht="10.8" thickBot="1">
      <c r="A225" s="6" t="s">
        <v>197</v>
      </c>
      <c r="B225" s="6" t="str">
        <f>_xll.HPHEA($A225,"gpg")</f>
        <v>Common Stock Issued</v>
      </c>
      <c r="C225" s="8">
        <f>ROUND(_xll.HPVAL($D$1,"actual",$A225,$D$2,"ytd","gpg")/1000,0)</f>
        <v>1</v>
      </c>
      <c r="D225" s="8">
        <f>ROUND(_xll.HPVAL($D$1,"actual",$A225,$D$3,"ytd","gpg")/1000,0)</f>
        <v>1</v>
      </c>
      <c r="E225" s="261">
        <f>ROUND(_xll.HPVAL($D$1,"py1",$A225,$D$4,"ytd","gpg")/1000,0)</f>
        <v>1</v>
      </c>
    </row>
    <row r="226" spans="1:5" ht="10.8" thickTop="1">
      <c r="E226" s="259"/>
    </row>
    <row r="227" spans="1:5" ht="10.8" thickBot="1">
      <c r="A227" s="6" t="s">
        <v>198</v>
      </c>
      <c r="B227" s="6" t="str">
        <f>_xll.HPHEA($A227,"gpg")</f>
        <v>Contribution Received From Parent</v>
      </c>
      <c r="C227" s="8">
        <f>ROUND(_xll.HPVAL($D$1,"actual",$A227,$D$2,"ytd","gpg")/1000,0)</f>
        <v>409191</v>
      </c>
      <c r="D227" s="8">
        <f>ROUND(_xll.HPVAL($D$1,"actual",$A227,$D$3,"ytd","gpg")/1000,0)</f>
        <v>409191</v>
      </c>
      <c r="E227" s="261">
        <f>ROUND(_xll.HPVAL($D$1,"py1",$A227,$D$4,"ytd","gpg")/1000,0)</f>
        <v>409191</v>
      </c>
    </row>
    <row r="228" spans="1:5" ht="10.8" thickTop="1">
      <c r="E228" s="259"/>
    </row>
    <row r="229" spans="1:5">
      <c r="A229" s="6" t="s">
        <v>199</v>
      </c>
      <c r="B229" s="6" t="str">
        <f>_xll.HPHEA($A229,"gpg")</f>
        <v>Ret Earnings-Beg Bal - Consolidated Subs</v>
      </c>
      <c r="C229" s="9">
        <f>ROUND(_xll.HPVAL($D$1,"actual",$A229,$D$2,"ytd","gpg")/1000,0)</f>
        <v>533635</v>
      </c>
      <c r="D229" s="9">
        <f>ROUND(_xll.HPVAL($D$1,"actual",$A229,$D$3,"ytd","gpg")/1000,0)</f>
        <v>533635</v>
      </c>
      <c r="E229" s="259">
        <f>ROUND(_xll.HPVAL($D$1,"py1",$A229,$D$4,"ytd","gpg")/1000,0)</f>
        <v>463969</v>
      </c>
    </row>
    <row r="230" spans="1:5">
      <c r="A230" s="6" t="s">
        <v>519</v>
      </c>
      <c r="B230" s="6" t="str">
        <f>_xll.HPHEA($A230,"gpg")</f>
        <v>Ret Earn - Beg Bal - Enron Corp</v>
      </c>
      <c r="C230" s="9">
        <f>ROUND(_xll.HPVAL($D$1,"actual",$A230,$D$2,"ytd","gpg")/1000,0)</f>
        <v>0</v>
      </c>
      <c r="D230" s="9">
        <f>ROUND(_xll.HPVAL($D$1,"actual",$A230,$D$3,"ytd","gpg")/1000,0)</f>
        <v>0</v>
      </c>
      <c r="E230" s="259">
        <f>ROUND(_xll.HPVAL($D$1,"py1",$A230,$D$4,"ytd","gpg")/1000,0)</f>
        <v>0</v>
      </c>
    </row>
    <row r="231" spans="1:5">
      <c r="A231" s="6" t="s">
        <v>200</v>
      </c>
      <c r="B231" s="6" t="str">
        <f>_xll.HPHEA($A231,"gpg")</f>
        <v>Net Income</v>
      </c>
      <c r="C231" s="9">
        <f>ROUND(_xll.HPVAL($D$1,"actual",$A231,$D$2,"ytd","gpg")/1000,0)</f>
        <v>58071</v>
      </c>
      <c r="D231" s="9">
        <f>ROUND(_xll.HPVAL($D$1,"actual",$A231,$D$3,"ytd","gpg")/1000,0)</f>
        <v>47482</v>
      </c>
      <c r="E231" s="259">
        <f>ROUND(_xll.HPVAL($D$1,"py1",$A231,$D$4,"ytd","gpg")/1000,0)</f>
        <v>69666</v>
      </c>
    </row>
    <row r="232" spans="1:5">
      <c r="A232" s="6" t="s">
        <v>201</v>
      </c>
      <c r="B232" s="16" t="s">
        <v>202</v>
      </c>
      <c r="C232" s="9"/>
      <c r="D232" s="9"/>
      <c r="E232" s="259"/>
    </row>
    <row r="233" spans="1:5">
      <c r="A233" s="6" t="s">
        <v>203</v>
      </c>
      <c r="B233" s="6" t="str">
        <f>_xll.HPHEA($A233,"gpg")</f>
        <v>Dividends Decl - Common Stk - Consol Sub</v>
      </c>
      <c r="C233" s="9">
        <f>ROUND(_xll.HPVAL($D$1,"actual",$A233,$D$2,"ytd","gpg")/1000,0)</f>
        <v>0</v>
      </c>
      <c r="D233" s="9">
        <f>ROUND(_xll.HPVAL($D$1,"actual",$A233,$D$3,"ytd","gpg")/1000,0)</f>
        <v>0</v>
      </c>
      <c r="E233" s="259">
        <f>ROUND(_xll.HPVAL($D$1,"py1",$A233,$D$4,"ytd","gpg")/1000,0)</f>
        <v>0</v>
      </c>
    </row>
    <row r="234" spans="1:5">
      <c r="A234" s="6" t="s">
        <v>567</v>
      </c>
      <c r="B234" s="6" t="str">
        <f>_xll.HPHEA($A234,"gpg")</f>
        <v>Cash flow hedges-gains/losses</v>
      </c>
      <c r="C234" s="9">
        <f>ROUND(_xll.HPVAL($D$1,"actual",$A234,$D$2,"ytd","gpg")/1000,0)</f>
        <v>19452</v>
      </c>
      <c r="D234" s="9">
        <f>ROUND(_xll.HPVAL($D$1,"actual",$A234,$D$3,"ytd","gpg")/1000,0)</f>
        <v>19452</v>
      </c>
      <c r="E234" s="259">
        <f>ROUND(_xll.HPVAL($D$1,"py1",$A234,$D$4,"ytd","gpg")/1000,0)</f>
        <v>0</v>
      </c>
    </row>
    <row r="235" spans="1:5">
      <c r="A235" s="6" t="s">
        <v>521</v>
      </c>
      <c r="B235" s="6" t="str">
        <f>_xll.HPHEA($A235,"gpg")</f>
        <v>Other comprehensive income</v>
      </c>
      <c r="C235" s="9">
        <f>ROUND(_xll.HPVAL($D$1,"actual",$A235,$D$2,"ytd","gpg")/1000,0)</f>
        <v>0</v>
      </c>
      <c r="D235" s="9">
        <f>ROUND(_xll.HPVAL($D$1,"actual",$A235,$D$3,"ytd","gpg")/1000,0)</f>
        <v>0</v>
      </c>
      <c r="E235" s="259">
        <f>ROUND(_xll.HPVAL($D$1,"py1",$A235,$D$4,"ytd","gpg")/1000,0)</f>
        <v>0</v>
      </c>
    </row>
    <row r="236" spans="1:5">
      <c r="A236" s="6" t="s">
        <v>204</v>
      </c>
      <c r="B236" s="6" t="str">
        <f>_xll.HPHEA($A236,"gpg")</f>
        <v>Investment in Subsidiary Plug Accounts</v>
      </c>
      <c r="C236" s="7">
        <f>ROUND(_xll.HPVAL($D$1,"actual",$A236,$D$2,"ytd","gpg")/1000,0)</f>
        <v>0</v>
      </c>
      <c r="D236" s="7">
        <f>ROUND(_xll.HPVAL($D$1,"actual",$A236,$D$3,"ytd","gpg")/1000,0)</f>
        <v>0</v>
      </c>
      <c r="E236" s="260">
        <f>ROUND(_xll.HPVAL($D$1,"py1",$A236,$D$4,"ytd","gpg")/1000,0)</f>
        <v>0</v>
      </c>
    </row>
    <row r="237" spans="1:5" ht="10.8" thickBot="1">
      <c r="C237" s="8">
        <f>SUM(C229:C236)</f>
        <v>611158</v>
      </c>
      <c r="D237" s="8">
        <f>SUM(D229:D236)</f>
        <v>600569</v>
      </c>
      <c r="E237" s="261">
        <f>SUM(E229:E236)</f>
        <v>533635</v>
      </c>
    </row>
    <row r="238" spans="1:5" ht="10.8" thickTop="1">
      <c r="E238" s="259"/>
    </row>
    <row r="239" spans="1:5" ht="10.8" thickBot="1">
      <c r="B239" s="13" t="s">
        <v>205</v>
      </c>
      <c r="C239" s="141">
        <f>+C237+C227+C225+C223+C217+C209+C211+C207+C201+C193+C185+C183+C179+C177+C173+C171+C169+C165</f>
        <v>1315979</v>
      </c>
      <c r="D239" s="141">
        <f>+D237+D227+D225+D223+D217+D209+D211+D207+D201+D193+D185+D183+D179+D177+D173+D171+D169+D165</f>
        <v>1301499</v>
      </c>
      <c r="E239" s="141">
        <f>+E237+E227+E225+E223+E217+E209+E211+E207+E201+E193+E185+E183+E179+E177+E173+E171+E169+E165</f>
        <v>1372399</v>
      </c>
    </row>
    <row r="240" spans="1:5" ht="10.8" thickTop="1">
      <c r="E240" s="259"/>
    </row>
    <row r="241" spans="2:5">
      <c r="B241" s="143" t="s">
        <v>63</v>
      </c>
      <c r="C241" s="142">
        <f>-C239+C162</f>
        <v>0</v>
      </c>
      <c r="D241" s="142">
        <f>-D239+D162</f>
        <v>0</v>
      </c>
      <c r="E241" s="269">
        <f>-E239+E162</f>
        <v>0</v>
      </c>
    </row>
    <row r="242" spans="2:5">
      <c r="E242" s="259"/>
    </row>
    <row r="243" spans="2:5">
      <c r="E243" s="259"/>
    </row>
    <row r="244" spans="2:5">
      <c r="E244" s="259"/>
    </row>
    <row r="245" spans="2:5">
      <c r="E245" s="259"/>
    </row>
    <row r="246" spans="2:5">
      <c r="E246" s="259"/>
    </row>
    <row r="247" spans="2:5">
      <c r="E247" s="259"/>
    </row>
    <row r="248" spans="2:5">
      <c r="E248" s="259"/>
    </row>
    <row r="249" spans="2:5">
      <c r="E249" s="259"/>
    </row>
  </sheetData>
  <phoneticPr fontId="41" type="noConversion"/>
  <printOptions horizontalCentered="1" gridLines="1" gridLinesSet="0"/>
  <pageMargins left="0.75" right="0.75" top="0.75" bottom="0.75" header="0.5" footer="0.5"/>
  <pageSetup scale="92" fitToHeight="4" orientation="portrait" horizontalDpi="4294967292" verticalDpi="300" r:id="rId1"/>
  <headerFooter alignWithMargins="0">
    <oddFooter xml:space="preserve">&amp;L&amp;D   &amp;T&amp;CPage &amp;P&amp;R&amp;F   &amp;A     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J879"/>
  <sheetViews>
    <sheetView workbookViewId="0">
      <pane xSplit="2" ySplit="7" topLeftCell="N8" activePane="bottomRight" state="frozen"/>
      <selection pane="topRight" activeCell="C1" sqref="C1"/>
      <selection pane="bottomLeft" activeCell="A8" sqref="A8"/>
      <selection pane="bottomRight" activeCell="S14" sqref="S14"/>
    </sheetView>
  </sheetViews>
  <sheetFormatPr defaultRowHeight="10.199999999999999"/>
  <cols>
    <col min="1" max="1" width="22.6640625" style="5" customWidth="1"/>
    <col min="2" max="2" width="48.83203125" style="5" customWidth="1"/>
    <col min="3" max="3" width="11.1640625" style="5" customWidth="1"/>
    <col min="4" max="4" width="2.83203125" style="43" customWidth="1"/>
    <col min="5" max="5" width="10.5" style="5" customWidth="1"/>
    <col min="6" max="6" width="2.83203125" style="5" customWidth="1"/>
    <col min="7" max="7" width="10.5" style="5" customWidth="1"/>
    <col min="8" max="8" width="2.83203125" style="5" customWidth="1"/>
    <col min="9" max="9" width="11.33203125" style="5" customWidth="1"/>
    <col min="10" max="10" width="2.83203125" style="5" customWidth="1"/>
    <col min="11" max="11" width="11.1640625" style="5" customWidth="1"/>
    <col min="12" max="12" width="2.83203125" style="5" customWidth="1"/>
    <col min="13" max="13" width="11.6640625" style="5" customWidth="1"/>
    <col min="14" max="14" width="2.83203125" style="5" customWidth="1"/>
    <col min="15" max="15" width="10.6640625" style="5" customWidth="1"/>
    <col min="16" max="16" width="2.83203125" style="5" customWidth="1"/>
    <col min="17" max="17" width="10.33203125" style="5" customWidth="1"/>
    <col min="18" max="18" width="2.83203125" style="5" customWidth="1"/>
    <col min="19" max="19" width="11.33203125" style="5" customWidth="1"/>
    <col min="20" max="20" width="2.83203125" style="43" customWidth="1"/>
    <col min="21" max="21" width="11" style="5" customWidth="1"/>
    <col min="22" max="22" width="2.83203125" style="13" customWidth="1"/>
    <col min="23" max="23" width="11" style="5" customWidth="1"/>
    <col min="24" max="24" width="2.83203125" style="13" customWidth="1"/>
    <col min="25" max="25" width="10.83203125" style="5" customWidth="1"/>
    <col min="26" max="26" width="2.83203125" style="43" customWidth="1"/>
    <col min="27" max="27" width="10.83203125" style="5" customWidth="1"/>
    <col min="28" max="28" width="2.83203125" style="13" customWidth="1"/>
    <col min="29" max="29" width="10.83203125" style="5" customWidth="1"/>
    <col min="30" max="30" width="1" style="43" customWidth="1"/>
    <col min="31" max="31" width="11.1640625" style="5" customWidth="1"/>
    <col min="32" max="32" width="2.83203125" style="5" customWidth="1"/>
    <col min="33" max="16384" width="9.33203125" style="5"/>
  </cols>
  <sheetData>
    <row r="1" spans="1:221">
      <c r="A1" s="59" t="s">
        <v>206</v>
      </c>
      <c r="B1" s="60"/>
      <c r="C1" s="60"/>
      <c r="D1" s="70"/>
      <c r="E1" s="60"/>
      <c r="F1" s="60"/>
      <c r="G1" s="164" t="s">
        <v>53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71"/>
      <c r="U1" s="60"/>
      <c r="V1" s="60"/>
      <c r="W1" s="60"/>
      <c r="X1" s="60"/>
      <c r="Y1" s="60"/>
      <c r="Z1" s="71"/>
      <c r="AA1" s="60"/>
      <c r="AB1" s="60"/>
      <c r="AC1" s="58"/>
      <c r="AD1" s="70"/>
      <c r="AE1" s="58"/>
      <c r="AF1" s="58"/>
    </row>
    <row r="2" spans="1:221">
      <c r="A2" s="60" t="s">
        <v>207</v>
      </c>
      <c r="B2" s="60"/>
      <c r="C2" s="60"/>
      <c r="D2" s="70"/>
      <c r="E2" s="60"/>
      <c r="F2" s="60"/>
      <c r="G2" s="164" t="s">
        <v>60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70"/>
      <c r="U2" s="60"/>
      <c r="V2" s="72"/>
      <c r="W2" s="60"/>
      <c r="X2" s="72"/>
      <c r="Y2" s="60"/>
      <c r="Z2" s="70"/>
      <c r="AA2" s="60"/>
      <c r="AB2" s="72"/>
      <c r="AC2" s="58"/>
      <c r="AD2" s="70"/>
      <c r="AE2" s="58"/>
      <c r="AF2" s="58"/>
    </row>
    <row r="3" spans="1:221">
      <c r="A3" s="59" t="s">
        <v>495</v>
      </c>
      <c r="B3" s="74">
        <f ca="1">NOW()</f>
        <v>37147.471379976851</v>
      </c>
      <c r="C3" s="60"/>
      <c r="D3" s="70"/>
      <c r="E3" s="60"/>
      <c r="F3" s="73"/>
      <c r="G3" s="60"/>
      <c r="H3" s="60"/>
      <c r="I3" s="60"/>
      <c r="J3" s="60"/>
      <c r="K3" s="72"/>
      <c r="L3" s="60"/>
      <c r="M3" s="60"/>
      <c r="N3" s="72"/>
      <c r="O3" s="60"/>
      <c r="P3" s="60"/>
      <c r="Q3" s="60"/>
      <c r="R3" s="60"/>
      <c r="S3" s="60"/>
      <c r="T3" s="70"/>
      <c r="U3" s="60"/>
      <c r="V3" s="72"/>
      <c r="W3" s="60"/>
      <c r="X3" s="72"/>
      <c r="Y3" s="60"/>
      <c r="Z3" s="70"/>
      <c r="AA3" s="60"/>
      <c r="AB3" s="72"/>
      <c r="AC3" s="58"/>
      <c r="AD3" s="70"/>
      <c r="AE3" s="58"/>
      <c r="AF3" s="58"/>
    </row>
    <row r="4" spans="1:221">
      <c r="A4" s="74" t="s">
        <v>208</v>
      </c>
      <c r="B4" s="74"/>
      <c r="C4" s="60"/>
      <c r="D4" s="70"/>
      <c r="E4" s="60"/>
      <c r="F4" s="73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71"/>
      <c r="U4" s="60"/>
      <c r="V4" s="72"/>
      <c r="W4" s="60"/>
      <c r="X4" s="72"/>
      <c r="Y4" s="60"/>
      <c r="Z4" s="70"/>
      <c r="AA4" s="60"/>
      <c r="AB4" s="72"/>
      <c r="AC4" s="58"/>
      <c r="AD4" s="70"/>
      <c r="AE4" s="58"/>
      <c r="AF4" s="58"/>
    </row>
    <row r="5" spans="1:221">
      <c r="A5" s="60"/>
      <c r="B5" s="60"/>
      <c r="C5" s="60"/>
      <c r="D5" s="70"/>
      <c r="E5" s="60"/>
      <c r="F5" s="73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71"/>
      <c r="U5" s="60"/>
      <c r="V5" s="72"/>
      <c r="W5" s="60"/>
      <c r="X5" s="72"/>
      <c r="Y5" s="60"/>
      <c r="Z5" s="70"/>
      <c r="AA5" s="60"/>
      <c r="AB5" s="72"/>
      <c r="AC5" s="73"/>
      <c r="AD5" s="70"/>
      <c r="AE5" s="60"/>
      <c r="AF5" s="75"/>
    </row>
    <row r="6" spans="1:221">
      <c r="A6" s="76" t="s">
        <v>209</v>
      </c>
      <c r="B6" s="76" t="s">
        <v>209</v>
      </c>
      <c r="C6" s="76"/>
      <c r="D6" s="70"/>
      <c r="E6" s="60"/>
      <c r="F6" s="76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71"/>
      <c r="U6" s="60"/>
      <c r="V6" s="60"/>
      <c r="W6" s="60"/>
      <c r="X6" s="72"/>
      <c r="Y6" s="60"/>
      <c r="Z6" s="60"/>
      <c r="AA6" s="60"/>
      <c r="AB6" s="72"/>
      <c r="AC6" s="77" t="s">
        <v>210</v>
      </c>
      <c r="AD6" s="70"/>
      <c r="AE6" s="77" t="s">
        <v>211</v>
      </c>
      <c r="AF6" s="78"/>
    </row>
    <row r="7" spans="1:221">
      <c r="A7" s="76" t="s">
        <v>212</v>
      </c>
      <c r="B7" s="76" t="s">
        <v>59</v>
      </c>
      <c r="C7" s="79">
        <v>36861</v>
      </c>
      <c r="D7" s="70"/>
      <c r="E7" s="79">
        <v>36892</v>
      </c>
      <c r="F7" s="80"/>
      <c r="G7" s="79">
        <v>36923</v>
      </c>
      <c r="H7" s="80"/>
      <c r="I7" s="79">
        <v>36951</v>
      </c>
      <c r="J7" s="80"/>
      <c r="K7" s="79">
        <v>36982</v>
      </c>
      <c r="L7" s="80"/>
      <c r="M7" s="79">
        <v>37012</v>
      </c>
      <c r="N7" s="80"/>
      <c r="O7" s="100">
        <v>37043</v>
      </c>
      <c r="P7" s="80"/>
      <c r="Q7" s="79">
        <v>37073</v>
      </c>
      <c r="R7" s="81"/>
      <c r="S7" s="79">
        <v>37104</v>
      </c>
      <c r="T7" s="82"/>
      <c r="U7" s="79">
        <v>37135</v>
      </c>
      <c r="V7" s="81"/>
      <c r="W7" s="79">
        <v>37165</v>
      </c>
      <c r="X7" s="72"/>
      <c r="Y7" s="79">
        <v>37196</v>
      </c>
      <c r="Z7" s="81"/>
      <c r="AA7" s="79">
        <v>37226</v>
      </c>
      <c r="AB7" s="72"/>
      <c r="AC7" s="23" t="s">
        <v>213</v>
      </c>
      <c r="AD7" s="70"/>
      <c r="AE7" s="23" t="s">
        <v>213</v>
      </c>
      <c r="AF7" s="83"/>
    </row>
    <row r="8" spans="1:221">
      <c r="A8" s="58"/>
      <c r="B8" s="58"/>
      <c r="C8" s="58"/>
      <c r="D8" s="70"/>
      <c r="E8" s="58"/>
      <c r="F8" s="73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71"/>
      <c r="U8" s="58"/>
      <c r="V8" s="58"/>
      <c r="W8" s="58"/>
      <c r="X8" s="72"/>
      <c r="Y8" s="58"/>
      <c r="Z8" s="58"/>
      <c r="AA8" s="58"/>
      <c r="AB8" s="72"/>
      <c r="AC8" s="58"/>
      <c r="AD8" s="70"/>
      <c r="AE8" s="58"/>
      <c r="AF8" s="75"/>
    </row>
    <row r="9" spans="1:221">
      <c r="A9" s="58"/>
      <c r="B9" s="76" t="s">
        <v>5</v>
      </c>
      <c r="C9" s="58"/>
      <c r="D9" s="70"/>
      <c r="E9" s="58"/>
      <c r="F9" s="73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3"/>
      <c r="S9" s="58"/>
      <c r="T9" s="71"/>
      <c r="U9" s="58"/>
      <c r="V9" s="72"/>
      <c r="W9" s="58"/>
      <c r="X9" s="72"/>
      <c r="Y9" s="58"/>
      <c r="Z9" s="70"/>
      <c r="AA9" s="58"/>
      <c r="AB9" s="72"/>
      <c r="AC9" s="58"/>
      <c r="AD9" s="70"/>
      <c r="AE9" s="58"/>
      <c r="AF9" s="75"/>
    </row>
    <row r="10" spans="1:221">
      <c r="A10" s="58"/>
      <c r="B10" s="58"/>
      <c r="C10" s="58"/>
      <c r="D10" s="70"/>
      <c r="E10" s="58"/>
      <c r="F10" s="73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73"/>
      <c r="S10" s="58"/>
      <c r="T10" s="71"/>
      <c r="U10" s="58"/>
      <c r="V10" s="72"/>
      <c r="W10" s="58"/>
      <c r="X10" s="72"/>
      <c r="Y10" s="58"/>
      <c r="Z10" s="70"/>
      <c r="AA10" s="58"/>
      <c r="AB10" s="72"/>
      <c r="AC10" s="58"/>
      <c r="AD10" s="70"/>
      <c r="AE10" s="58"/>
      <c r="AF10" s="75"/>
    </row>
    <row r="11" spans="1:221">
      <c r="A11" s="84" t="s">
        <v>321</v>
      </c>
      <c r="B11" s="58" t="str">
        <f>_xll.HPHEA($A11,$G$2)</f>
        <v>Petty cash/working funds</v>
      </c>
      <c r="C11" s="58">
        <f>ROUND((_xll.HPVAL($G$1,"py1",$A11,$C$7,"YTD","gpg")/1000),0)</f>
        <v>4</v>
      </c>
      <c r="D11" s="70"/>
      <c r="E11" s="58">
        <f>ROUND((_xll.HPVAL($G$1,"ACTUAL",$A11,$E$7,"YTD","gpg")/1000),0)</f>
        <v>4</v>
      </c>
      <c r="F11" s="73"/>
      <c r="G11" s="58">
        <f>ROUND((_xll.HPVAL($G$1,"ACTUAL",$A11,$G$7,"YTD","gpg")/1000),0)</f>
        <v>4</v>
      </c>
      <c r="H11" s="73"/>
      <c r="I11" s="58">
        <f>ROUND((_xll.HPVAL($G$1,"ACTUAL",$A11,$I$7,"YTD","gpg")/1000),0)</f>
        <v>4</v>
      </c>
      <c r="J11" s="73"/>
      <c r="K11" s="58">
        <f>ROUND((_xll.HPVAL($G$1,"ACTUAL",$A11,$K$7,"YTD","gpg")/1000),0)</f>
        <v>4</v>
      </c>
      <c r="L11" s="73"/>
      <c r="M11" s="58">
        <f>ROUND((_xll.HPVAL($G$1,"ACTUAL",$A11,$M$7,"YTD","gpg")/1000),0)</f>
        <v>4</v>
      </c>
      <c r="N11" s="73"/>
      <c r="O11" s="58">
        <f>ROUND((_xll.HPVAL($G$1,"ACTUAL",$A11,$O$7,"YTD","gpg")/1000),0)</f>
        <v>4</v>
      </c>
      <c r="P11" s="73"/>
      <c r="Q11" s="58">
        <f>ROUND((_xll.HPVAL($G$1,"ACTUAL",$A11,$Q$7,"YTD","gpg")/1000),0)</f>
        <v>3</v>
      </c>
      <c r="R11" s="73"/>
      <c r="S11" s="58">
        <f>ROUND((_xll.HPVAL($G$1,"ACTUAL",$A11,$S$7,"YTD","gpg")/1000),0)</f>
        <v>3</v>
      </c>
      <c r="T11" s="73"/>
      <c r="U11" s="58">
        <f>ROUND((_xll.HPVAL($G$1,"ACTUAL",$A11,$U$7,"YTD","gpg")/1000),0)</f>
        <v>0</v>
      </c>
      <c r="V11" s="73"/>
      <c r="W11" s="58">
        <f>ROUND((_xll.HPVAL($G$1,"ACTUAL",$A11,$W$7,"YTD","gpg")/1000),0)</f>
        <v>0</v>
      </c>
      <c r="X11" s="73"/>
      <c r="Y11" s="58">
        <f>ROUND((_xll.HPVAL($G$1,"ACTUAL",$A11,$Y$7,"YTD","gpg")/1000),0)</f>
        <v>0</v>
      </c>
      <c r="Z11" s="73"/>
      <c r="AA11" s="58">
        <f>ROUND((_xll.HPVAL($G$1,"ACTUAL",$A11,$AA$7,"YTD","gpg")/1000),0)</f>
        <v>0</v>
      </c>
      <c r="AB11" s="73"/>
      <c r="AC11" s="58">
        <f>IF(mo=1,+E11-C11,CHOOSE(mo,E11,G11,I11,K11,M11,O11,Q11,S11,U11,W11,Y11,AA11)-CHOOSE(mo-1,E11,G11,I11,K11,M11,O11,Q11,S11,U11,W11,Y11,AA11))</f>
        <v>0</v>
      </c>
      <c r="AD11" s="70"/>
      <c r="AE11" s="58">
        <f>CHOOSE(mo,E11,G11,I11,K11,M11,O11,Q11,S11,U11,W11,Y11,AA11)-C11</f>
        <v>-1</v>
      </c>
      <c r="AF11" s="75"/>
    </row>
    <row r="12" spans="1:221">
      <c r="A12" s="58"/>
      <c r="B12" s="58" t="s">
        <v>214</v>
      </c>
      <c r="C12" s="85">
        <f>+C13-SUM(C11:C11)</f>
        <v>0</v>
      </c>
      <c r="D12" s="70"/>
      <c r="E12" s="85">
        <f>+E13-SUM(E11:E11)</f>
        <v>0</v>
      </c>
      <c r="F12" s="77"/>
      <c r="G12" s="85">
        <f>+G13-SUM(G11:G11)</f>
        <v>0</v>
      </c>
      <c r="H12" s="77"/>
      <c r="I12" s="85">
        <f>+I13-SUM(I11:I11)</f>
        <v>0</v>
      </c>
      <c r="J12" s="77"/>
      <c r="K12" s="85">
        <f>+K13-SUM(K11:K11)</f>
        <v>0</v>
      </c>
      <c r="L12" s="77"/>
      <c r="M12" s="85">
        <f>+M13-SUM(M11:M11)</f>
        <v>0</v>
      </c>
      <c r="N12" s="77"/>
      <c r="O12" s="85">
        <f>+O13-SUM(O11:O11)</f>
        <v>0</v>
      </c>
      <c r="P12" s="77"/>
      <c r="Q12" s="85">
        <f>+Q13-SUM(Q11:Q11)</f>
        <v>0</v>
      </c>
      <c r="R12" s="77"/>
      <c r="S12" s="85">
        <f>+S13-SUM(S11:S11)</f>
        <v>0</v>
      </c>
      <c r="T12" s="77"/>
      <c r="U12" s="85">
        <f>+U13-SUM(U11:U11)</f>
        <v>0</v>
      </c>
      <c r="V12" s="77"/>
      <c r="W12" s="85">
        <f>+W13-SUM(W11:W11)</f>
        <v>0</v>
      </c>
      <c r="X12" s="77"/>
      <c r="Y12" s="85">
        <f>+Y13-SUM(Y11:Y11)</f>
        <v>0</v>
      </c>
      <c r="Z12" s="77"/>
      <c r="AA12" s="85">
        <f>+AA13-SUM(AA11:AA11)</f>
        <v>0</v>
      </c>
      <c r="AB12" s="77"/>
      <c r="AC12" s="85">
        <f>IF(mo=1,+E12-C12,CHOOSE(mo,E12,G12,I12,K12,M12,O12,Q12,S12,U12,W12,Y12,AA12)-CHOOSE(mo-1,E12,G12,I12,K12,M12,O12,Q12,S12,U12,W12,Y12,AA12))</f>
        <v>0</v>
      </c>
      <c r="AD12" s="70"/>
      <c r="AE12" s="85">
        <f>CHOOSE(mo,E12,G12,I12,K12,M12,O12,Q12,S12,U12,W12,Y12,AA12)-C12</f>
        <v>0</v>
      </c>
      <c r="AF12" s="75"/>
    </row>
    <row r="13" spans="1:221" s="13" customFormat="1" ht="10.8" thickBot="1">
      <c r="A13" s="58"/>
      <c r="B13" s="60" t="s">
        <v>215</v>
      </c>
      <c r="C13" s="86">
        <f>ROUND((_xll.HPVAL($G$1,"py1","0005",$C$7,"YTD","gpg")/100),0)+ROUND((_xll.HPVAL($G$1,"py1","0010",$C$7,"YTD","gpg")/1000),0)</f>
        <v>4</v>
      </c>
      <c r="D13" s="70"/>
      <c r="E13" s="86">
        <f>ROUND((_xll.HPVAL($G$1,"ACTUAL","0005",$E$7,"YTD","gpg")/1000),0)+ROUND((_xll.HPVAL($G$1,"ACTUAL","0010",$E$7,"YTD","gpg")/1000),0)</f>
        <v>4</v>
      </c>
      <c r="F13" s="77"/>
      <c r="G13" s="86">
        <f>ROUND((_xll.HPVAL($G$1,"ACTUAL","0005",$G$7,"YTD","gpg")/1000),0)+ROUND((_xll.HPVAL($G$1,"ACTUAL","0010",$G$7,"YTD","gpg")/1000),0)</f>
        <v>4</v>
      </c>
      <c r="H13" s="77"/>
      <c r="I13" s="86">
        <f>ROUND((_xll.HPVAL($G$1,"ACTUAL","0005",$I$7,"YTD","gpg")/1000),0)+ROUND((_xll.HPVAL($G$1,"ACTUAL","0010",$I$7,"YTD","gpg")/1000),0)</f>
        <v>4</v>
      </c>
      <c r="J13" s="77"/>
      <c r="K13" s="86">
        <f>ROUND((_xll.HPVAL($G$1,"ACTUAL","0005",$K$7,"YTD","gpg")/1000),0)+ROUND((_xll.HPVAL($G$1,"ACTUAL","0010",$K$7,"YTD","gpg")/1000),0)</f>
        <v>4</v>
      </c>
      <c r="L13" s="77"/>
      <c r="M13" s="86">
        <f>ROUND((_xll.HPVAL($G$1,"ACTUAL","0005",$M$7,"YTD","gpg")/1000),0)+ROUND((_xll.HPVAL($G$1,"ACTUAL","0010",$M$7,"YTD","gpg")/1000),0)</f>
        <v>4</v>
      </c>
      <c r="N13" s="77"/>
      <c r="O13" s="86">
        <f>ROUND((_xll.HPVAL($G$1,"ACTUAL","0005",$O$7,"YTD","gpg")/1000),0)+ROUND((_xll.HPVAL($G$1,"ACTUAL","0010",$O$7,"YTD","gpg")/1000),0)</f>
        <v>4</v>
      </c>
      <c r="P13" s="77"/>
      <c r="Q13" s="86">
        <f>ROUND((_xll.HPVAL($G$1,"ACTUAL","0005",$Q$7,"YTD","gpg")/1000),0)+ROUND((_xll.HPVAL($G$1,"ACTUAL","0010",$Q$7,"YTD","gpg")/1000),0)</f>
        <v>3</v>
      </c>
      <c r="R13" s="77"/>
      <c r="S13" s="86">
        <f>ROUND((_xll.HPVAL($G$1,"ACTUAL","0005",$S$7,"YTD","gpg")/1000),0)+ROUND((_xll.HPVAL($G$1,"ACTUAL","0010",$S$7,"YTD","gpg")/1000),0)</f>
        <v>3</v>
      </c>
      <c r="T13" s="77"/>
      <c r="U13" s="86">
        <f>ROUND((_xll.HPVAL($G$1,"ACTUAL","0005",$U$7,"YTD","gpg")/1000),0)+ROUND((_xll.HPVAL($G$1,"ACTUAL","0010",$U$7,"YTD","gpg")/1000),0)</f>
        <v>0</v>
      </c>
      <c r="V13" s="77"/>
      <c r="W13" s="86">
        <f>ROUND((_xll.HPVAL($G$1,"ACTUAL","0005",$W$7,"YTD","gpg")/1000),0)+ROUND((_xll.HPVAL($G$1,"ACTUAL","0010",$W$7,"YTD","gpg")/1000),0)</f>
        <v>0</v>
      </c>
      <c r="X13" s="77"/>
      <c r="Y13" s="86">
        <f>ROUND((_xll.HPVAL($G$1,"ACTUAL","0005",$W$7,"YTD","gpg")/1000),0)+ROUND((_xll.HPVAL($G$1,"ACTUAL","0010",$W$7,"YTD","gpg")/1000),0)</f>
        <v>0</v>
      </c>
      <c r="Z13" s="77"/>
      <c r="AA13" s="86">
        <f>ROUND((_xll.HPVAL($G$1,"ACTUAL","0005",$AA$7,"YTD","gpg")/1000),0)+ROUND((_xll.HPVAL($G$1,"ACTUAL","0010",$AA$7,"YTD","gpg")/1000),0)</f>
        <v>0</v>
      </c>
      <c r="AB13" s="77"/>
      <c r="AC13" s="86">
        <f>SUM(AC11:AC12)</f>
        <v>0</v>
      </c>
      <c r="AD13" s="86">
        <f>ROUND((_xll.HPVAL($G$1,"ACTUAL","0005",$K$7,"YTD","gpg")/1000),0)+ROUND((_xll.HPVAL($G$1,"ACTUAL","0010",$K$7,"YTD","gpg")/1000),0)</f>
        <v>4</v>
      </c>
      <c r="AE13" s="86">
        <f>SUM(AE11:AE12)</f>
        <v>-1</v>
      </c>
      <c r="AF13" s="72"/>
      <c r="AG13" s="5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</row>
    <row r="14" spans="1:221" ht="10.8" thickTop="1">
      <c r="A14" s="58"/>
      <c r="B14" s="58"/>
      <c r="C14" s="58"/>
      <c r="D14" s="70"/>
      <c r="E14" s="58"/>
      <c r="F14" s="73"/>
      <c r="G14" s="58"/>
      <c r="H14" s="73"/>
      <c r="I14" s="58"/>
      <c r="J14" s="73"/>
      <c r="K14" s="58"/>
      <c r="L14" s="73"/>
      <c r="M14" s="58"/>
      <c r="N14" s="73"/>
      <c r="O14" s="58"/>
      <c r="P14" s="73"/>
      <c r="Q14" s="58"/>
      <c r="R14" s="73"/>
      <c r="S14" s="58"/>
      <c r="T14" s="73"/>
      <c r="U14" s="58"/>
      <c r="V14" s="73"/>
      <c r="W14" s="58"/>
      <c r="X14" s="73"/>
      <c r="Y14" s="58"/>
      <c r="Z14" s="73"/>
      <c r="AA14" s="58"/>
      <c r="AB14" s="73"/>
      <c r="AC14" s="58"/>
      <c r="AD14" s="70"/>
      <c r="AE14" s="58"/>
      <c r="AF14" s="75"/>
    </row>
    <row r="15" spans="1:221">
      <c r="A15" s="84" t="s">
        <v>322</v>
      </c>
      <c r="B15" s="58" t="str">
        <f>_xll.HPHEA($A15,$G$2)</f>
        <v>0051_20013000 - Enron Energy Service</v>
      </c>
      <c r="C15" s="58">
        <f>ROUND((_xll.HPVAL($G$1,"py1",$A15,$C$7,"YTD","gpg")/1000),0)</f>
        <v>290</v>
      </c>
      <c r="D15" s="70"/>
      <c r="E15" s="58">
        <f>ROUND((_xll.HPVAL($G$1,"ACTUAL",$A15,$E$7,"YTD","gpg")/1000),0)</f>
        <v>47</v>
      </c>
      <c r="F15" s="76"/>
      <c r="G15" s="58">
        <f>ROUND((_xll.HPVAL($G$1,"ACTUAL",$A15,$G$7,"YTD","gpg")/1000),0)</f>
        <v>92</v>
      </c>
      <c r="H15" s="76"/>
      <c r="I15" s="58">
        <f>ROUND((_xll.HPVAL($G$1,"ACTUAL",$A15,$I$7,"YTD","gpg")/1000),0)</f>
        <v>41</v>
      </c>
      <c r="J15" s="76"/>
      <c r="K15" s="58">
        <f>ROUND((_xll.HPVAL($G$1,"ACTUAL",$A15,$K$7,"YTD","gpg")/1000),0)</f>
        <v>35</v>
      </c>
      <c r="L15" s="76"/>
      <c r="M15" s="58">
        <f>ROUND((_xll.HPVAL($G$1,"ACTUAL",$A15,$M$7,"YTD","gpg")/1000),0)</f>
        <v>31</v>
      </c>
      <c r="N15" s="76"/>
      <c r="O15" s="58">
        <f>ROUND((_xll.HPVAL($G$1,"ACTUAL",$A15,$O$7,"YTD","gpg")/1000),0)</f>
        <v>206</v>
      </c>
      <c r="P15" s="76"/>
      <c r="Q15" s="58">
        <f>ROUND((_xll.HPVAL($G$1,"ACTUAL",$A15,$Q$7,"YTD","gpg")/1000),0)</f>
        <v>32</v>
      </c>
      <c r="R15" s="76"/>
      <c r="S15" s="58">
        <f>ROUND((_xll.HPVAL($G$1,"ACTUAL",$A15,$S$7,"YTD","gpg")/1000),0)</f>
        <v>31</v>
      </c>
      <c r="T15" s="76"/>
      <c r="U15" s="58">
        <f>ROUND((_xll.HPVAL($G$1,"ACTUAL",$A15,$U$7,"YTD","gpg")/1000),0)</f>
        <v>0</v>
      </c>
      <c r="V15" s="76"/>
      <c r="W15" s="58">
        <f>ROUND((_xll.HPVAL($G$1,"ACTUAL",$A15,$W$7,"YTD","gpg")/1000),0)</f>
        <v>0</v>
      </c>
      <c r="X15" s="76"/>
      <c r="Y15" s="58">
        <f>ROUND((_xll.HPVAL($G$1,"ACTUAL",$A15,$Y$7,"YTD","gpg")/1000),0)</f>
        <v>0</v>
      </c>
      <c r="Z15" s="76"/>
      <c r="AA15" s="58">
        <f>ROUND((_xll.HPVAL($G$1,"ACTUAL",$A15,$AA$7,"YTD","gpg")/1000),0)</f>
        <v>0</v>
      </c>
      <c r="AB15" s="76"/>
      <c r="AC15" s="58">
        <f t="shared" ref="AC15:AC21" si="0">IF(mo=1,+E15-C15,CHOOSE(mo,E15,G15,I15,K15,M15,O15,Q15,S15,U15,W15,Y15,AA15)-CHOOSE(mo-1,E15,G15,I15,K15,M15,O15,Q15,S15,U15,W15,Y15,AA15))</f>
        <v>-1</v>
      </c>
      <c r="AD15" s="70"/>
      <c r="AE15" s="58">
        <f t="shared" ref="AE15:AE21" si="1">CHOOSE(mo,E15,G15,I15,K15,M15,O15,Q15,S15,U15,W15,Y15,AA15)-C15</f>
        <v>-259</v>
      </c>
      <c r="AF15" s="58"/>
    </row>
    <row r="16" spans="1:221">
      <c r="A16" s="84" t="s">
        <v>590</v>
      </c>
      <c r="B16" s="58" t="str">
        <f>_xll.HPHEA($A16,$G$2)</f>
        <v>0051_20023000 - Enron Pipeline Services</v>
      </c>
      <c r="C16" s="58">
        <f>ROUND((_xll.HPVAL($G$1,"py1",$A16,$C$7,"YTD","gpg")/1000),0)</f>
        <v>0</v>
      </c>
      <c r="D16" s="70"/>
      <c r="E16" s="58">
        <f>ROUND((_xll.HPVAL($G$1,"ACTUAL",$A16,$E$7,"YTD","gpg")/1000),0)</f>
        <v>0</v>
      </c>
      <c r="F16" s="76"/>
      <c r="G16" s="58">
        <f>ROUND((_xll.HPVAL($G$1,"ACTUAL",$A16,$G$7,"YTD","gpg")/1000),0)</f>
        <v>0</v>
      </c>
      <c r="H16" s="76"/>
      <c r="I16" s="58">
        <f>ROUND((_xll.HPVAL($G$1,"ACTUAL",$A16,$I$7,"YTD","gpg")/1000),0)</f>
        <v>0</v>
      </c>
      <c r="J16" s="76"/>
      <c r="K16" s="58">
        <f>ROUND((_xll.HPVAL($G$1,"ACTUAL",$A16,$K$7,"YTD","gpg")/1000),0)</f>
        <v>0</v>
      </c>
      <c r="L16" s="76"/>
      <c r="M16" s="58">
        <f>ROUND((_xll.HPVAL($G$1,"ACTUAL",$A16,$M$7,"YTD","gpg")/1000),0)</f>
        <v>0</v>
      </c>
      <c r="N16" s="76"/>
      <c r="O16" s="58">
        <f>ROUND((_xll.HPVAL($G$1,"ACTUAL",$A16,$O$7,"YTD","gpg")/1000),0)</f>
        <v>0</v>
      </c>
      <c r="P16" s="76"/>
      <c r="Q16" s="58">
        <f>ROUND((_xll.HPVAL($G$1,"ACTUAL",$A16,$Q$7,"YTD","gpg")/1000),0)</f>
        <v>0</v>
      </c>
      <c r="R16" s="76"/>
      <c r="S16" s="58">
        <f>ROUND((_xll.HPVAL($G$1,"ACTUAL",$A16,$S$7,"YTD","gpg")/1000),0)</f>
        <v>0</v>
      </c>
      <c r="T16" s="76"/>
      <c r="U16" s="58">
        <f>ROUND((_xll.HPVAL($G$1,"ACTUAL",$A16,$U$7,"YTD","gpg")/1000),0)</f>
        <v>0</v>
      </c>
      <c r="V16" s="76"/>
      <c r="W16" s="58">
        <f>ROUND((_xll.HPVAL($G$1,"ACTUAL",$A16,$W$7,"YTD","gpg")/1000),0)</f>
        <v>0</v>
      </c>
      <c r="X16" s="76"/>
      <c r="Y16" s="58">
        <f>ROUND((_xll.HPVAL($G$1,"ACTUAL",$A16,$Y$7,"YTD","gpg")/1000),0)</f>
        <v>0</v>
      </c>
      <c r="Z16" s="76"/>
      <c r="AA16" s="58">
        <f>ROUND((_xll.HPVAL($G$1,"ACTUAL",$A16,$AA$7,"YTD","gpg")/1000),0)</f>
        <v>0</v>
      </c>
      <c r="AB16" s="76"/>
      <c r="AC16" s="58">
        <f t="shared" si="0"/>
        <v>0</v>
      </c>
      <c r="AD16" s="70"/>
      <c r="AE16" s="58">
        <f t="shared" si="1"/>
        <v>0</v>
      </c>
      <c r="AF16" s="58"/>
    </row>
    <row r="17" spans="1:35">
      <c r="A17" s="84" t="s">
        <v>591</v>
      </c>
      <c r="B17" s="58" t="str">
        <f>_xll.HPHEA($A17,$G$2)</f>
        <v>0051_20023000 - Enron Asset Management Re</v>
      </c>
      <c r="C17" s="58">
        <f>ROUND((_xll.HPVAL($G$1,"py1",$A17,$C$7,"YTD","gpg")/1000),0)</f>
        <v>0</v>
      </c>
      <c r="D17" s="70"/>
      <c r="E17" s="58">
        <f>ROUND((_xll.HPVAL($G$1,"ACTUAL",$A17,$E$7,"YTD","gpg")/1000),0)</f>
        <v>0</v>
      </c>
      <c r="F17" s="76"/>
      <c r="G17" s="58">
        <f>ROUND((_xll.HPVAL($G$1,"ACTUAL",$A17,$G$7,"YTD","gpg")/1000),0)</f>
        <v>0</v>
      </c>
      <c r="H17" s="76"/>
      <c r="I17" s="58">
        <f>ROUND((_xll.HPVAL($G$1,"ACTUAL",$A17,$I$7,"YTD","gpg")/1000),0)</f>
        <v>0</v>
      </c>
      <c r="J17" s="76"/>
      <c r="K17" s="58">
        <f>ROUND((_xll.HPVAL($G$1,"ACTUAL",$A17,$K$7,"YTD","gpg")/1000),0)</f>
        <v>5</v>
      </c>
      <c r="L17" s="76"/>
      <c r="M17" s="58">
        <f>ROUND((_xll.HPVAL($G$1,"ACTUAL",$A17,$M$7,"YTD","gpg")/1000),0)</f>
        <v>22</v>
      </c>
      <c r="N17" s="76"/>
      <c r="O17" s="58">
        <f>ROUND((_xll.HPVAL($G$1,"ACTUAL",$A17,$O$7,"YTD","gpg")/1000),0)</f>
        <v>0</v>
      </c>
      <c r="P17" s="76"/>
      <c r="Q17" s="58">
        <f>ROUND((_xll.HPVAL($G$1,"ACTUAL",$A17,$Q$7,"YTD","gpg")/1000),0)</f>
        <v>0</v>
      </c>
      <c r="R17" s="76"/>
      <c r="S17" s="58">
        <f>ROUND((_xll.HPVAL($G$1,"ACTUAL",$A17,$S$7,"YTD","gpg")/1000),0)</f>
        <v>0</v>
      </c>
      <c r="T17" s="76"/>
      <c r="U17" s="58">
        <f>ROUND((_xll.HPVAL($G$1,"ACTUAL",$A17,$U$7,"YTD","gpg")/1000),0)</f>
        <v>0</v>
      </c>
      <c r="V17" s="76"/>
      <c r="W17" s="58">
        <f>ROUND((_xll.HPVAL($G$1,"ACTUAL",$A17,$W$7,"YTD","gpg")/1000),0)</f>
        <v>0</v>
      </c>
      <c r="X17" s="76"/>
      <c r="Y17" s="58">
        <f>ROUND((_xll.HPVAL($G$1,"ACTUAL",$A17,$Y$7,"YTD","gpg")/1000),0)</f>
        <v>0</v>
      </c>
      <c r="Z17" s="76"/>
      <c r="AA17" s="58">
        <f>ROUND((_xll.HPVAL($G$1,"ACTUAL",$A17,$AA$7,"YTD","gpg")/1000),0)</f>
        <v>0</v>
      </c>
      <c r="AB17" s="76"/>
      <c r="AC17" s="58">
        <f t="shared" si="0"/>
        <v>0</v>
      </c>
      <c r="AD17" s="70"/>
      <c r="AE17" s="58">
        <f t="shared" si="1"/>
        <v>0</v>
      </c>
      <c r="AF17" s="58"/>
    </row>
    <row r="18" spans="1:35">
      <c r="A18" s="84" t="s">
        <v>589</v>
      </c>
      <c r="B18" s="58" t="str">
        <f>_xll.HPHEA($A18,$G$2)</f>
        <v>0051_20013000 - Enron Capital &amp; Trade Res</v>
      </c>
      <c r="C18" s="58">
        <f>ROUND((_xll.HPVAL($G$1,"py1",$A18,$C$7,"YTD","gpg")/1000),0)</f>
        <v>0</v>
      </c>
      <c r="D18" s="70"/>
      <c r="E18" s="58">
        <f>ROUND((_xll.HPVAL($G$1,"ACTUAL",$A18,$E$7,"YTD","gpg")/1000),0)</f>
        <v>0</v>
      </c>
      <c r="F18" s="76"/>
      <c r="G18" s="58">
        <f>ROUND((_xll.HPVAL($G$1,"ACTUAL",$A18,$G$7,"YTD","gpg")/1000),0)</f>
        <v>0</v>
      </c>
      <c r="H18" s="76"/>
      <c r="I18" s="58">
        <f>ROUND((_xll.HPVAL($G$1,"ACTUAL",$A18,$I$7,"YTD","gpg")/1000),0)</f>
        <v>0</v>
      </c>
      <c r="J18" s="76"/>
      <c r="K18" s="58">
        <f>ROUND((_xll.HPVAL($G$1,"ACTUAL",$A18,$K$7,"YTD","gpg")/1000),0)</f>
        <v>0</v>
      </c>
      <c r="L18" s="76"/>
      <c r="M18" s="58">
        <f>ROUND((_xll.HPVAL($G$1,"ACTUAL",$A18,$M$7,"YTD","gpg")/1000),0)</f>
        <v>765</v>
      </c>
      <c r="N18" s="76"/>
      <c r="O18" s="58">
        <f>ROUND((_xll.HPVAL($G$1,"ACTUAL",$A18,$O$7,"YTD","gpg")/1000),0)</f>
        <v>455</v>
      </c>
      <c r="P18" s="76"/>
      <c r="Q18" s="58">
        <f>ROUND((_xll.HPVAL($G$1,"ACTUAL",$A18,$Q$7,"YTD","gpg")/1000),0)</f>
        <v>758</v>
      </c>
      <c r="R18" s="76"/>
      <c r="S18" s="58">
        <f>ROUND((_xll.HPVAL($G$1,"ACTUAL",$A18,$S$7,"YTD","gpg")/1000),0)</f>
        <v>770</v>
      </c>
      <c r="T18" s="76"/>
      <c r="U18" s="58">
        <f>ROUND((_xll.HPVAL($G$1,"ACTUAL",$A18,$U$7,"YTD","gpg")/1000),0)</f>
        <v>0</v>
      </c>
      <c r="V18" s="76"/>
      <c r="W18" s="58">
        <f>ROUND((_xll.HPVAL($G$1,"ACTUAL",$A18,$W$7,"YTD","gpg")/1000),0)</f>
        <v>0</v>
      </c>
      <c r="X18" s="76"/>
      <c r="Y18" s="58">
        <f>ROUND((_xll.HPVAL($G$1,"ACTUAL",$A18,$Y$7,"YTD","gpg")/1000),0)</f>
        <v>0</v>
      </c>
      <c r="Z18" s="76"/>
      <c r="AA18" s="58">
        <f>ROUND((_xll.HPVAL($G$1,"ACTUAL",$A18,$AA$7,"YTD","gpg")/1000),0)</f>
        <v>0</v>
      </c>
      <c r="AB18" s="76"/>
      <c r="AC18" s="58">
        <f>IF(mo=1,+E18-C18,CHOOSE(mo,E18,G18,I18,K18,M18,O18,Q18,S18,U18,W18,Y18,AA18)-CHOOSE(mo-1,E18,G18,I18,K18,M18,O18,Q18,S18,U18,W18,Y18,AA18))</f>
        <v>12</v>
      </c>
      <c r="AD18" s="70"/>
      <c r="AE18" s="58">
        <f>CHOOSE(mo,E18,G18,I18,K18,M18,O18,Q18,S18,U18,W18,Y18,AA18)-C18</f>
        <v>770</v>
      </c>
      <c r="AF18" s="58"/>
    </row>
    <row r="19" spans="1:35">
      <c r="A19" s="84" t="s">
        <v>612</v>
      </c>
      <c r="B19" s="58" t="str">
        <f>_xll.HPHEA($A19,$G$2)</f>
        <v>0051_20023000 - Enron Pipeline Company</v>
      </c>
      <c r="C19" s="58">
        <f>ROUND((_xll.HPVAL($G$1,"py1",$A19,$C$7,"YTD","gpg")/1000),0)</f>
        <v>0</v>
      </c>
      <c r="D19" s="70"/>
      <c r="E19" s="58">
        <f>ROUND((_xll.HPVAL($G$1,"ACTUAL",$A19,$E$7,"YTD","gpg")/1000),0)</f>
        <v>0</v>
      </c>
      <c r="F19" s="76"/>
      <c r="G19" s="58">
        <f>ROUND((_xll.HPVAL($G$1,"ACTUAL",$A19,$G$7,"YTD","gpg")/1000),0)</f>
        <v>0</v>
      </c>
      <c r="H19" s="76"/>
      <c r="I19" s="58">
        <f>ROUND((_xll.HPVAL($G$1,"ACTUAL",$A19,$I$7,"YTD","gpg")/1000),0)</f>
        <v>0</v>
      </c>
      <c r="J19" s="76"/>
      <c r="K19" s="58">
        <f>ROUND((_xll.HPVAL($G$1,"ACTUAL",$A19,$K$7,"YTD","gpg")/1000),0)</f>
        <v>0</v>
      </c>
      <c r="L19" s="76"/>
      <c r="M19" s="58">
        <f>ROUND((_xll.HPVAL($G$1,"ACTUAL",$A19,$M$7,"YTD","gpg")/1000),0)</f>
        <v>0</v>
      </c>
      <c r="N19" s="76"/>
      <c r="O19" s="58">
        <f>ROUND((_xll.HPVAL($G$1,"ACTUAL",$A19,$O$7,"YTD","gpg")/1000),0)</f>
        <v>-100</v>
      </c>
      <c r="P19" s="76"/>
      <c r="Q19" s="58">
        <f>ROUND((_xll.HPVAL($G$1,"ACTUAL",$A19,$Q$7,"YTD","gpg")/1000),0)</f>
        <v>0</v>
      </c>
      <c r="R19" s="76"/>
      <c r="S19" s="58">
        <f>ROUND((_xll.HPVAL($G$1,"ACTUAL",$A19,$S$7,"YTD","gpg")/1000),0)</f>
        <v>0</v>
      </c>
      <c r="T19" s="76"/>
      <c r="U19" s="58">
        <f>ROUND((_xll.HPVAL($G$1,"ACTUAL",$A19,$U$7,"YTD","gpg")/1000),0)</f>
        <v>0</v>
      </c>
      <c r="V19" s="76"/>
      <c r="W19" s="58">
        <f>ROUND((_xll.HPVAL($G$1,"ACTUAL",$A19,$W$7,"YTD","gpg")/1000),0)</f>
        <v>0</v>
      </c>
      <c r="X19" s="76"/>
      <c r="Y19" s="58">
        <f>ROUND((_xll.HPVAL($G$1,"ACTUAL",$A19,$Y$7,"YTD","gpg")/1000),0)</f>
        <v>0</v>
      </c>
      <c r="Z19" s="76"/>
      <c r="AA19" s="58">
        <f>ROUND((_xll.HPVAL($G$1,"ACTUAL",$A19,$AA$7,"YTD","gpg")/1000),0)</f>
        <v>0</v>
      </c>
      <c r="AB19" s="76"/>
      <c r="AC19" s="58">
        <f t="shared" si="0"/>
        <v>0</v>
      </c>
      <c r="AD19" s="70"/>
      <c r="AE19" s="58">
        <f t="shared" si="1"/>
        <v>0</v>
      </c>
      <c r="AF19" s="58"/>
    </row>
    <row r="20" spans="1:35">
      <c r="A20" s="84" t="s">
        <v>544</v>
      </c>
      <c r="B20" s="58" t="str">
        <f>_xll.HPHEA($A20,$G$2)</f>
        <v>0051_20023000 - Northern Natural Gas Comp</v>
      </c>
      <c r="C20" s="58">
        <f>ROUND((_xll.HPVAL($G$1,"py1",$A20,$C$7,"YTD","gpg")/1000),0)</f>
        <v>0</v>
      </c>
      <c r="D20" s="70"/>
      <c r="E20" s="58">
        <f>ROUND((_xll.HPVAL($G$1,"ACTUAL",$A20,$E$7,"YTD","gpg")/1000),0)</f>
        <v>0</v>
      </c>
      <c r="F20" s="76"/>
      <c r="G20" s="58">
        <f>ROUND((_xll.HPVAL($G$1,"ACTUAL",$A20,$G$7,"YTD","gpg")/1000),0)</f>
        <v>1</v>
      </c>
      <c r="H20" s="76"/>
      <c r="I20" s="58">
        <f>ROUND((_xll.HPVAL($G$1,"ACTUAL",$A20,$I$7,"YTD","gpg")/1000),0)</f>
        <v>0</v>
      </c>
      <c r="J20" s="76"/>
      <c r="K20" s="58">
        <f>ROUND((_xll.HPVAL($G$1,"ACTUAL",$A20,$K$7,"YTD","gpg")/1000),0)</f>
        <v>0</v>
      </c>
      <c r="L20" s="76"/>
      <c r="M20" s="58">
        <f>ROUND((_xll.HPVAL($G$1,"ACTUAL",$A20,$M$7,"YTD","gpg")/1000),0)</f>
        <v>0</v>
      </c>
      <c r="N20" s="76"/>
      <c r="O20" s="58">
        <f>ROUND((_xll.HPVAL($G$1,"ACTUAL",$A20,$O$7,"YTD","gpg")/1000),0)</f>
        <v>0</v>
      </c>
      <c r="P20" s="76"/>
      <c r="Q20" s="58">
        <f>ROUND((_xll.HPVAL($G$1,"ACTUAL",$A20,$Q$7,"YTD","gpg")/1000),0)</f>
        <v>0</v>
      </c>
      <c r="R20" s="76"/>
      <c r="S20" s="58">
        <f>ROUND((_xll.HPVAL($G$1,"ACTUAL",$A20,$S$7,"YTD","gpg")/1000),0)</f>
        <v>1</v>
      </c>
      <c r="T20" s="76"/>
      <c r="U20" s="58">
        <f>ROUND((_xll.HPVAL($G$1,"ACTUAL",$A20,$U$7,"YTD","gpg")/1000),0)</f>
        <v>0</v>
      </c>
      <c r="V20" s="76"/>
      <c r="W20" s="58">
        <f>ROUND((_xll.HPVAL($G$1,"ACTUAL",$A20,$W$7,"YTD","gpg")/1000),0)</f>
        <v>0</v>
      </c>
      <c r="X20" s="76"/>
      <c r="Y20" s="58">
        <f>ROUND((_xll.HPVAL($G$1,"ACTUAL",$A20,$Y$7,"YTD","gpg")/1000),0)</f>
        <v>0</v>
      </c>
      <c r="Z20" s="76"/>
      <c r="AA20" s="58">
        <f>ROUND((_xll.HPVAL($G$1,"ACTUAL",$A20,$AA$7,"YTD","gpg")/1000),0)</f>
        <v>0</v>
      </c>
      <c r="AB20" s="76"/>
      <c r="AC20" s="58">
        <f t="shared" si="0"/>
        <v>1</v>
      </c>
      <c r="AD20" s="70"/>
      <c r="AE20" s="58">
        <f t="shared" si="1"/>
        <v>1</v>
      </c>
      <c r="AF20" s="58"/>
    </row>
    <row r="21" spans="1:35">
      <c r="A21" s="84"/>
      <c r="B21" s="58" t="s">
        <v>216</v>
      </c>
      <c r="C21" s="85">
        <f>+C22-SUM(C15:C20)</f>
        <v>5</v>
      </c>
      <c r="D21" s="70"/>
      <c r="E21" s="85">
        <f>+E22-SUM(E15:E20)</f>
        <v>0</v>
      </c>
      <c r="F21" s="77"/>
      <c r="G21" s="85">
        <f>+G22-SUM(G15:G20)</f>
        <v>7</v>
      </c>
      <c r="H21" s="77"/>
      <c r="I21" s="85">
        <f>+I22-SUM(I15:I20)</f>
        <v>-1</v>
      </c>
      <c r="J21" s="77"/>
      <c r="K21" s="85">
        <f>+K22-SUM(K15:K20)</f>
        <v>-2</v>
      </c>
      <c r="L21" s="77"/>
      <c r="M21" s="85">
        <f>+M22-SUM(M15:M20)</f>
        <v>-1</v>
      </c>
      <c r="N21" s="77"/>
      <c r="O21" s="85">
        <f>+O22-SUM(O15:O20)</f>
        <v>3</v>
      </c>
      <c r="P21" s="77"/>
      <c r="Q21" s="85">
        <f>+Q22-SUM(Q15:Q20)</f>
        <v>-2</v>
      </c>
      <c r="R21" s="77"/>
      <c r="S21" s="85">
        <f>+S22-SUM(S15:S20)</f>
        <v>-1069</v>
      </c>
      <c r="T21" s="77"/>
      <c r="U21" s="85">
        <f>+U22-SUM(U15:U20)</f>
        <v>0</v>
      </c>
      <c r="V21" s="77"/>
      <c r="W21" s="85">
        <f>+W22-SUM(W15:W20)</f>
        <v>0</v>
      </c>
      <c r="X21" s="77"/>
      <c r="Y21" s="85">
        <f>+Y22-SUM(Y15:Y20)</f>
        <v>0</v>
      </c>
      <c r="Z21" s="77"/>
      <c r="AA21" s="85">
        <f>+AA22-SUM(AA15:AA20)</f>
        <v>0</v>
      </c>
      <c r="AB21" s="77"/>
      <c r="AC21" s="85">
        <f t="shared" si="0"/>
        <v>-1067</v>
      </c>
      <c r="AD21" s="70"/>
      <c r="AE21" s="85">
        <f t="shared" si="1"/>
        <v>-1074</v>
      </c>
      <c r="AF21" s="58"/>
    </row>
    <row r="22" spans="1:35" s="17" customFormat="1" ht="15" customHeight="1" thickBot="1">
      <c r="A22" s="144" t="s">
        <v>66</v>
      </c>
      <c r="B22" s="60" t="s">
        <v>217</v>
      </c>
      <c r="C22" s="135">
        <f>ROUND((_xll.HPVAL($G$1,"py1",$A22,$C$7,"YTD","gpg")/1000),0)-C30+C249-C221</f>
        <v>295</v>
      </c>
      <c r="D22" s="70" t="s">
        <v>246</v>
      </c>
      <c r="E22" s="135">
        <f>ROUND((_xll.HPVAL($G$1,"ACTUAL",$A22,E7,"YTD","gpg")/1000),0)-E30+E249-E221</f>
        <v>47</v>
      </c>
      <c r="F22" s="77"/>
      <c r="G22" s="86">
        <f>ROUND((_xll.HPVAL($G$1,"ACTUAL",$A22,G7,"YTD","gpg")/1000),0)-G30+G249-G221</f>
        <v>100</v>
      </c>
      <c r="H22" s="77"/>
      <c r="I22" s="86">
        <f>ROUND((_xll.HPVAL($G$1,"ACTUAL",$A22,I7,"YTD","gpg")/1000),0)-I30+I249-I221</f>
        <v>40</v>
      </c>
      <c r="J22" s="77"/>
      <c r="K22" s="86">
        <f>ROUND((_xll.HPVAL($G$1,"ACTUAL",$A22,K7,"YTD","gpg")/1000),0)-K30+K249-K221</f>
        <v>38</v>
      </c>
      <c r="L22" s="77"/>
      <c r="M22" s="86">
        <f>ROUND((_xll.HPVAL($G$1,"ACTUAL",$A22,M7,"YTD","gpg")/1000),0)-M30+M249-M221</f>
        <v>817</v>
      </c>
      <c r="N22" s="77"/>
      <c r="O22" s="86">
        <f>ROUND((_xll.HPVAL($G$1,"ACTUAL",$A22,O7,"YTD","gpg")/1000),0)-O30+O249-O221</f>
        <v>564</v>
      </c>
      <c r="P22" s="77"/>
      <c r="Q22" s="86">
        <f>ROUND((_xll.HPVAL($G$1,"ACTUAL",$A22,Q7,"YTD","gpg")/1000),0)-Q30+Q249-Q221</f>
        <v>788</v>
      </c>
      <c r="R22" s="77"/>
      <c r="S22" s="86">
        <f>ROUND((_xll.HPVAL($G$1,"ACTUAL",$A22,S7,"YTD","gpg")/1000),0)-S30+S249-S221</f>
        <v>-267</v>
      </c>
      <c r="T22" s="77"/>
      <c r="U22" s="86">
        <f>ROUND((_xll.HPVAL($G$1,"ACTUAL",$A22,U7,"YTD","gpg")/1000),0)-U30+U249-U221</f>
        <v>0</v>
      </c>
      <c r="V22" s="77"/>
      <c r="W22" s="86">
        <f>ROUND((_xll.HPVAL($G$1,"ACTUAL",$A22,W7,"YTD","gpg")/1000),0)-W30+W249-W221</f>
        <v>0</v>
      </c>
      <c r="X22" s="77"/>
      <c r="Y22" s="86">
        <f>ROUND((_xll.HPVAL($G$1,"ACTUAL",$A22,Y7,"YTD","gpg")/1000),0)-Y30+Y249-Y221</f>
        <v>0</v>
      </c>
      <c r="Z22" s="77"/>
      <c r="AA22" s="86">
        <f>ROUND((_xll.HPVAL($G$1,"ACTUAL",$A22,AA7,"YTD","gpg")/1000),0)-AA30+AA249-AA221</f>
        <v>0</v>
      </c>
      <c r="AB22" s="77"/>
      <c r="AC22" s="86">
        <f>SUM(AC15:AC21)</f>
        <v>-1055</v>
      </c>
      <c r="AD22" s="70"/>
      <c r="AE22" s="86">
        <f>SUM(AE15:AE21)</f>
        <v>-562</v>
      </c>
      <c r="AF22" s="72"/>
      <c r="AG22" s="5"/>
    </row>
    <row r="23" spans="1:35" s="17" customFormat="1" ht="15" customHeight="1" thickTop="1">
      <c r="A23" s="144"/>
      <c r="B23" s="58" t="s">
        <v>311</v>
      </c>
      <c r="C23" s="314">
        <v>0</v>
      </c>
      <c r="D23" s="70"/>
      <c r="E23" s="314">
        <v>0</v>
      </c>
      <c r="F23" s="77"/>
      <c r="G23" s="314">
        <v>0</v>
      </c>
      <c r="H23" s="77"/>
      <c r="I23" s="314">
        <v>0</v>
      </c>
      <c r="J23" s="77"/>
      <c r="K23" s="314">
        <v>0</v>
      </c>
      <c r="L23" s="77"/>
      <c r="M23" s="314">
        <v>0</v>
      </c>
      <c r="N23" s="77"/>
      <c r="O23" s="314">
        <v>0</v>
      </c>
      <c r="P23" s="77"/>
      <c r="Q23" s="314">
        <v>2</v>
      </c>
      <c r="R23" s="77"/>
      <c r="S23" s="314">
        <v>0</v>
      </c>
      <c r="T23" s="77"/>
      <c r="U23" s="314">
        <v>0</v>
      </c>
      <c r="V23" s="77"/>
      <c r="W23" s="314">
        <v>0</v>
      </c>
      <c r="X23" s="77"/>
      <c r="Y23" s="314">
        <v>0</v>
      </c>
      <c r="Z23" s="77"/>
      <c r="AA23" s="314">
        <v>0</v>
      </c>
      <c r="AB23" s="77"/>
      <c r="AC23" s="58">
        <f>IF(mo=1,+E23-C23,CHOOSE(mo,E23,G23,I23,K23,M23,O23,Q23,S23,U23,W23,Y23,AA23)-CHOOSE(mo-1,E23,G23,I23,K23,M23,O23,Q23,S23,U23,W23,Y23,AA23))</f>
        <v>-2</v>
      </c>
      <c r="AD23" s="70"/>
      <c r="AE23" s="58">
        <f>CHOOSE(mo,E23,G23,I23,K23,M23,O23,Q23,S23,U23,W23,Y23,AA23)-C23</f>
        <v>0</v>
      </c>
      <c r="AF23" s="72"/>
      <c r="AG23" s="5"/>
    </row>
    <row r="24" spans="1:35" s="17" customFormat="1" ht="15" customHeight="1" thickBot="1">
      <c r="A24" s="144"/>
      <c r="B24" s="60" t="s">
        <v>217</v>
      </c>
      <c r="C24" s="88">
        <f>SUM(C22:C23)</f>
        <v>295</v>
      </c>
      <c r="D24" s="70"/>
      <c r="E24" s="88">
        <f>SUM(E22:E23)</f>
        <v>47</v>
      </c>
      <c r="F24" s="77"/>
      <c r="G24" s="88">
        <f>SUM(G22:G23)</f>
        <v>100</v>
      </c>
      <c r="H24" s="77"/>
      <c r="I24" s="88">
        <f>SUM(I22:I23)</f>
        <v>40</v>
      </c>
      <c r="J24" s="77"/>
      <c r="K24" s="88">
        <f>SUM(K22:K23)</f>
        <v>38</v>
      </c>
      <c r="L24" s="77"/>
      <c r="M24" s="88">
        <f>SUM(M22:M23)</f>
        <v>817</v>
      </c>
      <c r="N24" s="77"/>
      <c r="O24" s="88">
        <f>SUM(O22:O23)</f>
        <v>564</v>
      </c>
      <c r="P24" s="77"/>
      <c r="Q24" s="88">
        <f>SUM(Q22:Q23)</f>
        <v>790</v>
      </c>
      <c r="R24" s="77"/>
      <c r="S24" s="88">
        <f>SUM(S22:S23)</f>
        <v>-267</v>
      </c>
      <c r="T24" s="77"/>
      <c r="U24" s="88">
        <f>SUM(U22:U23)</f>
        <v>0</v>
      </c>
      <c r="V24" s="77"/>
      <c r="W24" s="88">
        <f>SUM(W22:W23)</f>
        <v>0</v>
      </c>
      <c r="X24" s="77"/>
      <c r="Y24" s="88">
        <f>SUM(Y22:Y23)</f>
        <v>0</v>
      </c>
      <c r="Z24" s="77"/>
      <c r="AA24" s="88">
        <f>SUM(AA22:AA23)</f>
        <v>0</v>
      </c>
      <c r="AB24" s="77"/>
      <c r="AC24" s="88">
        <f>SUM(AC22:AC23)</f>
        <v>-1057</v>
      </c>
      <c r="AD24" s="88">
        <f>SUM(AD22:AD23)</f>
        <v>0</v>
      </c>
      <c r="AE24" s="88">
        <f>SUM(AE22:AE23)</f>
        <v>-562</v>
      </c>
      <c r="AF24" s="72"/>
      <c r="AG24" s="5"/>
    </row>
    <row r="25" spans="1:35" s="17" customFormat="1" ht="10.8" thickTop="1">
      <c r="A25" s="84"/>
      <c r="B25" s="60"/>
      <c r="C25" s="72"/>
      <c r="D25" s="70"/>
      <c r="E25" s="72"/>
      <c r="F25" s="77"/>
      <c r="G25" s="72"/>
      <c r="H25" s="77"/>
      <c r="I25" s="72"/>
      <c r="J25" s="77"/>
      <c r="K25" s="72"/>
      <c r="L25" s="77"/>
      <c r="M25" s="72"/>
      <c r="N25" s="77"/>
      <c r="O25" s="72"/>
      <c r="P25" s="77"/>
      <c r="Q25" s="72"/>
      <c r="R25" s="77"/>
      <c r="S25" s="72"/>
      <c r="T25" s="77"/>
      <c r="U25" s="72"/>
      <c r="V25" s="77"/>
      <c r="W25" s="72"/>
      <c r="X25" s="77"/>
      <c r="Y25" s="72"/>
      <c r="Z25" s="77"/>
      <c r="AA25" s="72"/>
      <c r="AB25" s="77"/>
      <c r="AC25" s="72"/>
      <c r="AD25" s="70"/>
      <c r="AE25" s="72"/>
      <c r="AF25" s="72"/>
      <c r="AG25" s="5"/>
    </row>
    <row r="26" spans="1:35" s="9" customFormat="1">
      <c r="A26" s="84" t="s">
        <v>324</v>
      </c>
      <c r="B26" s="58" t="str">
        <f>_xll.HPHEA($A26,$G$2)</f>
        <v>0660_20022500 - Enron Corp.</v>
      </c>
      <c r="C26" s="75">
        <f>-ROUND((_xll.HPVAL($G$1,"py1",$A26,$C$7,"YTD","gpg")/1000),0)</f>
        <v>334766</v>
      </c>
      <c r="D26" s="70"/>
      <c r="E26" s="75">
        <f>-ROUND((_xll.HPVAL($G$1,"ACTUAL",$A26,$E$7,"YTD","gpg")/1000),0)</f>
        <v>332771</v>
      </c>
      <c r="F26" s="77"/>
      <c r="G26" s="75">
        <f>-ROUND((_xll.HPVAL($G$1,"ACTUAL",$A26,$G$7,"YTD","gpg")/1000),0)</f>
        <v>331186</v>
      </c>
      <c r="H26" s="77"/>
      <c r="I26" s="75">
        <f>-ROUND((_xll.HPVAL($G$1,"ACTUAL",$A26,$I$7,"YTD","gpg")/1000),0)</f>
        <v>329862</v>
      </c>
      <c r="J26" s="77"/>
      <c r="K26" s="75">
        <f>-ROUND((_xll.HPVAL($G$1,"ACTUAL",$A26,$K$7,"YTD","gpg")/1000),0)</f>
        <v>328501</v>
      </c>
      <c r="L26" s="77"/>
      <c r="M26" s="75">
        <f>-ROUND((_xll.HPVAL($G$1,"ACTUAL",$A26,$M$7,"YTD","gpg")/1000),0)</f>
        <v>327053</v>
      </c>
      <c r="N26" s="77"/>
      <c r="O26" s="75">
        <f>-ROUND((_xll.HPVAL($G$1,"ACTUAL",$A26,$O$7,"YTD","gpg")/1000),0)</f>
        <v>175668</v>
      </c>
      <c r="P26" s="77" t="s">
        <v>250</v>
      </c>
      <c r="Q26" s="75">
        <f>-ROUND((_xll.HPVAL($G$1,"ACTUAL",$A26,$Q$7,"YTD","gpg")/1000),0)</f>
        <v>174281</v>
      </c>
      <c r="R26" s="77"/>
      <c r="S26" s="75">
        <f>-ROUND((_xll.HPVAL($G$1,"ACTUAL",$A26,$S$7,"YTD","gpg")/1000),0)</f>
        <v>172939</v>
      </c>
      <c r="T26" s="77"/>
      <c r="U26" s="75">
        <f>-ROUND((_xll.HPVAL($G$1,"ACTUAL",$A26,$U$7,"YTD","gpg")/1000),0)</f>
        <v>0</v>
      </c>
      <c r="V26" s="77"/>
      <c r="W26" s="75">
        <f>-ROUND((_xll.HPVAL($G$1,"ACTUAL",$A26,$W$7,"YTD","gpg")/1000),0)</f>
        <v>0</v>
      </c>
      <c r="X26" s="77"/>
      <c r="Y26" s="75">
        <f>-ROUND((_xll.HPVAL($G$1,"ACTUAL",$A26,$Y$7,"YTD","gpg")/1000),0)</f>
        <v>0</v>
      </c>
      <c r="Z26" s="77"/>
      <c r="AA26" s="75">
        <f>-ROUND((_xll.HPVAL($G$1,"ACTUAL",$A26,$AA$7,"YTD","gpg")/1000),0)</f>
        <v>0</v>
      </c>
      <c r="AB26" s="77"/>
      <c r="AC26" s="58">
        <f>IF(mo=1,+E26-C26,CHOOSE(mo,E26,G26,I26,K26,M26,O26,Q26,S26,U26,W26,Y26,AA26)-CHOOSE(mo-1,E26,G26,I26,K26,M26,O26,Q26,S26,U26,W26,Y26,AA26))</f>
        <v>-1342</v>
      </c>
      <c r="AD26" s="70"/>
      <c r="AE26" s="75">
        <f>CHOOSE(mo,E26,G26,I26,K26,M26,O26,Q26,S26,U26,W26,Y26,AA26)-C26</f>
        <v>-161827</v>
      </c>
      <c r="AF26" s="75"/>
      <c r="AG26" s="5"/>
      <c r="AH26" s="17"/>
      <c r="AI26" s="17"/>
    </row>
    <row r="27" spans="1:35" s="9" customFormat="1">
      <c r="A27" s="84" t="s">
        <v>390</v>
      </c>
      <c r="B27" s="58" t="str">
        <f>_xll.HPHEA($A27,$G$2)</f>
        <v>Accts rec/pay - non trade-interco (DP)</v>
      </c>
      <c r="C27" s="75">
        <f>-ROUND((_xll.HPVAL($G$1,"py1",$A27,$C$7,"YTD","gpg")/1000),0)</f>
        <v>-21815</v>
      </c>
      <c r="D27" s="70"/>
      <c r="E27" s="75">
        <f>-ROUND((_xll.HPVAL($G$1,"ACTUAL",$A27,$E$7,"YTD","gpg")/1000),0)</f>
        <v>-25916</v>
      </c>
      <c r="F27" s="77"/>
      <c r="G27" s="75">
        <f>-ROUND((_xll.HPVAL($G$1,"ACTUAL",$A27,$G$7,"YTD","gpg")/1000),0)</f>
        <v>-31264</v>
      </c>
      <c r="H27" s="77"/>
      <c r="I27" s="75">
        <f>-ROUND((_xll.HPVAL($G$1,"ACTUAL",$A27,$I$7,"YTD","gpg")/1000),0)</f>
        <v>-38089</v>
      </c>
      <c r="J27" s="77"/>
      <c r="K27" s="75">
        <f>-ROUND((_xll.HPVAL($G$1,"ACTUAL",$A27,$K$7,"YTD","gpg")/1000),0)</f>
        <v>-42491</v>
      </c>
      <c r="L27" s="77"/>
      <c r="M27" s="75">
        <f>-ROUND((_xll.HPVAL($G$1,"ACTUAL",$A27,$M$7,"YTD","gpg")/1000),0)</f>
        <v>-47070</v>
      </c>
      <c r="N27" s="77"/>
      <c r="O27" s="75">
        <f>-ROUND((_xll.HPVAL($G$1,"ACTUAL",$A27,$O$7,"YTD","gpg")/1000),0)</f>
        <v>-51091</v>
      </c>
      <c r="P27" s="77"/>
      <c r="Q27" s="75">
        <f>-ROUND((_xll.HPVAL($G$1,"ACTUAL",$A27,$Q$7,"YTD","gpg")/1000),0)</f>
        <v>-55252</v>
      </c>
      <c r="R27" s="77"/>
      <c r="S27" s="75">
        <f>-ROUND((_xll.HPVAL($G$1,"ACTUAL",$A27,$S$7,"YTD","gpg")/1000),0)</f>
        <v>-55252</v>
      </c>
      <c r="T27" s="77"/>
      <c r="U27" s="75">
        <f>-ROUND((_xll.HPVAL($G$1,"ACTUAL",$A27,$U$7,"YTD","gpg")/1000),0)</f>
        <v>0</v>
      </c>
      <c r="V27" s="77"/>
      <c r="W27" s="75">
        <f>-ROUND((_xll.HPVAL($G$1,"ACTUAL",$A27,$W$7,"YTD","gpg")/1000),0)</f>
        <v>0</v>
      </c>
      <c r="X27" s="77"/>
      <c r="Y27" s="75">
        <f>-ROUND((_xll.HPVAL($G$1,"ACTUAL",$A27,$Y$7,"YTD","gpg")/1000),0)</f>
        <v>0</v>
      </c>
      <c r="Z27" s="77"/>
      <c r="AA27" s="75">
        <f>-ROUND((_xll.HPVAL($G$1,"ACTUAL",$A27,$AA$7,"YTD","gpg")/1000),0)</f>
        <v>0</v>
      </c>
      <c r="AB27" s="77"/>
      <c r="AC27" s="58">
        <f>IF(mo=1,+E27-C27,CHOOSE(mo,E27,G27,I27,K27,M27,O27,Q27,S27,U27,W27,Y27,AA27)-CHOOSE(mo-1,E27,G27,I27,K27,M27,O27,Q27,S27,U27,W27,Y27,AA27))</f>
        <v>0</v>
      </c>
      <c r="AD27" s="70"/>
      <c r="AE27" s="75">
        <f>CHOOSE(mo,E27,G27,I27,K27,M27,O27,Q27,S27,U27,W27,Y27,AA27)-C27</f>
        <v>-33437</v>
      </c>
      <c r="AF27" s="75"/>
      <c r="AG27" s="5"/>
      <c r="AH27" s="17"/>
      <c r="AI27" s="17"/>
    </row>
    <row r="28" spans="1:35" s="9" customFormat="1">
      <c r="A28" s="84"/>
      <c r="B28" s="58" t="s">
        <v>216</v>
      </c>
      <c r="C28" s="85">
        <f>C29-SUM(C26:C27)</f>
        <v>1</v>
      </c>
      <c r="D28" s="70"/>
      <c r="E28" s="85">
        <f>E29-SUM(E26:E27)</f>
        <v>0</v>
      </c>
      <c r="F28" s="87"/>
      <c r="G28" s="85">
        <f>G29-SUM(G26:G27)</f>
        <v>-1</v>
      </c>
      <c r="H28" s="87"/>
      <c r="I28" s="85">
        <f>I29-SUM(I26:I27)</f>
        <v>0</v>
      </c>
      <c r="J28" s="87"/>
      <c r="K28" s="85">
        <f>K29-SUM(K26:K27)</f>
        <v>0</v>
      </c>
      <c r="L28" s="87"/>
      <c r="M28" s="85">
        <f>M29-SUM(M26:M27)</f>
        <v>0</v>
      </c>
      <c r="N28" s="87"/>
      <c r="O28" s="85">
        <f>O29-SUM(O26:O27)</f>
        <v>-1</v>
      </c>
      <c r="P28" s="87"/>
      <c r="Q28" s="85">
        <f>Q29-SUM(Q26:Q27)</f>
        <v>0</v>
      </c>
      <c r="R28" s="87"/>
      <c r="S28" s="85">
        <f>S29-SUM(S26:S27)</f>
        <v>0</v>
      </c>
      <c r="T28" s="87"/>
      <c r="U28" s="85">
        <f>U29-SUM(U26:U27)</f>
        <v>0</v>
      </c>
      <c r="V28" s="87"/>
      <c r="W28" s="85">
        <f>W29-SUM(W26:W27)</f>
        <v>0</v>
      </c>
      <c r="X28" s="87"/>
      <c r="Y28" s="85">
        <f>Y29-SUM(Y26:Y27)</f>
        <v>0</v>
      </c>
      <c r="Z28" s="87"/>
      <c r="AA28" s="85">
        <f>AA29-SUM(AA26:AA27)</f>
        <v>0</v>
      </c>
      <c r="AB28" s="87"/>
      <c r="AC28" s="85">
        <f>IF(mo=1,+E28-C28,CHOOSE(mo,E28,G28,I28,K28,M28,O28,Q28,S28,U28,W28,Y28,AA28)-CHOOSE(mo-1,E28,G28,I28,K28,M28,O28,Q28,S28,U28,W28,Y28,AA28))</f>
        <v>0</v>
      </c>
      <c r="AD28" s="70"/>
      <c r="AE28" s="85">
        <f>CHOOSE(mo,E28,G28,I28,K28,M28,O28,Q28,S28,U28,W28,Y28,AA28)-C28</f>
        <v>-1</v>
      </c>
      <c r="AF28" s="75"/>
      <c r="AG28" s="5"/>
      <c r="AH28" s="17"/>
      <c r="AI28" s="17"/>
    </row>
    <row r="29" spans="1:35" s="17" customFormat="1" ht="15" customHeight="1">
      <c r="A29" s="144" t="s">
        <v>67</v>
      </c>
      <c r="B29" s="84" t="s">
        <v>218</v>
      </c>
      <c r="C29" s="75">
        <f>-ROUND((_xll.HPVAL($G$1,"py1",$A29,$C$7,"YTD","gpg")/1000),0)</f>
        <v>312952</v>
      </c>
      <c r="D29" s="70"/>
      <c r="E29" s="75">
        <f>-ROUND((_xll.HPVAL($G$1,"ACTUAL",$A29,$E$7,"YTD","gpg")/1000),0)</f>
        <v>306855</v>
      </c>
      <c r="F29" s="77"/>
      <c r="G29" s="75">
        <f>-ROUND((_xll.HPVAL($G$1,"ACTUAL",$A29,$G$7,"YTD","gpg")/1000),0)</f>
        <v>299921</v>
      </c>
      <c r="H29" s="77"/>
      <c r="I29" s="75">
        <f>-ROUND((_xll.HPVAL($G$1,"ACTUAL",$A29,$I$7,"YTD","gpg")/1000),0)</f>
        <v>291773</v>
      </c>
      <c r="J29" s="77"/>
      <c r="K29" s="75">
        <f>-ROUND((_xll.HPVAL($G$1,"ACTUAL",$A29,$K$7,"YTD","gpg")/1000),0)</f>
        <v>286010</v>
      </c>
      <c r="L29" s="77"/>
      <c r="M29" s="75">
        <f>-ROUND((_xll.HPVAL($G$1,"ACTUAL",$A29,$M$7,"YTD","gpg")/1000),0)</f>
        <v>279983</v>
      </c>
      <c r="N29" s="87"/>
      <c r="O29" s="75">
        <f>-ROUND((_xll.HPVAL($G$1,"ACTUAL",$A29,$O$7,"YTD","gpg")/1000),0)</f>
        <v>124576</v>
      </c>
      <c r="P29" s="87"/>
      <c r="Q29" s="75">
        <f>-ROUND((_xll.HPVAL($G$1,"ACTUAL",$A29,$Q$7,"YTD","gpg")/1000),0)</f>
        <v>119029</v>
      </c>
      <c r="R29" s="87"/>
      <c r="S29" s="75">
        <f>-ROUND((_xll.HPVAL($G$1,"ACTUAL",$A29,$S$7,"YTD","gpg")/1000),0)</f>
        <v>117687</v>
      </c>
      <c r="T29" s="87"/>
      <c r="U29" s="75">
        <f>-ROUND((_xll.HPVAL($G$1,"ACTUAL",$A29,$U$7,"YTD","gpg")/1000),0)</f>
        <v>0</v>
      </c>
      <c r="V29" s="87"/>
      <c r="W29" s="75">
        <f>-ROUND((_xll.HPVAL($G$1,"ACTUAL",$A29,$W$7,"YTD","gpg")/1000),0)</f>
        <v>0</v>
      </c>
      <c r="X29" s="87"/>
      <c r="Y29" s="75">
        <f>-ROUND((_xll.HPVAL($G$1,"ACTUAL",$A29,$Y$7,"YTD","gpg")/1000),0)</f>
        <v>0</v>
      </c>
      <c r="Z29" s="87"/>
      <c r="AA29" s="75">
        <f>-ROUND((_xll.HPVAL($G$1,"ACTUAL",$A29,$AA$7,"YTD","gpg")/1000),0)</f>
        <v>0</v>
      </c>
      <c r="AB29" s="77"/>
      <c r="AC29" s="75">
        <f>SUM(AC26:AC28)</f>
        <v>-1342</v>
      </c>
      <c r="AD29" s="70"/>
      <c r="AE29" s="75">
        <f>SUM(AE26:AE28)</f>
        <v>-195265</v>
      </c>
      <c r="AF29" s="72"/>
      <c r="AG29" s="5"/>
    </row>
    <row r="30" spans="1:35">
      <c r="A30" s="84" t="s">
        <v>323</v>
      </c>
      <c r="B30" s="58" t="str">
        <f>_xll.HPHEA($A30,$G$2)</f>
        <v xml:space="preserve">0051_20023000 - GPG Cash Services (acctg </v>
      </c>
      <c r="C30" s="58">
        <f>ROUND((_xll.HPVAL($G$1,"py1",$A30,$C$7,"YTD","gpg")/1000),0)</f>
        <v>65069</v>
      </c>
      <c r="D30" s="70"/>
      <c r="E30" s="58">
        <f>ROUND((_xll.HPVAL($G$1,"ACTUAL",$A30,$E$7,"YTD","gpg")/1000),0)</f>
        <v>81789</v>
      </c>
      <c r="F30" s="76"/>
      <c r="G30" s="58">
        <f>ROUND((_xll.HPVAL($G$1,"ACTUAL",$A30,$G$7,"YTD","gpg")/1000),0)</f>
        <v>99079</v>
      </c>
      <c r="H30" s="76"/>
      <c r="I30" s="58">
        <f>ROUND((_xll.HPVAL($G$1,"ACTUAL",$A30,$I$7,"YTD","gpg")/1000),0)</f>
        <v>121900</v>
      </c>
      <c r="J30" s="76"/>
      <c r="K30" s="58">
        <f>ROUND((_xll.HPVAL($G$1,"ACTUAL",$A30,$K$7,"YTD","gpg")/1000),0)</f>
        <v>121677</v>
      </c>
      <c r="L30" s="76"/>
      <c r="M30" s="58">
        <f>ROUND((_xll.HPVAL($G$1,"ACTUAL",$A30,$M$7,"YTD","gpg")/1000),0)</f>
        <v>118245</v>
      </c>
      <c r="N30" s="76"/>
      <c r="O30" s="58">
        <f>ROUND((_xll.HPVAL($G$1,"ACTUAL",$A30,$O$7,"YTD","gpg")/1000),0)</f>
        <v>141365</v>
      </c>
      <c r="P30" s="76"/>
      <c r="Q30" s="58">
        <f>ROUND((_xll.HPVAL($G$1,"ACTUAL",$A30,$Q$7,"YTD","gpg")/1000),0)</f>
        <v>142852</v>
      </c>
      <c r="R30" s="76"/>
      <c r="S30" s="58">
        <f>ROUND((_xll.HPVAL($G$1,"ACTUAL",$A30,$S$7,"YTD","gpg")/1000),0)</f>
        <v>158383</v>
      </c>
      <c r="T30" s="76"/>
      <c r="U30" s="58">
        <f>ROUND((_xll.HPVAL($G$1,"ACTUAL",$A30,$U$7,"YTD","gpg")/1000),0)</f>
        <v>0</v>
      </c>
      <c r="V30" s="76"/>
      <c r="W30" s="58">
        <f>ROUND((_xll.HPVAL($G$1,"ACTUAL",$A30,$W$7,"YTD","gpg")/1000),0)</f>
        <v>0</v>
      </c>
      <c r="X30" s="76"/>
      <c r="Y30" s="58">
        <f>ROUND((_xll.HPVAL($G$1,"ACTUAL",$A30,$Y$7,"YTD","gpg")/1000),0)</f>
        <v>0</v>
      </c>
      <c r="Z30" s="76"/>
      <c r="AA30" s="58">
        <f>ROUND((_xll.HPVAL($G$1,"ACTUAL",$A30,$AA$7,"YTD","gpg")/1000),0)</f>
        <v>0</v>
      </c>
      <c r="AB30" s="76"/>
      <c r="AC30" s="58">
        <f>IF(mo=1,+E30-C30,CHOOSE(mo,E30,G30,I30,K30,M30,O30,Q30,S30,U30,W30,Y30,AA30)-CHOOSE(mo-1,E30,G30,I30,K30,M30,O30,Q30,S30,U30,W30,Y30,AA30))</f>
        <v>15531</v>
      </c>
      <c r="AD30" s="70"/>
      <c r="AE30" s="58">
        <f>CHOOSE(mo,E30,G30,I30,K30,M30,O30,Q30,S30,U30,W30,Y30,AA30)-C30</f>
        <v>93314</v>
      </c>
      <c r="AF30" s="58"/>
    </row>
    <row r="31" spans="1:35" s="17" customFormat="1" ht="15" customHeight="1" thickBot="1">
      <c r="A31" s="144"/>
      <c r="B31" s="59" t="s">
        <v>389</v>
      </c>
      <c r="C31" s="88">
        <f>SUM(C29:C30)</f>
        <v>378021</v>
      </c>
      <c r="D31" s="70"/>
      <c r="E31" s="88">
        <f>SUM(E29:E30)</f>
        <v>388644</v>
      </c>
      <c r="F31" s="77"/>
      <c r="G31" s="88">
        <f>SUM(G29:G30)</f>
        <v>399000</v>
      </c>
      <c r="H31" s="77"/>
      <c r="I31" s="88">
        <f>SUM(I29:I30)</f>
        <v>413673</v>
      </c>
      <c r="J31" s="77"/>
      <c r="K31" s="88">
        <f>SUM(K29:K30)</f>
        <v>407687</v>
      </c>
      <c r="L31" s="77"/>
      <c r="M31" s="88">
        <f>SUM(M29:M30)</f>
        <v>398228</v>
      </c>
      <c r="N31" s="77"/>
      <c r="O31" s="88">
        <f>SUM(O29:O30)</f>
        <v>265941</v>
      </c>
      <c r="P31" s="77"/>
      <c r="Q31" s="88">
        <f>SUM(Q29:Q30)</f>
        <v>261881</v>
      </c>
      <c r="R31" s="77"/>
      <c r="S31" s="88">
        <f>SUM(S29:S30)</f>
        <v>276070</v>
      </c>
      <c r="T31" s="77"/>
      <c r="U31" s="88">
        <f>SUM(U29:U30)</f>
        <v>0</v>
      </c>
      <c r="V31" s="77"/>
      <c r="W31" s="88">
        <f>SUM(W29:W30)</f>
        <v>0</v>
      </c>
      <c r="X31" s="77"/>
      <c r="Y31" s="88">
        <f>SUM(Y29:Y30)</f>
        <v>0</v>
      </c>
      <c r="Z31" s="77"/>
      <c r="AA31" s="88">
        <f>SUM(AA29:AA30)</f>
        <v>0</v>
      </c>
      <c r="AB31" s="77"/>
      <c r="AC31" s="88">
        <f>SUM(AC29:AC30)</f>
        <v>14189</v>
      </c>
      <c r="AD31" s="88">
        <f>SUM(AD29:AD30)</f>
        <v>0</v>
      </c>
      <c r="AE31" s="88">
        <f>SUM(AE29:AE30)</f>
        <v>-101951</v>
      </c>
      <c r="AF31" s="72"/>
      <c r="AG31" s="5"/>
    </row>
    <row r="32" spans="1:35" s="17" customFormat="1" ht="15" customHeight="1" thickTop="1">
      <c r="A32" s="144"/>
      <c r="B32" s="59"/>
      <c r="C32" s="72"/>
      <c r="D32" s="70"/>
      <c r="E32" s="72"/>
      <c r="F32" s="77"/>
      <c r="G32" s="72"/>
      <c r="H32" s="77"/>
      <c r="I32" s="72"/>
      <c r="J32" s="77"/>
      <c r="K32" s="72"/>
      <c r="L32" s="77"/>
      <c r="M32" s="72"/>
      <c r="N32" s="77"/>
      <c r="O32" s="72"/>
      <c r="P32" s="77"/>
      <c r="Q32" s="72"/>
      <c r="R32" s="77"/>
      <c r="S32" s="72"/>
      <c r="T32" s="77"/>
      <c r="U32" s="72"/>
      <c r="V32" s="77"/>
      <c r="W32" s="72"/>
      <c r="X32" s="77"/>
      <c r="Y32" s="72"/>
      <c r="Z32" s="77"/>
      <c r="AA32" s="72"/>
      <c r="AB32" s="77"/>
      <c r="AC32" s="75"/>
      <c r="AD32" s="70"/>
      <c r="AE32" s="72"/>
      <c r="AF32" s="72"/>
      <c r="AG32" s="5"/>
    </row>
    <row r="33" spans="1:33">
      <c r="A33" s="58"/>
      <c r="B33" s="58"/>
      <c r="C33" s="58"/>
      <c r="D33" s="70"/>
      <c r="E33" s="58"/>
      <c r="F33" s="73"/>
      <c r="G33" s="58"/>
      <c r="H33" s="73"/>
      <c r="I33" s="58"/>
      <c r="J33" s="73"/>
      <c r="K33" s="58"/>
      <c r="L33" s="73"/>
      <c r="M33" s="58"/>
      <c r="N33" s="73"/>
      <c r="O33" s="58"/>
      <c r="P33" s="73"/>
      <c r="Q33" s="58"/>
      <c r="R33" s="73"/>
      <c r="S33" s="58"/>
      <c r="T33" s="73"/>
      <c r="U33" s="58"/>
      <c r="V33" s="73"/>
      <c r="W33" s="58"/>
      <c r="X33" s="73"/>
      <c r="Y33" s="58"/>
      <c r="Z33" s="73"/>
      <c r="AA33" s="58"/>
      <c r="AB33" s="73"/>
      <c r="AC33" s="58"/>
      <c r="AD33" s="70"/>
      <c r="AE33" s="58"/>
      <c r="AF33" s="58"/>
    </row>
    <row r="34" spans="1:33">
      <c r="A34" s="84" t="s">
        <v>325</v>
      </c>
      <c r="B34" s="58" t="str">
        <f>_xll.HPHEA($A34,$G$2)</f>
        <v>Accts receivable - trade-third party</v>
      </c>
      <c r="C34" s="58">
        <f>ROUND((_xll.HPVAL($G$1,"py1",$A34,$C$7,"YTD","gpg")/1000),0)</f>
        <v>20036</v>
      </c>
      <c r="D34" s="70" t="s">
        <v>219</v>
      </c>
      <c r="E34" s="58">
        <f>ROUND((_xll.HPVAL($G$1,"ACTUAL",$A34,$E$7,"YTD","gpg")/1000),0)</f>
        <v>19464</v>
      </c>
      <c r="F34" s="73"/>
      <c r="G34" s="58">
        <f>ROUND((_xll.HPVAL($G$1,"ACTUAL",$A34,$G$7,"YTD","gpg")/1000),0)</f>
        <v>19839</v>
      </c>
      <c r="H34" s="73"/>
      <c r="I34" s="58">
        <f>ROUND((_xll.HPVAL($G$1,"ACTUAL",$A34,$I$7,"YTD","gpg")/1000),0)</f>
        <v>21440</v>
      </c>
      <c r="J34" s="73"/>
      <c r="K34" s="58">
        <f>ROUND((_xll.HPVAL($G$1,"ACTUAL",$A34,$K$7,"YTD","gpg")/1000),0)</f>
        <v>17018</v>
      </c>
      <c r="L34" s="73" t="s">
        <v>219</v>
      </c>
      <c r="M34" s="58">
        <f>ROUND((_xll.HPVAL($G$1,"ACTUAL",$A34,$M$7,"YTD","gpg")/1000),0)</f>
        <v>18756</v>
      </c>
      <c r="N34" s="73" t="s">
        <v>219</v>
      </c>
      <c r="O34" s="58">
        <f>ROUND((_xll.HPVAL($G$1,"ACTUAL",$A34,$O$7,"YTD","gpg")/1000),0)</f>
        <v>8028</v>
      </c>
      <c r="P34" s="73" t="s">
        <v>219</v>
      </c>
      <c r="Q34" s="58">
        <f>ROUND((_xll.HPVAL($G$1,"ACTUAL",$A34,$Q$7,"YTD","gpg")/1000),0)</f>
        <v>19374</v>
      </c>
      <c r="R34" s="73"/>
      <c r="S34" s="58">
        <f>ROUND((_xll.HPVAL($G$1,"ACTUAL",$A34,$S$7,"YTD","gpg")/1000),0)</f>
        <v>17106</v>
      </c>
      <c r="T34" s="73"/>
      <c r="U34" s="58">
        <f>ROUND((_xll.HPVAL($G$1,"ACTUAL",$A34,$U$7,"YTD","gpg")/1000),0)</f>
        <v>0</v>
      </c>
      <c r="V34" s="73"/>
      <c r="W34" s="58">
        <f>ROUND((_xll.HPVAL($G$1,"ACTUAL",$A34,$W$7,"YTD","gpg")/1000),0)</f>
        <v>0</v>
      </c>
      <c r="X34" s="73"/>
      <c r="Y34" s="58">
        <f>ROUND((_xll.HPVAL($G$1,"ACTUAL",$A34,$Y$7,"YTD","gpg")/1000),0)</f>
        <v>0</v>
      </c>
      <c r="Z34" s="73"/>
      <c r="AA34" s="58">
        <f>ROUND((_xll.HPVAL($G$1,"ACTUAL",$A34,$AA$7,"YTD","gpg")/1000),0)</f>
        <v>0</v>
      </c>
      <c r="AB34" s="73"/>
      <c r="AC34" s="58">
        <f t="shared" ref="AC34:AC41" si="2">IF(mo=1,+E34-C34,CHOOSE(mo,E34,G34,I34,K34,M34,O34,Q34,S34,U34,W34,Y34,AA34)-CHOOSE(mo-1,E34,G34,I34,K34,M34,O34,Q34,S34,U34,W34,Y34,AA34))</f>
        <v>-2268</v>
      </c>
      <c r="AD34" s="70"/>
      <c r="AE34" s="58">
        <f t="shared" ref="AE34:AE41" si="3">CHOOSE(mo,E34,G34,I34,K34,M34,O34,Q34,S34,U34,W34,Y34,AA34)-C34</f>
        <v>-2930</v>
      </c>
      <c r="AF34" s="58"/>
    </row>
    <row r="35" spans="1:33">
      <c r="A35" s="84" t="s">
        <v>326</v>
      </c>
      <c r="B35" s="58" t="str">
        <f>_xll.HPHEA($A35,$G$2)</f>
        <v>Accts rec - non trade-unconsol affiliate</v>
      </c>
      <c r="C35" s="58">
        <f>ROUND((_xll.HPVAL($G$1,"py1",$A35,$C$7,"YTD","gpg")/1000),0)</f>
        <v>113</v>
      </c>
      <c r="D35" s="70"/>
      <c r="E35" s="58">
        <f>ROUND((_xll.HPVAL($G$1,"ACTUAL",$A35,$E$7,"YTD","gpg")/1000),0)</f>
        <v>0</v>
      </c>
      <c r="F35" s="73"/>
      <c r="G35" s="58">
        <f>ROUND((_xll.HPVAL($G$1,"ACTUAL",$A35,$G$7,"YTD","gpg")/1000),0)</f>
        <v>22</v>
      </c>
      <c r="H35" s="73"/>
      <c r="I35" s="58">
        <f>ROUND((_xll.HPVAL($G$1,"ACTUAL",$A35,$I$7,"YTD","gpg")/1000),0)</f>
        <v>12</v>
      </c>
      <c r="J35" s="73"/>
      <c r="K35" s="58">
        <f>ROUND((_xll.HPVAL($G$1,"ACTUAL",$A35,$K$7,"YTD","gpg")/1000),0)</f>
        <v>10</v>
      </c>
      <c r="L35" s="73"/>
      <c r="M35" s="58">
        <f>ROUND((_xll.HPVAL($G$1,"ACTUAL",$A35,$M$7,"YTD","gpg")/1000),0)</f>
        <v>5</v>
      </c>
      <c r="N35" s="73"/>
      <c r="O35" s="58">
        <f>ROUND((_xll.HPVAL($G$1,"ACTUAL",$A35,$O$7,"YTD","gpg")/1000),0)</f>
        <v>28</v>
      </c>
      <c r="P35" s="73"/>
      <c r="Q35" s="58">
        <f>ROUND((_xll.HPVAL($G$1,"ACTUAL",$A35,$Q$7,"YTD","gpg")/1000),0)</f>
        <v>62</v>
      </c>
      <c r="R35" s="73"/>
      <c r="S35" s="58">
        <f>ROUND((_xll.HPVAL($G$1,"ACTUAL",$A35,$S$7,"YTD","gpg")/1000),0)</f>
        <v>62</v>
      </c>
      <c r="T35" s="73"/>
      <c r="U35" s="58">
        <f>ROUND((_xll.HPVAL($G$1,"ACTUAL",$A35,$U$7,"YTD","gpg")/1000),0)</f>
        <v>0</v>
      </c>
      <c r="V35" s="73"/>
      <c r="W35" s="58">
        <f>ROUND((_xll.HPVAL($G$1,"ACTUAL",$A35,$W$7,"YTD","gpg")/1000),0)</f>
        <v>0</v>
      </c>
      <c r="X35" s="73"/>
      <c r="Y35" s="58">
        <f>ROUND((_xll.HPVAL($G$1,"ACTUAL",$A35,$Y$7,"YTD","gpg")/1000),0)</f>
        <v>0</v>
      </c>
      <c r="Z35" s="73"/>
      <c r="AA35" s="58">
        <f>ROUND((_xll.HPVAL($G$1,"ACTUAL",$A35,$AA$7,"YTD","gpg")/1000),0)</f>
        <v>0</v>
      </c>
      <c r="AB35" s="73"/>
      <c r="AC35" s="58">
        <f t="shared" si="2"/>
        <v>0</v>
      </c>
      <c r="AD35" s="70"/>
      <c r="AE35" s="58">
        <f t="shared" si="3"/>
        <v>-51</v>
      </c>
      <c r="AF35" s="58"/>
    </row>
    <row r="36" spans="1:33">
      <c r="A36" s="84" t="s">
        <v>327</v>
      </c>
      <c r="B36" s="58" t="str">
        <f>_xll.HPHEA($A36,$G$2)</f>
        <v>Accts receivable - non trade - employee</v>
      </c>
      <c r="C36" s="58">
        <f>ROUND((_xll.HPVAL($G$1,"py1",$A36,$C$7,"YTD","gpg")/1000),0)</f>
        <v>1</v>
      </c>
      <c r="D36" s="70"/>
      <c r="E36" s="58">
        <f>ROUND((_xll.HPVAL($G$1,"ACTUAL",$A36,$E$7,"YTD","gpg")/1000),0)</f>
        <v>1</v>
      </c>
      <c r="F36" s="73"/>
      <c r="G36" s="58">
        <f>ROUND((_xll.HPVAL($G$1,"ACTUAL",$A36,$G$7,"YTD","gpg")/1000),0)</f>
        <v>1</v>
      </c>
      <c r="H36" s="73"/>
      <c r="I36" s="58">
        <f>ROUND((_xll.HPVAL($G$1,"ACTUAL",$A36,$I$7,"YTD","gpg")/1000),0)</f>
        <v>-1</v>
      </c>
      <c r="J36" s="73"/>
      <c r="K36" s="58">
        <f>ROUND((_xll.HPVAL($G$1,"ACTUAL",$A36,$K$7,"YTD","gpg")/1000),0)</f>
        <v>-1</v>
      </c>
      <c r="L36" s="73"/>
      <c r="M36" s="58">
        <f>ROUND((_xll.HPVAL($G$1,"ACTUAL",$A36,$M$7,"YTD","gpg")/1000),0)</f>
        <v>-1</v>
      </c>
      <c r="N36" s="73"/>
      <c r="O36" s="58">
        <f>ROUND((_xll.HPVAL($G$1,"ACTUAL",$A36,$O$7,"YTD","gpg")/1000),0)</f>
        <v>-1</v>
      </c>
      <c r="P36" s="73"/>
      <c r="Q36" s="58">
        <f>ROUND((_xll.HPVAL($G$1,"ACTUAL",$A36,$Q$7,"YTD","gpg")/1000),0)</f>
        <v>-1</v>
      </c>
      <c r="R36" s="73"/>
      <c r="S36" s="58">
        <f>ROUND((_xll.HPVAL($G$1,"ACTUAL",$A36,$S$7,"YTD","gpg")/1000),0)</f>
        <v>-1</v>
      </c>
      <c r="T36" s="73"/>
      <c r="U36" s="58">
        <f>ROUND((_xll.HPVAL($G$1,"ACTUAL",$A36,$U$7,"YTD","gpg")/1000),0)</f>
        <v>0</v>
      </c>
      <c r="V36" s="73"/>
      <c r="W36" s="58">
        <f>ROUND((_xll.HPVAL($G$1,"ACTUAL",$A36,$W$7,"YTD","gpg")/1000),0)</f>
        <v>0</v>
      </c>
      <c r="X36" s="73"/>
      <c r="Y36" s="58">
        <f>ROUND((_xll.HPVAL($G$1,"ACTUAL",$A36,$Y$7,"YTD","gpg")/1000),0)</f>
        <v>0</v>
      </c>
      <c r="Z36" s="73"/>
      <c r="AA36" s="58">
        <f>ROUND((_xll.HPVAL($G$1,"ACTUAL",$A36,$AA$7,"YTD","gpg")/1000),0)</f>
        <v>0</v>
      </c>
      <c r="AB36" s="73"/>
      <c r="AC36" s="58">
        <f t="shared" si="2"/>
        <v>0</v>
      </c>
      <c r="AD36" s="70"/>
      <c r="AE36" s="58">
        <f t="shared" si="3"/>
        <v>-2</v>
      </c>
      <c r="AF36" s="58"/>
    </row>
    <row r="37" spans="1:33">
      <c r="A37" s="84" t="s">
        <v>432</v>
      </c>
      <c r="B37" s="58" t="str">
        <f>_xll.HPHEA($A37,$G$2)</f>
        <v>Notes Receivable - third party (DP)</v>
      </c>
      <c r="C37" s="58">
        <f>ROUND((_xll.HPVAL($G$1,"py1",$A37,$C$7,"YTD","gpg")/1000),0)</f>
        <v>56</v>
      </c>
      <c r="D37" s="70"/>
      <c r="E37" s="58">
        <f>ROUND((_xll.HPVAL($G$1,"ACTUAL",$A37,$E$7,"YTD","gpg")/1000),0)</f>
        <v>56</v>
      </c>
      <c r="F37" s="73"/>
      <c r="G37" s="58">
        <f>ROUND((_xll.HPVAL($G$1,"ACTUAL",$A37,$G$7,"YTD","gpg")/1000),0)</f>
        <v>44</v>
      </c>
      <c r="H37" s="73"/>
      <c r="I37" s="58">
        <f>ROUND((_xll.HPVAL($G$1,"ACTUAL",$A37,$I$7,"YTD","gpg")/1000),0)</f>
        <v>44</v>
      </c>
      <c r="J37" s="73"/>
      <c r="K37" s="58">
        <f>ROUND((_xll.HPVAL($G$1,"ACTUAL",$A37,$K$7,"YTD","gpg")/1000),0)</f>
        <v>43</v>
      </c>
      <c r="L37" s="73"/>
      <c r="M37" s="58">
        <f>ROUND((_xll.HPVAL($G$1,"ACTUAL",$A37,$M$7,"YTD","gpg")/1000),0)</f>
        <v>42</v>
      </c>
      <c r="N37" s="73"/>
      <c r="O37" s="58">
        <f>ROUND((_xll.HPVAL($G$1,"ACTUAL",$A37,$O$7,"YTD","gpg")/1000),0)</f>
        <v>42</v>
      </c>
      <c r="P37" s="73"/>
      <c r="Q37" s="58">
        <f>ROUND((_xll.HPVAL($G$1,"ACTUAL",$A37,$Q$7,"YTD","gpg")/1000),0)</f>
        <v>41</v>
      </c>
      <c r="R37" s="73"/>
      <c r="S37" s="58">
        <f>ROUND((_xll.HPVAL($G$1,"ACTUAL",$A37,$S$7,"YTD","gpg")/1000),0)</f>
        <v>40</v>
      </c>
      <c r="T37" s="73"/>
      <c r="U37" s="58">
        <f>ROUND((_xll.HPVAL($G$1,"ACTUAL",$A37,$U$7,"YTD","gpg")/1000),0)</f>
        <v>0</v>
      </c>
      <c r="V37" s="73"/>
      <c r="W37" s="58">
        <f>ROUND((_xll.HPVAL($G$1,"ACTUAL",$A37,$W$7,"YTD","gpg")/1000),0)</f>
        <v>0</v>
      </c>
      <c r="X37" s="73"/>
      <c r="Y37" s="58">
        <f>ROUND((_xll.HPVAL($G$1,"ACTUAL",$A37,$Y$7,"YTD","gpg")/1000),0)</f>
        <v>0</v>
      </c>
      <c r="Z37" s="73"/>
      <c r="AA37" s="58">
        <f>ROUND((_xll.HPVAL($G$1,"ACTUAL",$A37,$AA$7,"YTD","gpg")/1000),0)</f>
        <v>0</v>
      </c>
      <c r="AB37" s="73"/>
      <c r="AC37" s="58">
        <f t="shared" si="2"/>
        <v>-1</v>
      </c>
      <c r="AD37" s="70"/>
      <c r="AE37" s="58">
        <f t="shared" si="3"/>
        <v>-16</v>
      </c>
      <c r="AF37" s="58"/>
    </row>
    <row r="38" spans="1:33">
      <c r="A38" s="84" t="s">
        <v>435</v>
      </c>
      <c r="B38" s="58" t="str">
        <f>_xll.HPHEA($A38,$G$2)</f>
        <v>Accts rec - non trade - third party</v>
      </c>
      <c r="C38" s="58">
        <f>ROUND((_xll.HPVAL($G$1,"py1",$A38,$C$7,"YTD","gpg")/1000),0)</f>
        <v>37</v>
      </c>
      <c r="D38" s="70"/>
      <c r="E38" s="58">
        <f>ROUND((_xll.HPVAL($G$1,"ACTUAL",$A38,$E$7,"YTD","gpg")/1000),0)</f>
        <v>38</v>
      </c>
      <c r="F38" s="76"/>
      <c r="G38" s="58">
        <f>ROUND((_xll.HPVAL($G$1,"ACTUAL",$A38,$G$7,"YTD","gpg")/1000),0)</f>
        <v>78</v>
      </c>
      <c r="H38" s="76"/>
      <c r="I38" s="58">
        <f>ROUND((_xll.HPVAL($G$1,"ACTUAL",$A38,$I$7,"YTD","gpg")/1000),0)</f>
        <v>31</v>
      </c>
      <c r="J38" s="76"/>
      <c r="K38" s="58">
        <f>ROUND((_xll.HPVAL($G$1,"ACTUAL",$A38,$K$7,"YTD","gpg")/1000),0)</f>
        <v>27</v>
      </c>
      <c r="L38" s="76"/>
      <c r="M38" s="58">
        <f>ROUND((_xll.HPVAL($G$1,"ACTUAL",$A38,$M$7,"YTD","gpg")/1000),0)</f>
        <v>21</v>
      </c>
      <c r="N38" s="76"/>
      <c r="O38" s="58">
        <f>ROUND((_xll.HPVAL($G$1,"ACTUAL",$A38,$O$7,"YTD","gpg")/1000),0)</f>
        <v>9</v>
      </c>
      <c r="P38" s="76"/>
      <c r="Q38" s="58">
        <f>ROUND((_xll.HPVAL($G$1,"ACTUAL",$A38,$Q$7,"YTD","gpg")/1000),0)</f>
        <v>5</v>
      </c>
      <c r="R38" s="76"/>
      <c r="S38" s="58">
        <f>ROUND((_xll.HPVAL($G$1,"ACTUAL",$A38,$S$7,"YTD","gpg")/1000),0)</f>
        <v>4</v>
      </c>
      <c r="T38" s="76"/>
      <c r="U38" s="58">
        <f>ROUND((_xll.HPVAL($G$1,"ACTUAL",$A38,$U$7,"YTD","gpg")/1000),0)</f>
        <v>0</v>
      </c>
      <c r="V38" s="76"/>
      <c r="W38" s="58">
        <f>ROUND((_xll.HPVAL($G$1,"ACTUAL",$A38,$W$7,"YTD","gpg")/1000),0)</f>
        <v>0</v>
      </c>
      <c r="X38" s="76"/>
      <c r="Y38" s="58">
        <f>ROUND((_xll.HPVAL($G$1,"ACTUAL",$A38,$Y$7,"YTD","gpg")/1000),0)</f>
        <v>0</v>
      </c>
      <c r="Z38" s="76"/>
      <c r="AA38" s="58">
        <f>ROUND((_xll.HPVAL($G$1,"ACTUAL",$A38,$AA$7,"YTD","gpg")/1000),0)</f>
        <v>0</v>
      </c>
      <c r="AB38" s="76"/>
      <c r="AC38" s="58">
        <f t="shared" si="2"/>
        <v>-1</v>
      </c>
      <c r="AD38" s="70"/>
      <c r="AE38" s="58">
        <f t="shared" si="3"/>
        <v>-33</v>
      </c>
      <c r="AF38" s="58"/>
    </row>
    <row r="39" spans="1:33">
      <c r="A39" s="84" t="s">
        <v>328</v>
      </c>
      <c r="B39" s="58" t="str">
        <f>_xll.HPHEA($A39,$G$2)</f>
        <v>Accts rec - non trd - third party (DP)</v>
      </c>
      <c r="C39" s="58">
        <f>ROUND((_xll.HPVAL($G$1,"py1",$A39,$C$7,"YTD","gpg")/1000),0)</f>
        <v>6</v>
      </c>
      <c r="D39" s="70"/>
      <c r="E39" s="58">
        <f>ROUND((_xll.HPVAL($G$1,"ACTUAL",$A39,$E$7,"YTD","gpg")/1000),0)</f>
        <v>4</v>
      </c>
      <c r="F39" s="76"/>
      <c r="G39" s="58">
        <f>ROUND((_xll.HPVAL($G$1,"ACTUAL",$A39,$G$7,"YTD","gpg")/1000),0)</f>
        <v>4</v>
      </c>
      <c r="H39" s="76"/>
      <c r="I39" s="58">
        <f>ROUND((_xll.HPVAL($G$1,"ACTUAL",$A39,$I$7,"YTD","gpg")/1000),0)</f>
        <v>4</v>
      </c>
      <c r="J39" s="76"/>
      <c r="K39" s="58">
        <f>ROUND((_xll.HPVAL($G$1,"ACTUAL",$A39,$K$7,"YTD","gpg")/1000),0)</f>
        <v>10</v>
      </c>
      <c r="L39" s="76"/>
      <c r="M39" s="58">
        <f>ROUND((_xll.HPVAL($G$1,"ACTUAL",$A39,$M$7,"YTD","gpg")/1000),0)</f>
        <v>10</v>
      </c>
      <c r="N39" s="76"/>
      <c r="O39" s="58">
        <f>ROUND((_xll.HPVAL($G$1,"ACTUAL",$A39,$O$7,"YTD","gpg")/1000),0)</f>
        <v>10</v>
      </c>
      <c r="P39" s="76"/>
      <c r="Q39" s="58">
        <f>ROUND((_xll.HPVAL($G$1,"ACTUAL",$A39,$Q$7,"YTD","gpg")/1000),0)</f>
        <v>4</v>
      </c>
      <c r="R39" s="76"/>
      <c r="S39" s="58">
        <f>ROUND((_xll.HPVAL($G$1,"ACTUAL",$A39,$S$7,"YTD","gpg")/1000),0)</f>
        <v>-51</v>
      </c>
      <c r="T39" s="76"/>
      <c r="U39" s="58">
        <f>ROUND((_xll.HPVAL($G$1,"ACTUAL",$A39,$U$7,"YTD","gpg")/1000),0)</f>
        <v>0</v>
      </c>
      <c r="V39" s="76"/>
      <c r="W39" s="58">
        <f>ROUND((_xll.HPVAL($G$1,"ACTUAL",$A39,$W$7,"YTD","gpg")/1000),0)</f>
        <v>0</v>
      </c>
      <c r="X39" s="76"/>
      <c r="Y39" s="58">
        <f>ROUND((_xll.HPVAL($G$1,"ACTUAL",$A39,$Y$7,"YTD","gpg")/1000),0)</f>
        <v>0</v>
      </c>
      <c r="Z39" s="76"/>
      <c r="AA39" s="58">
        <f>ROUND((_xll.HPVAL($G$1,"ACTUAL",$A39,$AA$7,"YTD","gpg")/1000),0)</f>
        <v>0</v>
      </c>
      <c r="AB39" s="76"/>
      <c r="AC39" s="58">
        <f t="shared" si="2"/>
        <v>-55</v>
      </c>
      <c r="AD39" s="70"/>
      <c r="AE39" s="58">
        <f t="shared" si="3"/>
        <v>-57</v>
      </c>
      <c r="AF39" s="58"/>
    </row>
    <row r="40" spans="1:33">
      <c r="A40" s="84" t="s">
        <v>469</v>
      </c>
      <c r="B40" s="58" t="str">
        <f>_xll.HPHEA($A40,$G$2)</f>
        <v>Assigned Reccivables-Contra Accts</v>
      </c>
      <c r="C40" s="58">
        <f>ROUND((_xll.HPVAL($G$1,"py1",$A40,$C$7,"YTD","gpg")/1000),0)</f>
        <v>-12962</v>
      </c>
      <c r="D40" s="70" t="s">
        <v>223</v>
      </c>
      <c r="E40" s="58">
        <f>ROUND((_xll.HPVAL($G$1,"ACTUAL",$A40,$E$7,"YTD","gpg")/1000),0)</f>
        <v>-12962</v>
      </c>
      <c r="F40" s="76"/>
      <c r="G40" s="58">
        <f>ROUND((_xll.HPVAL($G$1,"ACTUAL",$A40,$G$7,"YTD","gpg")/1000),0)</f>
        <v>-12962</v>
      </c>
      <c r="H40" s="76"/>
      <c r="I40" s="58">
        <f>ROUND((_xll.HPVAL($G$1,"ACTUAL",$A40,$I$7,"YTD","gpg")/1000),0)</f>
        <v>0</v>
      </c>
      <c r="J40" s="73" t="s">
        <v>219</v>
      </c>
      <c r="K40" s="58">
        <f>ROUND((_xll.HPVAL($G$1,"ACTUAL",$A40,$K$7,"YTD","gpg")/1000),0)</f>
        <v>0</v>
      </c>
      <c r="L40" s="76"/>
      <c r="M40" s="58">
        <f>ROUND((_xll.HPVAL($G$1,"ACTUAL",$A40,$M$7,"YTD","gpg")/1000),0)</f>
        <v>0</v>
      </c>
      <c r="N40" s="76"/>
      <c r="O40" s="58">
        <f>ROUND((_xll.HPVAL($G$1,"ACTUAL",$A40,$O$7,"YTD","gpg")/1000),0)</f>
        <v>0</v>
      </c>
      <c r="P40" s="76"/>
      <c r="Q40" s="58">
        <f>ROUND((_xll.HPVAL($G$1,"ACTUAL",$A40,$Q$7,"YTD","gpg")/1000),0)</f>
        <v>0</v>
      </c>
      <c r="R40" s="76"/>
      <c r="S40" s="58">
        <f>ROUND((_xll.HPVAL($G$1,"ACTUAL",$A40,$S$7,"YTD","gpg")/1000),0)</f>
        <v>0</v>
      </c>
      <c r="T40" s="76"/>
      <c r="U40" s="58">
        <f>ROUND((_xll.HPVAL($G$1,"ACTUAL",$A40,$U$7,"YTD","gpg")/1000),0)</f>
        <v>0</v>
      </c>
      <c r="V40" s="76"/>
      <c r="W40" s="58">
        <f>ROUND((_xll.HPVAL($G$1,"ACTUAL",$A40,$W$7,"YTD","gpg")/1000),0)</f>
        <v>0</v>
      </c>
      <c r="X40" s="76"/>
      <c r="Y40" s="58">
        <f>ROUND((_xll.HPVAL($G$1,"ACTUAL",$A40,$Y$7,"YTD","gpg")/1000),0)</f>
        <v>0</v>
      </c>
      <c r="Z40" s="76"/>
      <c r="AA40" s="58">
        <f>ROUND((_xll.HPVAL($G$1,"ACTUAL",$A40,$AA$7,"YTD","gpg")/1000),0)</f>
        <v>0</v>
      </c>
      <c r="AB40" s="76"/>
      <c r="AC40" s="58">
        <f t="shared" si="2"/>
        <v>0</v>
      </c>
      <c r="AD40" s="70"/>
      <c r="AE40" s="58">
        <f t="shared" si="3"/>
        <v>12962</v>
      </c>
      <c r="AF40" s="58"/>
    </row>
    <row r="41" spans="1:33">
      <c r="A41" s="58"/>
      <c r="B41" s="58" t="s">
        <v>216</v>
      </c>
      <c r="C41" s="85">
        <f>+C42-SUM(C34:C40)</f>
        <v>0</v>
      </c>
      <c r="D41" s="70"/>
      <c r="E41" s="85">
        <f>+E42-SUM(E34:E40)</f>
        <v>0</v>
      </c>
      <c r="F41" s="77"/>
      <c r="G41" s="85">
        <f>+G42-SUM(G34:G40)</f>
        <v>1</v>
      </c>
      <c r="H41" s="77"/>
      <c r="I41" s="85">
        <f>+I42-SUM(I34:I40)</f>
        <v>1</v>
      </c>
      <c r="J41" s="77"/>
      <c r="K41" s="85">
        <f>+K42-SUM(K34:K40)</f>
        <v>-1</v>
      </c>
      <c r="L41" s="77"/>
      <c r="M41" s="85">
        <f>+M42-SUM(M34:M40)</f>
        <v>-1</v>
      </c>
      <c r="N41" s="77"/>
      <c r="O41" s="85">
        <f>+O42-SUM(O34:O40)</f>
        <v>-1</v>
      </c>
      <c r="P41" s="77"/>
      <c r="Q41" s="85">
        <f>+Q42-SUM(Q34:Q40)</f>
        <v>0</v>
      </c>
      <c r="R41" s="77"/>
      <c r="S41" s="85">
        <f>+S42-SUM(S34:S40)</f>
        <v>0</v>
      </c>
      <c r="T41" s="77"/>
      <c r="U41" s="85">
        <f>+U42-SUM(U34:U40)</f>
        <v>0</v>
      </c>
      <c r="V41" s="77"/>
      <c r="W41" s="85">
        <f>+W42-SUM(W34:W40)</f>
        <v>0</v>
      </c>
      <c r="X41" s="77"/>
      <c r="Y41" s="85">
        <f>+Y42-SUM(Y34:Y40)</f>
        <v>0</v>
      </c>
      <c r="Z41" s="77"/>
      <c r="AA41" s="85">
        <f>+AA42-SUM(AA34:AA40)</f>
        <v>0</v>
      </c>
      <c r="AB41" s="77"/>
      <c r="AC41" s="58">
        <f t="shared" si="2"/>
        <v>0</v>
      </c>
      <c r="AD41" s="70"/>
      <c r="AE41" s="58">
        <f t="shared" si="3"/>
        <v>0</v>
      </c>
      <c r="AF41" s="58"/>
    </row>
    <row r="42" spans="1:33" s="13" customFormat="1" ht="15" customHeight="1" thickBot="1">
      <c r="A42" s="60"/>
      <c r="B42" s="60" t="s">
        <v>220</v>
      </c>
      <c r="C42" s="86">
        <f>ROUND((_xll.HPVAL($G$1,"py1","0050",$C$7,"YTD","gpg")/1000),0)+ROUND((_xll.HPVAL($G$1,"py1","0053",$C$7,"YTD","gpg")/1000),0)+ROUND((_xll.HPVAL($G$1,"py1","0054",$C$7,"YTD","gpg")/1000),0)+ROUND((_xll.HPVAL($G$1,"py1","0060",$C$7,"YTD","gpg")/1000),0)+ROUND((_xll.HPVAL($G$1,"py1","0064",$C$7,"YTD","gpg")/1000),0)+ROUND((_xll.HPVAL($G$1,"py1","0065",$C$7,"YTD","gpg")/1000),0)+ROUND((_xll.HPVAL($G$1,"py1","0035",$C$7,"YTD","gpg")/1000),0)</f>
        <v>7287</v>
      </c>
      <c r="D42" s="70"/>
      <c r="E42" s="86">
        <f>ROUND((_xll.HPVAL($G$1,"actual","0050",$E$7,"YTD","gpg")/1000),0)+ROUND((_xll.HPVAL($G$1,"actual","0053",$E$7,"YTD","gpg")/1000),0)+ROUND((_xll.HPVAL($G$1,"actual","0054",$E$7,"YTD","gpg")/1000),0)+ROUND((_xll.HPVAL($G$1,"actual","0060",$E$7,"YTD","gpg")/1000),0)+ROUND((_xll.HPVAL($G$1,"actual","0064",$E$7,"YTD","gpg")/1000),0)+ROUND((_xll.HPVAL($G$1,"actual","0065",$E$7,"YTD","gpg")/1000),0)+ROUND((_xll.HPVAL($G$1,"actual","0035",$E$7,"YTD","gpg")/1000),0)</f>
        <v>6601</v>
      </c>
      <c r="F42" s="77"/>
      <c r="G42" s="86">
        <f>ROUND((_xll.HPVAL($G$1,"actual","0050",$G$7,"YTD","gpg")/1000),0)+ROUND((_xll.HPVAL($G$1,"actual","0053",$G$7,"YTD","gpg")/1000),0)+ROUND((_xll.HPVAL($G$1,"actual","0054",$G$7,"YTD","gpg")/1000),0)+ROUND((_xll.HPVAL($G$1,"actual","0060",$G$7,"YTD","gpg")/1000),0)+ROUND((_xll.HPVAL($G$1,"actual","0064",$G$7,"YTD","gpg")/1000),0)+ROUND((_xll.HPVAL($G$1,"actual","0065",$G$7,"YTD","gpg")/1000),0)+ROUND((_xll.HPVAL($G$1,"actual","0035",$G$7,"YTD","gpg")/1000),0)</f>
        <v>7027</v>
      </c>
      <c r="H42" s="77"/>
      <c r="I42" s="86">
        <f>ROUND((_xll.HPVAL($G$1,"actual","0050",$I$7,"YTD","gpg")/1000),0)+ROUND((_xll.HPVAL($G$1,"actual","0053",$I$7,"YTD","gpg")/1000),0)+ROUND((_xll.HPVAL($G$1,"actual","0054",$I$7,"YTD","gpg")/1000),0)+ROUND((_xll.HPVAL($G$1,"actual","0060",$I$7,"YTD","gpg")/1000),0)+ROUND((_xll.HPVAL($G$1,"actual","0064",$I$7,"YTD","gpg")/1000),0)+ROUND((_xll.HPVAL($G$1,"actual","0065",$I$7,"YTD","gpg")/1000),0)+ROUND((_xll.HPVAL($G$1,"actual","0035",$I$7,"YTD","gpg")/1000),0)</f>
        <v>21531</v>
      </c>
      <c r="J42" s="77"/>
      <c r="K42" s="86">
        <f>ROUND((_xll.HPVAL($G$1,"actual","0050",$K$7,"YTD","gpg")/1000),0)+ROUND((_xll.HPVAL($G$1,"actual","0053",$K$7,"YTD","gpg")/1000),0)+ROUND((_xll.HPVAL($G$1,"actual","0054",$K$7,"YTD","gpg")/1000),0)+ROUND((_xll.HPVAL($G$1,"actual","0060",$K$7,"YTD","gpg")/1000),0)+ROUND((_xll.HPVAL($G$1,"actual","0064",$K$7,"YTD","gpg")/1000),0)+ROUND((_xll.HPVAL($G$1,"actual","0065",$K$7,"YTD","gpg")/1000),0)+ROUND((_xll.HPVAL($G$1,"actual","0035",$K$7,"YTD","gpg")/1000),0)</f>
        <v>17106</v>
      </c>
      <c r="L42" s="77"/>
      <c r="M42" s="86">
        <f>ROUND((_xll.HPVAL($G$1,"actual","0050",$M$7,"YTD","gpg")/1000),0)+ROUND((_xll.HPVAL($G$1,"actual","0053",$M$7,"YTD","gpg")/1000),0)+ROUND((_xll.HPVAL($G$1,"actual","0054",$M$7,"YTD","gpg")/1000),0)+ROUND((_xll.HPVAL($G$1,"actual","0060",$M$7,"YTD","gpg")/1000),0)+ROUND((_xll.HPVAL($G$1,"actual","0064",$M$7,"YTD","gpg")/1000),0)+ROUND((_xll.HPVAL($G$1,"actual","0065",$M$7,"YTD","gpg")/1000),0)+ROUND((_xll.HPVAL($G$1,"actual","0035",$M$7,"YTD","gpg")/1000),0)</f>
        <v>18832</v>
      </c>
      <c r="N42" s="77"/>
      <c r="O42" s="86">
        <f>ROUND((_xll.HPVAL($G$1,"actual","0050",$O$7,"YTD","gpg")/1000),0)+ROUND((_xll.HPVAL($G$1,"actual","0053",$O$7,"YTD","gpg")/1000),0)+ROUND((_xll.HPVAL($G$1,"actual","0054",$O$7,"YTD","gpg")/1000),0)+ROUND((_xll.HPVAL($G$1,"actual","0060",$O$7,"YTD","gpg")/1000),0)+ROUND((_xll.HPVAL($G$1,"actual","0064",$O$7,"YTD","gpg")/1000),0)+ROUND((_xll.HPVAL($G$1,"actual","0065",$O$7,"YTD","gpg")/1000),0)+ROUND((_xll.HPVAL($G$1,"actual","0035",$O$7,"YTD","gpg")/1000),0)</f>
        <v>8115</v>
      </c>
      <c r="P42" s="77"/>
      <c r="Q42" s="86">
        <f>ROUND((_xll.HPVAL($G$1,"actual","0050",$Q$7,"YTD","gpg")/1000),0)+ROUND((_xll.HPVAL($G$1,"actual","0053",$Q$7,"YTD","gpg")/1000),0)+ROUND((_xll.HPVAL($G$1,"actual","0054",$Q$7,"YTD","gpg")/1000),0)+ROUND((_xll.HPVAL($G$1,"actual","0060",$Q$7,"YTD","gpg")/1000),0)+ROUND((_xll.HPVAL($G$1,"actual","0064",$Q$7,"YTD","gpg")/1000),0)+ROUND((_xll.HPVAL($G$1,"actual","0065",$Q$7,"YTD","gpg")/1000),0)+ROUND((_xll.HPVAL($G$1,"actual","0035",$Q$7,"YTD","gpg")/1000),0)</f>
        <v>19485</v>
      </c>
      <c r="R42" s="77"/>
      <c r="S42" s="86">
        <f>ROUND((_xll.HPVAL($G$1,"actual","0050",$S$7,"YTD","gpg")/1000),0)+ROUND((_xll.HPVAL($G$1,"actual","0053",$S$7,"YTD","gpg")/1000),0)+ROUND((_xll.HPVAL($G$1,"actual","0054",$S$7,"YTD","gpg")/1000),0)+ROUND((_xll.HPVAL($G$1,"actual","0060",$S$7,"YTD","gpg")/1000),0)+ROUND((_xll.HPVAL($G$1,"actual","0064",$S$7,"YTD","gpg")/1000),0)+ROUND((_xll.HPVAL($G$1,"actual","0065",$S$7,"YTD","gpg")/1000),0)+ROUND((_xll.HPVAL($G$1,"actual","0035",$S$7,"YTD","gpg")/1000),0)</f>
        <v>17160</v>
      </c>
      <c r="T42" s="77"/>
      <c r="U42" s="86">
        <f>ROUND((_xll.HPVAL($G$1,"actual","0050",$U$7,"YTD","gpg")/1000),0)+ROUND((_xll.HPVAL($G$1,"actual","0053",$U$7,"YTD","gpg")/1000),0)+ROUND((_xll.HPVAL($G$1,"actual","0054",$U$7,"YTD","gpg")/1000),0)+ROUND((_xll.HPVAL($G$1,"actual","0060",$U$7,"YTD","gpg")/1000),0)+ROUND((_xll.HPVAL($G$1,"actual","0064",$U$7,"YTD","gpg")/1000),0)+ROUND((_xll.HPVAL($G$1,"actual","0065",$U$7,"YTD","gpg")/1000),0)+ROUND((_xll.HPVAL($G$1,"actual","0035",$U$7,"YTD","gpg")/1000),0)</f>
        <v>0</v>
      </c>
      <c r="V42" s="77"/>
      <c r="W42" s="86">
        <f>ROUND((_xll.HPVAL($G$1,"actual","0050",$W$7,"YTD","gpg")/1000),0)+ROUND((_xll.HPVAL($G$1,"actual","0053",$W$7,"YTD","gpg")/1000),0)+ROUND((_xll.HPVAL($G$1,"actual","0054",$W$7,"YTD","gpg")/1000),0)+ROUND((_xll.HPVAL($G$1,"actual","0060",$W$7,"YTD","gpg")/1000),0)+ROUND((_xll.HPVAL($G$1,"actual","0064",$W$7,"YTD","gpg")/1000),0)+ROUND((_xll.HPVAL($G$1,"actual","0065",$W$7,"YTD","gpg")/1000),0)+ROUND((_xll.HPVAL($G$1,"actual","0035",$W$7,"YTD","gpg")/1000),0)</f>
        <v>0</v>
      </c>
      <c r="X42" s="77"/>
      <c r="Y42" s="86">
        <f>ROUND((_xll.HPVAL($G$1,"actual","0050",$Y$7,"YTD","gpg")/1000),0)+ROUND((_xll.HPVAL($G$1,"actual","0053",$Y$7,"YTD","gpg")/1000),0)+ROUND((_xll.HPVAL($G$1,"actual","0054",$Y$7,"YTD","gpg")/1000),0)+ROUND((_xll.HPVAL($G$1,"actual","0060",$Y$7,"YTD","gpg")/1000),0)+ROUND((_xll.HPVAL($G$1,"actual","0064",$Y$7,"YTD","gpg")/1000),0)+ROUND((_xll.HPVAL($G$1,"actual","0065",$Y$7,"YTD","gpg")/1000),0)+ROUND((_xll.HPVAL($G$1,"actual","0035",$Y$7,"YTD","gpg")/1000),0)</f>
        <v>0</v>
      </c>
      <c r="Z42" s="77"/>
      <c r="AA42" s="86">
        <f>ROUND((_xll.HPVAL($G$1,"actual","0050",$AA$7,"YTD","gpg")/1000),0)+ROUND((_xll.HPVAL($G$1,"actual","0053",$AA$7,"YTD","gpg")/1000),0)+ROUND((_xll.HPVAL($G$1,"actual","0054",$AA$7,"YTD","gpg")/1000),0)+ROUND((_xll.HPVAL($G$1,"actual","0060",$AA$7,"YTD","gpg")/1000),0)+ROUND((_xll.HPVAL($G$1,"actual","0064",$AA$7,"YTD","gpg")/1000),0)+ROUND((_xll.HPVAL($G$1,"actual","0065",$AA$7,"YTD","gpg")/1000),0)+ROUND((_xll.HPVAL($G$1,"actual","0035",$AA$7,"YTD","gpg")/1000),0)</f>
        <v>0</v>
      </c>
      <c r="AB42" s="77"/>
      <c r="AC42" s="88">
        <f>SUM(AC34:AC41)</f>
        <v>-2325</v>
      </c>
      <c r="AD42" s="70"/>
      <c r="AE42" s="88">
        <f>SUM(AE34:AE41)</f>
        <v>9873</v>
      </c>
      <c r="AF42" s="60"/>
      <c r="AG42" s="5"/>
    </row>
    <row r="43" spans="1:33" ht="10.8" thickTop="1">
      <c r="A43" s="58"/>
      <c r="B43" s="58"/>
      <c r="C43" s="58"/>
      <c r="D43" s="70"/>
      <c r="E43" s="58"/>
      <c r="F43" s="73"/>
      <c r="G43" s="58"/>
      <c r="H43" s="73"/>
      <c r="I43" s="58"/>
      <c r="J43" s="73"/>
      <c r="K43" s="58"/>
      <c r="L43" s="73"/>
      <c r="M43" s="58"/>
      <c r="N43" s="73"/>
      <c r="O43" s="58"/>
      <c r="P43" s="73"/>
      <c r="Q43" s="58"/>
      <c r="R43" s="73"/>
      <c r="S43" s="58"/>
      <c r="T43" s="73"/>
      <c r="U43" s="58"/>
      <c r="V43" s="73"/>
      <c r="W43" s="58"/>
      <c r="X43" s="73"/>
      <c r="Y43" s="58"/>
      <c r="Z43" s="73"/>
      <c r="AA43" s="58"/>
      <c r="AB43" s="73"/>
      <c r="AC43" s="58"/>
      <c r="AD43" s="70"/>
      <c r="AE43" s="58"/>
      <c r="AF43" s="58"/>
    </row>
    <row r="44" spans="1:33">
      <c r="A44" s="84" t="s">
        <v>222</v>
      </c>
      <c r="B44" s="58" t="str">
        <f>_xll.HPHEA($A44,$G$2)</f>
        <v>Encroach-line pack fluctuations +-</v>
      </c>
      <c r="C44" s="75">
        <f>ROUND((_xll.HPVAL($G$1,"py1",$A44,$C$7,"YTD","gpg")/1000),0)</f>
        <v>0</v>
      </c>
      <c r="D44" s="70"/>
      <c r="E44" s="75">
        <f>ROUND((_xll.HPVAL($G$1,"ACTUAL",$A44,E7,"YTD","gpg")/1000),0)</f>
        <v>0</v>
      </c>
      <c r="F44" s="73"/>
      <c r="G44" s="75">
        <f>ROUND((_xll.HPVAL($G$1,"ACTUAL",$A44,G7,"YTD","gpg")/1000),0)</f>
        <v>0</v>
      </c>
      <c r="H44" s="73"/>
      <c r="I44" s="75">
        <f>ROUND((_xll.HPVAL($G$1,"ACTUAL",$A44,I7,"YTD","gpg")/1000),0)</f>
        <v>0</v>
      </c>
      <c r="J44" s="73"/>
      <c r="K44" s="75">
        <f>ROUND((_xll.HPVAL($G$1,"ACTUAL",$A44,K7,"YTD","gpg")/1000),0)</f>
        <v>0</v>
      </c>
      <c r="L44" s="73"/>
      <c r="M44" s="75">
        <f>ROUND((_xll.HPVAL($G$1,"ACTUAL",$A44,M7,"YTD","gpg")/1000),0)</f>
        <v>0</v>
      </c>
      <c r="N44" s="73"/>
      <c r="O44" s="75">
        <f>ROUND((_xll.HPVAL($G$1,"ACTUAL",$A44,O7,"YTD","gpg")/1000),0)</f>
        <v>0</v>
      </c>
      <c r="P44" s="73"/>
      <c r="Q44" s="75">
        <f>ROUND((_xll.HPVAL($G$1,"ACTUAL",$A44,Q7,"YTD","gpg")/1000),0)</f>
        <v>0</v>
      </c>
      <c r="R44" s="73"/>
      <c r="S44" s="75">
        <f>ROUND((_xll.HPVAL($G$1,"ACTUAL",$A44,S7,"YTD","gpg")/1000),0)</f>
        <v>0</v>
      </c>
      <c r="T44" s="73"/>
      <c r="U44" s="75">
        <f>ROUND((_xll.HPVAL($G$1,"ACTUAL",$A44,U7,"YTD","gpg")/1000),0)</f>
        <v>0</v>
      </c>
      <c r="V44" s="73"/>
      <c r="W44" s="75">
        <f>ROUND((_xll.HPVAL($G$1,"ACTUAL",$A44,W7,"YTD","gpg")/1000),0)</f>
        <v>0</v>
      </c>
      <c r="X44" s="73"/>
      <c r="Y44" s="75">
        <f>ROUND((_xll.HPVAL($G$1,"ACTUAL",$A44,Y7,"YTD","gpg")/1000),0)</f>
        <v>0</v>
      </c>
      <c r="Z44" s="73"/>
      <c r="AA44" s="75">
        <f>ROUND((_xll.HPVAL($G$1,"ACTUAL",$A44,AA7,"YTD","gpg")/1000),0)</f>
        <v>0</v>
      </c>
      <c r="AB44" s="73"/>
      <c r="AC44" s="58">
        <f>IF(mo=1,+E44-C44,CHOOSE(mo,E44,G44,I44,K44,M44,O44,Q44,S44,U44,W44,Y44,AA44)-CHOOSE(mo-1,E44,G44,I44,K44,M44,O44,Q44,S44,U44,W44,Y44,AA44))</f>
        <v>0</v>
      </c>
      <c r="AD44" s="70"/>
      <c r="AE44" s="58">
        <f>CHOOSE(mo,E44,G44,I44,K44,M44,O44,Q44,S44,U44,W44,Y44,AA44)-C44</f>
        <v>0</v>
      </c>
      <c r="AF44" s="58"/>
    </row>
    <row r="45" spans="1:33">
      <c r="A45" s="84"/>
      <c r="B45" s="58" t="s">
        <v>216</v>
      </c>
      <c r="C45" s="75">
        <f>C46-C44</f>
        <v>0</v>
      </c>
      <c r="D45" s="70"/>
      <c r="E45" s="75">
        <f>E46-E44</f>
        <v>0</v>
      </c>
      <c r="F45" s="73"/>
      <c r="G45" s="75">
        <f>G46-G44</f>
        <v>0</v>
      </c>
      <c r="H45" s="73"/>
      <c r="I45" s="75">
        <f>I46-I44</f>
        <v>0</v>
      </c>
      <c r="J45" s="73"/>
      <c r="K45" s="75">
        <f>K46-K44</f>
        <v>0</v>
      </c>
      <c r="L45" s="73"/>
      <c r="M45" s="75">
        <f>M46-M44</f>
        <v>0</v>
      </c>
      <c r="N45" s="73"/>
      <c r="O45" s="75">
        <f>O46-O44</f>
        <v>0</v>
      </c>
      <c r="P45" s="73"/>
      <c r="Q45" s="75">
        <f>Q46-Q44</f>
        <v>0</v>
      </c>
      <c r="R45" s="73"/>
      <c r="S45" s="75">
        <f>S46-S44</f>
        <v>0</v>
      </c>
      <c r="T45" s="73"/>
      <c r="U45" s="75">
        <f>U46-U44</f>
        <v>0</v>
      </c>
      <c r="V45" s="73"/>
      <c r="W45" s="75">
        <f>W46-W44</f>
        <v>0</v>
      </c>
      <c r="X45" s="73"/>
      <c r="Y45" s="75">
        <f>Y46-Y44</f>
        <v>0</v>
      </c>
      <c r="Z45" s="73"/>
      <c r="AA45" s="75">
        <f>AA46-AA44</f>
        <v>0</v>
      </c>
      <c r="AB45" s="73"/>
      <c r="AC45" s="58">
        <f>IF(mo=1,+E45-C45,CHOOSE(mo,E45,G45,I45,K45,M45,O45,Q45,S45,U45,W45,Y45,AA45)-CHOOSE(mo-1,E45,G45,I45,K45,M45,O45,Q45,S45,U45,W45,Y45,AA45))</f>
        <v>0</v>
      </c>
      <c r="AD45" s="70"/>
      <c r="AE45" s="58">
        <f>CHOOSE(mo,E45,G45,I45,K45,M45,O45,Q45,S45,U45,W45,Y45,AA45)-C45</f>
        <v>0</v>
      </c>
      <c r="AF45" s="58"/>
    </row>
    <row r="46" spans="1:33" s="13" customFormat="1" ht="15" customHeight="1" thickBot="1">
      <c r="A46" s="144" t="s">
        <v>75</v>
      </c>
      <c r="B46" s="60" t="s">
        <v>221</v>
      </c>
      <c r="C46" s="88">
        <f>ROUND((_xll.HPVAL($G$1,"py1",$A46,$C$7,"YTD","gpg")/1000),0)</f>
        <v>0</v>
      </c>
      <c r="D46" s="70"/>
      <c r="E46" s="88">
        <f>ROUND((_xll.HPVAL($G$1,"ACTUAL",$A46,E7,"YTD","gpg")/1000),0)</f>
        <v>0</v>
      </c>
      <c r="F46" s="73"/>
      <c r="G46" s="88">
        <f>ROUND((_xll.HPVAL($G$1,"ACTUAL",$A46,G7,"YTD","gpg")/1000),0)</f>
        <v>0</v>
      </c>
      <c r="H46" s="73"/>
      <c r="I46" s="88">
        <f>ROUND((_xll.HPVAL($G$1,"ACTUAL",$A46,I7,"YTD","gpg")/1000),0)</f>
        <v>0</v>
      </c>
      <c r="J46" s="73"/>
      <c r="K46" s="88">
        <f>ROUND((_xll.HPVAL($G$1,"ACTUAL",$A46,K7,"YTD","gpg")/1000),0)</f>
        <v>0</v>
      </c>
      <c r="L46" s="73"/>
      <c r="M46" s="88">
        <f>ROUND((_xll.HPVAL($G$1,"ACTUAL",$A46,M7,"YTD","gpg")/1000),0)</f>
        <v>0</v>
      </c>
      <c r="N46" s="73"/>
      <c r="O46" s="88">
        <f>ROUND((_xll.HPVAL($G$1,"ACTUAL",$A46,O7,"YTD","gpg")/1000),0)</f>
        <v>0</v>
      </c>
      <c r="P46" s="73"/>
      <c r="Q46" s="88">
        <f>ROUND((_xll.HPVAL($G$1,"ACTUAL",$A46,Q7,"YTD","gpg")/1000),0)</f>
        <v>0</v>
      </c>
      <c r="R46" s="73"/>
      <c r="S46" s="88">
        <f>ROUND((_xll.HPVAL($G$1,"ACTUAL",$A46,S7,"YTD","gpg")/1000),0)</f>
        <v>0</v>
      </c>
      <c r="T46" s="73"/>
      <c r="U46" s="88">
        <f>ROUND((_xll.HPVAL($G$1,"ACTUAL",$A46,U7,"YTD","gpg")/1000),0)</f>
        <v>0</v>
      </c>
      <c r="V46" s="73"/>
      <c r="W46" s="88">
        <f>ROUND((_xll.HPVAL($G$1,"ACTUAL",$A46,W7,"YTD","gpg")/1000),0)</f>
        <v>0</v>
      </c>
      <c r="X46" s="73"/>
      <c r="Y46" s="88">
        <f>ROUND((_xll.HPVAL($G$1,"ACTUAL",$A46,Y7,"YTD","gpg")/1000),0)</f>
        <v>0</v>
      </c>
      <c r="Z46" s="73"/>
      <c r="AA46" s="88">
        <f>ROUND((_xll.HPVAL($G$1,"ACTUAL",$A46,AA7,"YTD","gpg")/1000),0)</f>
        <v>0</v>
      </c>
      <c r="AB46" s="73"/>
      <c r="AC46" s="88">
        <f>SUM(AC44:AC45)</f>
        <v>0</v>
      </c>
      <c r="AD46" s="70"/>
      <c r="AE46" s="88">
        <f>SUM(AE44:AE45)</f>
        <v>0</v>
      </c>
      <c r="AF46" s="60"/>
      <c r="AG46" s="5"/>
    </row>
    <row r="47" spans="1:33" ht="10.8" thickTop="1">
      <c r="A47" s="84"/>
      <c r="B47" s="58"/>
      <c r="C47" s="58"/>
      <c r="D47" s="70"/>
      <c r="E47" s="58"/>
      <c r="F47" s="73"/>
      <c r="G47" s="58"/>
      <c r="H47" s="73"/>
      <c r="I47" s="58"/>
      <c r="J47" s="73"/>
      <c r="K47" s="58"/>
      <c r="L47" s="73"/>
      <c r="M47" s="58"/>
      <c r="N47" s="73"/>
      <c r="O47" s="58"/>
      <c r="P47" s="73"/>
      <c r="Q47" s="58"/>
      <c r="R47" s="73"/>
      <c r="S47" s="58"/>
      <c r="T47" s="73"/>
      <c r="U47" s="58"/>
      <c r="V47" s="73"/>
      <c r="W47" s="58"/>
      <c r="X47" s="73"/>
      <c r="Y47" s="58"/>
      <c r="Z47" s="73"/>
      <c r="AA47" s="58"/>
      <c r="AB47" s="73"/>
      <c r="AC47" s="58"/>
      <c r="AD47" s="70"/>
      <c r="AE47" s="58"/>
      <c r="AF47" s="58"/>
    </row>
    <row r="48" spans="1:33">
      <c r="A48" s="84" t="s">
        <v>329</v>
      </c>
      <c r="B48" s="58" t="str">
        <f>_xll.HPHEA($A48,$G$2)</f>
        <v>Materials and supplies - inventory</v>
      </c>
      <c r="C48" s="58">
        <f>ROUND((_xll.HPVAL($G$1,"py1",$A48,$C$7,"YTD","gpg")/1000),0)</f>
        <v>4134</v>
      </c>
      <c r="D48" s="70"/>
      <c r="E48" s="58">
        <f>ROUND((_xll.HPVAL($G$1,"ACTUAL",$A48,$E$7,"YTD","gpg")/1000),0)</f>
        <v>4127</v>
      </c>
      <c r="F48" s="73"/>
      <c r="G48" s="58">
        <f>ROUND((_xll.HPVAL($G$1,"ACTUAL",$A48,$G$7,"YTD","gpg")/1000),0)</f>
        <v>4133</v>
      </c>
      <c r="H48" s="73"/>
      <c r="I48" s="58">
        <f>ROUND((_xll.HPVAL($G$1,"ACTUAL",$A48,$I$7,"YTD","gpg")/1000),0)</f>
        <v>4106</v>
      </c>
      <c r="J48" s="73"/>
      <c r="K48" s="58">
        <f>ROUND((_xll.HPVAL($G$1,"ACTUAL",$A48,$K$7,"YTD","gpg")/1000),0)</f>
        <v>4096</v>
      </c>
      <c r="L48" s="73"/>
      <c r="M48" s="58">
        <f>ROUND((_xll.HPVAL($G$1,"ACTUAL",$A48,$M$7,"YTD","gpg")/1000),0)</f>
        <v>4063</v>
      </c>
      <c r="N48" s="73"/>
      <c r="O48" s="58">
        <f>ROUND((_xll.HPVAL($G$1,"ACTUAL",$A48,$O$7,"YTD","gpg")/1000),0)</f>
        <v>4051</v>
      </c>
      <c r="P48" s="73"/>
      <c r="Q48" s="58">
        <f>ROUND((_xll.HPVAL($G$1,"ACTUAL",$A48,$Q$7,"YTD","gpg")/1000),0)</f>
        <v>4033</v>
      </c>
      <c r="R48" s="73"/>
      <c r="S48" s="58">
        <f>ROUND((_xll.HPVAL($G$1,"ACTUAL",$A48,$S$7,"YTD","gpg")/1000),0)</f>
        <v>4021</v>
      </c>
      <c r="T48" s="73"/>
      <c r="U48" s="58">
        <f>ROUND((_xll.HPVAL($G$1,"ACTUAL",$A48,$U$7,"YTD","gpg")/1000),0)</f>
        <v>0</v>
      </c>
      <c r="V48" s="73"/>
      <c r="W48" s="58">
        <f>ROUND((_xll.HPVAL($G$1,"ACTUAL",$A48,$W$7,"YTD","gpg")/1000),0)</f>
        <v>0</v>
      </c>
      <c r="X48" s="73"/>
      <c r="Y48" s="58">
        <f>ROUND((_xll.HPVAL($G$1,"ACTUAL",$A48,$Y$7,"YTD","gpg")/1000),0)</f>
        <v>0</v>
      </c>
      <c r="Z48" s="73"/>
      <c r="AA48" s="58">
        <f>ROUND((_xll.HPVAL($G$1,"ACTUAL",$A48,$AA$7,"YTD","gpg")/1000),0)</f>
        <v>0</v>
      </c>
      <c r="AB48" s="73"/>
      <c r="AC48" s="58">
        <f>IF(mo=1,+E48-C48,CHOOSE(mo,E48,G48,I48,K48,M48,O48,Q48,S48,U48,W48,Y48,AA48)-CHOOSE(mo-1,E48,G48,I48,K48,M48,O48,Q48,S48,U48,W48,Y48,AA48))</f>
        <v>-12</v>
      </c>
      <c r="AD48" s="70"/>
      <c r="AE48" s="58">
        <f>CHOOSE(mo,E48,G48,I48,K48,M48,O48,Q48,S48,U48,W48,Y48,AA48)-C48</f>
        <v>-113</v>
      </c>
      <c r="AF48" s="58"/>
    </row>
    <row r="49" spans="1:71">
      <c r="A49" s="58"/>
      <c r="B49" s="58" t="s">
        <v>214</v>
      </c>
      <c r="C49" s="85">
        <f>+C50-SUM(C48:C48)</f>
        <v>0</v>
      </c>
      <c r="D49" s="70"/>
      <c r="E49" s="85">
        <f>+E50-SUM(E48:E48)</f>
        <v>0</v>
      </c>
      <c r="F49" s="77"/>
      <c r="G49" s="85">
        <f>+G50-SUM(G48:G48)</f>
        <v>0</v>
      </c>
      <c r="H49" s="77"/>
      <c r="I49" s="85">
        <f>+I50-SUM(I48:I48)</f>
        <v>0</v>
      </c>
      <c r="J49" s="77"/>
      <c r="K49" s="85">
        <f>+K50-SUM(K48:K48)</f>
        <v>0</v>
      </c>
      <c r="L49" s="77"/>
      <c r="M49" s="85">
        <f>+M50-SUM(M48:M48)</f>
        <v>0</v>
      </c>
      <c r="N49" s="77"/>
      <c r="O49" s="85">
        <f>+O50-SUM(O48:O48)</f>
        <v>0</v>
      </c>
      <c r="P49" s="77"/>
      <c r="Q49" s="85">
        <f>+Q50-SUM(Q48:Q48)</f>
        <v>0</v>
      </c>
      <c r="R49" s="77"/>
      <c r="S49" s="85">
        <f>+S50-SUM(S48:S48)</f>
        <v>0</v>
      </c>
      <c r="T49" s="77"/>
      <c r="U49" s="85">
        <f>+U50-SUM(U48:U48)</f>
        <v>0</v>
      </c>
      <c r="V49" s="77"/>
      <c r="W49" s="85">
        <f>+W50-SUM(W48:W48)</f>
        <v>0</v>
      </c>
      <c r="X49" s="77"/>
      <c r="Y49" s="85">
        <f>+Y50-SUM(Y48:Y48)</f>
        <v>0</v>
      </c>
      <c r="Z49" s="77"/>
      <c r="AA49" s="85">
        <f>+AA50-SUM(AA48:AA48)</f>
        <v>0</v>
      </c>
      <c r="AB49" s="77"/>
      <c r="AC49" s="58">
        <f>IF(mo=1,+E49-C49,CHOOSE(mo,E49,G49,I49,K49,M49,O49,Q49,S49,U49,W49,Y49,AA49)-CHOOSE(mo-1,E49,G49,I49,K49,M49,O49,Q49,S49,U49,W49,Y49,AA49))</f>
        <v>0</v>
      </c>
      <c r="AD49" s="70"/>
      <c r="AE49" s="85">
        <f>CHOOSE(mo,E49,G49,I49,K49,M49,O49,Q49,S49,U49,W49,Y49,AA49)-C49</f>
        <v>0</v>
      </c>
      <c r="AF49" s="58"/>
    </row>
    <row r="50" spans="1:71" s="13" customFormat="1" ht="15" customHeight="1" thickBot="1">
      <c r="A50" s="144" t="s">
        <v>76</v>
      </c>
      <c r="B50" s="60" t="s">
        <v>224</v>
      </c>
      <c r="C50" s="86">
        <f>ROUND((_xll.HPVAL($G$1,"py1",$A50,$C$7,"YTD","gpg")/1000),0)</f>
        <v>4134</v>
      </c>
      <c r="D50" s="70"/>
      <c r="E50" s="86">
        <f>ROUND((_xll.HPVAL($G$1,"ACTUAL",$A50,$E$7,"YTD","gpg")/1000),0)</f>
        <v>4127</v>
      </c>
      <c r="F50" s="77"/>
      <c r="G50" s="86">
        <f>ROUND((_xll.HPVAL($G$1,"ACTUAL",$A50,$G$7,"YTD","gpg")/1000),0)</f>
        <v>4133</v>
      </c>
      <c r="H50" s="77"/>
      <c r="I50" s="86">
        <f>ROUND((_xll.HPVAL($G$1,"ACTUAL",$A50,$I$7,"YTD","gpg")/1000),0)</f>
        <v>4106</v>
      </c>
      <c r="J50" s="77"/>
      <c r="K50" s="86">
        <f>ROUND((_xll.HPVAL($G$1,"ACTUAL",$A50,$K$7,"YTD","gpg")/1000),0)</f>
        <v>4096</v>
      </c>
      <c r="L50" s="77"/>
      <c r="M50" s="86">
        <f>ROUND((_xll.HPVAL($G$1,"ACTUAL",$A50,$M$7,"YTD","gpg")/1000),0)</f>
        <v>4063</v>
      </c>
      <c r="N50" s="77"/>
      <c r="O50" s="86">
        <f>ROUND((_xll.HPVAL($G$1,"ACTUAL",$A50,$O$7,"YTD","gpg")/1000),0)</f>
        <v>4051</v>
      </c>
      <c r="P50" s="77"/>
      <c r="Q50" s="86">
        <f>ROUND((_xll.HPVAL($G$1,"ACTUAL",$A50,$Q$7,"YTD","gpg")/1000),0)</f>
        <v>4033</v>
      </c>
      <c r="R50" s="77"/>
      <c r="S50" s="86">
        <f>ROUND((_xll.HPVAL($G$1,"ACTUAL",$A50,$S$7,"YTD","gpg")/1000),0)</f>
        <v>4021</v>
      </c>
      <c r="T50" s="77"/>
      <c r="U50" s="86">
        <f>ROUND((_xll.HPVAL($G$1,"ACTUAL",$A50,$U$7,"YTD","gpg")/1000),0)</f>
        <v>0</v>
      </c>
      <c r="V50" s="77"/>
      <c r="W50" s="86">
        <f>ROUND((_xll.HPVAL($G$1,"ACTUAL",$A50,$W$7,"YTD","gpg")/1000),0)</f>
        <v>0</v>
      </c>
      <c r="X50" s="77"/>
      <c r="Y50" s="86">
        <f>ROUND((_xll.HPVAL($G$1,"ACTUAL",$A50,$Y$7,"YTD","gpg")/1000),0)</f>
        <v>0</v>
      </c>
      <c r="Z50" s="77"/>
      <c r="AA50" s="86">
        <f>ROUND((_xll.HPVAL($G$1,"ACTUAL",$A50,$AA$7,"YTD","gpg")/1000),0)</f>
        <v>0</v>
      </c>
      <c r="AB50" s="77"/>
      <c r="AC50" s="88">
        <f>SUM(AC48:AC49)</f>
        <v>-12</v>
      </c>
      <c r="AD50" s="70"/>
      <c r="AE50" s="88">
        <f>SUM(AE48:AE49)</f>
        <v>-113</v>
      </c>
      <c r="AF50" s="60"/>
      <c r="AG50" s="5"/>
    </row>
    <row r="51" spans="1:71" ht="10.8" thickTop="1">
      <c r="A51" s="58"/>
      <c r="B51" s="58"/>
      <c r="C51" s="58"/>
      <c r="D51" s="70"/>
      <c r="E51" s="58"/>
      <c r="F51" s="73"/>
      <c r="G51" s="58"/>
      <c r="H51" s="73"/>
      <c r="I51" s="58"/>
      <c r="J51" s="73"/>
      <c r="K51" s="58"/>
      <c r="L51" s="73"/>
      <c r="M51" s="58"/>
      <c r="N51" s="73"/>
      <c r="O51" s="58"/>
      <c r="P51" s="73"/>
      <c r="Q51" s="58"/>
      <c r="R51" s="73"/>
      <c r="S51" s="58"/>
      <c r="T51" s="73"/>
      <c r="U51" s="58"/>
      <c r="V51" s="73"/>
      <c r="W51" s="58"/>
      <c r="X51" s="73"/>
      <c r="Y51" s="58"/>
      <c r="Z51" s="73"/>
      <c r="AA51" s="58"/>
      <c r="AB51" s="73"/>
      <c r="AC51" s="58"/>
      <c r="AD51" s="70"/>
      <c r="AE51" s="58"/>
      <c r="AF51" s="58"/>
    </row>
    <row r="52" spans="1:71">
      <c r="A52" s="84" t="s">
        <v>571</v>
      </c>
      <c r="B52" s="58" t="str">
        <f>_xll.HPHEA($A52,$G$2)</f>
        <v>Price risk mgmnt activ-current assets</v>
      </c>
      <c r="C52" s="58">
        <f>ROUND((_xll.HPVAL($G$1,"py1",$A52,$C$7,"YTD","gpg")/1000),0)</f>
        <v>0</v>
      </c>
      <c r="D52" s="70"/>
      <c r="E52" s="58">
        <f>ROUND((_xll.HPVAL($G$1,"ACTUAL",$A52,$E$7,"YTD","gpg")/1000),0)</f>
        <v>0</v>
      </c>
      <c r="F52" s="73"/>
      <c r="G52" s="58">
        <f>ROUND((_xll.HPVAL($G$1,"ACTUAL",$A52,$G$7,"YTD","gpg")/1000),0)</f>
        <v>0</v>
      </c>
      <c r="H52" s="73"/>
      <c r="I52" s="58">
        <f>ROUND((_xll.HPVAL($G$1,"ACTUAL",$A52,$I$7,"YTD","gpg")/1000),0)</f>
        <v>0</v>
      </c>
      <c r="J52" s="73"/>
      <c r="K52" s="58">
        <f>ROUND((_xll.HPVAL($G$1,"ACTUAL",$A52,$K$7,"YTD","gpg")/1000),0)</f>
        <v>42</v>
      </c>
      <c r="L52" s="73"/>
      <c r="M52" s="58">
        <f>ROUND((_xll.HPVAL($G$1,"ACTUAL",$A52,$M$7,"YTD","gpg")/1000),0)</f>
        <v>53</v>
      </c>
      <c r="N52" s="73"/>
      <c r="O52" s="58">
        <f>ROUND((_xll.HPVAL($G$1,"ACTUAL",$A52,$O$7,"YTD","gpg")/1000),0)</f>
        <v>4541</v>
      </c>
      <c r="P52" s="73" t="s">
        <v>246</v>
      </c>
      <c r="Q52" s="58">
        <f>ROUND((_xll.HPVAL($G$1,"ACTUAL",$A52,$Q$7,"YTD","gpg")/1000),0)</f>
        <v>5383</v>
      </c>
      <c r="R52" s="73" t="s">
        <v>219</v>
      </c>
      <c r="S52" s="58">
        <f>ROUND((_xll.HPVAL($G$1,"ACTUAL",$A52,$S$7,"YTD","gpg")/1000),0)</f>
        <v>5383</v>
      </c>
      <c r="T52" s="73"/>
      <c r="U52" s="58">
        <f>ROUND((_xll.HPVAL($G$1,"ACTUAL",$A52,$U$7,"YTD","gpg")/1000),0)</f>
        <v>0</v>
      </c>
      <c r="V52" s="73"/>
      <c r="W52" s="58">
        <f>ROUND((_xll.HPVAL($G$1,"ACTUAL",$A52,$W$7,"YTD","gpg")/1000),0)</f>
        <v>0</v>
      </c>
      <c r="X52" s="73"/>
      <c r="Y52" s="58">
        <f>ROUND((_xll.HPVAL($G$1,"ACTUAL",$A52,$Y$7,"YTD","gpg")/1000),0)</f>
        <v>0</v>
      </c>
      <c r="Z52" s="73"/>
      <c r="AA52" s="58">
        <f>ROUND((_xll.HPVAL($G$1,"ACTUAL",$A52,$AA$7,"YTD","gpg")/1000),0)</f>
        <v>0</v>
      </c>
      <c r="AB52" s="73"/>
      <c r="AC52" s="58">
        <f>IF(mo=1,+E52-C52,CHOOSE(mo,E52,G52,I52,K52,M52,O52,Q52,S52,U52,W52,Y52,AA52)-CHOOSE(mo-1,E52,G52,I52,K52,M52,O52,Q52,S52,U52,W52,Y52,AA52))</f>
        <v>0</v>
      </c>
      <c r="AD52" s="70"/>
      <c r="AE52" s="58">
        <f>CHOOSE(mo,E52,G52,I52,K52,M52,O52,Q52,S52,U52,W52,Y52,AA52)-C52</f>
        <v>5383</v>
      </c>
      <c r="AF52" s="58"/>
    </row>
    <row r="53" spans="1:71">
      <c r="A53" s="58"/>
      <c r="B53" s="58" t="s">
        <v>214</v>
      </c>
      <c r="C53" s="85">
        <f>+C54-SUM(C52:C52)</f>
        <v>0</v>
      </c>
      <c r="D53" s="70"/>
      <c r="E53" s="85">
        <f>+E54-SUM(E52:E52)</f>
        <v>0</v>
      </c>
      <c r="F53" s="77"/>
      <c r="G53" s="85">
        <f>+G54-SUM(G52:G52)</f>
        <v>0</v>
      </c>
      <c r="H53" s="77"/>
      <c r="I53" s="85">
        <f>+I54-SUM(I52:I52)</f>
        <v>0</v>
      </c>
      <c r="J53" s="77"/>
      <c r="K53" s="85">
        <f>+K54-SUM(K52:K52)</f>
        <v>0</v>
      </c>
      <c r="L53" s="77"/>
      <c r="M53" s="85">
        <f>+M54-SUM(M52:M52)</f>
        <v>0</v>
      </c>
      <c r="N53" s="77"/>
      <c r="O53" s="85">
        <f>+O54-SUM(O52:O52)</f>
        <v>0</v>
      </c>
      <c r="P53" s="77"/>
      <c r="Q53" s="85">
        <f>+Q54-SUM(Q52:Q52)</f>
        <v>0</v>
      </c>
      <c r="R53" s="77"/>
      <c r="S53" s="85">
        <f>+S54-SUM(S52:S52)</f>
        <v>0</v>
      </c>
      <c r="T53" s="77"/>
      <c r="U53" s="85">
        <f>+U54-SUM(U52:U52)</f>
        <v>0</v>
      </c>
      <c r="V53" s="77"/>
      <c r="W53" s="85">
        <f>+W54-SUM(W52:W52)</f>
        <v>0</v>
      </c>
      <c r="X53" s="77"/>
      <c r="Y53" s="85">
        <f>+Y54-SUM(Y52:Y52)</f>
        <v>0</v>
      </c>
      <c r="Z53" s="77"/>
      <c r="AA53" s="85">
        <f>+AA54-SUM(AA52:AA52)</f>
        <v>0</v>
      </c>
      <c r="AB53" s="77"/>
      <c r="AC53" s="85">
        <f>IF(mo=1,+E53-C53,CHOOSE(mo,E53,G53,I53,K53,M53,O53,Q53,S53,U53,W53,Y53,AA53)-CHOOSE(mo-1,E53,G53,I53,K53,M53,O53,Q53,S53,U53,W53,Y53,AA53))</f>
        <v>0</v>
      </c>
      <c r="AD53" s="70"/>
      <c r="AE53" s="85">
        <f>CHOOSE(mo,E53,G53,I53,K53,M53,O53,Q53,S53,U53,W53,Y53,AA53)-C53</f>
        <v>0</v>
      </c>
      <c r="AF53" s="58"/>
    </row>
    <row r="54" spans="1:71" s="13" customFormat="1" ht="15" customHeight="1" thickBot="1">
      <c r="A54" s="144" t="s">
        <v>569</v>
      </c>
      <c r="B54" s="60" t="s">
        <v>572</v>
      </c>
      <c r="C54" s="86">
        <f>ROUND((_xll.HPVAL($G$1,"py1",$A54,$C$7,"YTD","gpg")/1000),0)</f>
        <v>0</v>
      </c>
      <c r="D54" s="70"/>
      <c r="E54" s="86">
        <f>ROUND((_xll.HPVAL($G$1,"ACTUAL",$A54,$E$7,"YTD","gpg")/1000),0)</f>
        <v>0</v>
      </c>
      <c r="F54" s="77"/>
      <c r="G54" s="86">
        <f>ROUND((_xll.HPVAL($G$1,"ACTUAL",$A54,$G$7,"YTD","gpg")/1000),0)</f>
        <v>0</v>
      </c>
      <c r="H54" s="77"/>
      <c r="I54" s="86">
        <f>ROUND((_xll.HPVAL($G$1,"ACTUAL",$A54,$I$7,"YTD","gpg")/1000),0)</f>
        <v>0</v>
      </c>
      <c r="J54" s="77"/>
      <c r="K54" s="86">
        <f>ROUND((_xll.HPVAL($G$1,"ACTUAL",$A54,$K$7,"YTD","gpg")/1000),0)</f>
        <v>42</v>
      </c>
      <c r="L54" s="77"/>
      <c r="M54" s="86">
        <f>ROUND((_xll.HPVAL($G$1,"ACTUAL",$A54,$M$7,"YTD","gpg")/1000),0)</f>
        <v>53</v>
      </c>
      <c r="N54" s="77"/>
      <c r="O54" s="86">
        <f>ROUND((_xll.HPVAL($G$1,"ACTUAL",$A54,$O$7,"YTD","gpg")/1000),0)</f>
        <v>4541</v>
      </c>
      <c r="P54" s="77"/>
      <c r="Q54" s="86">
        <f>ROUND((_xll.HPVAL($G$1,"ACTUAL",$A54,$Q$7,"YTD","gpg")/1000),0)</f>
        <v>5383</v>
      </c>
      <c r="R54" s="77"/>
      <c r="S54" s="86">
        <f>ROUND((_xll.HPVAL($G$1,"ACTUAL",$A54,$S$7,"YTD","gpg")/1000),0)</f>
        <v>5383</v>
      </c>
      <c r="T54" s="77"/>
      <c r="U54" s="86">
        <f>ROUND((_xll.HPVAL($G$1,"ACTUAL",$A54,$U$7,"YTD","gpg")/1000),0)</f>
        <v>0</v>
      </c>
      <c r="V54" s="77"/>
      <c r="W54" s="86">
        <f>ROUND((_xll.HPVAL($G$1,"ACTUAL",$A54,$W$7,"YTD","gpg")/1000),0)</f>
        <v>0</v>
      </c>
      <c r="X54" s="77"/>
      <c r="Y54" s="86">
        <f>ROUND((_xll.HPVAL($G$1,"ACTUAL",$A54,$Y$7,"YTD","gpg")/1000),0)</f>
        <v>0</v>
      </c>
      <c r="Z54" s="77"/>
      <c r="AA54" s="86">
        <f>ROUND((_xll.HPVAL($G$1,"ACTUAL",$A54,$AA$7,"YTD","gpg")/1000),0)</f>
        <v>0</v>
      </c>
      <c r="AB54" s="77"/>
      <c r="AC54" s="86">
        <f>SUM(AC52:AC53)</f>
        <v>0</v>
      </c>
      <c r="AD54" s="70"/>
      <c r="AE54" s="86">
        <f>SUM(AE52:AE53)</f>
        <v>5383</v>
      </c>
      <c r="AF54" s="60"/>
      <c r="AG54" s="5"/>
    </row>
    <row r="55" spans="1:71" ht="10.8" thickTop="1">
      <c r="A55" s="58"/>
      <c r="B55" s="58"/>
      <c r="C55" s="58"/>
      <c r="D55" s="70"/>
      <c r="E55" s="58"/>
      <c r="F55" s="73"/>
      <c r="G55" s="58"/>
      <c r="H55" s="73"/>
      <c r="I55" s="58"/>
      <c r="J55" s="73"/>
      <c r="K55" s="58"/>
      <c r="L55" s="73"/>
      <c r="M55" s="58"/>
      <c r="N55" s="73"/>
      <c r="O55" s="58"/>
      <c r="P55" s="73"/>
      <c r="Q55" s="58"/>
      <c r="R55" s="73"/>
      <c r="S55" s="58"/>
      <c r="T55" s="73"/>
      <c r="U55" s="58"/>
      <c r="V55" s="73"/>
      <c r="W55" s="58"/>
      <c r="X55" s="73"/>
      <c r="Y55" s="58"/>
      <c r="Z55" s="73"/>
      <c r="AA55" s="58"/>
      <c r="AB55" s="73"/>
      <c r="AC55" s="58"/>
      <c r="AD55" s="70"/>
      <c r="AE55" s="58"/>
      <c r="AF55" s="58"/>
    </row>
    <row r="56" spans="1:71">
      <c r="A56" s="84" t="s">
        <v>330</v>
      </c>
      <c r="B56" s="58" t="str">
        <f>_xll.HPHEA($A56,$G$2)</f>
        <v>Transport and exch rec-third party (DP)</v>
      </c>
      <c r="C56" s="58">
        <f>ROUND((_xll.HPVAL($G$1,"py1",$A56,$C$7,"YTD","gpg")/1000),0)</f>
        <v>11991</v>
      </c>
      <c r="D56" s="70" t="s">
        <v>226</v>
      </c>
      <c r="E56" s="58">
        <f>ROUND((_xll.HPVAL($G$1,"ACTUAL",$A56,$E$7,"YTD","gpg")/1000),0)</f>
        <v>14096</v>
      </c>
      <c r="F56" s="73" t="s">
        <v>219</v>
      </c>
      <c r="G56" s="58">
        <f>ROUND((_xll.HPVAL($G$1,"ACTUAL",$A56,$G$7,"YTD","gpg")/1000),0)</f>
        <v>12657</v>
      </c>
      <c r="H56" s="73"/>
      <c r="I56" s="58">
        <f>ROUND((_xll.HPVAL($G$1,"ACTUAL",$A56,$I$7,"YTD","gpg")/1000),0)</f>
        <v>12433</v>
      </c>
      <c r="J56" s="73"/>
      <c r="K56" s="58">
        <f>ROUND((_xll.HPVAL($G$1,"ACTUAL",$A56,$K$7,"YTD","gpg")/1000),0)</f>
        <v>14203</v>
      </c>
      <c r="L56" s="73" t="s">
        <v>223</v>
      </c>
      <c r="M56" s="58">
        <f>ROUND((_xll.HPVAL($G$1,"ACTUAL",$A56,$M$7,"YTD","gpg")/1000),0)</f>
        <v>15118</v>
      </c>
      <c r="N56" s="73" t="s">
        <v>223</v>
      </c>
      <c r="O56" s="58">
        <f>ROUND((_xll.HPVAL($G$1,"ACTUAL",$A56,$O$7,"YTD","gpg")/1000),0)</f>
        <v>15077</v>
      </c>
      <c r="P56" s="73" t="s">
        <v>223</v>
      </c>
      <c r="Q56" s="58">
        <f>ROUND((_xll.HPVAL($G$1,"ACTUAL",$A56,$Q$7,"YTD","gpg")/1000),0)</f>
        <v>14543</v>
      </c>
      <c r="R56" s="73"/>
      <c r="S56" s="58">
        <f>ROUND((_xll.HPVAL($G$1,"ACTUAL",$A56,$S$7,"YTD","gpg")/1000),0)</f>
        <v>15789</v>
      </c>
      <c r="T56" s="73"/>
      <c r="U56" s="58">
        <f>ROUND((_xll.HPVAL($G$1,"ACTUAL",$A56,$U$7,"YTD","gpg")/1000),0)</f>
        <v>0</v>
      </c>
      <c r="V56" s="73"/>
      <c r="W56" s="58">
        <f>ROUND((_xll.HPVAL($G$1,"ACTUAL",$A56,$W$7,"YTD","gpg")/1000),0)</f>
        <v>0</v>
      </c>
      <c r="X56" s="73"/>
      <c r="Y56" s="58">
        <f>ROUND((_xll.HPVAL($G$1,"ACTUAL",$A56,$Y$7,"YTD","gpg")/1000),0)</f>
        <v>0</v>
      </c>
      <c r="Z56" s="73"/>
      <c r="AA56" s="58">
        <f>ROUND((_xll.HPVAL($G$1,"ACTUAL",$A56,$AA$7,"YTD","gpg")/1000),0)</f>
        <v>0</v>
      </c>
      <c r="AB56" s="73"/>
      <c r="AC56" s="58">
        <f>IF(mo=1,+E56-C56,CHOOSE(mo,E56,G56,I56,K56,M56,O56,Q56,S56,U56,W56,Y56,AA56)-CHOOSE(mo-1,E56,G56,I56,K56,M56,O56,Q56,S56,U56,W56,Y56,AA56))</f>
        <v>1246</v>
      </c>
      <c r="AD56" s="70"/>
      <c r="AE56" s="58">
        <f>CHOOSE(mo,E56,G56,I56,K56,M56,O56,Q56,S56,U56,W56,Y56,AA56)-C56</f>
        <v>3798</v>
      </c>
      <c r="AF56" s="58"/>
    </row>
    <row r="57" spans="1:71">
      <c r="A57" s="58"/>
      <c r="B57" s="58" t="s">
        <v>214</v>
      </c>
      <c r="C57" s="85">
        <f>+C58-SUM(C56:C56)</f>
        <v>0</v>
      </c>
      <c r="D57" s="70"/>
      <c r="E57" s="85">
        <f>+E58-SUM(E56:E56)</f>
        <v>0</v>
      </c>
      <c r="F57" s="77"/>
      <c r="G57" s="85">
        <f>+G58-SUM(G56:G56)</f>
        <v>0</v>
      </c>
      <c r="H57" s="77"/>
      <c r="I57" s="85">
        <f>+I58-SUM(I56:I56)</f>
        <v>0</v>
      </c>
      <c r="J57" s="77"/>
      <c r="K57" s="85">
        <f>+K58-SUM(K56:K56)</f>
        <v>0</v>
      </c>
      <c r="L57" s="77"/>
      <c r="M57" s="85">
        <f>+M58-SUM(M56:M56)</f>
        <v>0</v>
      </c>
      <c r="N57" s="77"/>
      <c r="O57" s="85">
        <f>+O58-SUM(O56:O56)</f>
        <v>0</v>
      </c>
      <c r="P57" s="77"/>
      <c r="Q57" s="85">
        <f>+Q58-SUM(Q56:Q56)</f>
        <v>0</v>
      </c>
      <c r="R57" s="77"/>
      <c r="S57" s="85">
        <f>+S58-SUM(S56:S56)</f>
        <v>0</v>
      </c>
      <c r="T57" s="77"/>
      <c r="U57" s="85">
        <f>+U58-SUM(U56:U56)</f>
        <v>0</v>
      </c>
      <c r="V57" s="77"/>
      <c r="W57" s="85">
        <f>+W58-SUM(W56:W56)</f>
        <v>0</v>
      </c>
      <c r="X57" s="77"/>
      <c r="Y57" s="85">
        <f>+Y58-SUM(Y56:Y56)</f>
        <v>0</v>
      </c>
      <c r="Z57" s="77"/>
      <c r="AA57" s="85">
        <f>+AA58-SUM(AA56:AA56)</f>
        <v>0</v>
      </c>
      <c r="AB57" s="77"/>
      <c r="AC57" s="85">
        <f>IF(mo=1,+E57-C57,CHOOSE(mo,E57,G57,I57,K57,M57,O57,Q57,S57,U57,W57,Y57,AA57)-CHOOSE(mo-1,E57,G57,I57,K57,M57,O57,Q57,S57,U57,W57,Y57,AA57))</f>
        <v>0</v>
      </c>
      <c r="AD57" s="70"/>
      <c r="AE57" s="85">
        <f>CHOOSE(mo,E57,G57,I57,K57,M57,O57,Q57,S57,U57,W57,Y57,AA57)-C57</f>
        <v>0</v>
      </c>
      <c r="AF57" s="58"/>
    </row>
    <row r="58" spans="1:71" s="13" customFormat="1" ht="15" customHeight="1" thickBot="1">
      <c r="A58" s="144" t="s">
        <v>79</v>
      </c>
      <c r="B58" s="60" t="s">
        <v>225</v>
      </c>
      <c r="C58" s="86">
        <f>ROUND((_xll.HPVAL($G$1,"py1",$A58,$C$7,"YTD","gpg")/1000),0)</f>
        <v>11991</v>
      </c>
      <c r="D58" s="70"/>
      <c r="E58" s="86">
        <f>ROUND((_xll.HPVAL($G$1,"ACTUAL",$A58,$E$7,"YTD","gpg")/1000),0)</f>
        <v>14096</v>
      </c>
      <c r="F58" s="77"/>
      <c r="G58" s="86">
        <f>ROUND((_xll.HPVAL($G$1,"ACTUAL",$A58,$G$7,"YTD","gpg")/1000),0)</f>
        <v>12657</v>
      </c>
      <c r="H58" s="77" t="s">
        <v>231</v>
      </c>
      <c r="I58" s="86">
        <f>ROUND((_xll.HPVAL($G$1,"ACTUAL",$A58,$I$7,"YTD","gpg")/1000),0)</f>
        <v>12433</v>
      </c>
      <c r="J58" s="77" t="s">
        <v>223</v>
      </c>
      <c r="K58" s="86">
        <f>ROUND((_xll.HPVAL($G$1,"ACTUAL",$A58,$K$7,"YTD","gpg")/1000),0)</f>
        <v>14203</v>
      </c>
      <c r="L58" s="77"/>
      <c r="M58" s="86">
        <f>ROUND((_xll.HPVAL($G$1,"ACTUAL",$A58,$M$7,"YTD","gpg")/1000),0)</f>
        <v>15118</v>
      </c>
      <c r="N58" s="77"/>
      <c r="O58" s="86">
        <f>ROUND((_xll.HPVAL($G$1,"ACTUAL",$A58,$O$7,"YTD","gpg")/1000),0)</f>
        <v>15077</v>
      </c>
      <c r="P58" s="77"/>
      <c r="Q58" s="86">
        <f>ROUND((_xll.HPVAL($G$1,"ACTUAL",$A58,$Q$7,"YTD","gpg")/1000),0)</f>
        <v>14543</v>
      </c>
      <c r="R58" s="77"/>
      <c r="S58" s="86">
        <f>ROUND((_xll.HPVAL($G$1,"ACTUAL",$A58,$S$7,"YTD","gpg")/1000),0)</f>
        <v>15789</v>
      </c>
      <c r="T58" s="77"/>
      <c r="U58" s="86">
        <f>ROUND((_xll.HPVAL($G$1,"ACTUAL",$A58,$U$7,"YTD","gpg")/1000),0)</f>
        <v>0</v>
      </c>
      <c r="V58" s="77"/>
      <c r="W58" s="86">
        <f>ROUND((_xll.HPVAL($G$1,"ACTUAL",$A58,$W$7,"YTD","gpg")/1000),0)</f>
        <v>0</v>
      </c>
      <c r="X58" s="77"/>
      <c r="Y58" s="86">
        <f>ROUND((_xll.HPVAL($G$1,"ACTUAL",$A58,$Y$7,"YTD","gpg")/1000),0)</f>
        <v>0</v>
      </c>
      <c r="Z58" s="77"/>
      <c r="AA58" s="86">
        <f>ROUND((_xll.HPVAL($G$1,"ACTUAL",$A58,$AA$7,"YTD","gpg")/1000),0)</f>
        <v>0</v>
      </c>
      <c r="AB58" s="77"/>
      <c r="AC58" s="86">
        <f>SUM(AC56:AC57)</f>
        <v>1246</v>
      </c>
      <c r="AD58" s="70"/>
      <c r="AE58" s="86">
        <f>SUM(AE56:AE57)</f>
        <v>3798</v>
      </c>
      <c r="AF58" s="60"/>
      <c r="AG58" s="5"/>
    </row>
    <row r="59" spans="1:71" ht="10.8" thickTop="1">
      <c r="A59" s="84"/>
      <c r="B59" s="58"/>
      <c r="C59" s="72"/>
      <c r="D59" s="70"/>
      <c r="E59" s="72"/>
      <c r="F59" s="77"/>
      <c r="G59" s="72"/>
      <c r="H59" s="77"/>
      <c r="I59" s="72"/>
      <c r="J59" s="77"/>
      <c r="K59" s="72"/>
      <c r="L59" s="77"/>
      <c r="M59" s="72"/>
      <c r="N59" s="77"/>
      <c r="O59" s="72"/>
      <c r="P59" s="77"/>
      <c r="Q59" s="72"/>
      <c r="R59" s="77"/>
      <c r="S59" s="72"/>
      <c r="T59" s="77"/>
      <c r="U59" s="72"/>
      <c r="V59" s="77"/>
      <c r="W59" s="72"/>
      <c r="X59" s="77"/>
      <c r="Y59" s="72"/>
      <c r="Z59" s="77"/>
      <c r="AA59" s="72"/>
      <c r="AB59" s="77"/>
      <c r="AC59" s="72"/>
      <c r="AD59" s="70"/>
      <c r="AE59" s="72"/>
      <c r="AF59" s="60"/>
      <c r="AH59" s="13"/>
      <c r="AI59" s="13"/>
      <c r="AJ59" s="13"/>
    </row>
    <row r="60" spans="1:71">
      <c r="A60" s="89" t="s">
        <v>331</v>
      </c>
      <c r="B60" s="58" t="str">
        <f>_xll.HPHEA($A60,$G$2)</f>
        <v>Prepayments - purchases (DP)</v>
      </c>
      <c r="C60" s="75">
        <f>ROUND((_xll.HPVAL($G$1,"py1",$A60,$C$7,"YTD","gpg")/1000),0)</f>
        <v>6</v>
      </c>
      <c r="D60" s="70"/>
      <c r="E60" s="75">
        <f>ROUND((_xll.HPVAL($G$1,"ACTUAL",$A60,$E$7,"YTD","gpg")/1000),0)</f>
        <v>5</v>
      </c>
      <c r="F60" s="77"/>
      <c r="G60" s="75">
        <f>ROUND((_xll.HPVAL($G$1,"ACTUAL",$A60,$G$7,"YTD","gpg")/1000),0)</f>
        <v>4</v>
      </c>
      <c r="H60" s="77"/>
      <c r="I60" s="75">
        <f>ROUND((_xll.HPVAL($G$1,"ACTUAL",$A60,$I$7,"YTD","gpg")/1000),0)</f>
        <v>3</v>
      </c>
      <c r="J60" s="77"/>
      <c r="K60" s="75">
        <f>ROUND((_xll.HPVAL($G$1,"ACTUAL",$A60,$K$7,"YTD","gpg")/1000),0)</f>
        <v>3</v>
      </c>
      <c r="L60" s="77"/>
      <c r="M60" s="75">
        <f>ROUND((_xll.HPVAL($G$1,"ACTUAL",$A60,$M$7,"YTD","gpg")/1000),0)</f>
        <v>2</v>
      </c>
      <c r="N60" s="77"/>
      <c r="O60" s="75">
        <f>ROUND((_xll.HPVAL($G$1,"ACTUAL",$A60,$O$7,"YTD","gpg")/1000),0)</f>
        <v>1</v>
      </c>
      <c r="P60" s="77"/>
      <c r="Q60" s="75">
        <f>ROUND((_xll.HPVAL($G$1,"ACTUAL",$A60,$Q$7,"YTD","gpg")/1000),0)</f>
        <v>0</v>
      </c>
      <c r="R60" s="77"/>
      <c r="S60" s="75">
        <f>ROUND((_xll.HPVAL($G$1,"ACTUAL",$A60,$S$7,"YTD","gpg")/1000),0)</f>
        <v>0</v>
      </c>
      <c r="T60" s="77"/>
      <c r="U60" s="75">
        <f>ROUND((_xll.HPVAL($G$1,"ACTUAL",$A60,$U$7,"YTD","gpg")/1000),0)</f>
        <v>0</v>
      </c>
      <c r="V60" s="77"/>
      <c r="W60" s="75">
        <f>ROUND((_xll.HPVAL($G$1,"ACTUAL",$A60,$W$7,"YTD","gpg")/1000),0)</f>
        <v>0</v>
      </c>
      <c r="X60" s="77"/>
      <c r="Y60" s="75">
        <f>ROUND((_xll.HPVAL($G$1,"ACTUAL",$A60,$Y$7,"YTD","gpg")/1000),0)</f>
        <v>0</v>
      </c>
      <c r="Z60" s="77"/>
      <c r="AA60" s="75">
        <f>ROUND((_xll.HPVAL($G$1,"ACTUAL",$A60,$AA$7,"YTD","gpg")/1000),0)</f>
        <v>0</v>
      </c>
      <c r="AB60" s="77"/>
      <c r="AC60" s="58">
        <f>IF(mo=1,+E60-C60,CHOOSE(mo,E60,G60,I60,K60,M60,O60,Q60,S60,U60,W60,Y60,AA60)-CHOOSE(mo-1,E60,G60,I60,K60,M60,O60,Q60,S60,U60,W60,Y60,AA60))</f>
        <v>0</v>
      </c>
      <c r="AD60" s="70"/>
      <c r="AE60" s="75">
        <f>CHOOSE(mo,E60,G60,I60,K60,M60,O60,Q60,S60,U60,W60,Y60,AA60)-C60</f>
        <v>-6</v>
      </c>
      <c r="AF60" s="75"/>
      <c r="AH60" s="13"/>
      <c r="AI60" s="13"/>
      <c r="AJ60" s="13"/>
    </row>
    <row r="61" spans="1:71">
      <c r="A61" s="84"/>
      <c r="B61" s="58" t="s">
        <v>214</v>
      </c>
      <c r="C61" s="75">
        <f>C62-SUM(C60:C60)</f>
        <v>0</v>
      </c>
      <c r="D61" s="70"/>
      <c r="E61" s="75">
        <f>E62-SUM(E60:E60)</f>
        <v>0</v>
      </c>
      <c r="F61" s="77"/>
      <c r="G61" s="75">
        <f>G62-SUM(G60:G60)</f>
        <v>0</v>
      </c>
      <c r="H61" s="77"/>
      <c r="I61" s="75">
        <f>I62-SUM(I60:I60)</f>
        <v>0</v>
      </c>
      <c r="J61" s="77"/>
      <c r="K61" s="75">
        <f>K62-SUM(K60:K60)</f>
        <v>0</v>
      </c>
      <c r="L61" s="77"/>
      <c r="M61" s="75">
        <f>M62-SUM(M60:M60)</f>
        <v>0</v>
      </c>
      <c r="N61" s="77"/>
      <c r="O61" s="75">
        <f>O62-SUM(O60:O60)</f>
        <v>0</v>
      </c>
      <c r="P61" s="77"/>
      <c r="Q61" s="75">
        <f>Q62-SUM(Q60:Q60)</f>
        <v>0</v>
      </c>
      <c r="R61" s="77"/>
      <c r="S61" s="75">
        <f>S62-SUM(S60:S60)</f>
        <v>0</v>
      </c>
      <c r="T61" s="77"/>
      <c r="U61" s="75">
        <f>U62-SUM(U60:U60)</f>
        <v>0</v>
      </c>
      <c r="V61" s="77"/>
      <c r="W61" s="75">
        <f>W62-SUM(W60:W60)</f>
        <v>0</v>
      </c>
      <c r="X61" s="77"/>
      <c r="Y61" s="75">
        <f>Y62-SUM(Y60:Y60)</f>
        <v>0</v>
      </c>
      <c r="Z61" s="77"/>
      <c r="AA61" s="75">
        <f>AA62-SUM(AA60:AA60)</f>
        <v>0</v>
      </c>
      <c r="AB61" s="77"/>
      <c r="AC61" s="58">
        <f t="shared" ref="AC61:AC83" si="4">IF(mo=1,+E61-C61,CHOOSE(mo,E61,G61,I61,K61,M61,O61,Q61,S61,U61,W61,Y61,AA61)-CHOOSE(mo-1,E61,G61,I61,K61,M61,O61,Q61,S61,U61,W61,Y61,AA61))</f>
        <v>0</v>
      </c>
      <c r="AD61" s="70"/>
      <c r="AE61" s="75">
        <f>CHOOSE(mo,E61,G61,I61,K61,M61,O61,Q61,S61,U61,W61,Y61,AA61)-C61</f>
        <v>0</v>
      </c>
      <c r="AF61" s="75"/>
      <c r="AH61" s="13"/>
      <c r="AI61" s="13"/>
      <c r="AJ61" s="13"/>
    </row>
    <row r="62" spans="1:71" s="13" customFormat="1" ht="15" customHeight="1" thickBot="1">
      <c r="A62" s="59"/>
      <c r="B62" s="60" t="s">
        <v>307</v>
      </c>
      <c r="C62" s="88">
        <f>ROUND((_xll.HPVAL($G$1,"py1","0166",$C$7,"YTD","gpg")/1000),0)+ROUND((_xll.HPVAL($G$1,"py1","0175",$C$7,"YTD","gpg")/1000),0)</f>
        <v>6</v>
      </c>
      <c r="D62" s="70"/>
      <c r="E62" s="88">
        <f>ROUND((_xll.HPVAL($G$1,"actual","0166",$E$7,"YTD","gpg")/1000),0)+ROUND((_xll.HPVAL($G$1,"actual","0175",$E$7,"YTD","gpg")/1000),0)</f>
        <v>5</v>
      </c>
      <c r="F62" s="73"/>
      <c r="G62" s="88">
        <f>ROUND((_xll.HPVAL($G$1,"actual","0166",G7,"YTD","gpg")/1000),0)+ROUND((_xll.HPVAL($G$1,"actual","0175",$G$7,"YTD","gpg")/1000),0)</f>
        <v>4</v>
      </c>
      <c r="H62" s="73"/>
      <c r="I62" s="88">
        <f>ROUND((_xll.HPVAL($G$1,"actual","0166",I7,"YTD","gpg")/1000),0)+ROUND((_xll.HPVAL($G$1,"actual","0175",$I$7,"YTD","gpg")/1000),0)</f>
        <v>3</v>
      </c>
      <c r="J62" s="73"/>
      <c r="K62" s="88">
        <f>ROUND((_xll.HPVAL($G$1,"actual","0166",K7,"YTD","gpg")/1000),0)+ROUND((_xll.HPVAL($G$1,"actual","0175",$K$7,"YTD","gpg")/1000),0)</f>
        <v>3</v>
      </c>
      <c r="L62" s="73"/>
      <c r="M62" s="88">
        <f>ROUND((_xll.HPVAL($G$1,"actual","0166",M7,"YTD","gpg")/1000),0)+ROUND((_xll.HPVAL($G$1,"actual","0175",$M$7,"YTD","gpg")/1000),0)</f>
        <v>2</v>
      </c>
      <c r="N62" s="73"/>
      <c r="O62" s="88">
        <f>ROUND((_xll.HPVAL($G$1,"actual","0166",O7,"YTD","gpg")/1000),0)+ROUND((_xll.HPVAL($G$1,"actual","0175",$O$7,"YTD","gpg")/1000),0)</f>
        <v>1</v>
      </c>
      <c r="P62" s="73"/>
      <c r="Q62" s="88">
        <f>ROUND((_xll.HPVAL($G$1,"actual","0166",Q7,"YTD","gpg")/1000),0)+ROUND((_xll.HPVAL($G$1,"actual","0175",$Q$7,"YTD","gpg")/1000),0)</f>
        <v>0</v>
      </c>
      <c r="R62" s="73"/>
      <c r="S62" s="88">
        <f>ROUND((_xll.HPVAL($G$1,"actual","0166",S7,"YTD","gpg")/1000),0)+ROUND((_xll.HPVAL($G$1,"actual","0175",$S$7,"YTD","gpg")/1000),0)</f>
        <v>0</v>
      </c>
      <c r="T62" s="73"/>
      <c r="U62" s="88">
        <f>ROUND((_xll.HPVAL($G$1,"actual","0166",U7,"YTD","gpg")/1000),0)+ROUND((_xll.HPVAL($G$1,"actual","0175",$U$7,"YTD","gpg")/1000),0)</f>
        <v>0</v>
      </c>
      <c r="V62" s="73"/>
      <c r="W62" s="88">
        <f>ROUND((_xll.HPVAL($G$1,"actual","0166",W7,"YTD","gpg")/1000),0)+ROUND((_xll.HPVAL($G$1,"actual","0175",$W$7,"YTD","gpg")/1000),0)</f>
        <v>0</v>
      </c>
      <c r="X62" s="73"/>
      <c r="Y62" s="88">
        <f>ROUND((_xll.HPVAL($G$1,"actual","0166",Y7,"YTD","gpg")/1000),0)+ROUND((_xll.HPVAL($G$1,"actual","0175",$Y$7,"YTD","gpg")/1000),0)</f>
        <v>0</v>
      </c>
      <c r="Z62" s="73"/>
      <c r="AA62" s="88">
        <f>ROUND((_xll.HPVAL($G$1,"actual","0166",AA7,"YTD","gpg")/1000),0)+ROUND((_xll.HPVAL($G$1,"actual","0175",$AA$7,"YTD","gpg")/1000),0)</f>
        <v>0</v>
      </c>
      <c r="AB62" s="73"/>
      <c r="AC62" s="88">
        <f>SUM(AC60:AC61)</f>
        <v>0</v>
      </c>
      <c r="AD62" s="70"/>
      <c r="AE62" s="88">
        <f>SUM(AE60:AE61)</f>
        <v>-6</v>
      </c>
      <c r="AF62" s="60"/>
      <c r="AG62" s="5"/>
    </row>
    <row r="63" spans="1:71" ht="10.8" thickTop="1">
      <c r="A63" s="84"/>
      <c r="B63" s="58"/>
      <c r="C63" s="75"/>
      <c r="D63" s="70"/>
      <c r="E63" s="75"/>
      <c r="F63" s="77"/>
      <c r="G63" s="75"/>
      <c r="H63" s="77"/>
      <c r="I63" s="75"/>
      <c r="J63" s="77"/>
      <c r="K63" s="75"/>
      <c r="L63" s="77"/>
      <c r="M63" s="75"/>
      <c r="N63" s="77"/>
      <c r="O63" s="75"/>
      <c r="P63" s="77"/>
      <c r="Q63" s="75"/>
      <c r="R63" s="77"/>
      <c r="S63" s="75"/>
      <c r="T63" s="77"/>
      <c r="U63" s="75"/>
      <c r="V63" s="77"/>
      <c r="W63" s="75"/>
      <c r="X63" s="77"/>
      <c r="Y63" s="75"/>
      <c r="Z63" s="77"/>
      <c r="AA63" s="75"/>
      <c r="AB63" s="77"/>
      <c r="AC63" s="58"/>
      <c r="AD63" s="70"/>
      <c r="AE63" s="58"/>
      <c r="AF63" s="58"/>
    </row>
    <row r="64" spans="1:71">
      <c r="A64" s="84" t="s">
        <v>318</v>
      </c>
      <c r="B64" s="58" t="str">
        <f>_xll.HPHEA($A64,$G$2)</f>
        <v>Regulatory assets - current</v>
      </c>
      <c r="C64" s="75">
        <f>ROUND((_xll.HPVAL($G$1,"py1",$A64,$C$7,"YTD","gpg")/1000),0)</f>
        <v>0</v>
      </c>
      <c r="D64" s="70"/>
      <c r="E64" s="75">
        <f>ROUND((_xll.HPVAL($G$1,"ACTUAL",$A64,$E$7,"YTD","gpg")/1000),0)</f>
        <v>775</v>
      </c>
      <c r="F64" s="73"/>
      <c r="G64" s="75">
        <f>ROUND((_xll.HPVAL($G$1,"ACTUAL",$A64,$G$7,"YTD","gpg")/1000),0)</f>
        <v>678</v>
      </c>
      <c r="H64" s="73"/>
      <c r="I64" s="75">
        <f>ROUND((_xll.HPVAL($G$1,"ACTUAL",$A64,$I$7,"YTD","gpg")/1000),0)</f>
        <v>0</v>
      </c>
      <c r="J64" s="73"/>
      <c r="K64" s="75">
        <f>ROUND((_xll.HPVAL($G$1,"ACTUAL",$A64,$K$7,"YTD","gpg")/1000),0)</f>
        <v>0</v>
      </c>
      <c r="L64" s="73"/>
      <c r="M64" s="75">
        <f>ROUND((_xll.HPVAL($G$1,"ACTUAL",$A64,$M$7,"YTD","gpg")/1000),0)</f>
        <v>0</v>
      </c>
      <c r="N64" s="73"/>
      <c r="O64" s="75">
        <f>ROUND((_xll.HPVAL($G$1,"ACTUAL",$A64,$O$7,"YTD","gpg")/1000),0)</f>
        <v>0</v>
      </c>
      <c r="P64" s="73"/>
      <c r="Q64" s="75">
        <f>ROUND((_xll.HPVAL($G$1,"ACTUAL",$A64,$Q$7,"YTD","gpg")/1000),0)</f>
        <v>0</v>
      </c>
      <c r="R64" s="73"/>
      <c r="S64" s="75">
        <f>ROUND((_xll.HPVAL($G$1,"ACTUAL",$A64,$S$7,"YTD","gpg")/1000),0)</f>
        <v>0</v>
      </c>
      <c r="T64" s="73"/>
      <c r="U64" s="75">
        <f>ROUND((_xll.HPVAL($G$1,"ACTUAL",$A64,$U$7,"YTD","gpg")/1000),0)</f>
        <v>0</v>
      </c>
      <c r="V64" s="73"/>
      <c r="W64" s="75">
        <f>ROUND((_xll.HPVAL($G$1,"ACTUAL",$A64,$W$7,"YTD","gpg")/1000),0)</f>
        <v>0</v>
      </c>
      <c r="X64" s="73"/>
      <c r="Y64" s="75">
        <f>ROUND((_xll.HPVAL($G$1,"ACTUAL",$A64,$Y$7,"YTD","gpg")/1000),0)</f>
        <v>0</v>
      </c>
      <c r="Z64" s="73"/>
      <c r="AA64" s="75">
        <f>ROUND((_xll.HPVAL($G$1,"ACTUAL",$A64,$AA$7,"YTD","gpg")/1000),0)</f>
        <v>0</v>
      </c>
      <c r="AB64" s="73"/>
      <c r="AC64" s="58">
        <f t="shared" si="4"/>
        <v>0</v>
      </c>
      <c r="AD64" s="70"/>
      <c r="AE64" s="75">
        <f>CHOOSE(mo,E64,G64,I64,K64,M64,O64,Q64,S64,U64,W64,Y64,AA64)-C64</f>
        <v>0</v>
      </c>
      <c r="AF64" s="75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</row>
    <row r="65" spans="1:71">
      <c r="A65" s="84" t="s">
        <v>426</v>
      </c>
      <c r="B65" s="58" t="str">
        <f>_xll.HPHEA($A65,$G$2)</f>
        <v>Reclass to stat orders</v>
      </c>
      <c r="C65" s="75">
        <f>ROUND((_xll.HPVAL($G$1,"py1",$A65,$C$7,"YTD","gpg")/1000),0)</f>
        <v>0</v>
      </c>
      <c r="D65" s="70"/>
      <c r="E65" s="75">
        <f>ROUND((_xll.HPVAL($G$1,"ACTUAL",$A65,$E$7,"YTD","gpg")/1000),0)</f>
        <v>-775</v>
      </c>
      <c r="F65" s="73"/>
      <c r="G65" s="75">
        <f>ROUND((_xll.HPVAL($G$1,"ACTUAL",$A65,$G$7,"YTD","gpg")/1000),0)</f>
        <v>-678</v>
      </c>
      <c r="H65" s="73"/>
      <c r="I65" s="75">
        <f>ROUND((_xll.HPVAL($G$1,"ACTUAL",$A65,$I$7,"YTD","gpg")/1000),0)</f>
        <v>0</v>
      </c>
      <c r="J65" s="73"/>
      <c r="K65" s="75">
        <f>ROUND((_xll.HPVAL($G$1,"ACTUAL",$A65,$K$7,"YTD","gpg")/1000),0)</f>
        <v>0</v>
      </c>
      <c r="L65" s="73"/>
      <c r="M65" s="75">
        <f>ROUND((_xll.HPVAL($G$1,"ACTUAL",$A65,$M$7,"YTD","gpg")/1000),0)</f>
        <v>0</v>
      </c>
      <c r="N65" s="73"/>
      <c r="O65" s="75">
        <f>ROUND((_xll.HPVAL($G$1,"ACTUAL",$A65,$O$7,"YTD","gpg")/1000),0)</f>
        <v>0</v>
      </c>
      <c r="P65" s="73"/>
      <c r="Q65" s="75">
        <f>ROUND((_xll.HPVAL($G$1,"ACTUAL",$A65,$Q$7,"YTD","gpg")/1000),0)</f>
        <v>0</v>
      </c>
      <c r="R65" s="73"/>
      <c r="S65" s="75">
        <f>ROUND((_xll.HPVAL($G$1,"ACTUAL",$A65,$S$7,"YTD","gpg")/1000),0)</f>
        <v>0</v>
      </c>
      <c r="T65" s="73"/>
      <c r="U65" s="75">
        <f>ROUND((_xll.HPVAL($G$1,"ACTUAL",$A65,$U$7,"YTD","gpg")/1000),0)</f>
        <v>0</v>
      </c>
      <c r="V65" s="73"/>
      <c r="W65" s="75">
        <f>ROUND((_xll.HPVAL($G$1,"ACTUAL",$A65,$W$7,"YTD","gpg")/1000),0)</f>
        <v>0</v>
      </c>
      <c r="X65" s="73"/>
      <c r="Y65" s="75">
        <f>ROUND((_xll.HPVAL($G$1,"ACTUAL",$A65,$Y$7,"YTD","gpg")/1000),0)</f>
        <v>0</v>
      </c>
      <c r="Z65" s="73"/>
      <c r="AA65" s="75">
        <f>ROUND((_xll.HPVAL($G$1,"ACTUAL",$A65,$AA$7,"YTD","gpg")/1000),0)</f>
        <v>0</v>
      </c>
      <c r="AB65" s="73"/>
      <c r="AC65" s="58">
        <f>IF(mo=1,+E65-C65,CHOOSE(mo,E65,G65,I65,K65,M65,O65,Q65,S65,U65,W65,Y65,AA65)-CHOOSE(mo-1,E65,G65,I65,K65,M65,O65,Q65,S65,U65,W65,Y65,AA65))</f>
        <v>0</v>
      </c>
      <c r="AD65" s="70"/>
      <c r="AE65" s="75">
        <f>CHOOSE(mo,E65,G65,I65,K65,M65,O65,Q65,S65,U65,W65,Y65,AA65)-C65</f>
        <v>0</v>
      </c>
      <c r="AF65" s="75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</row>
    <row r="66" spans="1:71">
      <c r="A66" s="84" t="s">
        <v>90</v>
      </c>
      <c r="B66" s="58" t="str">
        <f>_xll.HPHEA($A66,$G$2)</f>
        <v>Current TCR II (1 &amp; 2)</v>
      </c>
      <c r="C66" s="75">
        <f>ROUND((_xll.HPVAL($G$1,"py1",$A66,$C$7,"YTD","gpg")/1000),0)</f>
        <v>1668</v>
      </c>
      <c r="D66" s="70"/>
      <c r="E66" s="75">
        <f>ROUND((_xll.HPVAL($G$1,"ACTUAL",$A66,$E$7,"YTD","gpg")/1000),0)</f>
        <v>1668</v>
      </c>
      <c r="F66" s="73"/>
      <c r="G66" s="75">
        <f>ROUND((_xll.HPVAL($G$1,"ACTUAL",$A66,$G$7,"YTD","gpg")/1000),0)</f>
        <v>1668</v>
      </c>
      <c r="H66" s="73"/>
      <c r="I66" s="75">
        <f>ROUND((_xll.HPVAL($G$1,"ACTUAL",$A66,$I$7,"YTD","gpg")/1000),0)</f>
        <v>1668</v>
      </c>
      <c r="J66" s="73"/>
      <c r="K66" s="75">
        <f>ROUND((_xll.HPVAL($G$1,"ACTUAL",$A66,$K$7,"YTD","gpg")/1000),0)</f>
        <v>1668</v>
      </c>
      <c r="L66" s="73"/>
      <c r="M66" s="75">
        <f>ROUND((_xll.HPVAL($G$1,"ACTUAL",$A66,$M$7,"YTD","gpg")/1000),0)</f>
        <v>1668</v>
      </c>
      <c r="N66" s="73"/>
      <c r="O66" s="75">
        <f>ROUND((_xll.HPVAL($G$1,"ACTUAL",$A66,$O$7,"YTD","gpg")/1000),0)</f>
        <v>1668</v>
      </c>
      <c r="P66" s="73"/>
      <c r="Q66" s="75">
        <f>ROUND((_xll.HPVAL($G$1,"ACTUAL",$A66,$Q$7,"YTD","gpg")/1000),0)</f>
        <v>1290</v>
      </c>
      <c r="R66" s="73"/>
      <c r="S66" s="75">
        <f>ROUND((_xll.HPVAL($G$1,"ACTUAL",$A66,$S$7,"YTD","gpg")/1000),0)</f>
        <v>1290</v>
      </c>
      <c r="T66" s="73"/>
      <c r="U66" s="75">
        <f>ROUND((_xll.HPVAL($G$1,"ACTUAL",$A66,$U$7,"YTD","gpg")/1000),0)</f>
        <v>0</v>
      </c>
      <c r="V66" s="73"/>
      <c r="W66" s="75">
        <f>ROUND((_xll.HPVAL($G$1,"ACTUAL",$A66,$W$7,"YTD","gpg")/1000),0)</f>
        <v>0</v>
      </c>
      <c r="X66" s="73"/>
      <c r="Y66" s="75">
        <f>ROUND((_xll.HPVAL($G$1,"ACTUAL",$A66,$Y$7,"YTD","gpg")/1000),0)</f>
        <v>0</v>
      </c>
      <c r="Z66" s="73"/>
      <c r="AA66" s="75">
        <f>ROUND((_xll.HPVAL($G$1,"ACTUAL",$A66,$AA$7,"YTD","gpg")/1000),0)</f>
        <v>0</v>
      </c>
      <c r="AB66" s="73"/>
      <c r="AC66" s="58">
        <f>IF(mo=1,+E66-C66,CHOOSE(mo,E66,G66,I66,K66,M66,O66,Q66,S66,U66,W66,Y66,AA66)-CHOOSE(mo-1,E66,G66,I66,K66,M66,O66,Q66,S66,U66,W66,Y66,AA66))</f>
        <v>0</v>
      </c>
      <c r="AD66" s="70"/>
      <c r="AE66" s="75">
        <f>CHOOSE(mo,E66,G66,I66,K66,M66,O66,Q66,S66,U66,W66,Y66,AA66)-C66</f>
        <v>-378</v>
      </c>
      <c r="AF66" s="75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</row>
    <row r="67" spans="1:71">
      <c r="A67" s="84" t="s">
        <v>91</v>
      </c>
      <c r="B67" s="58" t="str">
        <f>_xll.HPHEA($A67,$G$2)</f>
        <v>TCR C - current portion</v>
      </c>
      <c r="C67" s="75">
        <f>ROUND((_xll.HPVAL($G$1,"py1",$A67,$C$7,"YTD","gpg")/1000),0)</f>
        <v>0</v>
      </c>
      <c r="D67" s="70"/>
      <c r="E67" s="75">
        <f>ROUND((_xll.HPVAL($G$1,"ACTUAL",$A67,$E$7,"YTD","gpg")/1000),0)</f>
        <v>0</v>
      </c>
      <c r="F67" s="73"/>
      <c r="G67" s="75">
        <f>ROUND((_xll.HPVAL($G$1,"ACTUAL",$A67,$G$7,"YTD","gpg")/1000),0)</f>
        <v>0</v>
      </c>
      <c r="H67" s="73"/>
      <c r="I67" s="75">
        <f>ROUND((_xll.HPVAL($G$1,"ACTUAL",$A67,$I$7,"YTD","gpg")/1000),0)</f>
        <v>0</v>
      </c>
      <c r="J67" s="73"/>
      <c r="K67" s="75">
        <f>ROUND((_xll.HPVAL($G$1,"ACTUAL",$A67,$K$7,"YTD","gpg")/1000),0)</f>
        <v>0</v>
      </c>
      <c r="L67" s="73"/>
      <c r="M67" s="75">
        <f>ROUND((_xll.HPVAL($G$1,"ACTUAL",$A67,$M$7,"YTD","gpg")/1000),0)</f>
        <v>0</v>
      </c>
      <c r="N67" s="73"/>
      <c r="O67" s="75">
        <f>ROUND((_xll.HPVAL($G$1,"ACTUAL",$A67,$O$7,"YTD","gpg")/1000),0)</f>
        <v>0</v>
      </c>
      <c r="P67" s="73"/>
      <c r="Q67" s="75">
        <f>ROUND((_xll.HPVAL($G$1,"ACTUAL",$A67,$Q$7,"YTD","gpg")/1000),0)</f>
        <v>378</v>
      </c>
      <c r="R67" s="73"/>
      <c r="S67" s="75">
        <f>ROUND((_xll.HPVAL($G$1,"ACTUAL",$A67,$S$7,"YTD","gpg")/1000),0)</f>
        <v>378</v>
      </c>
      <c r="T67" s="73"/>
      <c r="U67" s="75">
        <f>ROUND((_xll.HPVAL($G$1,"ACTUAL",$A67,$U$7,"YTD","gpg")/1000),0)</f>
        <v>0</v>
      </c>
      <c r="V67" s="73"/>
      <c r="W67" s="75">
        <f>ROUND((_xll.HPVAL($G$1,"ACTUAL",$A67,$W$7,"YTD","gpg")/1000),0)</f>
        <v>0</v>
      </c>
      <c r="X67" s="73"/>
      <c r="Y67" s="75">
        <f>ROUND((_xll.HPVAL($G$1,"ACTUAL",$A67,$Y$7,"YTD","gpg")/1000),0)</f>
        <v>0</v>
      </c>
      <c r="Z67" s="73"/>
      <c r="AA67" s="75">
        <f>ROUND((_xll.HPVAL($G$1,"ACTUAL",$A67,$AA$7,"YTD","gpg")/1000),0)</f>
        <v>0</v>
      </c>
      <c r="AB67" s="73"/>
      <c r="AC67" s="58">
        <f>IF(mo=1,+E67-C67,CHOOSE(mo,E67,G67,I67,K67,M67,O67,Q67,S67,U67,W67,Y67,AA67)-CHOOSE(mo-1,E67,G67,I67,K67,M67,O67,Q67,S67,U67,W67,Y67,AA67))</f>
        <v>0</v>
      </c>
      <c r="AD67" s="70"/>
      <c r="AE67" s="75">
        <f>CHOOSE(mo,E67,G67,I67,K67,M67,O67,Q67,S67,U67,W67,Y67,AA67)-C67</f>
        <v>378</v>
      </c>
      <c r="AF67" s="75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</row>
    <row r="68" spans="1:71">
      <c r="A68" s="89" t="s">
        <v>93</v>
      </c>
      <c r="B68" s="58" t="str">
        <f>_xll.HPHEA($A68,$G$2)</f>
        <v>Current Audit Adjustment</v>
      </c>
      <c r="C68" s="58">
        <f>ROUND((_xll.HPVAL($G$1,"py1",$A68,$C$7,"YTD","gpg")/1000),0)</f>
        <v>126</v>
      </c>
      <c r="D68" s="70"/>
      <c r="E68" s="58">
        <f>ROUND((_xll.HPVAL($G$1,"ACTUAL",$A68,$E$7,"YTD","gpg")/1000),0)</f>
        <v>126</v>
      </c>
      <c r="F68" s="73"/>
      <c r="G68" s="58">
        <f>ROUND((_xll.HPVAL($G$1,"ACTUAL",$A68,$G$7,"YTD","gpg")/1000),0)</f>
        <v>126</v>
      </c>
      <c r="H68" s="73"/>
      <c r="I68" s="58">
        <f>ROUND((_xll.HPVAL($G$1,"ACTUAL",$A68,$I$7,"YTD","gpg")/1000),0)</f>
        <v>126</v>
      </c>
      <c r="J68" s="73"/>
      <c r="K68" s="58">
        <f>ROUND((_xll.HPVAL($G$1,"ACTUAL",$A68,$K$7,"YTD","gpg")/1000),0)</f>
        <v>126</v>
      </c>
      <c r="L68" s="73"/>
      <c r="M68" s="58">
        <f>ROUND((_xll.HPVAL($G$1,"ACTUAL",$A68,$M$7,"YTD","gpg")/1000),0)</f>
        <v>126</v>
      </c>
      <c r="N68" s="73"/>
      <c r="O68" s="58">
        <f>ROUND((_xll.HPVAL($G$1,"ACTUAL",$A68,$O$7,"YTD","gpg")/1000),0)</f>
        <v>126</v>
      </c>
      <c r="P68" s="73"/>
      <c r="Q68" s="58">
        <f>ROUND((_xll.HPVAL($G$1,"ACTUAL",$A68,$Q$7,"YTD","gpg")/1000),0)</f>
        <v>126</v>
      </c>
      <c r="R68" s="73"/>
      <c r="S68" s="58">
        <f>ROUND((_xll.HPVAL($G$1,"ACTUAL",$A68,$S$7,"YTD","gpg")/1000),0)</f>
        <v>126</v>
      </c>
      <c r="T68" s="73"/>
      <c r="U68" s="58">
        <f>ROUND((_xll.HPVAL($G$1,"ACTUAL",$A68,$U$7,"YTD","gpg")/1000),0)</f>
        <v>0</v>
      </c>
      <c r="V68" s="73"/>
      <c r="W68" s="58">
        <f>ROUND((_xll.HPVAL($G$1,"ACTUAL",$A68,$W$7,"YTD","gpg")/1000),0)</f>
        <v>0</v>
      </c>
      <c r="X68" s="73"/>
      <c r="Y68" s="58">
        <f>ROUND((_xll.HPVAL($G$1,"ACTUAL",$A68,$Y$7,"YTD","gpg")/1000),0)</f>
        <v>0</v>
      </c>
      <c r="Z68" s="73"/>
      <c r="AA68" s="58">
        <f>ROUND((_xll.HPVAL($G$1,"ACTUAL",$A68,$AA$7,"YTD","gpg")/1000),0)</f>
        <v>0</v>
      </c>
      <c r="AB68" s="73"/>
      <c r="AC68" s="58">
        <f t="shared" si="4"/>
        <v>0</v>
      </c>
      <c r="AD68" s="70"/>
      <c r="AE68" s="58">
        <f t="shared" ref="AE68:AE82" si="5">CHOOSE(mo,E68,G68,I68,K68,M68,O68,Q68,S68,U68,W68,Y68,AA68)-C68</f>
        <v>0</v>
      </c>
      <c r="AF68" s="58"/>
    </row>
    <row r="69" spans="1:71">
      <c r="A69" s="84" t="s">
        <v>102</v>
      </c>
      <c r="B69" s="58" t="str">
        <f>_xll.HPHEA($A69,$G$2)</f>
        <v>Current AFUDC Gross Up</v>
      </c>
      <c r="C69" s="58">
        <f>ROUND((_xll.HPVAL($G$1,"py1",$A69,$C$7,"YTD","gpg")/1000),0)</f>
        <v>101</v>
      </c>
      <c r="D69" s="70"/>
      <c r="E69" s="58">
        <f>ROUND((_xll.HPVAL($G$1,"ACTUAL",$A69,$E$7,"YTD","gpg")/1000),0)</f>
        <v>101</v>
      </c>
      <c r="F69" s="73"/>
      <c r="G69" s="58">
        <f>ROUND((_xll.HPVAL($G$1,"ACTUAL",$A69,$G$7,"YTD","gpg")/1000),0)</f>
        <v>101</v>
      </c>
      <c r="H69" s="73"/>
      <c r="I69" s="58">
        <f>ROUND((_xll.HPVAL($G$1,"ACTUAL",$A69,$I$7,"YTD","gpg")/1000),0)</f>
        <v>101</v>
      </c>
      <c r="J69" s="73"/>
      <c r="K69" s="58">
        <f>ROUND((_xll.HPVAL($G$1,"ACTUAL",$A69,$K$7,"YTD","gpg")/1000),0)</f>
        <v>101</v>
      </c>
      <c r="L69" s="73"/>
      <c r="M69" s="58">
        <f>ROUND((_xll.HPVAL($G$1,"ACTUAL",$A69,$M$7,"YTD","gpg")/1000),0)</f>
        <v>101</v>
      </c>
      <c r="N69" s="73"/>
      <c r="O69" s="58">
        <f>ROUND((_xll.HPVAL($G$1,"ACTUAL",$A69,$O$7,"YTD","gpg")/1000),0)</f>
        <v>101</v>
      </c>
      <c r="P69" s="73"/>
      <c r="Q69" s="58">
        <f>ROUND((_xll.HPVAL($G$1,"ACTUAL",$A69,$Q$7,"YTD","gpg")/1000),0)</f>
        <v>102</v>
      </c>
      <c r="R69" s="73"/>
      <c r="S69" s="58">
        <f>ROUND((_xll.HPVAL($G$1,"ACTUAL",$A69,$S$7,"YTD","gpg")/1000),0)</f>
        <v>102</v>
      </c>
      <c r="T69" s="73"/>
      <c r="U69" s="58">
        <f>ROUND((_xll.HPVAL($G$1,"ACTUAL",$A69,$U$7,"YTD","gpg")/1000),0)</f>
        <v>0</v>
      </c>
      <c r="V69" s="73"/>
      <c r="W69" s="58">
        <f>ROUND((_xll.HPVAL($G$1,"ACTUAL",$A69,$W$7,"YTD","gpg")/1000),0)</f>
        <v>0</v>
      </c>
      <c r="X69" s="73"/>
      <c r="Y69" s="58">
        <f>ROUND((_xll.HPVAL($G$1,"ACTUAL",$A69,$Y$7,"YTD","gpg")/1000),0)</f>
        <v>0</v>
      </c>
      <c r="Z69" s="73"/>
      <c r="AA69" s="58">
        <f>ROUND((_xll.HPVAL($G$1,"ACTUAL",$A69,$AA$7,"YTD","gpg")/1000),0)</f>
        <v>0</v>
      </c>
      <c r="AB69" s="73"/>
      <c r="AC69" s="58">
        <f t="shared" si="4"/>
        <v>0</v>
      </c>
      <c r="AD69" s="70"/>
      <c r="AE69" s="58">
        <f t="shared" si="5"/>
        <v>1</v>
      </c>
      <c r="AF69" s="58"/>
    </row>
    <row r="70" spans="1:71">
      <c r="A70" s="89" t="s">
        <v>94</v>
      </c>
      <c r="B70" s="58" t="str">
        <f>_xll.HPHEA($A70,$G$2)</f>
        <v>Extraordinary environmental costs</v>
      </c>
      <c r="C70" s="58">
        <f>ROUND((_xll.HPVAL($G$1,"py1",$A70,$C$7,"YTD","gpg")/1000),0)</f>
        <v>83</v>
      </c>
      <c r="D70" s="70"/>
      <c r="E70" s="58">
        <f>ROUND((_xll.HPVAL($G$1,"ACTUAL",$A70,$E$7,"YTD","gpg")/1000),0)</f>
        <v>83</v>
      </c>
      <c r="F70" s="73"/>
      <c r="G70" s="58">
        <f>ROUND((_xll.HPVAL($G$1,"ACTUAL",$A70,$G$7,"YTD","gpg")/1000),0)</f>
        <v>83</v>
      </c>
      <c r="H70" s="73"/>
      <c r="I70" s="58">
        <f>ROUND((_xll.HPVAL($G$1,"ACTUAL",$A70,$I$7,"YTD","gpg")/1000),0)</f>
        <v>83</v>
      </c>
      <c r="J70" s="73"/>
      <c r="K70" s="58">
        <f>ROUND((_xll.HPVAL($G$1,"ACTUAL",$A70,$K$7,"YTD","gpg")/1000),0)</f>
        <v>83</v>
      </c>
      <c r="L70" s="73"/>
      <c r="M70" s="58">
        <f>ROUND((_xll.HPVAL($G$1,"ACTUAL",$A70,$M$7,"YTD","gpg")/1000),0)</f>
        <v>83</v>
      </c>
      <c r="N70" s="73"/>
      <c r="O70" s="58">
        <f>ROUND((_xll.HPVAL($G$1,"ACTUAL",$A70,$O$7,"YTD","gpg")/1000),0)</f>
        <v>83</v>
      </c>
      <c r="P70" s="73"/>
      <c r="Q70" s="58">
        <f>ROUND((_xll.HPVAL($G$1,"ACTUAL",$A70,$Q$7,"YTD","gpg")/1000),0)</f>
        <v>83</v>
      </c>
      <c r="R70" s="73"/>
      <c r="S70" s="58">
        <f>ROUND((_xll.HPVAL($G$1,"ACTUAL",$A70,$S$7,"YTD","gpg")/1000),0)</f>
        <v>83</v>
      </c>
      <c r="T70" s="73"/>
      <c r="U70" s="58">
        <f>ROUND((_xll.HPVAL($G$1,"ACTUAL",$A70,$U$7,"YTD","gpg")/1000),0)</f>
        <v>0</v>
      </c>
      <c r="V70" s="73"/>
      <c r="W70" s="58">
        <f>ROUND((_xll.HPVAL($G$1,"ACTUAL",$A70,$W$7,"YTD","gpg")/1000),0)</f>
        <v>0</v>
      </c>
      <c r="X70" s="73"/>
      <c r="Y70" s="58">
        <f>ROUND((_xll.HPVAL($G$1,"ACTUAL",$A70,$Y$7,"YTD","gpg")/1000),0)</f>
        <v>0</v>
      </c>
      <c r="Z70" s="73"/>
      <c r="AA70" s="58">
        <f>ROUND((_xll.HPVAL($G$1,"ACTUAL",$A70,$AA$7,"YTD","gpg")/1000),0)</f>
        <v>0</v>
      </c>
      <c r="AB70" s="73"/>
      <c r="AC70" s="58">
        <f t="shared" si="4"/>
        <v>0</v>
      </c>
      <c r="AD70" s="70"/>
      <c r="AE70" s="58">
        <f t="shared" si="5"/>
        <v>0</v>
      </c>
      <c r="AF70" s="58"/>
    </row>
    <row r="71" spans="1:71">
      <c r="A71" s="89" t="s">
        <v>95</v>
      </c>
      <c r="B71" s="58" t="str">
        <f>_xll.HPHEA($A71,$G$2)</f>
        <v>Litigation costs</v>
      </c>
      <c r="C71" s="58">
        <f>ROUND((_xll.HPVAL($G$1,"py1",$A71,$C$7,"YTD","gpg")/1000),0)</f>
        <v>760</v>
      </c>
      <c r="D71" s="70"/>
      <c r="E71" s="58">
        <f>ROUND((_xll.HPVAL($G$1,"ACTUAL",$A71,$E$7,"YTD","gpg")/1000),0)</f>
        <v>760</v>
      </c>
      <c r="F71" s="73"/>
      <c r="G71" s="58">
        <f>ROUND((_xll.HPVAL($G$1,"ACTUAL",$A71,$G$7,"YTD","gpg")/1000),0)</f>
        <v>760</v>
      </c>
      <c r="H71" s="73"/>
      <c r="I71" s="58">
        <f>ROUND((_xll.HPVAL($G$1,"ACTUAL",$A71,$I$7,"YTD","gpg")/1000),0)</f>
        <v>760</v>
      </c>
      <c r="J71" s="73"/>
      <c r="K71" s="58">
        <f>ROUND((_xll.HPVAL($G$1,"ACTUAL",$A71,$K$7,"YTD","gpg")/1000),0)</f>
        <v>760</v>
      </c>
      <c r="L71" s="73"/>
      <c r="M71" s="58">
        <f>ROUND((_xll.HPVAL($G$1,"ACTUAL",$A71,$M$7,"YTD","gpg")/1000),0)</f>
        <v>760</v>
      </c>
      <c r="N71" s="73"/>
      <c r="O71" s="58">
        <f>ROUND((_xll.HPVAL($G$1,"ACTUAL",$A71,$O$7,"YTD","gpg")/1000),0)</f>
        <v>760</v>
      </c>
      <c r="P71" s="73"/>
      <c r="Q71" s="58">
        <f>ROUND((_xll.HPVAL($G$1,"ACTUAL",$A71,$Q$7,"YTD","gpg")/1000),0)</f>
        <v>760</v>
      </c>
      <c r="R71" s="73"/>
      <c r="S71" s="58">
        <f>ROUND((_xll.HPVAL($G$1,"ACTUAL",$A71,$S$7,"YTD","gpg")/1000),0)</f>
        <v>760</v>
      </c>
      <c r="T71" s="73"/>
      <c r="U71" s="58">
        <f>ROUND((_xll.HPVAL($G$1,"ACTUAL",$A71,$U$7,"YTD","gpg")/1000),0)</f>
        <v>0</v>
      </c>
      <c r="V71" s="73"/>
      <c r="W71" s="58">
        <f>ROUND((_xll.HPVAL($G$1,"ACTUAL",$A71,$W$7,"YTD","gpg")/1000),0)</f>
        <v>0</v>
      </c>
      <c r="X71" s="73"/>
      <c r="Y71" s="58">
        <f>ROUND((_xll.HPVAL($G$1,"ACTUAL",$A71,$Y$7,"YTD","gpg")/1000),0)</f>
        <v>0</v>
      </c>
      <c r="Z71" s="73"/>
      <c r="AA71" s="58">
        <f>ROUND((_xll.HPVAL($G$1,"ACTUAL",$A71,$AA$7,"YTD","gpg")/1000),0)</f>
        <v>0</v>
      </c>
      <c r="AB71" s="73"/>
      <c r="AC71" s="58">
        <f t="shared" si="4"/>
        <v>0</v>
      </c>
      <c r="AD71" s="70"/>
      <c r="AE71" s="58">
        <f t="shared" si="5"/>
        <v>0</v>
      </c>
      <c r="AF71" s="58"/>
    </row>
    <row r="72" spans="1:71">
      <c r="A72" s="84" t="s">
        <v>96</v>
      </c>
      <c r="B72" s="58" t="str">
        <f>_xll.HPHEA($A72,$G$2)</f>
        <v>Current PGAR</v>
      </c>
      <c r="C72" s="58">
        <f>ROUND((_xll.HPVAL($G$1,"py1",$A72,$C$7,"YTD","gpg")/1000),0)</f>
        <v>537</v>
      </c>
      <c r="D72" s="70"/>
      <c r="E72" s="58">
        <f>ROUND((_xll.HPVAL($G$1,"ACTUAL",$A72,$E$7,"YTD","gpg")/1000),0)</f>
        <v>537</v>
      </c>
      <c r="F72" s="76"/>
      <c r="G72" s="58">
        <f>ROUND((_xll.HPVAL($G$1,"ACTUAL",$A72,$G$7,"YTD","gpg")/1000),0)</f>
        <v>537</v>
      </c>
      <c r="H72" s="76"/>
      <c r="I72" s="58">
        <f>ROUND((_xll.HPVAL($G$1,"ACTUAL",$A72,$I$7,"YTD","gpg")/1000),0)</f>
        <v>537</v>
      </c>
      <c r="J72" s="76"/>
      <c r="K72" s="58">
        <f>ROUND((_xll.HPVAL($G$1,"ACTUAL",$A72,$K$7,"YTD","gpg")/1000),0)</f>
        <v>537</v>
      </c>
      <c r="L72" s="76"/>
      <c r="M72" s="58">
        <f>ROUND((_xll.HPVAL($G$1,"ACTUAL",$A72,$M$7,"YTD","gpg")/1000),0)</f>
        <v>537</v>
      </c>
      <c r="N72" s="76"/>
      <c r="O72" s="58">
        <f>ROUND((_xll.HPVAL($G$1,"ACTUAL",$A72,$O$7,"YTD","gpg")/1000),0)</f>
        <v>537</v>
      </c>
      <c r="P72" s="76"/>
      <c r="Q72" s="58">
        <f>ROUND((_xll.HPVAL($G$1,"ACTUAL",$A72,$Q$7,"YTD","gpg")/1000),0)</f>
        <v>537</v>
      </c>
      <c r="R72" s="76"/>
      <c r="S72" s="58">
        <f>ROUND((_xll.HPVAL($G$1,"ACTUAL",$A72,$S$7,"YTD","gpg")/1000),0)</f>
        <v>537</v>
      </c>
      <c r="T72" s="76"/>
      <c r="U72" s="58">
        <f>ROUND((_xll.HPVAL($G$1,"ACTUAL",$A72,$U$7,"YTD","gpg")/1000),0)</f>
        <v>0</v>
      </c>
      <c r="V72" s="76"/>
      <c r="W72" s="58">
        <f>ROUND((_xll.HPVAL($G$1,"ACTUAL",$A72,$W$7,"YTD","gpg")/1000),0)</f>
        <v>0</v>
      </c>
      <c r="X72" s="76"/>
      <c r="Y72" s="58">
        <f>ROUND((_xll.HPVAL($G$1,"ACTUAL",$A72,$Y$7,"YTD","gpg")/1000),0)</f>
        <v>0</v>
      </c>
      <c r="Z72" s="76"/>
      <c r="AA72" s="58">
        <f>ROUND((_xll.HPVAL($G$1,"ACTUAL",$A72,$AA$7,"YTD","gpg")/1000),0)</f>
        <v>0</v>
      </c>
      <c r="AB72" s="76"/>
      <c r="AC72" s="58">
        <f t="shared" si="4"/>
        <v>0</v>
      </c>
      <c r="AD72" s="70"/>
      <c r="AE72" s="58">
        <f t="shared" si="5"/>
        <v>0</v>
      </c>
      <c r="AF72" s="58"/>
    </row>
    <row r="73" spans="1:71">
      <c r="A73" s="84" t="s">
        <v>100</v>
      </c>
      <c r="B73" s="58" t="str">
        <f>_xll.HPHEA($A73,$G$2)</f>
        <v>Current severance/relocation</v>
      </c>
      <c r="C73" s="58">
        <f>ROUND((_xll.HPVAL($G$1,"py1",$A73,$C$7,"YTD","gpg")/1000),0)</f>
        <v>454</v>
      </c>
      <c r="D73" s="70"/>
      <c r="E73" s="58">
        <f>ROUND((_xll.HPVAL($G$1,"ACTUAL",$A73,$E$7,"YTD","gpg")/1000),0)</f>
        <v>454</v>
      </c>
      <c r="F73" s="73"/>
      <c r="G73" s="58">
        <f>ROUND((_xll.HPVAL($G$1,"ACTUAL",$A73,$G$7,"YTD","gpg")/1000),0)</f>
        <v>454</v>
      </c>
      <c r="H73" s="73"/>
      <c r="I73" s="58">
        <f>ROUND((_xll.HPVAL($G$1,"ACTUAL",$A73,$I$7,"YTD","gpg")/1000),0)</f>
        <v>454</v>
      </c>
      <c r="J73" s="73"/>
      <c r="K73" s="58">
        <f>ROUND((_xll.HPVAL($G$1,"ACTUAL",$A73,$K$7,"YTD","gpg")/1000),0)</f>
        <v>454</v>
      </c>
      <c r="L73" s="73"/>
      <c r="M73" s="58">
        <f>ROUND((_xll.HPVAL($G$1,"ACTUAL",$A73,$M$7,"YTD","gpg")/1000),0)</f>
        <v>454</v>
      </c>
      <c r="N73" s="73"/>
      <c r="O73" s="58">
        <f>ROUND((_xll.HPVAL($G$1,"ACTUAL",$A73,$O$7,"YTD","gpg")/1000),0)</f>
        <v>454</v>
      </c>
      <c r="P73" s="73"/>
      <c r="Q73" s="58">
        <f>ROUND((_xll.HPVAL($G$1,"ACTUAL",$A73,$Q$7,"YTD","gpg")/1000),0)</f>
        <v>454</v>
      </c>
      <c r="R73" s="73"/>
      <c r="S73" s="58">
        <f>ROUND((_xll.HPVAL($G$1,"ACTUAL",$A73,$S$7,"YTD","gpg")/1000),0)</f>
        <v>454</v>
      </c>
      <c r="T73" s="73"/>
      <c r="U73" s="58">
        <f>ROUND((_xll.HPVAL($G$1,"ACTUAL",$A73,$U$7,"YTD","gpg")/1000),0)</f>
        <v>0</v>
      </c>
      <c r="V73" s="73"/>
      <c r="W73" s="58">
        <f>ROUND((_xll.HPVAL($G$1,"ACTUAL",$A73,$W$7,"YTD","gpg")/1000),0)</f>
        <v>0</v>
      </c>
      <c r="X73" s="73"/>
      <c r="Y73" s="58">
        <f>ROUND((_xll.HPVAL($G$1,"ACTUAL",$A73,$Y$7,"YTD","gpg")/1000),0)</f>
        <v>0</v>
      </c>
      <c r="Z73" s="73"/>
      <c r="AA73" s="58">
        <f>ROUND((_xll.HPVAL($G$1,"ACTUAL",$A73,$AA$7,"YTD","gpg")/1000),0)</f>
        <v>0</v>
      </c>
      <c r="AB73" s="73"/>
      <c r="AC73" s="58">
        <f t="shared" si="4"/>
        <v>0</v>
      </c>
      <c r="AD73" s="70"/>
      <c r="AE73" s="58">
        <f t="shared" si="5"/>
        <v>0</v>
      </c>
      <c r="AF73" s="58"/>
    </row>
    <row r="74" spans="1:71">
      <c r="A74" s="84" t="s">
        <v>103</v>
      </c>
      <c r="B74" s="58" t="str">
        <f>_xll.HPHEA($A74,$G$2)</f>
        <v>Current accumulated reserve adjustment</v>
      </c>
      <c r="C74" s="58">
        <f>ROUND((_xll.HPVAL($G$1,"py1",$A74,$C$7,"YTD","gpg")/1000),0)</f>
        <v>601</v>
      </c>
      <c r="D74" s="70"/>
      <c r="E74" s="58">
        <f>ROUND((_xll.HPVAL($G$1,"ACTUAL",$A74,$E$7,"YTD","gpg")/1000),0)</f>
        <v>601</v>
      </c>
      <c r="F74" s="73"/>
      <c r="G74" s="58">
        <f>ROUND((_xll.HPVAL($G$1,"ACTUAL",$A74,$G$7,"YTD","gpg")/1000),0)</f>
        <v>601</v>
      </c>
      <c r="H74" s="73"/>
      <c r="I74" s="58">
        <f>ROUND((_xll.HPVAL($G$1,"ACTUAL",$A74,$I$7,"YTD","gpg")/1000),0)</f>
        <v>601</v>
      </c>
      <c r="J74" s="73"/>
      <c r="K74" s="58">
        <f>ROUND((_xll.HPVAL($G$1,"ACTUAL",$A74,$K$7,"YTD","gpg")/1000),0)</f>
        <v>601</v>
      </c>
      <c r="L74" s="73"/>
      <c r="M74" s="58">
        <f>ROUND((_xll.HPVAL($G$1,"ACTUAL",$A74,$M$7,"YTD","gpg")/1000),0)</f>
        <v>601</v>
      </c>
      <c r="N74" s="73"/>
      <c r="O74" s="58">
        <f>ROUND((_xll.HPVAL($G$1,"ACTUAL",$A74,$O$7,"YTD","gpg")/1000),0)</f>
        <v>601</v>
      </c>
      <c r="P74" s="73"/>
      <c r="Q74" s="58">
        <f>ROUND((_xll.HPVAL($G$1,"ACTUAL",$A74,$Q$7,"YTD","gpg")/1000),0)</f>
        <v>601</v>
      </c>
      <c r="R74" s="73"/>
      <c r="S74" s="58">
        <f>ROUND((_xll.HPVAL($G$1,"ACTUAL",$A74,$S$7,"YTD","gpg")/1000),0)</f>
        <v>601</v>
      </c>
      <c r="T74" s="73"/>
      <c r="U74" s="58">
        <f>ROUND((_xll.HPVAL($G$1,"ACTUAL",$A74,$U$7,"YTD","gpg")/1000),0)</f>
        <v>0</v>
      </c>
      <c r="V74" s="73"/>
      <c r="W74" s="58">
        <f>ROUND((_xll.HPVAL($G$1,"ACTUAL",$A74,$W$7,"YTD","gpg")/1000),0)</f>
        <v>0</v>
      </c>
      <c r="X74" s="73"/>
      <c r="Y74" s="58">
        <f>ROUND((_xll.HPVAL($G$1,"ACTUAL",$A74,$Y$7,"YTD","gpg")/1000),0)</f>
        <v>0</v>
      </c>
      <c r="Z74" s="73"/>
      <c r="AA74" s="58">
        <f>ROUND((_xll.HPVAL($G$1,"ACTUAL",$A74,$AA$7,"YTD","gpg")/1000),0)</f>
        <v>0</v>
      </c>
      <c r="AB74" s="73"/>
      <c r="AC74" s="58">
        <f t="shared" si="4"/>
        <v>0</v>
      </c>
      <c r="AD74" s="70"/>
      <c r="AE74" s="58">
        <f t="shared" si="5"/>
        <v>0</v>
      </c>
      <c r="AF74" s="58"/>
    </row>
    <row r="75" spans="1:71">
      <c r="A75" s="84" t="s">
        <v>97</v>
      </c>
      <c r="B75" s="58" t="str">
        <f>_xll.HPHEA($A75,$G$2)</f>
        <v>Current S. GA.</v>
      </c>
      <c r="C75" s="58">
        <f>ROUND((_xll.HPVAL($G$1,"py1",$A75,$C$7,"YTD","gpg")/1000),0)</f>
        <v>49</v>
      </c>
      <c r="D75" s="70"/>
      <c r="E75" s="58">
        <f>ROUND((_xll.HPVAL($G$1,"ACTUAL",$A75,$E$7,"YTD","gpg")/1000),0)</f>
        <v>49</v>
      </c>
      <c r="F75" s="73"/>
      <c r="G75" s="58">
        <f>ROUND((_xll.HPVAL($G$1,"ACTUAL",$A75,$G$7,"YTD","gpg")/1000),0)</f>
        <v>49</v>
      </c>
      <c r="H75" s="73"/>
      <c r="I75" s="58">
        <f>ROUND((_xll.HPVAL($G$1,"ACTUAL",$A75,$I$7,"YTD","gpg")/1000),0)</f>
        <v>49</v>
      </c>
      <c r="J75" s="73"/>
      <c r="K75" s="58">
        <f>ROUND((_xll.HPVAL($G$1,"ACTUAL",$A75,$K$7,"YTD","gpg")/1000),0)</f>
        <v>49</v>
      </c>
      <c r="L75" s="73"/>
      <c r="M75" s="58">
        <f>ROUND((_xll.HPVAL($G$1,"ACTUAL",$A75,$M$7,"YTD","gpg")/1000),0)</f>
        <v>49</v>
      </c>
      <c r="N75" s="73"/>
      <c r="O75" s="58">
        <f>ROUND((_xll.HPVAL($G$1,"ACTUAL",$A75,$O$7,"YTD","gpg")/1000),0)</f>
        <v>49</v>
      </c>
      <c r="P75" s="73"/>
      <c r="Q75" s="58">
        <f>ROUND((_xll.HPVAL($G$1,"ACTUAL",$A75,$Q$7,"YTD","gpg")/1000),0)</f>
        <v>49</v>
      </c>
      <c r="R75" s="73"/>
      <c r="S75" s="58">
        <f>ROUND((_xll.HPVAL($G$1,"ACTUAL",$A75,$S$7,"YTD","gpg")/1000),0)</f>
        <v>49</v>
      </c>
      <c r="T75" s="73"/>
      <c r="U75" s="58">
        <f>ROUND((_xll.HPVAL($G$1,"ACTUAL",$A75,$U$7,"YTD","gpg")/1000),0)</f>
        <v>0</v>
      </c>
      <c r="V75" s="73"/>
      <c r="W75" s="58">
        <f>ROUND((_xll.HPVAL($G$1,"ACTUAL",$A75,$W$7,"YTD","gpg")/1000),0)</f>
        <v>0</v>
      </c>
      <c r="X75" s="73"/>
      <c r="Y75" s="58">
        <f>ROUND((_xll.HPVAL($G$1,"ACTUAL",$A75,$Y$7,"YTD","gpg")/1000),0)</f>
        <v>0</v>
      </c>
      <c r="Z75" s="73"/>
      <c r="AA75" s="58">
        <f>ROUND((_xll.HPVAL($G$1,"ACTUAL",$A75,$AA$7,"YTD","gpg")/1000),0)</f>
        <v>0</v>
      </c>
      <c r="AB75" s="73"/>
      <c r="AC75" s="58">
        <f t="shared" si="4"/>
        <v>0</v>
      </c>
      <c r="AD75" s="70"/>
      <c r="AE75" s="58">
        <f t="shared" si="5"/>
        <v>0</v>
      </c>
      <c r="AF75" s="58"/>
    </row>
    <row r="76" spans="1:71">
      <c r="A76" s="84" t="s">
        <v>101</v>
      </c>
      <c r="B76" s="58" t="str">
        <f>_xll.HPHEA($A76,$G$2)</f>
        <v>Current pipe recoating</v>
      </c>
      <c r="C76" s="58">
        <f>ROUND((_xll.HPVAL($G$1,"py1",$A76,$C$7,"YTD","gpg")/1000),0)</f>
        <v>207</v>
      </c>
      <c r="D76" s="70"/>
      <c r="E76" s="58">
        <f>ROUND((_xll.HPVAL($G$1,"ACTUAL",$A76,$E$7,"YTD","gpg")/1000),0)</f>
        <v>207</v>
      </c>
      <c r="F76" s="73"/>
      <c r="G76" s="58">
        <f>ROUND((_xll.HPVAL($G$1,"ACTUAL",$A76,$G$7,"YTD","gpg")/1000),0)</f>
        <v>207</v>
      </c>
      <c r="H76" s="73"/>
      <c r="I76" s="58">
        <f>ROUND((_xll.HPVAL($G$1,"ACTUAL",$A76,$I$7,"YTD","gpg")/1000),0)</f>
        <v>207</v>
      </c>
      <c r="J76" s="73"/>
      <c r="K76" s="58">
        <f>ROUND((_xll.HPVAL($G$1,"ACTUAL",$A76,$K$7,"YTD","gpg")/1000),0)</f>
        <v>207</v>
      </c>
      <c r="L76" s="73"/>
      <c r="M76" s="58">
        <f>ROUND((_xll.HPVAL($G$1,"ACTUAL",$A76,$M$7,"YTD","gpg")/1000),0)</f>
        <v>207</v>
      </c>
      <c r="N76" s="73"/>
      <c r="O76" s="58">
        <f>ROUND((_xll.HPVAL($G$1,"ACTUAL",$A76,$O$7,"YTD","gpg")/1000),0)</f>
        <v>207</v>
      </c>
      <c r="P76" s="73"/>
      <c r="Q76" s="58">
        <f>ROUND((_xll.HPVAL($G$1,"ACTUAL",$A76,$Q$7,"YTD","gpg")/1000),0)</f>
        <v>207</v>
      </c>
      <c r="R76" s="73"/>
      <c r="S76" s="58">
        <f>ROUND((_xll.HPVAL($G$1,"ACTUAL",$A76,$S$7,"YTD","gpg")/1000),0)</f>
        <v>207</v>
      </c>
      <c r="T76" s="73"/>
      <c r="U76" s="58">
        <f>ROUND((_xll.HPVAL($G$1,"ACTUAL",$A76,$U$7,"YTD","gpg")/1000),0)</f>
        <v>0</v>
      </c>
      <c r="V76" s="73"/>
      <c r="W76" s="58">
        <f>ROUND((_xll.HPVAL($G$1,"ACTUAL",$A76,$W$7,"YTD","gpg")/1000),0)</f>
        <v>0</v>
      </c>
      <c r="X76" s="73"/>
      <c r="Y76" s="58">
        <f>ROUND((_xll.HPVAL($G$1,"ACTUAL",$A76,$Y$7,"YTD","gpg")/1000),0)</f>
        <v>0</v>
      </c>
      <c r="Z76" s="73"/>
      <c r="AA76" s="58">
        <f>ROUND((_xll.HPVAL($G$1,"ACTUAL",$A76,$AA$7,"YTD","gpg")/1000),0)</f>
        <v>0</v>
      </c>
      <c r="AB76" s="73"/>
      <c r="AC76" s="58">
        <f t="shared" si="4"/>
        <v>0</v>
      </c>
      <c r="AD76" s="70"/>
      <c r="AE76" s="58">
        <f t="shared" si="5"/>
        <v>0</v>
      </c>
      <c r="AF76" s="58"/>
    </row>
    <row r="77" spans="1:71">
      <c r="A77" s="84" t="s">
        <v>391</v>
      </c>
      <c r="B77" s="58" t="str">
        <f>_xll.HPHEA($A77,$G$2)</f>
        <v>Current regulatory commission expense</v>
      </c>
      <c r="C77" s="58">
        <f>ROUND((_xll.HPVAL($G$1,"py1",$A77,$C$7,"YTD","gpg")/1000),0)</f>
        <v>116</v>
      </c>
      <c r="D77" s="70"/>
      <c r="E77" s="58">
        <f>ROUND((_xll.HPVAL($G$1,"ACTUAL",$A77,$E$7,"YTD","gpg")/1000),0)</f>
        <v>116</v>
      </c>
      <c r="F77" s="73"/>
      <c r="G77" s="58">
        <f>ROUND((_xll.HPVAL($G$1,"ACTUAL",$A77,$G$7,"YTD","gpg")/1000),0)</f>
        <v>116</v>
      </c>
      <c r="H77" s="73"/>
      <c r="I77" s="58">
        <f>ROUND((_xll.HPVAL($G$1,"ACTUAL",$A77,$I$7,"YTD","gpg")/1000),0)</f>
        <v>116</v>
      </c>
      <c r="J77" s="73"/>
      <c r="K77" s="58">
        <f>ROUND((_xll.HPVAL($G$1,"ACTUAL",$A77,$K$7,"YTD","gpg")/1000),0)</f>
        <v>116</v>
      </c>
      <c r="L77" s="73"/>
      <c r="M77" s="58">
        <f>ROUND((_xll.HPVAL($G$1,"ACTUAL",$A77,$M$7,"YTD","gpg")/1000),0)</f>
        <v>116</v>
      </c>
      <c r="N77" s="73"/>
      <c r="O77" s="58">
        <f>ROUND((_xll.HPVAL($G$1,"ACTUAL",$A77,$O$7,"YTD","gpg")/1000),0)</f>
        <v>116</v>
      </c>
      <c r="P77" s="73"/>
      <c r="Q77" s="58">
        <f>ROUND((_xll.HPVAL($G$1,"ACTUAL",$A77,$Q$7,"YTD","gpg")/1000),0)</f>
        <v>116</v>
      </c>
      <c r="R77" s="73"/>
      <c r="S77" s="58">
        <f>ROUND((_xll.HPVAL($G$1,"ACTUAL",$A77,$S$7,"YTD","gpg")/1000),0)</f>
        <v>116</v>
      </c>
      <c r="T77" s="73"/>
      <c r="U77" s="58">
        <f>ROUND((_xll.HPVAL($G$1,"ACTUAL",$A77,$U$7,"YTD","gpg")/1000),0)</f>
        <v>0</v>
      </c>
      <c r="V77" s="73"/>
      <c r="W77" s="58">
        <f>ROUND((_xll.HPVAL($G$1,"ACTUAL",$A77,$W$7,"YTD","gpg")/1000),0)</f>
        <v>0</v>
      </c>
      <c r="X77" s="73"/>
      <c r="Y77" s="58">
        <f>ROUND((_xll.HPVAL($G$1,"ACTUAL",$A77,$Y$7,"YTD","gpg")/1000),0)</f>
        <v>0</v>
      </c>
      <c r="Z77" s="73"/>
      <c r="AA77" s="58">
        <f>ROUND((_xll.HPVAL($G$1,"ACTUAL",$A77,$AA$7,"YTD","gpg")/1000),0)</f>
        <v>0</v>
      </c>
      <c r="AB77" s="73"/>
      <c r="AC77" s="58">
        <f>IF(mo=1,+E77-C77,CHOOSE(mo,E77,G77,I77,K77,M77,O77,Q77,S77,U77,W77,Y77,AA77)-CHOOSE(mo-1,E77,G77,I77,K77,M77,O77,Q77,S77,U77,W77,Y77,AA77))</f>
        <v>0</v>
      </c>
      <c r="AD77" s="70"/>
      <c r="AE77" s="58">
        <f>CHOOSE(mo,E77,G77,I77,K77,M77,O77,Q77,S77,U77,W77,Y77,AA77)-C77</f>
        <v>0</v>
      </c>
      <c r="AF77" s="58"/>
    </row>
    <row r="78" spans="1:71">
      <c r="A78" s="84" t="s">
        <v>106</v>
      </c>
      <c r="B78" s="58" t="str">
        <f>_xll.HPHEA($A78,$G$2)</f>
        <v>FERC Annual Charge</v>
      </c>
      <c r="C78" s="58">
        <f>ROUND((_xll.HPVAL($G$1,"py1",$A78,$C$7,"YTD","gpg")/1000),0)</f>
        <v>0</v>
      </c>
      <c r="D78" s="70"/>
      <c r="E78" s="58">
        <f>ROUND((_xll.HPVAL($G$1,"ACTUAL",$A78,$E$7,"YTD","gpg")/1000),0)</f>
        <v>0</v>
      </c>
      <c r="F78" s="73"/>
      <c r="G78" s="58">
        <f>ROUND((_xll.HPVAL($G$1,"ACTUAL",$A78,$G$7,"YTD","gpg")/1000),0)</f>
        <v>0</v>
      </c>
      <c r="H78" s="73"/>
      <c r="I78" s="58">
        <f>ROUND((_xll.HPVAL($G$1,"ACTUAL",$A78,$I$7,"YTD","gpg")/1000),0)</f>
        <v>0</v>
      </c>
      <c r="J78" s="73"/>
      <c r="K78" s="58">
        <f>ROUND((_xll.HPVAL($G$1,"ACTUAL",$A78,$K$7,"YTD","gpg")/1000),0)</f>
        <v>0</v>
      </c>
      <c r="L78" s="73"/>
      <c r="M78" s="58">
        <f>ROUND((_xll.HPVAL($G$1,"ACTUAL",$A78,$M$7,"YTD","gpg")/1000),0)</f>
        <v>0</v>
      </c>
      <c r="N78" s="73"/>
      <c r="O78" s="58">
        <f>ROUND((_xll.HPVAL($G$1,"ACTUAL",$A78,$O$7,"YTD","gpg")/1000),0)</f>
        <v>0</v>
      </c>
      <c r="P78" s="73"/>
      <c r="Q78" s="58">
        <f>ROUND((_xll.HPVAL($G$1,"ACTUAL",$A78,$Q$7,"YTD","gpg")/1000),0)</f>
        <v>0</v>
      </c>
      <c r="R78" s="73"/>
      <c r="S78" s="58">
        <f>ROUND((_xll.HPVAL($G$1,"ACTUAL",$A78,$S$7,"YTD","gpg")/1000),0)</f>
        <v>0</v>
      </c>
      <c r="T78" s="73"/>
      <c r="U78" s="58">
        <f>ROUND((_xll.HPVAL($G$1,"ACTUAL",$A78,$U$7,"YTD","gpg")/1000),0)</f>
        <v>0</v>
      </c>
      <c r="V78" s="73"/>
      <c r="W78" s="58">
        <f>ROUND((_xll.HPVAL($G$1,"ACTUAL",$A78,$W$7,"YTD","gpg")/1000),0)</f>
        <v>0</v>
      </c>
      <c r="X78" s="73"/>
      <c r="Y78" s="58">
        <f>ROUND((_xll.HPVAL($G$1,"ACTUAL",$A78,$Y$7,"YTD","gpg")/1000),0)</f>
        <v>0</v>
      </c>
      <c r="Z78" s="73"/>
      <c r="AA78" s="58">
        <f>ROUND((_xll.HPVAL($G$1,"ACTUAL",$A78,$AA$7,"YTD","gpg")/1000),0)</f>
        <v>0</v>
      </c>
      <c r="AB78" s="73"/>
      <c r="AC78" s="58">
        <f t="shared" si="4"/>
        <v>0</v>
      </c>
      <c r="AD78" s="70"/>
      <c r="AE78" s="58">
        <f t="shared" si="5"/>
        <v>0</v>
      </c>
      <c r="AF78" s="58"/>
    </row>
    <row r="79" spans="1:71">
      <c r="A79" s="84" t="s">
        <v>427</v>
      </c>
      <c r="B79" s="58" t="str">
        <f>_xll.HPHEA($A79,$G$2)</f>
        <v>ACA</v>
      </c>
      <c r="C79" s="58">
        <f>ROUND((_xll.HPVAL($G$1,"py1",$A79,$C$7,"YTD","gpg")/1000),0)</f>
        <v>2959</v>
      </c>
      <c r="D79" s="70"/>
      <c r="E79" s="58">
        <f>ROUND((_xll.HPVAL($G$1,"ACTUAL",$A79,$E$7,"YTD","gpg")/1000),0)</f>
        <v>0</v>
      </c>
      <c r="F79" s="73"/>
      <c r="G79" s="58">
        <f>ROUND((_xll.HPVAL($G$1,"ACTUAL",$A79,$G$7,"YTD","gpg")/1000),0)</f>
        <v>0</v>
      </c>
      <c r="H79" s="73"/>
      <c r="I79" s="58">
        <f>ROUND((_xll.HPVAL($G$1,"ACTUAL",$A79,$I$7,"YTD","gpg")/1000),0)</f>
        <v>0</v>
      </c>
      <c r="J79" s="73"/>
      <c r="K79" s="58">
        <f>ROUND((_xll.HPVAL($G$1,"ACTUAL",$A79,$K$7,"YTD","gpg")/1000),0)</f>
        <v>0</v>
      </c>
      <c r="L79" s="73"/>
      <c r="M79" s="58">
        <f>ROUND((_xll.HPVAL($G$1,"ACTUAL",$A79,$M$7,"YTD","gpg")/1000),0)</f>
        <v>0</v>
      </c>
      <c r="N79" s="73"/>
      <c r="O79" s="58">
        <f>ROUND((_xll.HPVAL($G$1,"ACTUAL",$A79,$O$7,"YTD","gpg")/1000),0)</f>
        <v>0</v>
      </c>
      <c r="P79" s="73"/>
      <c r="Q79" s="58">
        <f>ROUND((_xll.HPVAL($G$1,"ACTUAL",$A79,$Q$7,"YTD","gpg")/1000),0)</f>
        <v>0</v>
      </c>
      <c r="R79" s="73"/>
      <c r="S79" s="58">
        <f>ROUND((_xll.HPVAL($G$1,"ACTUAL",$A79,$S$7,"YTD","gpg")/1000),0)</f>
        <v>0</v>
      </c>
      <c r="T79" s="73"/>
      <c r="U79" s="58">
        <f>ROUND((_xll.HPVAL($G$1,"ACTUAL",$A79,$U$7,"YTD","gpg")/1000),0)</f>
        <v>0</v>
      </c>
      <c r="V79" s="73"/>
      <c r="W79" s="58">
        <f>ROUND((_xll.HPVAL($G$1,"ACTUAL",$A79,$W$7,"YTD","gpg")/1000),0)</f>
        <v>0</v>
      </c>
      <c r="X79" s="73"/>
      <c r="Y79" s="58">
        <f>ROUND((_xll.HPVAL($G$1,"ACTUAL",$A79,$Y$7,"YTD","gpg")/1000),0)</f>
        <v>0</v>
      </c>
      <c r="Z79" s="73"/>
      <c r="AA79" s="58">
        <f>ROUND((_xll.HPVAL($G$1,"ACTUAL",$A79,$AA$7,"YTD","gpg")/1000),0)</f>
        <v>0</v>
      </c>
      <c r="AB79" s="73"/>
      <c r="AC79" s="58">
        <f>IF(mo=1,+E79-C79,CHOOSE(mo,E79,G79,I79,K79,M79,O79,Q79,S79,U79,W79,Y79,AA79)-CHOOSE(mo-1,E79,G79,I79,K79,M79,O79,Q79,S79,U79,W79,Y79,AA79))</f>
        <v>0</v>
      </c>
      <c r="AD79" s="70"/>
      <c r="AE79" s="58">
        <f>CHOOSE(mo,E79,G79,I79,K79,M79,O79,Q79,S79,U79,W79,Y79,AA79)-C79</f>
        <v>-2959</v>
      </c>
      <c r="AF79" s="58"/>
    </row>
    <row r="80" spans="1:71">
      <c r="A80" s="84" t="s">
        <v>428</v>
      </c>
      <c r="B80" s="58" t="str">
        <f>_xll.HPHEA($A80,$G$2)</f>
        <v>FERC annual charge</v>
      </c>
      <c r="C80" s="58">
        <f>ROUND((_xll.HPVAL($G$1,"py1",$A80,$C$7,"YTD","gpg")/1000),0)</f>
        <v>-2087</v>
      </c>
      <c r="D80" s="70"/>
      <c r="E80" s="58">
        <f>ROUND((_xll.HPVAL($G$1,"ACTUAL",$A80,$E$7,"YTD","gpg")/1000),0)</f>
        <v>775</v>
      </c>
      <c r="F80" s="73"/>
      <c r="G80" s="58">
        <f>ROUND((_xll.HPVAL($G$1,"ACTUAL",$A80,$G$7,"YTD","gpg")/1000),0)</f>
        <v>678</v>
      </c>
      <c r="H80" s="73"/>
      <c r="I80" s="58">
        <f>ROUND((_xll.HPVAL($G$1,"ACTUAL",$A80,$I$7,"YTD","gpg")/1000),0)</f>
        <v>0</v>
      </c>
      <c r="J80" s="73" t="s">
        <v>249</v>
      </c>
      <c r="K80" s="58">
        <f>ROUND((_xll.HPVAL($G$1,"ACTUAL",$A80,$K$7,"YTD","gpg")/1000),0)</f>
        <v>0</v>
      </c>
      <c r="L80" s="73"/>
      <c r="M80" s="58">
        <f>ROUND((_xll.HPVAL($G$1,"ACTUAL",$A80,$M$7,"YTD","gpg")/1000),0)</f>
        <v>0</v>
      </c>
      <c r="N80" s="73"/>
      <c r="O80" s="58">
        <f>ROUND((_xll.HPVAL($G$1,"ACTUAL",$A80,$O$7,"YTD","gpg")/1000),0)</f>
        <v>0</v>
      </c>
      <c r="P80" s="73"/>
      <c r="Q80" s="58">
        <f>ROUND((_xll.HPVAL($G$1,"ACTUAL",$A80,$Q$7,"YTD","gpg")/1000),0)</f>
        <v>0</v>
      </c>
      <c r="R80" s="73"/>
      <c r="S80" s="58">
        <f>ROUND((_xll.HPVAL($G$1,"ACTUAL",$A80,$S$7,"YTD","gpg")/1000),0)</f>
        <v>0</v>
      </c>
      <c r="T80" s="73"/>
      <c r="U80" s="58">
        <f>ROUND((_xll.HPVAL($G$1,"ACTUAL",$A80,$U$7,"YTD","gpg")/1000),0)</f>
        <v>0</v>
      </c>
      <c r="V80" s="73"/>
      <c r="W80" s="58">
        <f>ROUND((_xll.HPVAL($G$1,"ACTUAL",$A80,$W$7,"YTD","gpg")/1000),0)</f>
        <v>0</v>
      </c>
      <c r="X80" s="73"/>
      <c r="Y80" s="58">
        <f>ROUND((_xll.HPVAL($G$1,"ACTUAL",$A80,$Y$7,"YTD","gpg")/1000),0)</f>
        <v>0</v>
      </c>
      <c r="Z80" s="73"/>
      <c r="AA80" s="58">
        <f>ROUND((_xll.HPVAL($G$1,"ACTUAL",$A80,$AA$7,"YTD","gpg")/1000),0)</f>
        <v>0</v>
      </c>
      <c r="AB80" s="73"/>
      <c r="AC80" s="58">
        <f>IF(mo=1,+E80-C80,CHOOSE(mo,E80,G80,I80,K80,M80,O80,Q80,S80,U80,W80,Y80,AA80)-CHOOSE(mo-1,E80,G80,I80,K80,M80,O80,Q80,S80,U80,W80,Y80,AA80))</f>
        <v>0</v>
      </c>
      <c r="AD80" s="70"/>
      <c r="AE80" s="58">
        <f>CHOOSE(mo,E80,G80,I80,K80,M80,O80,Q80,S80,U80,W80,Y80,AA80)-C80</f>
        <v>2087</v>
      </c>
      <c r="AF80" s="58"/>
    </row>
    <row r="81" spans="1:71">
      <c r="A81" s="89" t="s">
        <v>104</v>
      </c>
      <c r="B81" s="58" t="str">
        <f>_xll.HPHEA($A81,$G$2)</f>
        <v>Current uncoll receivables</v>
      </c>
      <c r="C81" s="58">
        <f>ROUND((_xll.HPVAL($G$1,"py1",$A81,$C$7,"YTD","gpg")/1000),0)</f>
        <v>889</v>
      </c>
      <c r="D81" s="70"/>
      <c r="E81" s="58">
        <f>ROUND((_xll.HPVAL($G$1,"ACTUAL",$A81,$E$7,"YTD","gpg")/1000),0)</f>
        <v>889</v>
      </c>
      <c r="F81" s="73"/>
      <c r="G81" s="58">
        <f>ROUND((_xll.HPVAL($G$1,"ACTUAL",$A81,$G$7,"YTD","gpg")/1000),0)</f>
        <v>889</v>
      </c>
      <c r="H81" s="73"/>
      <c r="I81" s="58">
        <f>ROUND((_xll.HPVAL($G$1,"ACTUAL",$A81,$I$7,"YTD","gpg")/1000),0)</f>
        <v>889</v>
      </c>
      <c r="J81" s="73"/>
      <c r="K81" s="58">
        <f>ROUND((_xll.HPVAL($G$1,"ACTUAL",$A81,$K$7,"YTD","gpg")/1000),0)</f>
        <v>889</v>
      </c>
      <c r="L81" s="73"/>
      <c r="M81" s="58">
        <f>ROUND((_xll.HPVAL($G$1,"ACTUAL",$A81,$M$7,"YTD","gpg")/1000),0)</f>
        <v>889</v>
      </c>
      <c r="N81" s="73"/>
      <c r="O81" s="58">
        <f>ROUND((_xll.HPVAL($G$1,"ACTUAL",$A81,$O$7,"YTD","gpg")/1000),0)</f>
        <v>889</v>
      </c>
      <c r="P81" s="73"/>
      <c r="Q81" s="58">
        <f>ROUND((_xll.HPVAL($G$1,"ACTUAL",$A81,$Q$7,"YTD","gpg")/1000),0)</f>
        <v>867</v>
      </c>
      <c r="R81" s="73"/>
      <c r="S81" s="58">
        <f>ROUND((_xll.HPVAL($G$1,"ACTUAL",$A81,$S$7,"YTD","gpg")/1000),0)</f>
        <v>867</v>
      </c>
      <c r="T81" s="73"/>
      <c r="U81" s="58">
        <f>ROUND((_xll.HPVAL($G$1,"ACTUAL",$A81,$U$7,"YTD","gpg")/1000),0)</f>
        <v>0</v>
      </c>
      <c r="V81" s="73"/>
      <c r="W81" s="58">
        <f>ROUND((_xll.HPVAL($G$1,"ACTUAL",$A81,$W$7,"YTD","gpg")/1000),0)</f>
        <v>0</v>
      </c>
      <c r="X81" s="73"/>
      <c r="Y81" s="58">
        <f>ROUND((_xll.HPVAL($G$1,"ACTUAL",$A81,$Y$7,"YTD","gpg")/1000),0)</f>
        <v>0</v>
      </c>
      <c r="Z81" s="73"/>
      <c r="AA81" s="58">
        <f>ROUND((_xll.HPVAL($G$1,"ACTUAL",$A81,$AA$7,"YTD","gpg")/1000),0)</f>
        <v>0</v>
      </c>
      <c r="AB81" s="73"/>
      <c r="AC81" s="58">
        <f t="shared" si="4"/>
        <v>0</v>
      </c>
      <c r="AD81" s="70"/>
      <c r="AE81" s="58">
        <f t="shared" si="5"/>
        <v>-22</v>
      </c>
      <c r="AF81" s="58"/>
    </row>
    <row r="82" spans="1:71">
      <c r="A82" s="84" t="s">
        <v>98</v>
      </c>
      <c r="B82" s="58" t="str">
        <f>_xll.HPHEA($A82,$G$2)</f>
        <v>Current portion - TCR C</v>
      </c>
      <c r="C82" s="58">
        <f>ROUND((_xll.HPVAL($G$1,"py1",$A82,$C$7,"YTD","gpg")/1000),0)</f>
        <v>0</v>
      </c>
      <c r="D82" s="70"/>
      <c r="E82" s="58">
        <f>ROUND((_xll.HPVAL($G$1,"ACTUAL",$A82,$E$7,"YTD","gpg")/1000),0)</f>
        <v>0</v>
      </c>
      <c r="F82" s="73"/>
      <c r="G82" s="58">
        <f>ROUND((_xll.HPVAL($G$1,"ACTUAL",$A82,$G$7,"YTD","gpg")/1000),0)</f>
        <v>0</v>
      </c>
      <c r="H82" s="73"/>
      <c r="I82" s="58">
        <f>ROUND((_xll.HPVAL($G$1,"ACTUAL",$A82,$I$7,"YTD","gpg")/1000),0)</f>
        <v>0</v>
      </c>
      <c r="J82" s="73"/>
      <c r="K82" s="58">
        <f>ROUND((_xll.HPVAL($G$1,"ACTUAL",$A82,$K$7,"YTD","gpg")/1000),0)</f>
        <v>0</v>
      </c>
      <c r="L82" s="73"/>
      <c r="M82" s="58">
        <f>ROUND((_xll.HPVAL($G$1,"ACTUAL",$A82,$M$7,"YTD","gpg")/1000),0)</f>
        <v>0</v>
      </c>
      <c r="N82" s="73"/>
      <c r="O82" s="58">
        <f>ROUND((_xll.HPVAL($G$1,"ACTUAL",$A82,$O$7,"YTD","gpg")/1000),0)</f>
        <v>0</v>
      </c>
      <c r="P82" s="73"/>
      <c r="Q82" s="58">
        <f>ROUND((_xll.HPVAL($G$1,"ACTUAL",$A82,$Q$7,"YTD","gpg")/1000),0)</f>
        <v>0</v>
      </c>
      <c r="R82" s="73"/>
      <c r="S82" s="58">
        <f>ROUND((_xll.HPVAL($G$1,"ACTUAL",$A82,$S$7,"YTD","gpg")/1000),0)</f>
        <v>0</v>
      </c>
      <c r="T82" s="73"/>
      <c r="U82" s="58">
        <f>ROUND((_xll.HPVAL($G$1,"ACTUAL",$A82,$U$7,"YTD","gpg")/1000),0)</f>
        <v>0</v>
      </c>
      <c r="V82" s="73"/>
      <c r="W82" s="58">
        <f>ROUND((_xll.HPVAL($G$1,"ACTUAL",$A82,$W$7,"YTD","gpg")/1000),0)</f>
        <v>0</v>
      </c>
      <c r="X82" s="73"/>
      <c r="Y82" s="58">
        <f>ROUND((_xll.HPVAL($G$1,"ACTUAL",$A82,$Y$7,"YTD","gpg")/1000),0)</f>
        <v>0</v>
      </c>
      <c r="Z82" s="73"/>
      <c r="AA82" s="58">
        <f>ROUND((_xll.HPVAL($G$1,"ACTUAL",$A82,$AA$7,"YTD","gpg")/1000),0)</f>
        <v>0</v>
      </c>
      <c r="AB82" s="73"/>
      <c r="AC82" s="58">
        <f t="shared" si="4"/>
        <v>0</v>
      </c>
      <c r="AD82" s="70"/>
      <c r="AE82" s="58">
        <f t="shared" si="5"/>
        <v>0</v>
      </c>
      <c r="AF82" s="58"/>
    </row>
    <row r="83" spans="1:71">
      <c r="A83" s="84" t="s">
        <v>99</v>
      </c>
      <c r="B83" s="58" t="str">
        <f>_xll.HPHEA($A83,$G$2)</f>
        <v>Current TCR prefiling interest</v>
      </c>
      <c r="C83" s="85">
        <f>ROUND((_xll.HPVAL($G$1,"py1",$A83,$C$7,"YTD","gpg")/1000),0)</f>
        <v>90</v>
      </c>
      <c r="D83" s="70"/>
      <c r="E83" s="85">
        <f>ROUND((_xll.HPVAL($G$1,"ACTUAL",$A83,$E$7,"YTD","gpg")/1000),0)</f>
        <v>90</v>
      </c>
      <c r="F83" s="77"/>
      <c r="G83" s="85">
        <f>ROUND((_xll.HPVAL($G$1,"ACTUAL",$A83,$G$7,"YTD","gpg")/1000),0)</f>
        <v>90</v>
      </c>
      <c r="H83" s="77"/>
      <c r="I83" s="85">
        <f>ROUND((_xll.HPVAL($G$1,"ACTUAL",$A83,$I$7,"YTD","gpg")/1000),0)</f>
        <v>90</v>
      </c>
      <c r="J83" s="77"/>
      <c r="K83" s="85">
        <f>ROUND((_xll.HPVAL($G$1,"ACTUAL",$A83,$K$7,"YTD","gpg")/1000),0)</f>
        <v>90</v>
      </c>
      <c r="L83" s="77"/>
      <c r="M83" s="85">
        <f>ROUND((_xll.HPVAL($G$1,"ACTUAL",$A83,$M$7,"YTD","gpg")/1000),0)</f>
        <v>90</v>
      </c>
      <c r="N83" s="77"/>
      <c r="O83" s="85">
        <f>ROUND((_xll.HPVAL($G$1,"ACTUAL",$A83,$O$7,"YTD","gpg")/1000),0)</f>
        <v>90</v>
      </c>
      <c r="P83" s="77"/>
      <c r="Q83" s="85">
        <f>ROUND((_xll.HPVAL($G$1,"ACTUAL",$A83,$Q$7,"YTD","gpg")/1000),0)</f>
        <v>90</v>
      </c>
      <c r="R83" s="77"/>
      <c r="S83" s="85">
        <f>ROUND((_xll.HPVAL($G$1,"ACTUAL",$A83,$S$7,"YTD","gpg")/1000),0)</f>
        <v>90</v>
      </c>
      <c r="T83" s="77"/>
      <c r="U83" s="85">
        <f>ROUND((_xll.HPVAL($G$1,"ACTUAL",$A83,$U$7,"YTD","gpg")/1000),0)</f>
        <v>0</v>
      </c>
      <c r="V83" s="77"/>
      <c r="W83" s="85">
        <f>ROUND((_xll.HPVAL($G$1,"ACTUAL",$A83,$W$7,"YTD","gpg")/1000),0)</f>
        <v>0</v>
      </c>
      <c r="X83" s="77"/>
      <c r="Y83" s="85">
        <f>ROUND((_xll.HPVAL($G$1,"ACTUAL",$A83,$Y$7,"YTD","gpg")/1000),0)</f>
        <v>0</v>
      </c>
      <c r="Z83" s="77"/>
      <c r="AA83" s="85">
        <f>ROUND((_xll.HPVAL($G$1,"ACTUAL",$A83,$AA$7,"YTD","gpg")/1000),0)</f>
        <v>0</v>
      </c>
      <c r="AB83" s="77"/>
      <c r="AC83" s="85">
        <f t="shared" si="4"/>
        <v>0</v>
      </c>
      <c r="AD83" s="70"/>
      <c r="AE83" s="85">
        <f>CHOOSE(mo,E83,G83,I83,K83,M83,O83,Q83,S83,U83,W83,Y83,AA83)-C83</f>
        <v>0</v>
      </c>
      <c r="AF83" s="58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</row>
    <row r="84" spans="1:71" s="13" customFormat="1" ht="15" customHeight="1" thickBot="1">
      <c r="A84" s="59"/>
      <c r="B84" s="60" t="s">
        <v>228</v>
      </c>
      <c r="C84" s="86">
        <f>SUM(C64:C83)</f>
        <v>6553</v>
      </c>
      <c r="D84" s="70"/>
      <c r="E84" s="86">
        <f>SUM(E64:E83)</f>
        <v>6456</v>
      </c>
      <c r="F84" s="77"/>
      <c r="G84" s="86">
        <f>SUM(G64:G83)</f>
        <v>6359</v>
      </c>
      <c r="H84" s="77"/>
      <c r="I84" s="86">
        <f>SUM(I64:I83)</f>
        <v>5681</v>
      </c>
      <c r="J84" s="77" t="s">
        <v>226</v>
      </c>
      <c r="K84" s="86">
        <f>SUM(K64:K83)</f>
        <v>5681</v>
      </c>
      <c r="L84" s="77"/>
      <c r="M84" s="86">
        <f>SUM(M64:M83)</f>
        <v>5681</v>
      </c>
      <c r="N84" s="77"/>
      <c r="O84" s="86">
        <f>SUM(O64:O83)</f>
        <v>5681</v>
      </c>
      <c r="P84" s="77"/>
      <c r="Q84" s="86">
        <f>SUM(Q64:Q83)</f>
        <v>5660</v>
      </c>
      <c r="R84" s="77"/>
      <c r="S84" s="86">
        <f>SUM(S64:S83)</f>
        <v>5660</v>
      </c>
      <c r="T84" s="77"/>
      <c r="U84" s="86">
        <f>SUM(U64:U83)</f>
        <v>0</v>
      </c>
      <c r="V84" s="77"/>
      <c r="W84" s="86">
        <f>SUM(W64:W83)</f>
        <v>0</v>
      </c>
      <c r="X84" s="77"/>
      <c r="Y84" s="86">
        <f>SUM(Y64:Y83)</f>
        <v>0</v>
      </c>
      <c r="Z84" s="77"/>
      <c r="AA84" s="86">
        <f>SUM(AA64:AA83)</f>
        <v>0</v>
      </c>
      <c r="AB84" s="77"/>
      <c r="AC84" s="86">
        <f>SUM(AC64:AC83)</f>
        <v>0</v>
      </c>
      <c r="AD84" s="86">
        <f>SUM(AD64:AD83)</f>
        <v>0</v>
      </c>
      <c r="AE84" s="86">
        <f>SUM(AE64:AE83)</f>
        <v>-893</v>
      </c>
      <c r="AF84" s="60"/>
      <c r="AG84" s="5"/>
    </row>
    <row r="85" spans="1:71" ht="10.8" thickTop="1">
      <c r="A85" s="84"/>
      <c r="B85" s="58"/>
      <c r="C85" s="75"/>
      <c r="D85" s="70"/>
      <c r="E85" s="75"/>
      <c r="F85" s="77"/>
      <c r="G85" s="75"/>
      <c r="H85" s="77"/>
      <c r="I85" s="75"/>
      <c r="J85" s="77"/>
      <c r="K85" s="75"/>
      <c r="L85" s="77"/>
      <c r="M85" s="75"/>
      <c r="N85" s="77"/>
      <c r="O85" s="75"/>
      <c r="P85" s="77"/>
      <c r="Q85" s="75"/>
      <c r="R85" s="77"/>
      <c r="S85" s="75"/>
      <c r="T85" s="77"/>
      <c r="U85" s="75"/>
      <c r="V85" s="77"/>
      <c r="W85" s="75"/>
      <c r="X85" s="77"/>
      <c r="Y85" s="75"/>
      <c r="Z85" s="77"/>
      <c r="AA85" s="75"/>
      <c r="AB85" s="77"/>
      <c r="AC85" s="58"/>
      <c r="AD85" s="70"/>
      <c r="AE85" s="58"/>
      <c r="AF85" s="58"/>
    </row>
    <row r="86" spans="1:71">
      <c r="A86" s="84" t="s">
        <v>332</v>
      </c>
      <c r="B86" s="58" t="str">
        <f>_xll.HPHEA($A86,$G$2)</f>
        <v>Current assets - other</v>
      </c>
      <c r="C86" s="58">
        <f>ROUND((_xll.HPVAL($G$1,"py1",$A86,$C$7,"YTD","gpg")/1000),0)</f>
        <v>58</v>
      </c>
      <c r="D86" s="70" t="s">
        <v>231</v>
      </c>
      <c r="E86" s="58">
        <f>ROUND((_xll.HPVAL($G$1,"ACTUAL",$A86,$E$7,"YTD","gpg")/1000),0)</f>
        <v>-37</v>
      </c>
      <c r="F86" s="73" t="s">
        <v>246</v>
      </c>
      <c r="G86" s="58">
        <f>ROUND((_xll.HPVAL($G$1,"ACTUAL",$A86,$G$7,"YTD","gpg")/1000),0)</f>
        <v>1051</v>
      </c>
      <c r="H86" s="73" t="s">
        <v>219</v>
      </c>
      <c r="I86" s="58">
        <f>ROUND((_xll.HPVAL($G$1,"ACTUAL",$A86,$I$7,"YTD","gpg")/1000),0)</f>
        <v>0</v>
      </c>
      <c r="J86" s="73" t="s">
        <v>231</v>
      </c>
      <c r="K86" s="58">
        <f>ROUND((_xll.HPVAL($G$1,"ACTUAL",$A86,$K$7,"YTD","gpg")/1000),0)</f>
        <v>0</v>
      </c>
      <c r="L86" s="73"/>
      <c r="M86" s="58">
        <f>ROUND((_xll.HPVAL($G$1,"ACTUAL",$A86,$M$7,"YTD","gpg")/1000),0)</f>
        <v>0</v>
      </c>
      <c r="N86" s="73"/>
      <c r="O86" s="58">
        <f>ROUND((_xll.HPVAL($G$1,"ACTUAL",$A86,$O$7,"YTD","gpg")/1000),0)</f>
        <v>2</v>
      </c>
      <c r="P86" s="73"/>
      <c r="Q86" s="58">
        <f>ROUND((_xll.HPVAL($G$1,"ACTUAL",$A86,$Q$7,"YTD","gpg")/1000),0)</f>
        <v>2</v>
      </c>
      <c r="R86" s="73"/>
      <c r="S86" s="58">
        <f>ROUND((_xll.HPVAL($G$1,"ACTUAL",$A86,$S$7,"YTD","gpg")/1000),0)</f>
        <v>152</v>
      </c>
      <c r="T86" s="73"/>
      <c r="U86" s="58">
        <f>ROUND((_xll.HPVAL($G$1,"ACTUAL",$A86,$U$7,"YTD","gpg")/1000),0)</f>
        <v>0</v>
      </c>
      <c r="V86" s="73"/>
      <c r="W86" s="58">
        <f>ROUND((_xll.HPVAL($G$1,"ACTUAL",$A86,$W$7,"YTD","gpg")/1000),0)</f>
        <v>0</v>
      </c>
      <c r="X86" s="73"/>
      <c r="Y86" s="58">
        <f>ROUND((_xll.HPVAL($G$1,"ACTUAL",$A86,$Y$7,"YTD","gpg")/1000),0)</f>
        <v>0</v>
      </c>
      <c r="Z86" s="73"/>
      <c r="AA86" s="58">
        <f>ROUND((_xll.HPVAL($G$1,"ACTUAL",$A86,$AA$7,"YTD","gpg")/1000),0)</f>
        <v>0</v>
      </c>
      <c r="AB86" s="73"/>
      <c r="AC86" s="58">
        <f>IF(mo=1,+E86-C86,CHOOSE(mo,E86,G86,I86,K86,M86,O86,Q86,S86,U86,W86,Y86,AA86)-CHOOSE(mo-1,E86,G86,I86,K86,M86,O86,Q86,S86,U86,W86,Y86,AA86))</f>
        <v>150</v>
      </c>
      <c r="AD86" s="70"/>
      <c r="AE86" s="58">
        <f>CHOOSE(mo,E86,G86,I86,K86,M86,O86,Q86,S86,U86,W86,Y86,AA86)-C86</f>
        <v>94</v>
      </c>
      <c r="AF86" s="58"/>
    </row>
    <row r="87" spans="1:71">
      <c r="A87" s="84"/>
      <c r="B87" s="96" t="s">
        <v>167</v>
      </c>
      <c r="C87" s="91">
        <v>0</v>
      </c>
      <c r="D87" s="70"/>
      <c r="E87" s="91">
        <v>0</v>
      </c>
      <c r="F87" s="92"/>
      <c r="G87" s="91">
        <v>3</v>
      </c>
      <c r="H87" s="92"/>
      <c r="I87" s="91">
        <v>0</v>
      </c>
      <c r="J87" s="92"/>
      <c r="K87" s="91">
        <v>2</v>
      </c>
      <c r="L87" s="92"/>
      <c r="M87" s="91">
        <v>0</v>
      </c>
      <c r="N87" s="92"/>
      <c r="O87" s="91">
        <v>0</v>
      </c>
      <c r="P87" s="92"/>
      <c r="Q87" s="91">
        <v>-1</v>
      </c>
      <c r="R87" s="92"/>
      <c r="S87" s="91">
        <v>0</v>
      </c>
      <c r="T87" s="92"/>
      <c r="U87" s="91">
        <v>0</v>
      </c>
      <c r="V87" s="92"/>
      <c r="W87" s="91">
        <v>0</v>
      </c>
      <c r="X87" s="92"/>
      <c r="Y87" s="91">
        <v>0</v>
      </c>
      <c r="Z87" s="92"/>
      <c r="AA87" s="91">
        <v>0</v>
      </c>
      <c r="AB87" s="92"/>
      <c r="AC87" s="85">
        <f>IF(mo=1,+E87-C87,CHOOSE(mo,E87,G87,I87,K87,M87,O87,Q87,S87,U87,W87,Y87,AA87)-CHOOSE(mo-1,E87,G87,I87,K87,M87,O87,Q87,S87,U87,W87,Y87,AA87))</f>
        <v>1</v>
      </c>
      <c r="AD87" s="70"/>
      <c r="AE87" s="85">
        <f>CHOOSE(mo,E87,G87,I87,K87,M87,O87,Q87,S87,U87,W87,Y87,AA87)-C87</f>
        <v>0</v>
      </c>
      <c r="AF87" s="58"/>
    </row>
    <row r="88" spans="1:71" s="13" customFormat="1" ht="15" customHeight="1" thickBot="1">
      <c r="A88" s="59"/>
      <c r="B88" s="60" t="s">
        <v>216</v>
      </c>
      <c r="C88" s="86">
        <f>SUM(C86:C87)</f>
        <v>58</v>
      </c>
      <c r="D88" s="70"/>
      <c r="E88" s="86">
        <f>SUM(E86:E87)</f>
        <v>-37</v>
      </c>
      <c r="F88" s="77"/>
      <c r="G88" s="86">
        <f>SUM(G86:G87)</f>
        <v>1054</v>
      </c>
      <c r="H88" s="77"/>
      <c r="I88" s="86">
        <f>SUM(I86:I87)</f>
        <v>0</v>
      </c>
      <c r="J88" s="77"/>
      <c r="K88" s="86">
        <f>SUM(K86:K87)</f>
        <v>2</v>
      </c>
      <c r="L88" s="77"/>
      <c r="M88" s="86">
        <f>SUM(M86:M87)</f>
        <v>0</v>
      </c>
      <c r="N88" s="77"/>
      <c r="O88" s="86">
        <f>SUM(O86:O87)</f>
        <v>2</v>
      </c>
      <c r="P88" s="77"/>
      <c r="Q88" s="86">
        <f>SUM(Q86:Q87)</f>
        <v>1</v>
      </c>
      <c r="R88" s="77"/>
      <c r="S88" s="86">
        <f>SUM(S86:S87)</f>
        <v>152</v>
      </c>
      <c r="T88" s="77"/>
      <c r="U88" s="86">
        <f>SUM(U86:U87)</f>
        <v>0</v>
      </c>
      <c r="V88" s="77"/>
      <c r="W88" s="86">
        <f>SUM(W86:W87)</f>
        <v>0</v>
      </c>
      <c r="X88" s="77"/>
      <c r="Y88" s="86">
        <f>SUM(Y86:Y87)</f>
        <v>0</v>
      </c>
      <c r="Z88" s="77"/>
      <c r="AA88" s="86">
        <f>SUM(AA86:AA87)</f>
        <v>0</v>
      </c>
      <c r="AB88" s="77"/>
      <c r="AC88" s="86">
        <f>SUM(AC86:AC87)</f>
        <v>151</v>
      </c>
      <c r="AD88" s="70"/>
      <c r="AE88" s="86">
        <f>SUM(AE86:AE87)</f>
        <v>94</v>
      </c>
      <c r="AF88" s="60"/>
      <c r="AG88" s="5"/>
    </row>
    <row r="89" spans="1:71" ht="10.8" thickTop="1">
      <c r="A89" s="84"/>
      <c r="B89" s="58"/>
      <c r="C89" s="58"/>
      <c r="D89" s="70"/>
      <c r="E89" s="58"/>
      <c r="F89" s="73"/>
      <c r="G89" s="58"/>
      <c r="H89" s="73"/>
      <c r="I89" s="58"/>
      <c r="J89" s="73"/>
      <c r="K89" s="58"/>
      <c r="L89" s="73"/>
      <c r="M89" s="58"/>
      <c r="N89" s="73"/>
      <c r="O89" s="58"/>
      <c r="P89" s="73"/>
      <c r="Q89" s="58"/>
      <c r="R89" s="73"/>
      <c r="S89" s="58"/>
      <c r="T89" s="73"/>
      <c r="U89" s="58"/>
      <c r="V89" s="73"/>
      <c r="W89" s="58"/>
      <c r="X89" s="73"/>
      <c r="Y89" s="58"/>
      <c r="Z89" s="73"/>
      <c r="AA89" s="58"/>
      <c r="AB89" s="73"/>
      <c r="AC89" s="58"/>
      <c r="AD89" s="70"/>
      <c r="AE89" s="58"/>
      <c r="AF89" s="58"/>
    </row>
    <row r="90" spans="1:71" s="13" customFormat="1" ht="15" customHeight="1" thickBot="1">
      <c r="A90" s="93" t="s">
        <v>229</v>
      </c>
      <c r="B90" s="60"/>
      <c r="C90" s="86">
        <f>+C13+C24+C31+C42+C46+C50+C58+C62+C84+C88+C54</f>
        <v>408349</v>
      </c>
      <c r="D90" s="70"/>
      <c r="E90" s="86">
        <f>+E13+E24+E31+E42+E46+E50+E58+E62+E84+E88+E54</f>
        <v>419943</v>
      </c>
      <c r="F90" s="77"/>
      <c r="G90" s="86">
        <f>+G13+G24+G31+G42+G46+G50+G58+G62+G84+G88+G54</f>
        <v>430338</v>
      </c>
      <c r="H90" s="77"/>
      <c r="I90" s="86">
        <f>+I13+I24+I31+I42+I46+I50+I58+I62+I84+I88+I54</f>
        <v>457471</v>
      </c>
      <c r="J90" s="77"/>
      <c r="K90" s="86">
        <f>+K13+K24+K31+K42+K46+K50+K58+K62+K84+K88+K54</f>
        <v>448862</v>
      </c>
      <c r="L90" s="77"/>
      <c r="M90" s="86">
        <f>+M13+M24+M31+M42+M46+M50+M58+M62+M84+M88+M54</f>
        <v>442798</v>
      </c>
      <c r="N90" s="77"/>
      <c r="O90" s="86">
        <f>+O13+O24+O31+O42+O46+O50+O58+O62+O84+O88+O54</f>
        <v>303977</v>
      </c>
      <c r="P90" s="86"/>
      <c r="Q90" s="86">
        <f>+Q13+Q24+Q31+Q42+Q46+Q50+Q58+Q62+Q84+Q88+Q54</f>
        <v>311779</v>
      </c>
      <c r="R90" s="77"/>
      <c r="S90" s="86">
        <f>+S13+S24+S31+S42+S46+S50+S58+S62+S84+S88+S54</f>
        <v>323971</v>
      </c>
      <c r="T90" s="77"/>
      <c r="U90" s="86">
        <f>+U13+U24+U31+U42+U46+U50+U58+U62+U84+U88+U54</f>
        <v>0</v>
      </c>
      <c r="V90" s="77"/>
      <c r="W90" s="86">
        <f>+W13+W24+W31+W42+W46+W50+W58+W62+W84+W88+W54</f>
        <v>0</v>
      </c>
      <c r="X90" s="77"/>
      <c r="Y90" s="86">
        <f>+Y13+Y24+Y31+Y42+Y46+Y50+Y58+Y62+Y84+Y88+Y54</f>
        <v>0</v>
      </c>
      <c r="Z90" s="77"/>
      <c r="AA90" s="86">
        <f>+AA13+AA24+AA31+AA42+AA46+AA50+AA58+AA62+AA84+AA88+AA54</f>
        <v>0</v>
      </c>
      <c r="AB90" s="77"/>
      <c r="AC90" s="86">
        <f>+AC13+AC24+AC31+AC42+AC46+AC50+AC58+AC62+AC84+AC88+AC54</f>
        <v>12192</v>
      </c>
      <c r="AD90" s="86">
        <f>+AD13+AD22+AD31+AD42+AD46+AD50+AD58+AD62+AD84+AD88+AD54</f>
        <v>4</v>
      </c>
      <c r="AE90" s="86">
        <f>+AE13+AE24+AE31+AE42+AE46+AE50+AE58+AE62+AE84+AE88+AE54</f>
        <v>-84378</v>
      </c>
      <c r="AF90" s="60"/>
      <c r="AG90" s="5"/>
    </row>
    <row r="91" spans="1:71" ht="10.8" thickTop="1">
      <c r="A91" s="58"/>
      <c r="B91" s="58"/>
      <c r="C91" s="58"/>
      <c r="D91" s="70"/>
      <c r="E91" s="58"/>
      <c r="F91" s="73"/>
      <c r="G91" s="58"/>
      <c r="H91" s="73"/>
      <c r="I91" s="58"/>
      <c r="J91" s="73"/>
      <c r="K91" s="58"/>
      <c r="L91" s="73"/>
      <c r="M91" s="58"/>
      <c r="N91" s="73"/>
      <c r="O91" s="58"/>
      <c r="P91" s="73"/>
      <c r="Q91" s="58"/>
      <c r="R91" s="73"/>
      <c r="S91" s="58"/>
      <c r="T91" s="73"/>
      <c r="U91" s="58"/>
      <c r="V91" s="73"/>
      <c r="W91" s="58"/>
      <c r="X91" s="73"/>
      <c r="Y91" s="58"/>
      <c r="Z91" s="73"/>
      <c r="AA91" s="58"/>
      <c r="AB91" s="73"/>
      <c r="AC91" s="58"/>
      <c r="AD91" s="70"/>
      <c r="AE91" s="58"/>
      <c r="AF91" s="58"/>
    </row>
    <row r="92" spans="1:71" s="13" customFormat="1" ht="15" customHeight="1" thickBot="1">
      <c r="A92" s="144" t="s">
        <v>230</v>
      </c>
      <c r="B92" s="60" t="str">
        <f>_xll.HPHEA($A92,$G$2)</f>
        <v>Non curr notes rec - L.A. Roustabout</v>
      </c>
      <c r="C92" s="86">
        <f>ROUND((_xll.HPVAL($G$1,"py1",$A92,$C$7,"YTD","gpg")/1000),0)</f>
        <v>0</v>
      </c>
      <c r="D92" s="70"/>
      <c r="E92" s="86">
        <f>ROUND((_xll.HPVAL($G$1,"ACTUAL",$A92,$E$7,"YTD","gpg")/1000),0)</f>
        <v>0</v>
      </c>
      <c r="F92" s="77"/>
      <c r="G92" s="86">
        <f>ROUND((_xll.HPVAL($G$1,"ACTUAL",$A92,$G$7,"YTD","gpg")/1000),0)</f>
        <v>0</v>
      </c>
      <c r="H92" s="77"/>
      <c r="I92" s="86">
        <f>ROUND((_xll.HPVAL($G$1,"ACTUAL",$A92,$I$7,"YTD","gpg")/1000),0)</f>
        <v>0</v>
      </c>
      <c r="J92" s="77"/>
      <c r="K92" s="86">
        <f>ROUND((_xll.HPVAL($G$1,"ACTUAL",$A92,$K$7,"YTD","gpg")/1000),0)</f>
        <v>0</v>
      </c>
      <c r="L92" s="77"/>
      <c r="M92" s="86">
        <f>ROUND((_xll.HPVAL($G$1,"ACTUAL",$A92,$M$7,"YTD","gpg")/1000),0)</f>
        <v>0</v>
      </c>
      <c r="N92" s="77"/>
      <c r="O92" s="86">
        <f>ROUND((_xll.HPVAL($G$1,"ACTUAL",$A92,$O$7,"YTD","gpg")/1000),0)</f>
        <v>0</v>
      </c>
      <c r="P92" s="77"/>
      <c r="Q92" s="86">
        <f>ROUND((_xll.HPVAL($G$1,"ACTUAL",$A92,$Q$7,"YTD","gpg")/1000),0)</f>
        <v>0</v>
      </c>
      <c r="R92" s="77"/>
      <c r="S92" s="86">
        <f>ROUND((_xll.HPVAL($G$1,"ACTUAL",$A92,$S$7,"YTD","gpg")/1000),0)</f>
        <v>0</v>
      </c>
      <c r="T92" s="77"/>
      <c r="U92" s="86">
        <f>ROUND((_xll.HPVAL($G$1,"ACTUAL",$A92,$U$7,"YTD","gpg")/1000),0)</f>
        <v>0</v>
      </c>
      <c r="V92" s="77"/>
      <c r="W92" s="86">
        <f>ROUND((_xll.HPVAL($G$1,"ACTUAL",$A92,$W$7,"YTD","gpg")/1000),0)</f>
        <v>0</v>
      </c>
      <c r="X92" s="77"/>
      <c r="Y92" s="86">
        <f>ROUND((_xll.HPVAL($G$1,"ACTUAL",$A92,$Y$7,"YTD","gpg")/1000),0)</f>
        <v>0</v>
      </c>
      <c r="Z92" s="77"/>
      <c r="AA92" s="86">
        <f>ROUND((_xll.HPVAL($G$1,"ACTUAL",$A92,$AA$7,"YTD","gpg")/1000),0)</f>
        <v>0</v>
      </c>
      <c r="AB92" s="77"/>
      <c r="AC92" s="94">
        <f>IF(mo=1,+E92-C92,CHOOSE(mo,E92,G92,I92,K92,M92,O92,Q92,S92,U92,W92,Y92,AA92)-CHOOSE(mo-1,E92,G92,I92,K92,M92,O92,Q92,S92,U92,W92,Y92,AA92))</f>
        <v>0</v>
      </c>
      <c r="AD92" s="70"/>
      <c r="AE92" s="86">
        <f>CHOOSE(mo,E92,G92,I92,K92,M92,O92,Q92,S92,U92,W92,Y92,AA92)-C92</f>
        <v>0</v>
      </c>
      <c r="AF92" s="60"/>
      <c r="AG92" s="5"/>
    </row>
    <row r="93" spans="1:71" ht="10.8" thickTop="1">
      <c r="A93" s="58"/>
      <c r="B93" s="58"/>
      <c r="C93" s="58"/>
      <c r="D93" s="70"/>
      <c r="E93" s="58"/>
      <c r="F93" s="73"/>
      <c r="G93" s="58"/>
      <c r="H93" s="73"/>
      <c r="I93" s="58"/>
      <c r="J93" s="73"/>
      <c r="K93" s="58"/>
      <c r="L93" s="73"/>
      <c r="M93" s="58"/>
      <c r="N93" s="73"/>
      <c r="O93" s="58"/>
      <c r="P93" s="73"/>
      <c r="Q93" s="58"/>
      <c r="R93" s="73"/>
      <c r="S93" s="58"/>
      <c r="T93" s="73"/>
      <c r="U93" s="58"/>
      <c r="V93" s="73"/>
      <c r="W93" s="58"/>
      <c r="X93" s="73"/>
      <c r="Y93" s="58"/>
      <c r="Z93" s="73"/>
      <c r="AA93" s="58"/>
      <c r="AB93" s="73"/>
      <c r="AC93" s="58"/>
      <c r="AD93" s="70"/>
      <c r="AE93" s="58"/>
      <c r="AF93" s="58"/>
    </row>
    <row r="94" spans="1:71">
      <c r="A94" s="84" t="s">
        <v>333</v>
      </c>
      <c r="B94" s="58" t="str">
        <f>_xll.HPHEA($A94,$G$2)</f>
        <v>PP&amp;E utility plant</v>
      </c>
      <c r="C94" s="58">
        <f>ROUND((_xll.HPVAL($G$1,"py1",$A94,$C$7,"YTD","gpg")/1000),0)</f>
        <v>815996</v>
      </c>
      <c r="D94" s="70"/>
      <c r="E94" s="58">
        <f>ROUND((_xll.HPVAL($G$1,"ACTUAL",$A94,$E$7,"YTD","gpg")/1000),0)</f>
        <v>815967</v>
      </c>
      <c r="F94" s="73"/>
      <c r="G94" s="58">
        <f>ROUND((_xll.HPVAL($G$1,"ACTUAL",$A94,$G$7,"YTD","gpg")/1000),0)</f>
        <v>816634</v>
      </c>
      <c r="H94" s="73"/>
      <c r="I94" s="58">
        <f>ROUND((_xll.HPVAL($G$1,"ACTUAL",$A94,$I$7,"YTD","gpg")/1000),0)</f>
        <v>822479</v>
      </c>
      <c r="J94" s="73"/>
      <c r="K94" s="58">
        <f>ROUND((_xll.HPVAL($G$1,"ACTUAL",$A94,$K$7,"YTD","gpg")/1000),0)</f>
        <v>829902</v>
      </c>
      <c r="L94" s="73"/>
      <c r="M94" s="58">
        <f>ROUND((_xll.HPVAL($G$1,"ACTUAL",$A94,$M$7,"YTD","gpg")/1000),0)</f>
        <v>834812</v>
      </c>
      <c r="N94" s="73"/>
      <c r="O94" s="58">
        <f>ROUND((_xll.HPVAL($G$1,"ACTUAL",$A94,$O$7,"YTD","gpg")/1000),0)</f>
        <v>835849</v>
      </c>
      <c r="P94" s="73"/>
      <c r="Q94" s="58">
        <f>ROUND((_xll.HPVAL($G$1,"ACTUAL",$A94,$Q$7,"YTD","gpg")/1000),0)</f>
        <v>835932</v>
      </c>
      <c r="R94" s="73"/>
      <c r="S94" s="58">
        <f>ROUND((_xll.HPVAL($G$1,"ACTUAL",$A94,$S$7,"YTD","gpg")/1000),0)</f>
        <v>835937</v>
      </c>
      <c r="T94" s="73"/>
      <c r="U94" s="58">
        <f>ROUND((_xll.HPVAL($G$1,"ACTUAL",$A94,$U$7,"YTD","gpg")/1000),0)</f>
        <v>0</v>
      </c>
      <c r="V94" s="73"/>
      <c r="W94" s="58">
        <f>ROUND((_xll.HPVAL($G$1,"ACTUAL",$A94,$W$7,"YTD","gpg")/1000),0)</f>
        <v>0</v>
      </c>
      <c r="X94" s="73"/>
      <c r="Y94" s="58">
        <f>ROUND((_xll.HPVAL($G$1,"ACTUAL",$A94,$Y$7,"YTD","gpg")/1000),0)</f>
        <v>0</v>
      </c>
      <c r="Z94" s="73"/>
      <c r="AA94" s="58">
        <f>ROUND((_xll.HPVAL($G$1,"ACTUAL",$A94,$AA$7,"YTD","gpg")/1000),0)</f>
        <v>0</v>
      </c>
      <c r="AB94" s="73"/>
      <c r="AC94" s="58">
        <f t="shared" ref="AC94:AC104" si="6">IF(mo=1,+E94-C94,CHOOSE(mo,E94,G94,I94,K94,M94,O94,Q94,S94,U94,W94,Y94,AA94)-CHOOSE(mo-1,E94,G94,I94,K94,M94,O94,Q94,S94,U94,W94,Y94,AA94))</f>
        <v>5</v>
      </c>
      <c r="AD94" s="70"/>
      <c r="AE94" s="58">
        <f t="shared" ref="AE94:AE104" si="7">CHOOSE(mo,E94,G94,I94,K94,M94,O94,Q94,S94,U94,W94,Y94,AA94)-C94</f>
        <v>19941</v>
      </c>
      <c r="AF94" s="75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</row>
    <row r="95" spans="1:71">
      <c r="A95" s="84" t="s">
        <v>433</v>
      </c>
      <c r="B95" s="58" t="str">
        <f>_xll.HPHEA($A95,$G$2)</f>
        <v>PP&amp;E non-utility plant</v>
      </c>
      <c r="C95" s="58">
        <f>ROUND((_xll.HPVAL($G$1,"py1",$A95,$C$7,"YTD","gpg")/1000),0)</f>
        <v>2957</v>
      </c>
      <c r="D95" s="70"/>
      <c r="E95" s="58">
        <f>ROUND((_xll.HPVAL($G$1,"ACTUAL",$A95,$E$7,"YTD","gpg")/1000),0)</f>
        <v>2957</v>
      </c>
      <c r="F95" s="73"/>
      <c r="G95" s="58">
        <f>ROUND((_xll.HPVAL($G$1,"ACTUAL",$A95,$G$7,"YTD","gpg")/1000),0)</f>
        <v>2957</v>
      </c>
      <c r="H95" s="73"/>
      <c r="I95" s="58">
        <f>ROUND((_xll.HPVAL($G$1,"ACTUAL",$A95,$I$7,"YTD","gpg")/1000),0)</f>
        <v>2957</v>
      </c>
      <c r="J95" s="73"/>
      <c r="K95" s="58">
        <f>ROUND((_xll.HPVAL($G$1,"ACTUAL",$A95,$K$7,"YTD","gpg")/1000),0)</f>
        <v>2957</v>
      </c>
      <c r="L95" s="73"/>
      <c r="M95" s="58">
        <f>ROUND((_xll.HPVAL($G$1,"ACTUAL",$A95,$M$7,"YTD","gpg")/1000),0)</f>
        <v>2957</v>
      </c>
      <c r="N95" s="73"/>
      <c r="O95" s="58">
        <f>ROUND((_xll.HPVAL($G$1,"ACTUAL",$A95,$O$7,"YTD","gpg")/1000),0)</f>
        <v>2957</v>
      </c>
      <c r="P95" s="73"/>
      <c r="Q95" s="58">
        <f>ROUND((_xll.HPVAL($G$1,"ACTUAL",$A95,$Q$7,"YTD","gpg")/1000),0)</f>
        <v>2957</v>
      </c>
      <c r="R95" s="73"/>
      <c r="S95" s="58">
        <f>ROUND((_xll.HPVAL($G$1,"ACTUAL",$A95,$S$7,"YTD","gpg")/1000),0)</f>
        <v>2957</v>
      </c>
      <c r="T95" s="73"/>
      <c r="U95" s="58">
        <f>ROUND((_xll.HPVAL($G$1,"ACTUAL",$A95,$U$7,"YTD","gpg")/1000),0)</f>
        <v>0</v>
      </c>
      <c r="V95" s="73"/>
      <c r="W95" s="58">
        <f>ROUND((_xll.HPVAL($G$1,"ACTUAL",$A95,$W$7,"YTD","gpg")/1000),0)</f>
        <v>0</v>
      </c>
      <c r="X95" s="73"/>
      <c r="Y95" s="58">
        <f>ROUND((_xll.HPVAL($G$1,"ACTUAL",$A95,$Y$7,"YTD","gpg")/1000),0)</f>
        <v>0</v>
      </c>
      <c r="Z95" s="73"/>
      <c r="AA95" s="58">
        <f>ROUND((_xll.HPVAL($G$1,"ACTUAL",$A95,$AA$7,"YTD","gpg")/1000),0)</f>
        <v>0</v>
      </c>
      <c r="AB95" s="73"/>
      <c r="AC95" s="58">
        <f t="shared" si="6"/>
        <v>0</v>
      </c>
      <c r="AD95" s="70"/>
      <c r="AE95" s="58">
        <f t="shared" si="7"/>
        <v>0</v>
      </c>
      <c r="AF95" s="75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</row>
    <row r="96" spans="1:71">
      <c r="A96" s="84" t="s">
        <v>334</v>
      </c>
      <c r="B96" s="58" t="str">
        <f>_xll.HPHEA($A96,$G$2)</f>
        <v>Property, plant and equipment (DP)</v>
      </c>
      <c r="C96" s="58">
        <f>ROUND((_xll.HPVAL($G$1,"py1",$A96,$C$7,"YTD","gpg")/1000),0)</f>
        <v>76024</v>
      </c>
      <c r="D96" s="70"/>
      <c r="E96" s="58">
        <f>ROUND((_xll.HPVAL($G$1,"ACTUAL",$A96,$E$7,"YTD","gpg")/1000),0)</f>
        <v>76859</v>
      </c>
      <c r="F96" s="73"/>
      <c r="G96" s="58">
        <f>ROUND((_xll.HPVAL($G$1,"ACTUAL",$A96,$G$7,"YTD","gpg")/1000),0)</f>
        <v>76859</v>
      </c>
      <c r="H96" s="73"/>
      <c r="I96" s="58">
        <f>ROUND((_xll.HPVAL($G$1,"ACTUAL",$A96,$I$7,"YTD","gpg")/1000),0)</f>
        <v>76859</v>
      </c>
      <c r="J96" s="73"/>
      <c r="K96" s="58">
        <f>ROUND((_xll.HPVAL($G$1,"ACTUAL",$A96,$K$7,"YTD","gpg")/1000),0)</f>
        <v>76859</v>
      </c>
      <c r="L96" s="73"/>
      <c r="M96" s="58">
        <f>ROUND((_xll.HPVAL($G$1,"ACTUAL",$A96,$M$7,"YTD","gpg")/1000),0)</f>
        <v>76859</v>
      </c>
      <c r="N96" s="73"/>
      <c r="O96" s="58">
        <f>ROUND((_xll.HPVAL($G$1,"ACTUAL",$A96,$O$7,"YTD","gpg")/1000),0)</f>
        <v>76859</v>
      </c>
      <c r="P96" s="73"/>
      <c r="Q96" s="58">
        <f>ROUND((_xll.HPVAL($G$1,"ACTUAL",$A96,$Q$7,"YTD","gpg")/1000),0)</f>
        <v>76859</v>
      </c>
      <c r="R96" s="73"/>
      <c r="S96" s="58">
        <f>ROUND((_xll.HPVAL($G$1,"ACTUAL",$A96,$S$7,"YTD","gpg")/1000),0)</f>
        <v>76859</v>
      </c>
      <c r="T96" s="73"/>
      <c r="U96" s="58">
        <f>ROUND((_xll.HPVAL($G$1,"ACTUAL",$A96,$U$7,"YTD","gpg")/1000),0)</f>
        <v>0</v>
      </c>
      <c r="V96" s="73"/>
      <c r="W96" s="58">
        <f>ROUND((_xll.HPVAL($G$1,"ACTUAL",$A96,$W$7,"YTD","gpg")/1000),0)</f>
        <v>0</v>
      </c>
      <c r="X96" s="73"/>
      <c r="Y96" s="58">
        <f>ROUND((_xll.HPVAL($G$1,"ACTUAL",$A96,$Y$7,"YTD","gpg")/1000),0)</f>
        <v>0</v>
      </c>
      <c r="Z96" s="73"/>
      <c r="AA96" s="58">
        <f>ROUND((_xll.HPVAL($G$1,"ACTUAL",$A96,$AA$7,"YTD","gpg")/1000),0)</f>
        <v>0</v>
      </c>
      <c r="AB96" s="73"/>
      <c r="AC96" s="58">
        <f t="shared" si="6"/>
        <v>0</v>
      </c>
      <c r="AD96" s="70"/>
      <c r="AE96" s="58">
        <f t="shared" si="7"/>
        <v>835</v>
      </c>
      <c r="AF96" s="75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</row>
    <row r="97" spans="1:55">
      <c r="A97" s="84" t="s">
        <v>335</v>
      </c>
      <c r="B97" s="58" t="str">
        <f>_xll.HPHEA($A97,$G$2)</f>
        <v>Gas stored - base gas</v>
      </c>
      <c r="C97" s="58">
        <f>ROUND((_xll.HPVAL($G$1,"py1",$A97,$C$7,"YTD","gpg")/1000),0)</f>
        <v>0</v>
      </c>
      <c r="D97" s="70"/>
      <c r="E97" s="58">
        <f>ROUND((_xll.HPVAL($G$1,"ACTUAL",$A97,$E$7,"YTD","gpg")/1000),0)</f>
        <v>0</v>
      </c>
      <c r="F97" s="73"/>
      <c r="G97" s="58">
        <f>ROUND((_xll.HPVAL($G$1,"ACTUAL",$A97,$G$7,"YTD","gpg")/1000),0)</f>
        <v>0</v>
      </c>
      <c r="H97" s="73"/>
      <c r="I97" s="58">
        <f>ROUND((_xll.HPVAL($G$1,"ACTUAL",$A97,$I$7,"YTD","gpg")/1000),0)</f>
        <v>0</v>
      </c>
      <c r="J97" s="73"/>
      <c r="K97" s="58">
        <f>ROUND((_xll.HPVAL($G$1,"ACTUAL",$A97,$K$7,"YTD","gpg")/1000),0)</f>
        <v>0</v>
      </c>
      <c r="L97" s="73"/>
      <c r="M97" s="58">
        <f>ROUND((_xll.HPVAL($G$1,"ACTUAL",$A97,$M$7,"YTD","gpg")/1000),0)</f>
        <v>0</v>
      </c>
      <c r="N97" s="73"/>
      <c r="O97" s="58">
        <f>ROUND((_xll.HPVAL($G$1,"ACTUAL",$A97,$O$7,"YTD","gpg")/1000),0)</f>
        <v>0</v>
      </c>
      <c r="P97" s="73"/>
      <c r="Q97" s="58">
        <f>ROUND((_xll.HPVAL($G$1,"ACTUAL",$A97,$Q$7,"YTD","gpg")/1000),0)</f>
        <v>0</v>
      </c>
      <c r="R97" s="73"/>
      <c r="S97" s="58">
        <f>ROUND((_xll.HPVAL($G$1,"ACTUAL",$A97,$S$7,"YTD","gpg")/1000),0)</f>
        <v>0</v>
      </c>
      <c r="T97" s="73"/>
      <c r="U97" s="58">
        <f>ROUND((_xll.HPVAL($G$1,"ACTUAL",$A97,$U$7,"YTD","gpg")/1000),0)</f>
        <v>0</v>
      </c>
      <c r="V97" s="73"/>
      <c r="W97" s="58">
        <f>ROUND((_xll.HPVAL($G$1,"ACTUAL",$A97,$W$7,"YTD","gpg")/1000),0)</f>
        <v>0</v>
      </c>
      <c r="X97" s="73"/>
      <c r="Y97" s="58">
        <f>ROUND((_xll.HPVAL($G$1,"ACTUAL",$A97,$Y$7,"YTD","gpg")/1000),0)</f>
        <v>0</v>
      </c>
      <c r="Z97" s="73"/>
      <c r="AA97" s="58">
        <f>ROUND((_xll.HPVAL($G$1,"ACTUAL",$A97,$AA$7,"YTD","gpg")/1000),0)</f>
        <v>0</v>
      </c>
      <c r="AB97" s="73"/>
      <c r="AC97" s="58">
        <f t="shared" si="6"/>
        <v>0</v>
      </c>
      <c r="AD97" s="70"/>
      <c r="AE97" s="58">
        <f t="shared" si="7"/>
        <v>0</v>
      </c>
      <c r="AF97" s="75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</row>
    <row r="98" spans="1:55">
      <c r="A98" s="84" t="s">
        <v>336</v>
      </c>
      <c r="B98" s="58" t="str">
        <f>_xll.HPHEA($A98,$G$2)</f>
        <v>System balancing gas</v>
      </c>
      <c r="C98" s="58">
        <f>ROUND((_xll.HPVAL($G$1,"py1",$A98,$C$7,"YTD","gpg")/1000),0)</f>
        <v>7144</v>
      </c>
      <c r="D98" s="70"/>
      <c r="E98" s="58">
        <f>ROUND((_xll.HPVAL($G$1,"ACTUAL",$A98,$E$7,"YTD","gpg")/1000),0)</f>
        <v>7144</v>
      </c>
      <c r="F98" s="73"/>
      <c r="G98" s="58">
        <f>ROUND((_xll.HPVAL($G$1,"ACTUAL",$A98,$G$7,"YTD","gpg")/1000),0)</f>
        <v>7144</v>
      </c>
      <c r="H98" s="73"/>
      <c r="I98" s="58">
        <f>ROUND((_xll.HPVAL($G$1,"ACTUAL",$A98,$I$7,"YTD","gpg")/1000),0)</f>
        <v>7144</v>
      </c>
      <c r="J98" s="73"/>
      <c r="K98" s="58">
        <f>ROUND((_xll.HPVAL($G$1,"ACTUAL",$A98,$K$7,"YTD","gpg")/1000),0)</f>
        <v>9560</v>
      </c>
      <c r="L98" s="73"/>
      <c r="M98" s="58">
        <f>ROUND((_xll.HPVAL($G$1,"ACTUAL",$A98,$M$7,"YTD","gpg")/1000),0)</f>
        <v>9560</v>
      </c>
      <c r="N98" s="73"/>
      <c r="O98" s="58">
        <f>ROUND((_xll.HPVAL($G$1,"ACTUAL",$A98,$O$7,"YTD","gpg")/1000),0)</f>
        <v>9560</v>
      </c>
      <c r="P98" s="73"/>
      <c r="Q98" s="58">
        <f>ROUND((_xll.HPVAL($G$1,"ACTUAL",$A98,$Q$7,"YTD","gpg")/1000),0)</f>
        <v>9560</v>
      </c>
      <c r="R98" s="73"/>
      <c r="S98" s="58">
        <f>ROUND((_xll.HPVAL($G$1,"ACTUAL",$A98,$S$7,"YTD","gpg")/1000),0)</f>
        <v>9560</v>
      </c>
      <c r="T98" s="73"/>
      <c r="U98" s="58">
        <f>ROUND((_xll.HPVAL($G$1,"ACTUAL",$A98,$U$7,"YTD","gpg")/1000),0)</f>
        <v>0</v>
      </c>
      <c r="V98" s="73"/>
      <c r="W98" s="58">
        <f>ROUND((_xll.HPVAL($G$1,"ACTUAL",$A98,$W$7,"YTD","gpg")/1000),0)</f>
        <v>0</v>
      </c>
      <c r="X98" s="73"/>
      <c r="Y98" s="58">
        <f>ROUND((_xll.HPVAL($G$1,"ACTUAL",$A98,$Y$7,"YTD","gpg")/1000),0)</f>
        <v>0</v>
      </c>
      <c r="Z98" s="73"/>
      <c r="AA98" s="58">
        <f>ROUND((_xll.HPVAL($G$1,"ACTUAL",$A98,$AA$7,"YTD","gpg")/1000),0)</f>
        <v>0</v>
      </c>
      <c r="AB98" s="73"/>
      <c r="AC98" s="58">
        <f t="shared" si="6"/>
        <v>0</v>
      </c>
      <c r="AD98" s="70"/>
      <c r="AE98" s="58">
        <f t="shared" si="7"/>
        <v>2416</v>
      </c>
      <c r="AF98" s="75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</row>
    <row r="99" spans="1:55">
      <c r="A99" s="84" t="s">
        <v>337</v>
      </c>
      <c r="B99" s="58" t="str">
        <f>_xll.HPHEA($A99,$G$2)</f>
        <v>Gas owed to system gas (linepack)</v>
      </c>
      <c r="C99" s="58">
        <f>ROUND((_xll.HPVAL($G$1,"py1",$A99,$C$7,"YTD","gpg")/1000),0)</f>
        <v>2348</v>
      </c>
      <c r="D99" s="70"/>
      <c r="E99" s="58">
        <f>ROUND((_xll.HPVAL($G$1,"ACTUAL",$A99,$E$7,"YTD","gpg")/1000),0)</f>
        <v>2417</v>
      </c>
      <c r="F99" s="73"/>
      <c r="G99" s="58">
        <f>ROUND((_xll.HPVAL($G$1,"ACTUAL",$A99,$G$7,"YTD","gpg")/1000),0)</f>
        <v>1555</v>
      </c>
      <c r="H99" s="73" t="s">
        <v>250</v>
      </c>
      <c r="I99" s="58">
        <f>ROUND((_xll.HPVAL($G$1,"ACTUAL",$A99,$I$7,"YTD","gpg")/1000),0)</f>
        <v>1538</v>
      </c>
      <c r="J99" s="73"/>
      <c r="K99" s="58">
        <f>ROUND((_xll.HPVAL($G$1,"ACTUAL",$A99,$K$7,"YTD","gpg")/1000),0)</f>
        <v>590</v>
      </c>
      <c r="L99" s="73"/>
      <c r="M99" s="58">
        <f>ROUND((_xll.HPVAL($G$1,"ACTUAL",$A99,$M$7,"YTD","gpg")/1000),0)</f>
        <v>436</v>
      </c>
      <c r="N99" s="73"/>
      <c r="O99" s="58">
        <f>ROUND((_xll.HPVAL($G$1,"ACTUAL",$A99,$O$7,"YTD","gpg")/1000),0)</f>
        <v>368</v>
      </c>
      <c r="P99" s="73"/>
      <c r="Q99" s="58">
        <f>ROUND((_xll.HPVAL($G$1,"ACTUAL",$A99,$Q$7,"YTD","gpg")/1000),0)</f>
        <v>169</v>
      </c>
      <c r="R99" s="73"/>
      <c r="S99" s="58">
        <f>ROUND((_xll.HPVAL($G$1,"ACTUAL",$A99,$S$7,"YTD","gpg")/1000),0)</f>
        <v>171</v>
      </c>
      <c r="T99" s="73"/>
      <c r="U99" s="58">
        <f>ROUND((_xll.HPVAL($G$1,"ACTUAL",$A99,$U$7,"YTD","gpg")/1000),0)</f>
        <v>0</v>
      </c>
      <c r="V99" s="73"/>
      <c r="W99" s="58">
        <f>ROUND((_xll.HPVAL($G$1,"ACTUAL",$A99,$W$7,"YTD","gpg")/1000),0)</f>
        <v>0</v>
      </c>
      <c r="X99" s="73"/>
      <c r="Y99" s="58">
        <f>ROUND((_xll.HPVAL($G$1,"ACTUAL",$A99,$Y$7,"YTD","gpg")/1000),0)</f>
        <v>0</v>
      </c>
      <c r="Z99" s="73"/>
      <c r="AA99" s="58">
        <f>ROUND((_xll.HPVAL($G$1,"ACTUAL",$A99,$AA$7,"YTD","gpg")/1000),0)</f>
        <v>0</v>
      </c>
      <c r="AB99" s="73"/>
      <c r="AC99" s="58">
        <f t="shared" si="6"/>
        <v>2</v>
      </c>
      <c r="AD99" s="70"/>
      <c r="AE99" s="58">
        <f t="shared" si="7"/>
        <v>-2177</v>
      </c>
      <c r="AF99" s="75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</row>
    <row r="100" spans="1:55">
      <c r="A100" s="84" t="s">
        <v>419</v>
      </c>
      <c r="B100" s="58" t="str">
        <f>_xll.HPHEA($A100,$G$2)</f>
        <v>Property, plant, &amp; equip-GR/IR clearing</v>
      </c>
      <c r="C100" s="58">
        <f>ROUND((_xll.HPVAL($G$1,"py1",$A100,$C$7,"YTD","gpg")/1000),0)</f>
        <v>-23</v>
      </c>
      <c r="D100" s="70"/>
      <c r="E100" s="58">
        <f>ROUND((_xll.HPVAL($G$1,"ACTUAL",$A100,$E$7,"YTD","gpg")/1000),0)</f>
        <v>-23</v>
      </c>
      <c r="F100" s="73"/>
      <c r="G100" s="58">
        <f>ROUND((_xll.HPVAL($G$1,"ACTUAL",$A100,$G$7,"YTD","gpg")/1000),0)</f>
        <v>-73</v>
      </c>
      <c r="H100" s="73"/>
      <c r="I100" s="58">
        <f>ROUND((_xll.HPVAL($G$1,"ACTUAL",$A100,$I$7,"YTD","gpg")/1000),0)</f>
        <v>-73</v>
      </c>
      <c r="J100" s="73"/>
      <c r="K100" s="58">
        <f>ROUND((_xll.HPVAL($G$1,"ACTUAL",$A100,$K$7,"YTD","gpg")/1000),0)</f>
        <v>-73</v>
      </c>
      <c r="L100" s="73"/>
      <c r="M100" s="58">
        <f>ROUND((_xll.HPVAL($G$1,"ACTUAL",$A100,$M$7,"YTD","gpg")/1000),0)</f>
        <v>-15</v>
      </c>
      <c r="N100" s="73"/>
      <c r="O100" s="58">
        <f>ROUND((_xll.HPVAL($G$1,"ACTUAL",$A100,$O$7,"YTD","gpg")/1000),0)</f>
        <v>-41</v>
      </c>
      <c r="P100" s="73"/>
      <c r="Q100" s="58">
        <f>ROUND((_xll.HPVAL($G$1,"ACTUAL",$A100,$Q$7,"YTD","gpg")/1000),0)</f>
        <v>-57</v>
      </c>
      <c r="R100" s="73"/>
      <c r="S100" s="58">
        <f>ROUND((_xll.HPVAL($G$1,"ACTUAL",$A100,$S$7,"YTD","gpg")/1000),0)</f>
        <v>-57</v>
      </c>
      <c r="T100" s="73"/>
      <c r="U100" s="58">
        <f>ROUND((_xll.HPVAL($G$1,"ACTUAL",$A100,$U$7,"YTD","gpg")/1000),0)</f>
        <v>0</v>
      </c>
      <c r="V100" s="73"/>
      <c r="W100" s="58">
        <f>ROUND((_xll.HPVAL($G$1,"ACTUAL",$A100,$W$7,"YTD","gpg")/1000),0)</f>
        <v>0</v>
      </c>
      <c r="X100" s="73"/>
      <c r="Y100" s="58">
        <f>ROUND((_xll.HPVAL($G$1,"ACTUAL",$A100,$Y$7,"YTD","gpg")/1000),0)</f>
        <v>0</v>
      </c>
      <c r="Z100" s="73"/>
      <c r="AA100" s="58">
        <f>ROUND((_xll.HPVAL($G$1,"ACTUAL",$A100,$AA$7,"YTD","gpg")/1000),0)</f>
        <v>0</v>
      </c>
      <c r="AB100" s="73"/>
      <c r="AC100" s="58">
        <f t="shared" si="6"/>
        <v>0</v>
      </c>
      <c r="AD100" s="70"/>
      <c r="AE100" s="58">
        <f t="shared" si="7"/>
        <v>-34</v>
      </c>
      <c r="AF100" s="75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</row>
    <row r="101" spans="1:55">
      <c r="A101" s="84" t="s">
        <v>484</v>
      </c>
      <c r="B101" s="58" t="str">
        <f>_xll.HPHEA($A101,$G$2)</f>
        <v>Assets held for future use</v>
      </c>
      <c r="C101" s="58">
        <f>ROUND((_xll.HPVAL($G$1,"py1",$A101,$C$7,"YTD","gpg")/1000),0)</f>
        <v>17550</v>
      </c>
      <c r="D101" s="70"/>
      <c r="E101" s="58">
        <f>ROUND((_xll.HPVAL($G$1,"ACTUAL",$A101,$E$7,"YTD","gpg")/1000),0)</f>
        <v>17550</v>
      </c>
      <c r="F101" s="73"/>
      <c r="G101" s="58">
        <f>ROUND((_xll.HPVAL($G$1,"ACTUAL",$A101,$G$7,"YTD","gpg")/1000),0)</f>
        <v>17550</v>
      </c>
      <c r="H101" s="73"/>
      <c r="I101" s="58">
        <f>ROUND((_xll.HPVAL($G$1,"ACTUAL",$A101,$I$7,"YTD","gpg")/1000),0)</f>
        <v>17550</v>
      </c>
      <c r="J101" s="73"/>
      <c r="K101" s="58">
        <f>ROUND((_xll.HPVAL($G$1,"ACTUAL",$A101,$K$7,"YTD","gpg")/1000),0)</f>
        <v>17550</v>
      </c>
      <c r="L101" s="73"/>
      <c r="M101" s="58">
        <f>ROUND((_xll.HPVAL($G$1,"ACTUAL",$A101,$M$7,"YTD","gpg")/1000),0)</f>
        <v>17550</v>
      </c>
      <c r="N101" s="73"/>
      <c r="O101" s="58">
        <f>ROUND((_xll.HPVAL($G$1,"ACTUAL",$A101,$O$7,"YTD","gpg")/1000),0)</f>
        <v>17550</v>
      </c>
      <c r="P101" s="73"/>
      <c r="Q101" s="58">
        <f>ROUND((_xll.HPVAL($G$1,"ACTUAL",$A101,$Q$7,"YTD","gpg")/1000),0)</f>
        <v>17550</v>
      </c>
      <c r="R101" s="73"/>
      <c r="S101" s="58">
        <f>ROUND((_xll.HPVAL($G$1,"ACTUAL",$A101,$S$7,"YTD","gpg")/1000),0)</f>
        <v>17550</v>
      </c>
      <c r="T101" s="73"/>
      <c r="U101" s="58">
        <f>ROUND((_xll.HPVAL($G$1,"ACTUAL",$A101,$U$7,"YTD","gpg")/1000),0)</f>
        <v>0</v>
      </c>
      <c r="V101" s="73"/>
      <c r="W101" s="58">
        <f>ROUND((_xll.HPVAL($G$1,"ACTUAL",$A101,$W$7,"YTD","gpg")/1000),0)</f>
        <v>0</v>
      </c>
      <c r="X101" s="73"/>
      <c r="Y101" s="58">
        <f>ROUND((_xll.HPVAL($G$1,"ACTUAL",$A101,$Y$7,"YTD","gpg")/1000),0)</f>
        <v>0</v>
      </c>
      <c r="Z101" s="73"/>
      <c r="AA101" s="58">
        <f>ROUND((_xll.HPVAL($G$1,"ACTUAL",$A101,$AA$7,"YTD","gpg")/1000),0)</f>
        <v>0</v>
      </c>
      <c r="AB101" s="73"/>
      <c r="AC101" s="58">
        <f t="shared" si="6"/>
        <v>0</v>
      </c>
      <c r="AD101" s="70"/>
      <c r="AE101" s="58">
        <f t="shared" si="7"/>
        <v>0</v>
      </c>
      <c r="AF101" s="75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</row>
    <row r="102" spans="1:55">
      <c r="A102" s="84" t="s">
        <v>338</v>
      </c>
      <c r="B102" s="58" t="str">
        <f>_xll.HPHEA($A102,$G$2)</f>
        <v>CWIP</v>
      </c>
      <c r="C102" s="58">
        <f>ROUND((_xll.HPVAL($G$1,"py1",$A102,$C$7,"YTD","gpg")/1000),0)</f>
        <v>52286</v>
      </c>
      <c r="D102" s="70"/>
      <c r="E102" s="58">
        <f>ROUND((_xll.HPVAL($G$1,"ACTUAL",$A102,$E$7,"YTD","gpg")/1000),0)</f>
        <v>51846</v>
      </c>
      <c r="F102" s="73"/>
      <c r="G102" s="58">
        <f>ROUND((_xll.HPVAL($G$1,"ACTUAL",$A102,$G$7,"YTD","gpg")/1000),0)</f>
        <v>51471</v>
      </c>
      <c r="H102" s="73"/>
      <c r="I102" s="58">
        <f>ROUND((_xll.HPVAL($G$1,"ACTUAL",$A102,$I$7,"YTD","gpg")/1000),0)</f>
        <v>46532</v>
      </c>
      <c r="J102" s="73"/>
      <c r="K102" s="58">
        <f>ROUND((_xll.HPVAL($G$1,"ACTUAL",$A102,$K$7,"YTD","gpg")/1000),0)</f>
        <v>40426</v>
      </c>
      <c r="L102" s="73"/>
      <c r="M102" s="58">
        <f>ROUND((_xll.HPVAL($G$1,"ACTUAL",$A102,$M$7,"YTD","gpg")/1000),0)</f>
        <v>51563</v>
      </c>
      <c r="N102" s="73"/>
      <c r="O102" s="58">
        <f>ROUND((_xll.HPVAL($G$1,"ACTUAL",$A102,$O$7,"YTD","gpg")/1000),0)</f>
        <v>54075</v>
      </c>
      <c r="P102" s="73"/>
      <c r="Q102" s="58">
        <f>ROUND((_xll.HPVAL($G$1,"ACTUAL",$A102,$Q$7,"YTD","gpg")/1000),0)</f>
        <v>55288</v>
      </c>
      <c r="R102" s="73"/>
      <c r="S102" s="58">
        <f>ROUND((_xll.HPVAL($G$1,"ACTUAL",$A102,$S$7,"YTD","gpg")/1000),0)</f>
        <v>59429</v>
      </c>
      <c r="T102" s="73"/>
      <c r="U102" s="58">
        <f>ROUND((_xll.HPVAL($G$1,"ACTUAL",$A102,$U$7,"YTD","gpg")/1000),0)</f>
        <v>0</v>
      </c>
      <c r="V102" s="73"/>
      <c r="W102" s="58">
        <f>ROUND((_xll.HPVAL($G$1,"ACTUAL",$A102,$W$7,"YTD","gpg")/1000),0)</f>
        <v>0</v>
      </c>
      <c r="X102" s="73"/>
      <c r="Y102" s="58">
        <f>ROUND((_xll.HPVAL($G$1,"ACTUAL",$A102,$Y$7,"YTD","gpg")/1000),0)</f>
        <v>0</v>
      </c>
      <c r="Z102" s="73"/>
      <c r="AA102" s="58">
        <f>ROUND((_xll.HPVAL($G$1,"ACTUAL",$A102,$AA$7,"YTD","gpg")/1000),0)</f>
        <v>0</v>
      </c>
      <c r="AB102" s="73"/>
      <c r="AC102" s="58">
        <f t="shared" si="6"/>
        <v>4141</v>
      </c>
      <c r="AD102" s="70"/>
      <c r="AE102" s="58">
        <f t="shared" si="7"/>
        <v>7143</v>
      </c>
      <c r="AF102" s="75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</row>
    <row r="103" spans="1:55">
      <c r="A103" s="84" t="s">
        <v>385</v>
      </c>
      <c r="B103" s="58" t="str">
        <f>_xll.HPHEA($A103,$G$2)</f>
        <v>Intangible assets</v>
      </c>
      <c r="C103" s="58">
        <f>ROUND((_xll.HPVAL($G$1,"py1",$A103,$C$7,"YTD","gpg")/1000),0)</f>
        <v>12826</v>
      </c>
      <c r="D103" s="70"/>
      <c r="E103" s="58">
        <f>ROUND((_xll.HPVAL($G$1,"ACTUAL",$A103,$E$7,"YTD","gpg")/1000),0)</f>
        <v>12826</v>
      </c>
      <c r="F103" s="73"/>
      <c r="G103" s="58">
        <f>ROUND((_xll.HPVAL($G$1,"ACTUAL",$A103,$G$7,"YTD","gpg")/1000),0)</f>
        <v>12826</v>
      </c>
      <c r="H103" s="73"/>
      <c r="I103" s="58">
        <f>ROUND((_xll.HPVAL($G$1,"ACTUAL",$A103,$I$7,"YTD","gpg")/1000),0)</f>
        <v>12826</v>
      </c>
      <c r="J103" s="73"/>
      <c r="K103" s="58">
        <f>ROUND((_xll.HPVAL($G$1,"ACTUAL",$A103,$K$7,"YTD","gpg")/1000),0)</f>
        <v>12826</v>
      </c>
      <c r="L103" s="73"/>
      <c r="M103" s="58">
        <f>ROUND((_xll.HPVAL($G$1,"ACTUAL",$A103,$M$7,"YTD","gpg")/1000),0)</f>
        <v>12826</v>
      </c>
      <c r="N103" s="73"/>
      <c r="O103" s="58">
        <f>ROUND((_xll.HPVAL($G$1,"ACTUAL",$A103,$O$7,"YTD","gpg")/1000),0)</f>
        <v>12826</v>
      </c>
      <c r="P103" s="73"/>
      <c r="Q103" s="58">
        <f>ROUND((_xll.HPVAL($G$1,"ACTUAL",$A103,$Q$7,"YTD","gpg")/1000),0)</f>
        <v>12826</v>
      </c>
      <c r="R103" s="73"/>
      <c r="S103" s="58">
        <f>ROUND((_xll.HPVAL($G$1,"ACTUAL",$A103,$S$7,"YTD","gpg")/1000),0)</f>
        <v>12826</v>
      </c>
      <c r="T103" s="73"/>
      <c r="U103" s="58">
        <f>ROUND((_xll.HPVAL($G$1,"ACTUAL",$A103,$U$7,"YTD","gpg")/1000),0)</f>
        <v>0</v>
      </c>
      <c r="V103" s="73"/>
      <c r="W103" s="58">
        <f>ROUND((_xll.HPVAL($G$1,"ACTUAL",$A103,$W$7,"YTD","gpg")/1000),0)</f>
        <v>0</v>
      </c>
      <c r="X103" s="73"/>
      <c r="Y103" s="58">
        <f>ROUND((_xll.HPVAL($G$1,"ACTUAL",$A103,$Y$7,"YTD","gpg")/1000),0)</f>
        <v>0</v>
      </c>
      <c r="Z103" s="73"/>
      <c r="AA103" s="58">
        <f>ROUND((_xll.HPVAL($G$1,"ACTUAL",$A103,$AA$7,"YTD","gpg")/1000),0)</f>
        <v>0</v>
      </c>
      <c r="AB103" s="73"/>
      <c r="AC103" s="58">
        <f t="shared" si="6"/>
        <v>0</v>
      </c>
      <c r="AD103" s="70"/>
      <c r="AE103" s="58">
        <f t="shared" si="7"/>
        <v>0</v>
      </c>
      <c r="AF103" s="75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</row>
    <row r="104" spans="1:55">
      <c r="A104" s="58"/>
      <c r="B104" s="58" t="s">
        <v>214</v>
      </c>
      <c r="C104" s="85">
        <f>+C105-SUM(C94:C103)</f>
        <v>-1</v>
      </c>
      <c r="D104" s="70"/>
      <c r="E104" s="85">
        <f>+E105-SUM(E94:E103)</f>
        <v>0</v>
      </c>
      <c r="F104" s="77"/>
      <c r="G104" s="85">
        <f>+G105-SUM(G94:G103)</f>
        <v>0</v>
      </c>
      <c r="H104" s="77"/>
      <c r="I104" s="85">
        <f>+I105-SUM(I94:I103)</f>
        <v>0</v>
      </c>
      <c r="J104" s="77"/>
      <c r="K104" s="85">
        <f>+K105-SUM(K94:K103)</f>
        <v>0</v>
      </c>
      <c r="L104" s="77"/>
      <c r="M104" s="85">
        <f>+M105-SUM(M94:M103)</f>
        <v>0</v>
      </c>
      <c r="N104" s="77"/>
      <c r="O104" s="85">
        <f>+O105-SUM(O94:O103)</f>
        <v>1</v>
      </c>
      <c r="P104" s="77"/>
      <c r="Q104" s="85">
        <f>+Q105-SUM(Q94:Q103)</f>
        <v>0</v>
      </c>
      <c r="R104" s="77"/>
      <c r="S104" s="85">
        <f>+S105-SUM(S94:S103)</f>
        <v>1</v>
      </c>
      <c r="T104" s="77"/>
      <c r="U104" s="85">
        <f>+U105-SUM(U94:U103)</f>
        <v>0</v>
      </c>
      <c r="V104" s="77"/>
      <c r="W104" s="85">
        <f>+W105-SUM(W94:W103)</f>
        <v>0</v>
      </c>
      <c r="X104" s="77"/>
      <c r="Y104" s="85">
        <f>+Y105-SUM(Y94:Y103)</f>
        <v>0</v>
      </c>
      <c r="Z104" s="77"/>
      <c r="AA104" s="85">
        <f>+AA105-SUM(AA94:AA103)</f>
        <v>0</v>
      </c>
      <c r="AB104" s="77"/>
      <c r="AC104" s="85">
        <f t="shared" si="6"/>
        <v>1</v>
      </c>
      <c r="AD104" s="70"/>
      <c r="AE104" s="85">
        <f t="shared" si="7"/>
        <v>2</v>
      </c>
      <c r="AF104" s="75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</row>
    <row r="105" spans="1:55" s="13" customFormat="1" ht="15" customHeight="1" thickBot="1">
      <c r="A105" s="60"/>
      <c r="B105" s="60" t="s">
        <v>17</v>
      </c>
      <c r="C105" s="86">
        <f>ROUND((_xll.HPVAL($G$1,"PY1","0294",$C$7,"YTD","gpg")/1000),0)+ROUND((_xll.HPVAL($G$1,"PY1","0295",$C$7,"YTD","gpg")/1000),0)+ROUND((_xll.HPVAL($G$1,"PY1","0297",$C$7,"YTD","gpg")/1000),0)+ROUND((_xll.HPVAL($G$1,"PY1","0309",$C$7,"YTD","gpg")/1000),0)</f>
        <v>987107</v>
      </c>
      <c r="D105" s="70"/>
      <c r="E105" s="86">
        <f>ROUND((_xll.HPVAL($G$1,"ACTUAL","0294",$E$7,"YTD","gpg")/1000),0)+ROUND((_xll.HPVAL($G$1,"ACTUAL","0295",$E$7,"YTD","gpg")/1000),0)+ROUND((_xll.HPVAL($G$1,"ACTUAL","0297",$E$7,"YTD","gpg")/1000),0)+ROUND((_xll.HPVAL($G$1,"ACTUAL","0309",$E$7,"YTD","gpg")/1000),0)</f>
        <v>987543</v>
      </c>
      <c r="F105" s="90"/>
      <c r="G105" s="86">
        <f>ROUND((_xll.HPVAL($G$1,"ACTUAL","0294",$G$7,"YTD","gpg")/1000),0)+ROUND((_xll.HPVAL($G$1,"ACTUAL","0295",$G$7,"YTD","gpg")/1000),0)+ROUND((_xll.HPVAL($G$1,"ACTUAL","0297",$G$7,"YTD","gpg")/1000),0)+ROUND((_xll.HPVAL($G$1,"ACTUAL","0309",$G$7,"YTD","gpg")/1000),0)</f>
        <v>986923</v>
      </c>
      <c r="H105" s="90"/>
      <c r="I105" s="86">
        <f>ROUND((_xll.HPVAL($G$1,"ACTUAL","0294",$I$7,"YTD","gpg")/1000),0)+ROUND((_xll.HPVAL($G$1,"ACTUAL","0295",$I$7,"YTD","gpg")/1000),0)+ROUND((_xll.HPVAL($G$1,"ACTUAL","0297",$I$7,"YTD","gpg")/1000),0)+ROUND((_xll.HPVAL($G$1,"ACTUAL","0309",$I$7,"YTD","gpg")/1000),0)</f>
        <v>987812</v>
      </c>
      <c r="J105" s="90"/>
      <c r="K105" s="86">
        <f>ROUND((_xll.HPVAL($G$1,"ACTUAL","0294",$K$7,"YTD","gpg")/1000),0)+ROUND((_xll.HPVAL($G$1,"ACTUAL","0295",$K$7,"YTD","gpg")/1000),0)+ROUND((_xll.HPVAL($G$1,"ACTUAL","0297",$K$7,"YTD","gpg")/1000),0)+ROUND((_xll.HPVAL($G$1,"ACTUAL","0309",$K$7,"YTD","gpg")/1000),0)</f>
        <v>990597</v>
      </c>
      <c r="L105" s="90"/>
      <c r="M105" s="86">
        <f>ROUND((_xll.HPVAL($G$1,"ACTUAL","0294",$M$7,"YTD","gpg")/1000),0)+ROUND((_xll.HPVAL($G$1,"ACTUAL","0295",$M$7,"YTD","gpg")/1000),0)+ROUND((_xll.HPVAL($G$1,"ACTUAL","0297",$M$7,"YTD","gpg")/1000),0)+ROUND((_xll.HPVAL($G$1,"ACTUAL","0309",$M$7,"YTD","gpg")/1000),0)</f>
        <v>1006548</v>
      </c>
      <c r="N105" s="90"/>
      <c r="O105" s="86">
        <f>ROUND((_xll.HPVAL($G$1,"ACTUAL","0294",$O$7,"YTD","gpg")/1000),0)+ROUND((_xll.HPVAL($G$1,"ACTUAL","0295",$O$7,"YTD","gpg")/1000),0)+ROUND((_xll.HPVAL($G$1,"ACTUAL","0297",$O$7,"YTD","gpg")/1000),0)+ROUND((_xll.HPVAL($G$1,"ACTUAL","0309",$O$7,"YTD","gpg")/1000),0)</f>
        <v>1010004</v>
      </c>
      <c r="P105" s="90"/>
      <c r="Q105" s="86">
        <f>ROUND((_xll.HPVAL($G$1,"ACTUAL","0294",$Q$7,"YTD","gpg")/1000),0)+ROUND((_xll.HPVAL($G$1,"ACTUAL","0295",$Q$7,"YTD","gpg")/1000),0)+ROUND((_xll.HPVAL($G$1,"ACTUAL","0297",$Q$7,"YTD","gpg")/1000),0)+ROUND((_xll.HPVAL($G$1,"ACTUAL","0309",$Q$7,"YTD","gpg")/1000),0)</f>
        <v>1011084</v>
      </c>
      <c r="R105" s="90"/>
      <c r="S105" s="86">
        <f>ROUND((_xll.HPVAL($G$1,"ACTUAL","0294",$S$7,"YTD","gpg")/1000),0)+ROUND((_xll.HPVAL($G$1,"ACTUAL","0295",$S$7,"YTD","gpg")/1000),0)+ROUND((_xll.HPVAL($G$1,"ACTUAL","0297",$S$7,"YTD","gpg")/1000),0)+ROUND((_xll.HPVAL($G$1,"ACTUAL","0309",$S$7,"YTD","gpg")/1000),0)</f>
        <v>1015233</v>
      </c>
      <c r="T105" s="90"/>
      <c r="U105" s="86">
        <f>ROUND((_xll.HPVAL($G$1,"ACTUAL","0294",$U$7,"YTD","gpg")/1000),0)+ROUND((_xll.HPVAL($G$1,"ACTUAL","0295",$U$7,"YTD","gpg")/1000),0)+ROUND((_xll.HPVAL($G$1,"ACTUAL","0297",$U$7,"YTD","gpg")/1000),0)+ROUND((_xll.HPVAL($G$1,"ACTUAL","0309",$U$7,"YTD","gpg")/1000),0)</f>
        <v>0</v>
      </c>
      <c r="V105" s="90"/>
      <c r="W105" s="86">
        <f>ROUND((_xll.HPVAL($G$1,"ACTUAL","0294",$W$7,"YTD","gpg")/1000),0)+ROUND((_xll.HPVAL($G$1,"ACTUAL","0295",$W$7,"YTD","gpg")/1000),0)+ROUND((_xll.HPVAL($G$1,"ACTUAL","0297",$W$7,"YTD","gpg")/1000),0)+ROUND((_xll.HPVAL($G$1,"ACTUAL","0309",$W$7,"YTD","gpg")/1000),0)</f>
        <v>0</v>
      </c>
      <c r="X105" s="90"/>
      <c r="Y105" s="86">
        <f>ROUND((_xll.HPVAL($G$1,"ACTUAL","0294",$Y$7,"YTD","gpg")/1000),0)+ROUND((_xll.HPVAL($G$1,"ACTUAL","0295",$Y$7,"YTD","gpg")/1000),0)+ROUND((_xll.HPVAL($G$1,"ACTUAL","0297",$Y$7,"YTD","gpg")/1000),0)+ROUND((_xll.HPVAL($G$1,"ACTUAL","0309",$Y$7,"YTD","gpg")/1000),0)</f>
        <v>0</v>
      </c>
      <c r="Z105" s="90"/>
      <c r="AA105" s="86">
        <f>ROUND((_xll.HPVAL($G$1,"ACTUAL","0294",$AA$7,"YTD","gpg")/1000),0)+ROUND((_xll.HPVAL($G$1,"ACTUAL","0295",$AA$7,"YTD","gpg")/1000),0)+ROUND((_xll.HPVAL($G$1,"ACTUAL","0297",$AA$7,"YTD","gpg")/1000),0)+ROUND((_xll.HPVAL($G$1,"ACTUAL","0309",$AA$7,"YTD","gpg")/1000),0)</f>
        <v>0</v>
      </c>
      <c r="AB105" s="90"/>
      <c r="AC105" s="86">
        <f>SUM(AC94:AC104)</f>
        <v>4149</v>
      </c>
      <c r="AD105" s="70"/>
      <c r="AE105" s="86">
        <f>SUM(AE94:AE104)</f>
        <v>28126</v>
      </c>
      <c r="AF105" s="72"/>
      <c r="AG105" s="5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</row>
    <row r="106" spans="1:55" ht="10.8" thickTop="1">
      <c r="A106" s="58"/>
      <c r="B106" s="58"/>
      <c r="C106" s="75"/>
      <c r="D106" s="70"/>
      <c r="E106" s="75"/>
      <c r="F106" s="77"/>
      <c r="G106" s="75"/>
      <c r="H106" s="77"/>
      <c r="I106" s="75"/>
      <c r="J106" s="77"/>
      <c r="K106" s="75"/>
      <c r="L106" s="77"/>
      <c r="M106" s="75"/>
      <c r="N106" s="77"/>
      <c r="O106" s="75"/>
      <c r="P106" s="77"/>
      <c r="Q106" s="75"/>
      <c r="R106" s="77"/>
      <c r="S106" s="75"/>
      <c r="T106" s="77"/>
      <c r="U106" s="75"/>
      <c r="V106" s="77"/>
      <c r="W106" s="75"/>
      <c r="X106" s="77"/>
      <c r="Y106" s="75"/>
      <c r="Z106" s="77"/>
      <c r="AA106" s="75"/>
      <c r="AB106" s="77"/>
      <c r="AC106" s="75"/>
      <c r="AD106" s="70"/>
      <c r="AE106" s="75"/>
      <c r="AF106" s="75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</row>
    <row r="107" spans="1:55">
      <c r="A107" s="84" t="s">
        <v>339</v>
      </c>
      <c r="B107" s="58" t="str">
        <f>_xll.HPHEA($A107,$G$2)</f>
        <v>Accumulated depreciation</v>
      </c>
      <c r="C107" s="58">
        <f>ROUND((_xll.HPVAL($G$1,"py1",$A107,$C$7,"YTD","gpg")/1000),0)</f>
        <v>-323889</v>
      </c>
      <c r="D107" s="70"/>
      <c r="E107" s="58">
        <f>ROUND((_xll.HPVAL($G$1,"ACTUAL",$A107,$E$7,"YTD","gpg")/1000),0)</f>
        <v>-324848</v>
      </c>
      <c r="F107" s="73"/>
      <c r="G107" s="58">
        <f>ROUND((_xll.HPVAL($G$1,"ACTUAL",$A107,$G$7,"YTD","gpg")/1000),0)</f>
        <v>-325809</v>
      </c>
      <c r="H107" s="73"/>
      <c r="I107" s="58">
        <f>ROUND((_xll.HPVAL($G$1,"ACTUAL",$A107,$I$7,"YTD","gpg")/1000),0)</f>
        <v>-326776</v>
      </c>
      <c r="J107" s="73"/>
      <c r="K107" s="58">
        <f>ROUND((_xll.HPVAL($G$1,"ACTUAL",$A107,$K$7,"YTD","gpg")/1000),0)</f>
        <v>-327754</v>
      </c>
      <c r="L107" s="73"/>
      <c r="M107" s="58">
        <f>ROUND((_xll.HPVAL($G$1,"ACTUAL",$A107,$M$7,"YTD","gpg")/1000),0)</f>
        <v>-328747</v>
      </c>
      <c r="N107" s="73"/>
      <c r="O107" s="58">
        <f>ROUND((_xll.HPVAL($G$1,"ACTUAL",$A107,$O$7,"YTD","gpg")/1000),0)</f>
        <v>-329793</v>
      </c>
      <c r="P107" s="73"/>
      <c r="Q107" s="58">
        <f>ROUND((_xll.HPVAL($G$1,"ACTUAL",$A107,$Q$7,"YTD","gpg")/1000),0)</f>
        <v>-330777</v>
      </c>
      <c r="R107" s="73"/>
      <c r="S107" s="58">
        <f>ROUND((_xll.HPVAL($G$1,"ACTUAL",$A107,$S$7,"YTD","gpg")/1000),0)</f>
        <v>-331761</v>
      </c>
      <c r="T107" s="73"/>
      <c r="U107" s="58">
        <f>ROUND((_xll.HPVAL($G$1,"ACTUAL",$A107,$U$7,"YTD","gpg")/1000),0)</f>
        <v>0</v>
      </c>
      <c r="V107" s="73"/>
      <c r="W107" s="58">
        <f>ROUND((_xll.HPVAL($G$1,"ACTUAL",$A107,$W$7,"YTD","gpg")/1000),0)</f>
        <v>0</v>
      </c>
      <c r="X107" s="73"/>
      <c r="Y107" s="58">
        <f>ROUND((_xll.HPVAL($G$1,"ACTUAL",$A107,$Y$7,"YTD","gpg")/1000),0)</f>
        <v>0</v>
      </c>
      <c r="Z107" s="73"/>
      <c r="AA107" s="58">
        <f>ROUND((_xll.HPVAL($G$1,"ACTUAL",$A107,$AA$7,"YTD","gpg")/1000),0)</f>
        <v>0</v>
      </c>
      <c r="AB107" s="73"/>
      <c r="AC107" s="58">
        <f t="shared" ref="AC107:AC112" si="8">IF(mo=1,+E107-C107,CHOOSE(mo,E107,G107,I107,K107,M107,O107,Q107,S107,U107,W107,Y107,AA107)-CHOOSE(mo-1,E107,G107,I107,K107,M107,O107,Q107,S107,U107,W107,Y107,AA107))</f>
        <v>-984</v>
      </c>
      <c r="AD107" s="70"/>
      <c r="AE107" s="58">
        <f t="shared" ref="AE107:AE112" si="9">CHOOSE(mo,E107,G107,I107,K107,M107,O107,Q107,S107,U107,W107,Y107,AA107)-C107</f>
        <v>-7872</v>
      </c>
      <c r="AF107" s="75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</row>
    <row r="108" spans="1:55">
      <c r="A108" s="84" t="s">
        <v>340</v>
      </c>
      <c r="B108" s="58" t="str">
        <f>_xll.HPHEA($A108,$G$2)</f>
        <v>Accumulated depreciation (DP)</v>
      </c>
      <c r="C108" s="58">
        <f>ROUND((_xll.HPVAL($G$1,"py1",$A108,$C$7,"YTD","gpg")/1000),0)</f>
        <v>224145</v>
      </c>
      <c r="D108" s="70"/>
      <c r="E108" s="58">
        <f>ROUND((_xll.HPVAL($G$1,"ACTUAL",$A108,$E$7,"YTD","gpg")/1000),0)</f>
        <v>223645</v>
      </c>
      <c r="F108" s="73"/>
      <c r="G108" s="58">
        <f>ROUND((_xll.HPVAL($G$1,"ACTUAL",$A108,$G$7,"YTD","gpg")/1000),0)</f>
        <v>223145</v>
      </c>
      <c r="H108" s="73"/>
      <c r="I108" s="58">
        <f>ROUND((_xll.HPVAL($G$1,"ACTUAL",$A108,$I$7,"YTD","gpg")/1000),0)</f>
        <v>222645</v>
      </c>
      <c r="J108" s="73"/>
      <c r="K108" s="58">
        <f>ROUND((_xll.HPVAL($G$1,"ACTUAL",$A108,$K$7,"YTD","gpg")/1000),0)</f>
        <v>222145</v>
      </c>
      <c r="L108" s="73"/>
      <c r="M108" s="58">
        <f>ROUND((_xll.HPVAL($G$1,"ACTUAL",$A108,$M$7,"YTD","gpg")/1000),0)</f>
        <v>221645</v>
      </c>
      <c r="N108" s="73"/>
      <c r="O108" s="58">
        <f>ROUND((_xll.HPVAL($G$1,"ACTUAL",$A108,$O$7,"YTD","gpg")/1000),0)</f>
        <v>221145</v>
      </c>
      <c r="P108" s="73"/>
      <c r="Q108" s="58">
        <f>ROUND((_xll.HPVAL($G$1,"ACTUAL",$A108,$Q$7,"YTD","gpg")/1000),0)</f>
        <v>220645</v>
      </c>
      <c r="R108" s="73"/>
      <c r="S108" s="58">
        <f>ROUND((_xll.HPVAL($G$1,"ACTUAL",$A108,$S$7,"YTD","gpg")/1000),0)</f>
        <v>220145</v>
      </c>
      <c r="T108" s="73"/>
      <c r="U108" s="58">
        <f>ROUND((_xll.HPVAL($G$1,"ACTUAL",$A108,$U$7,"YTD","gpg")/1000),0)</f>
        <v>0</v>
      </c>
      <c r="V108" s="73"/>
      <c r="W108" s="58">
        <f>ROUND((_xll.HPVAL($G$1,"ACTUAL",$A108,$W$7,"YTD","gpg")/1000),0)</f>
        <v>0</v>
      </c>
      <c r="X108" s="73"/>
      <c r="Y108" s="58">
        <f>ROUND((_xll.HPVAL($G$1,"ACTUAL",$A108,$Y$7,"YTD","gpg")/1000),0)</f>
        <v>0</v>
      </c>
      <c r="Z108" s="73"/>
      <c r="AA108" s="58">
        <f>ROUND((_xll.HPVAL($G$1,"ACTUAL",$A108,$AA$7,"YTD","gpg")/1000),0)</f>
        <v>0</v>
      </c>
      <c r="AB108" s="73"/>
      <c r="AC108" s="58">
        <f t="shared" si="8"/>
        <v>-500</v>
      </c>
      <c r="AD108" s="70"/>
      <c r="AE108" s="58">
        <f t="shared" si="9"/>
        <v>-4000</v>
      </c>
      <c r="AF108" s="75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</row>
    <row r="109" spans="1:55">
      <c r="A109" s="84" t="s">
        <v>341</v>
      </c>
      <c r="B109" s="58" t="str">
        <f>_xll.HPHEA($A109,$G$2)</f>
        <v>RWIP - removal cost</v>
      </c>
      <c r="C109" s="58">
        <f>ROUND((_xll.HPVAL($G$1,"py1",$A109,$C$7,"YTD","gpg")/1000),0)</f>
        <v>1425</v>
      </c>
      <c r="D109" s="70"/>
      <c r="E109" s="58">
        <f>ROUND((_xll.HPVAL($G$1,"ACTUAL",$A109,$E$7,"YTD","gpg")/1000),0)</f>
        <v>1438</v>
      </c>
      <c r="F109" s="73"/>
      <c r="G109" s="58">
        <f>ROUND((_xll.HPVAL($G$1,"ACTUAL",$A109,$G$7,"YTD","gpg")/1000),0)</f>
        <v>1457</v>
      </c>
      <c r="H109" s="73"/>
      <c r="I109" s="58">
        <f>ROUND((_xll.HPVAL($G$1,"ACTUAL",$A109,$I$7,"YTD","gpg")/1000),0)</f>
        <v>1381</v>
      </c>
      <c r="J109" s="73"/>
      <c r="K109" s="58">
        <f>ROUND((_xll.HPVAL($G$1,"ACTUAL",$A109,$K$7,"YTD","gpg")/1000),0)</f>
        <v>1324</v>
      </c>
      <c r="L109" s="73"/>
      <c r="M109" s="58">
        <f>ROUND((_xll.HPVAL($G$1,"ACTUAL",$A109,$M$7,"YTD","gpg")/1000),0)</f>
        <v>1395</v>
      </c>
      <c r="N109" s="73"/>
      <c r="O109" s="58">
        <f>ROUND((_xll.HPVAL($G$1,"ACTUAL",$A109,$O$7,"YTD","gpg")/1000),0)</f>
        <v>1366</v>
      </c>
      <c r="P109" s="73"/>
      <c r="Q109" s="58">
        <f>ROUND((_xll.HPVAL($G$1,"ACTUAL",$A109,$Q$7,"YTD","gpg")/1000),0)</f>
        <v>1411</v>
      </c>
      <c r="R109" s="73"/>
      <c r="S109" s="58">
        <f>ROUND((_xll.HPVAL($G$1,"ACTUAL",$A109,$S$7,"YTD","gpg")/1000),0)</f>
        <v>1447</v>
      </c>
      <c r="T109" s="73"/>
      <c r="U109" s="58">
        <f>ROUND((_xll.HPVAL($G$1,"ACTUAL",$A109,$U$7,"YTD","gpg")/1000),0)</f>
        <v>0</v>
      </c>
      <c r="V109" s="73"/>
      <c r="W109" s="58">
        <f>ROUND((_xll.HPVAL($G$1,"ACTUAL",$A109,$W$7,"YTD","gpg")/1000),0)</f>
        <v>0</v>
      </c>
      <c r="X109" s="73"/>
      <c r="Y109" s="58">
        <f>ROUND((_xll.HPVAL($G$1,"ACTUAL",$A109,$Y$7,"YTD","gpg")/1000),0)</f>
        <v>0</v>
      </c>
      <c r="Z109" s="73"/>
      <c r="AA109" s="58">
        <f>ROUND((_xll.HPVAL($G$1,"ACTUAL",$A109,$AA$7,"YTD","gpg")/1000),0)</f>
        <v>0</v>
      </c>
      <c r="AB109" s="73"/>
      <c r="AC109" s="58">
        <f t="shared" si="8"/>
        <v>36</v>
      </c>
      <c r="AD109" s="70"/>
      <c r="AE109" s="58">
        <f t="shared" si="9"/>
        <v>22</v>
      </c>
      <c r="AF109" s="75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</row>
    <row r="110" spans="1:55">
      <c r="A110" s="84" t="s">
        <v>434</v>
      </c>
      <c r="B110" s="58" t="str">
        <f>_xll.HPHEA($A110,$G$2)</f>
        <v>Accumulated deprec - nonutility plant</v>
      </c>
      <c r="C110" s="58">
        <f>ROUND((_xll.HPVAL($G$1,"py1",$A110,$C$7,"YTD","gpg")/1000),0)</f>
        <v>-294</v>
      </c>
      <c r="D110" s="70"/>
      <c r="E110" s="58">
        <f>ROUND((_xll.HPVAL($G$1,"ACTUAL",$A110,$E$7,"YTD","gpg")/1000),0)</f>
        <v>-297</v>
      </c>
      <c r="F110" s="73"/>
      <c r="G110" s="58">
        <f>ROUND((_xll.HPVAL($G$1,"ACTUAL",$A110,$G$7,"YTD","gpg")/1000),0)</f>
        <v>-300</v>
      </c>
      <c r="H110" s="73"/>
      <c r="I110" s="58">
        <f>ROUND((_xll.HPVAL($G$1,"ACTUAL",$A110,$I$7,"YTD","gpg")/1000),0)</f>
        <v>-303</v>
      </c>
      <c r="J110" s="73"/>
      <c r="K110" s="58">
        <f>ROUND((_xll.HPVAL($G$1,"ACTUAL",$A110,$K$7,"YTD","gpg")/1000),0)</f>
        <v>-306</v>
      </c>
      <c r="L110" s="73"/>
      <c r="M110" s="58">
        <f>ROUND((_xll.HPVAL($G$1,"ACTUAL",$A110,$M$7,"YTD","gpg")/1000),0)</f>
        <v>-309</v>
      </c>
      <c r="N110" s="73"/>
      <c r="O110" s="58">
        <f>ROUND((_xll.HPVAL($G$1,"ACTUAL",$A110,$O$7,"YTD","gpg")/1000),0)</f>
        <v>-312</v>
      </c>
      <c r="P110" s="73"/>
      <c r="Q110" s="58">
        <f>ROUND((_xll.HPVAL($G$1,"ACTUAL",$A110,$Q$7,"YTD","gpg")/1000),0)</f>
        <v>-315</v>
      </c>
      <c r="R110" s="73"/>
      <c r="S110" s="58">
        <f>ROUND((_xll.HPVAL($G$1,"ACTUAL",$A110,$S$7,"YTD","gpg")/1000),0)</f>
        <v>-318</v>
      </c>
      <c r="T110" s="73"/>
      <c r="U110" s="58">
        <f>ROUND((_xll.HPVAL($G$1,"ACTUAL",$A110,$U$7,"YTD","gpg")/1000),0)</f>
        <v>0</v>
      </c>
      <c r="V110" s="73"/>
      <c r="W110" s="58">
        <f>ROUND((_xll.HPVAL($G$1,"ACTUAL",$A110,$W$7,"YTD","gpg")/1000),0)</f>
        <v>0</v>
      </c>
      <c r="X110" s="73"/>
      <c r="Y110" s="58">
        <f>ROUND((_xll.HPVAL($G$1,"ACTUAL",$A110,$Y$7,"YTD","gpg")/1000),0)</f>
        <v>0</v>
      </c>
      <c r="Z110" s="73"/>
      <c r="AA110" s="58">
        <f>ROUND((_xll.HPVAL($G$1,"ACTUAL",$A110,$AA$7,"YTD","gpg")/1000),0)</f>
        <v>0</v>
      </c>
      <c r="AB110" s="73"/>
      <c r="AC110" s="58">
        <f t="shared" si="8"/>
        <v>-3</v>
      </c>
      <c r="AD110" s="70"/>
      <c r="AE110" s="58">
        <f t="shared" si="9"/>
        <v>-24</v>
      </c>
      <c r="AF110" s="75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</row>
    <row r="111" spans="1:55">
      <c r="A111" s="84" t="s">
        <v>342</v>
      </c>
      <c r="B111" s="58" t="str">
        <f>_xll.HPHEA($A111,$G$2)</f>
        <v>Accumulated amortization</v>
      </c>
      <c r="C111" s="58">
        <f>ROUND((_xll.HPVAL($G$1,"py1",$A111,$C$7,"YTD","gpg")/1000),0)</f>
        <v>-5750</v>
      </c>
      <c r="D111" s="70"/>
      <c r="E111" s="58">
        <f>ROUND((_xll.HPVAL($G$1,"ACTUAL",$A111,$E$7,"YTD","gpg")/1000),0)</f>
        <v>-5844</v>
      </c>
      <c r="F111" s="73"/>
      <c r="G111" s="58">
        <f>ROUND((_xll.HPVAL($G$1,"ACTUAL",$A111,$G$7,"YTD","gpg")/1000),0)</f>
        <v>-5937</v>
      </c>
      <c r="H111" s="73"/>
      <c r="I111" s="58">
        <f>ROUND((_xll.HPVAL($G$1,"ACTUAL",$A111,$I$7,"YTD","gpg")/1000),0)</f>
        <v>-6031</v>
      </c>
      <c r="J111" s="73"/>
      <c r="K111" s="58">
        <f>ROUND((_xll.HPVAL($G$1,"ACTUAL",$A111,$K$7,"YTD","gpg")/1000),0)</f>
        <v>-6125</v>
      </c>
      <c r="L111" s="73"/>
      <c r="M111" s="58">
        <f>ROUND((_xll.HPVAL($G$1,"ACTUAL",$A111,$M$7,"YTD","gpg")/1000),0)</f>
        <v>-6219</v>
      </c>
      <c r="N111" s="73"/>
      <c r="O111" s="58">
        <f>ROUND((_xll.HPVAL($G$1,"ACTUAL",$A111,$O$7,"YTD","gpg")/1000),0)</f>
        <v>-6313</v>
      </c>
      <c r="P111" s="73"/>
      <c r="Q111" s="58">
        <f>ROUND((_xll.HPVAL($G$1,"ACTUAL",$A111,$Q$7,"YTD","gpg")/1000),0)</f>
        <v>-6406</v>
      </c>
      <c r="R111" s="73"/>
      <c r="S111" s="58">
        <f>ROUND((_xll.HPVAL($G$1,"ACTUAL",$A111,$S$7,"YTD","gpg")/1000),0)</f>
        <v>-6500</v>
      </c>
      <c r="T111" s="73"/>
      <c r="U111" s="58">
        <f>ROUND((_xll.HPVAL($G$1,"ACTUAL",$A111,$U$7,"YTD","gpg")/1000),0)</f>
        <v>0</v>
      </c>
      <c r="V111" s="73"/>
      <c r="W111" s="58">
        <f>ROUND((_xll.HPVAL($G$1,"ACTUAL",$A111,$W$7,"YTD","gpg")/1000),0)</f>
        <v>0</v>
      </c>
      <c r="X111" s="73"/>
      <c r="Y111" s="58">
        <f>ROUND((_xll.HPVAL($G$1,"ACTUAL",$A111,$Y$7,"YTD","gpg")/1000),0)</f>
        <v>0</v>
      </c>
      <c r="Z111" s="73"/>
      <c r="AA111" s="58">
        <f>ROUND((_xll.HPVAL($G$1,"ACTUAL",$A111,$AA$7,"YTD","gpg")/1000),0)</f>
        <v>0</v>
      </c>
      <c r="AB111" s="73"/>
      <c r="AC111" s="58">
        <f t="shared" si="8"/>
        <v>-94</v>
      </c>
      <c r="AD111" s="70"/>
      <c r="AE111" s="58">
        <f t="shared" si="9"/>
        <v>-750</v>
      </c>
      <c r="AF111" s="75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</row>
    <row r="112" spans="1:55">
      <c r="A112" s="58"/>
      <c r="B112" s="58" t="s">
        <v>214</v>
      </c>
      <c r="C112" s="85">
        <f>+C113-SUM(C107:C111)</f>
        <v>-1</v>
      </c>
      <c r="D112" s="70"/>
      <c r="E112" s="85">
        <f>+E113-SUM(E107:E111)</f>
        <v>-1</v>
      </c>
      <c r="F112" s="77"/>
      <c r="G112" s="85">
        <f>+G113-SUM(G107:G111)</f>
        <v>0</v>
      </c>
      <c r="H112" s="77"/>
      <c r="I112" s="85">
        <f>+I113-SUM(I107:I111)</f>
        <v>0</v>
      </c>
      <c r="J112" s="77"/>
      <c r="K112" s="85">
        <f>+K113-SUM(K107:K111)</f>
        <v>0</v>
      </c>
      <c r="L112" s="77"/>
      <c r="M112" s="85">
        <f>+M113-SUM(M107:M111)</f>
        <v>-1</v>
      </c>
      <c r="N112" s="77"/>
      <c r="O112" s="85">
        <f>+O113-SUM(O107:O111)</f>
        <v>-1</v>
      </c>
      <c r="P112" s="77"/>
      <c r="Q112" s="85">
        <f>+Q113-SUM(Q107:Q111)</f>
        <v>-1</v>
      </c>
      <c r="R112" s="77"/>
      <c r="S112" s="85">
        <f>+S113-SUM(S107:S111)</f>
        <v>-1</v>
      </c>
      <c r="T112" s="77"/>
      <c r="U112" s="85">
        <f>+U113-SUM(U107:U111)</f>
        <v>0</v>
      </c>
      <c r="V112" s="77"/>
      <c r="W112" s="85">
        <f>+W113-SUM(W107:W111)</f>
        <v>0</v>
      </c>
      <c r="X112" s="77"/>
      <c r="Y112" s="85">
        <f>+Y113-SUM(Y107:Y111)</f>
        <v>0</v>
      </c>
      <c r="Z112" s="77"/>
      <c r="AA112" s="85">
        <f>+AA113-SUM(AA107:AA111)</f>
        <v>0</v>
      </c>
      <c r="AB112" s="77"/>
      <c r="AC112" s="58">
        <f t="shared" si="8"/>
        <v>0</v>
      </c>
      <c r="AD112" s="70"/>
      <c r="AE112" s="58">
        <f t="shared" si="9"/>
        <v>0</v>
      </c>
      <c r="AF112" s="75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</row>
    <row r="113" spans="1:55" s="13" customFormat="1" ht="15" customHeight="1" thickBot="1">
      <c r="A113" s="60"/>
      <c r="B113" s="60" t="s">
        <v>232</v>
      </c>
      <c r="C113" s="86">
        <f>ROUND((_xll.HPVAL($G$1,"PY1","0321",$C$7,"YTD","gpg")/1000),0)+ROUND((_xll.HPVAL($G$1,"PY1","0327",$C$7,"YTD","gpg")/1000),0)+ROUND((_xll.HPVAL($G$1,"PY1","0335",$C$7,"YTD","gpg")/1000),0)</f>
        <v>-104364</v>
      </c>
      <c r="D113" s="70"/>
      <c r="E113" s="86">
        <f>ROUND((_xll.HPVAL($G$1,"ACTUAL","0321",$E$7,"YTD","gpg")/1000),0)+ROUND((_xll.HPVAL($G$1,"ACTUAL","0327",$E$7,"YTD","gpg")/1000),0)+ROUND((_xll.HPVAL($G$1,"ACTUAL","0335",$E$7,"YTD","gpg")/1000),0)</f>
        <v>-105907</v>
      </c>
      <c r="F113" s="90"/>
      <c r="G113" s="86">
        <f>ROUND((_xll.HPVAL($G$1,"ACTUAL","0321",$G$7,"YTD","gpg")/1000),0)+ROUND((_xll.HPVAL($G$1,"ACTUAL","0327",$G$7,"YTD","gpg")/1000),0)+ROUND((_xll.HPVAL($G$1,"ACTUAL","0335",$G$7,"YTD","gpg")/1000),0)</f>
        <v>-107444</v>
      </c>
      <c r="H113" s="90"/>
      <c r="I113" s="86">
        <f>ROUND((_xll.HPVAL($G$1,"ACTUAL","0321",$I$7,"YTD","gpg")/1000),0)+ROUND((_xll.HPVAL($G$1,"ACTUAL","0327",$I$7,"YTD","gpg")/1000),0)+ROUND((_xll.HPVAL($G$1,"ACTUAL","0335",$I$7,"YTD","gpg")/1000),0)</f>
        <v>-109084</v>
      </c>
      <c r="J113" s="90"/>
      <c r="K113" s="86">
        <f>ROUND((_xll.HPVAL($G$1,"ACTUAL","0321",$K$7,"YTD","gpg")/1000),0)+ROUND((_xll.HPVAL($G$1,"ACTUAL","0327",$K$7,"YTD","gpg")/1000),0)+ROUND((_xll.HPVAL($G$1,"ACTUAL","0335",$K$7,"YTD","gpg")/1000),0)</f>
        <v>-110716</v>
      </c>
      <c r="L113" s="90"/>
      <c r="M113" s="86">
        <f>ROUND((_xll.HPVAL($G$1,"ACTUAL","0321",$M$7,"YTD","gpg")/1000),0)+ROUND((_xll.HPVAL($G$1,"ACTUAL","0327",$M$7,"YTD","gpg")/1000),0)+ROUND((_xll.HPVAL($G$1,"ACTUAL","0335",$M$7,"YTD","gpg")/1000),0)</f>
        <v>-112236</v>
      </c>
      <c r="N113" s="90"/>
      <c r="O113" s="86">
        <f>ROUND((_xll.HPVAL($G$1,"ACTUAL","0321",$O$7,"YTD","gpg")/1000),0)+ROUND((_xll.HPVAL($G$1,"ACTUAL","0327",$O$7,"YTD","gpg")/1000),0)+ROUND((_xll.HPVAL($G$1,"ACTUAL","0335",$O$7,"YTD","gpg")/1000),0)</f>
        <v>-113908</v>
      </c>
      <c r="P113" s="90"/>
      <c r="Q113" s="86">
        <f>ROUND((_xll.HPVAL($G$1,"ACTUAL","0321",$Q$7,"YTD","gpg")/1000),0)+ROUND((_xll.HPVAL($G$1,"ACTUAL","0327",$Q$7,"YTD","gpg")/1000),0)+ROUND((_xll.HPVAL($G$1,"ACTUAL","0335",$Q$7,"YTD","gpg")/1000),0)</f>
        <v>-115443</v>
      </c>
      <c r="R113" s="90"/>
      <c r="S113" s="86">
        <f>ROUND((_xll.HPVAL($G$1,"ACTUAL","0321",$S$7,"YTD","gpg")/1000),0)+ROUND((_xll.HPVAL($G$1,"ACTUAL","0327",$S$7,"YTD","gpg")/1000),0)+ROUND((_xll.HPVAL($G$1,"ACTUAL","0335",$S$7,"YTD","gpg")/1000),0)</f>
        <v>-116988</v>
      </c>
      <c r="T113" s="90"/>
      <c r="U113" s="86">
        <f>ROUND((_xll.HPVAL($G$1,"ACTUAL","0321",$U$7,"YTD","gpg")/1000),0)+ROUND((_xll.HPVAL($G$1,"ACTUAL","0327",$U$7,"YTD","gpg")/1000),0)+ROUND((_xll.HPVAL($G$1,"ACTUAL","0335",$U$7,"YTD","gpg")/1000),0)</f>
        <v>0</v>
      </c>
      <c r="V113" s="90"/>
      <c r="W113" s="86">
        <f>ROUND((_xll.HPVAL($G$1,"ACTUAL","0321",$W$7,"YTD","gpg")/1000),0)+ROUND((_xll.HPVAL($G$1,"ACTUAL","0327",$W$7,"YTD","gpg")/1000),0)+ROUND((_xll.HPVAL($G$1,"ACTUAL","0335",$W$7,"YTD","gpg")/1000),0)</f>
        <v>0</v>
      </c>
      <c r="X113" s="90"/>
      <c r="Y113" s="86">
        <f>ROUND((_xll.HPVAL($G$1,"ACTUAL","0321",$Y$7,"YTD","gpg")/1000),0)+ROUND((_xll.HPVAL($G$1,"ACTUAL","0327",$Y$7,"YTD","gpg")/1000),0)+ROUND((_xll.HPVAL($G$1,"ACTUAL","0335",$Y$7,"YTD","gpg")/1000),0)</f>
        <v>0</v>
      </c>
      <c r="Z113" s="90"/>
      <c r="AA113" s="86">
        <f>ROUND((_xll.HPVAL($G$1,"ACTUAL","0321",$AA$7,"YTD","gpg")/1000),0)+ROUND((_xll.HPVAL($G$1,"ACTUAL","0327",$AA$7,"YTD","gpg")/1000),0)+ROUND((_xll.HPVAL($G$1,"ACTUAL","0335",$AA$7,"YTD","gpg")/1000),0)</f>
        <v>0</v>
      </c>
      <c r="AB113" s="90"/>
      <c r="AC113" s="88">
        <f>SUM(AC107:AC112)</f>
        <v>-1545</v>
      </c>
      <c r="AD113" s="70"/>
      <c r="AE113" s="88">
        <f>SUM(AE107:AE112)</f>
        <v>-12624</v>
      </c>
      <c r="AF113" s="72"/>
      <c r="AG113" s="5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</row>
    <row r="114" spans="1:55" ht="10.8" thickTop="1">
      <c r="A114" s="58"/>
      <c r="B114" s="58"/>
      <c r="C114" s="75"/>
      <c r="D114" s="70"/>
      <c r="E114" s="75"/>
      <c r="F114" s="77"/>
      <c r="G114" s="75"/>
      <c r="H114" s="77"/>
      <c r="I114" s="75"/>
      <c r="J114" s="77"/>
      <c r="K114" s="75"/>
      <c r="L114" s="77"/>
      <c r="M114" s="75"/>
      <c r="N114" s="77"/>
      <c r="O114" s="75"/>
      <c r="P114" s="77"/>
      <c r="Q114" s="75"/>
      <c r="R114" s="77"/>
      <c r="S114" s="75"/>
      <c r="T114" s="77"/>
      <c r="U114" s="75"/>
      <c r="V114" s="77"/>
      <c r="W114" s="75"/>
      <c r="X114" s="77"/>
      <c r="Y114" s="75"/>
      <c r="Z114" s="77"/>
      <c r="AA114" s="75"/>
      <c r="AB114" s="77"/>
      <c r="AC114" s="75"/>
      <c r="AD114" s="70"/>
      <c r="AE114" s="75"/>
      <c r="AF114" s="75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</row>
    <row r="115" spans="1:55" s="13" customFormat="1" ht="15" customHeight="1" thickBot="1">
      <c r="A115" s="60"/>
      <c r="B115" s="60" t="s">
        <v>19</v>
      </c>
      <c r="C115" s="86">
        <f>C105+C113</f>
        <v>882743</v>
      </c>
      <c r="D115" s="70"/>
      <c r="E115" s="86">
        <f>E105+E113</f>
        <v>881636</v>
      </c>
      <c r="F115" s="77"/>
      <c r="G115" s="86">
        <f>G105+G113</f>
        <v>879479</v>
      </c>
      <c r="H115" s="77"/>
      <c r="I115" s="86">
        <f>I105+I113</f>
        <v>878728</v>
      </c>
      <c r="J115" s="77"/>
      <c r="K115" s="86">
        <f>K105+K113</f>
        <v>879881</v>
      </c>
      <c r="L115" s="77"/>
      <c r="M115" s="86">
        <f>M105+M113</f>
        <v>894312</v>
      </c>
      <c r="N115" s="77"/>
      <c r="O115" s="86">
        <f>O105+O113</f>
        <v>896096</v>
      </c>
      <c r="P115" s="77"/>
      <c r="Q115" s="86">
        <f>Q105+Q113</f>
        <v>895641</v>
      </c>
      <c r="R115" s="77"/>
      <c r="S115" s="86">
        <f>S105+S113</f>
        <v>898245</v>
      </c>
      <c r="T115" s="77"/>
      <c r="U115" s="86">
        <f>U105+U113</f>
        <v>0</v>
      </c>
      <c r="V115" s="77"/>
      <c r="W115" s="86">
        <f>W105+W113</f>
        <v>0</v>
      </c>
      <c r="X115" s="77"/>
      <c r="Y115" s="86">
        <f>Y105+Y113</f>
        <v>0</v>
      </c>
      <c r="Z115" s="77"/>
      <c r="AA115" s="86">
        <f>AA105+AA113</f>
        <v>0</v>
      </c>
      <c r="AB115" s="77"/>
      <c r="AC115" s="86">
        <f>AC105+AC113</f>
        <v>2604</v>
      </c>
      <c r="AD115" s="70"/>
      <c r="AE115" s="86">
        <f>AE105+AE113</f>
        <v>15502</v>
      </c>
      <c r="AF115" s="72"/>
      <c r="AG115" s="5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</row>
    <row r="116" spans="1:55" s="13" customFormat="1" ht="15" customHeight="1" thickTop="1">
      <c r="A116" s="60"/>
      <c r="B116" s="60"/>
      <c r="C116" s="72"/>
      <c r="D116" s="70"/>
      <c r="E116" s="72"/>
      <c r="F116" s="77"/>
      <c r="G116" s="72"/>
      <c r="H116" s="77"/>
      <c r="I116" s="72"/>
      <c r="J116" s="77"/>
      <c r="K116" s="72"/>
      <c r="L116" s="77"/>
      <c r="M116" s="72"/>
      <c r="N116" s="77"/>
      <c r="O116" s="72"/>
      <c r="P116" s="77"/>
      <c r="Q116" s="72"/>
      <c r="R116" s="77"/>
      <c r="S116" s="72"/>
      <c r="T116" s="77"/>
      <c r="U116" s="72"/>
      <c r="V116" s="77"/>
      <c r="W116" s="72"/>
      <c r="X116" s="77"/>
      <c r="Y116" s="72"/>
      <c r="Z116" s="77"/>
      <c r="AA116" s="72"/>
      <c r="AB116" s="77"/>
      <c r="AC116" s="72"/>
      <c r="AD116" s="70"/>
      <c r="AE116" s="72"/>
      <c r="AF116" s="72"/>
      <c r="AG116" s="5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</row>
    <row r="117" spans="1:55">
      <c r="A117" s="89" t="s">
        <v>475</v>
      </c>
      <c r="B117" s="58"/>
      <c r="C117" s="58"/>
      <c r="D117" s="70"/>
      <c r="E117" s="58"/>
      <c r="F117" s="76"/>
      <c r="G117" s="58"/>
      <c r="H117" s="76"/>
      <c r="I117" s="58"/>
      <c r="J117" s="76"/>
      <c r="K117" s="58"/>
      <c r="L117" s="76"/>
      <c r="M117" s="58"/>
      <c r="N117" s="76"/>
      <c r="O117" s="58"/>
      <c r="P117" s="76"/>
      <c r="Q117" s="58"/>
      <c r="R117" s="76"/>
      <c r="S117" s="58"/>
      <c r="T117" s="76"/>
      <c r="U117" s="58"/>
      <c r="V117" s="76"/>
      <c r="W117" s="58"/>
      <c r="X117" s="76"/>
      <c r="Y117" s="58"/>
      <c r="Z117" s="76"/>
      <c r="AA117" s="58"/>
      <c r="AB117" s="76"/>
      <c r="AC117" s="58"/>
      <c r="AD117" s="70"/>
      <c r="AE117" s="58"/>
      <c r="AF117" s="58"/>
    </row>
    <row r="118" spans="1:55">
      <c r="A118" s="84" t="s">
        <v>420</v>
      </c>
      <c r="B118" s="58" t="str">
        <f>_xll.HPHEA($A118,$G$2)</f>
        <v>Price risk management assets - noncurren</v>
      </c>
      <c r="C118" s="58">
        <f>ROUND((_xll.HPVAL($G$1,"py1",$A118,$C$7,"YTD","gpg")/1000),0)</f>
        <v>0</v>
      </c>
      <c r="D118" s="70"/>
      <c r="E118" s="58">
        <f>ROUND((_xll.HPVAL($G$1,"ACTUAL",$A118,$E$7,"YTD","gpg")/1000),0)</f>
        <v>128</v>
      </c>
      <c r="F118" s="73" t="s">
        <v>223</v>
      </c>
      <c r="G118" s="58">
        <f>ROUND((_xll.HPVAL($G$1,"ACTUAL",$A118,$G$7,"YTD","gpg")/1000),0)</f>
        <v>128</v>
      </c>
      <c r="H118" s="76"/>
      <c r="I118" s="58">
        <f>ROUND((_xll.HPVAL($G$1,"ACTUAL",$A118,$I$7,"YTD","gpg")/1000),0)</f>
        <v>128</v>
      </c>
      <c r="J118" s="76"/>
      <c r="K118" s="58">
        <f>ROUND((_xll.HPVAL($G$1,"ACTUAL",$A118,$K$7,"YTD","gpg")/1000),0)</f>
        <v>86</v>
      </c>
      <c r="L118" s="76"/>
      <c r="M118" s="58">
        <f>ROUND((_xll.HPVAL($G$1,"ACTUAL",$A118,$M$7,"YTD","gpg")/1000),0)</f>
        <v>10987</v>
      </c>
      <c r="N118" s="73" t="s">
        <v>246</v>
      </c>
      <c r="O118" s="58">
        <f>ROUND((_xll.HPVAL($G$1,"ACTUAL",$A118,$O$7,"YTD","gpg")/1000),0)</f>
        <v>15539</v>
      </c>
      <c r="P118" s="73" t="s">
        <v>246</v>
      </c>
      <c r="Q118" s="58">
        <f>ROUND((_xll.HPVAL($G$1,"ACTUAL",$A118,$Q$7,"YTD","gpg")/1000),0)</f>
        <v>14193</v>
      </c>
      <c r="R118" s="73" t="s">
        <v>223</v>
      </c>
      <c r="S118" s="58">
        <f>ROUND((_xll.HPVAL($G$1,"ACTUAL",$A118,$S$7,"YTD","gpg")/1000),0)</f>
        <v>14193</v>
      </c>
      <c r="T118" s="76"/>
      <c r="U118" s="58">
        <f>ROUND((_xll.HPVAL($G$1,"ACTUAL",$A118,$U$7,"YTD","gpg")/1000),0)</f>
        <v>0</v>
      </c>
      <c r="V118" s="76"/>
      <c r="W118" s="58">
        <f>ROUND((_xll.HPVAL($G$1,"ACTUAL",$A118,$W$7,"YTD","gpg")/1000),0)</f>
        <v>0</v>
      </c>
      <c r="X118" s="76"/>
      <c r="Y118" s="58">
        <f>ROUND((_xll.HPVAL($G$1,"ACTUAL",$A118,$Y$7,"YTD","gpg")/1000),0)</f>
        <v>0</v>
      </c>
      <c r="Z118" s="76"/>
      <c r="AA118" s="58">
        <f>ROUND((_xll.HPVAL($G$1,"ACTUAL",$A118,$AA$7,"YTD","gpg")/1000),0)</f>
        <v>0</v>
      </c>
      <c r="AB118" s="76"/>
      <c r="AC118" s="58">
        <f>IF(mo=1,+E118-C118,CHOOSE(mo,E118,G118,I118,K118,M118,O118,Q118,S118,U118,W118,Y118,AA118)-CHOOSE(mo-1,E118,G118,I118,K118,M118,O118,Q118,S118,U118,W118,Y118,AA118))</f>
        <v>0</v>
      </c>
      <c r="AD118" s="70"/>
      <c r="AE118" s="58">
        <f>CHOOSE(mo,E118,G118,I118,K118,M118,O118,Q118,S118,U118,W118,Y118,AA118)-C118</f>
        <v>14193</v>
      </c>
      <c r="AF118" s="58"/>
    </row>
    <row r="119" spans="1:55">
      <c r="A119" s="89"/>
      <c r="B119" s="58" t="s">
        <v>216</v>
      </c>
      <c r="C119" s="85">
        <f>+C120-SUM(C117:C118)</f>
        <v>0</v>
      </c>
      <c r="D119" s="70"/>
      <c r="E119" s="85">
        <f>+E120-SUM(E117:E118)</f>
        <v>0</v>
      </c>
      <c r="F119" s="73"/>
      <c r="G119" s="85">
        <f>+G120-SUM(G117:G118)</f>
        <v>0</v>
      </c>
      <c r="H119" s="76"/>
      <c r="I119" s="85">
        <f>+I120-SUM(I117:I118)</f>
        <v>0</v>
      </c>
      <c r="J119" s="76"/>
      <c r="K119" s="85">
        <f>+K120-SUM(K117:K118)</f>
        <v>0</v>
      </c>
      <c r="L119" s="76"/>
      <c r="M119" s="85">
        <f>+M120-SUM(M117:M118)</f>
        <v>0</v>
      </c>
      <c r="N119" s="76"/>
      <c r="O119" s="85">
        <f>+O120-SUM(O117:O118)</f>
        <v>0</v>
      </c>
      <c r="P119" s="76"/>
      <c r="Q119" s="85">
        <f>+Q120-SUM(Q117:Q118)</f>
        <v>0</v>
      </c>
      <c r="R119" s="76"/>
      <c r="S119" s="85">
        <f>+S120-SUM(S117:S118)</f>
        <v>0</v>
      </c>
      <c r="T119" s="76"/>
      <c r="U119" s="85">
        <f>+U120-SUM(U117:U118)</f>
        <v>0</v>
      </c>
      <c r="V119" s="76"/>
      <c r="W119" s="85">
        <f>+W120-SUM(W117:W118)</f>
        <v>0</v>
      </c>
      <c r="X119" s="76"/>
      <c r="Y119" s="85">
        <f>+Y120-SUM(Y117:Y118)</f>
        <v>0</v>
      </c>
      <c r="Z119" s="76"/>
      <c r="AA119" s="85">
        <f>+AA120-SUM(AA117:AA118)</f>
        <v>0</v>
      </c>
      <c r="AB119" s="76"/>
      <c r="AC119" s="58">
        <f>IF(mo=1,+E119-C119,CHOOSE(mo,E119,G119,I119,K119,M119,O119,Q119,S119,U119,W119,Y119,AA119)-CHOOSE(mo-1,E119,G119,I119,K119,M119,O119,Q119,S119,U119,W119,Y119,AA119))</f>
        <v>0</v>
      </c>
      <c r="AD119" s="70"/>
      <c r="AE119" s="58">
        <f>CHOOSE(mo,E119,G119,I119,K119,M119,O119,Q119,S119,U119,W119,Y119,AA119)-C119</f>
        <v>0</v>
      </c>
      <c r="AF119" s="58"/>
    </row>
    <row r="120" spans="1:55">
      <c r="A120" s="84" t="s">
        <v>430</v>
      </c>
      <c r="B120" s="60" t="str">
        <f>_xll.HPHEA($A120,$G$2)</f>
        <v>Deferred assets-risk mgmnt activities</v>
      </c>
      <c r="C120" s="135">
        <f>ROUND((_xll.HPVAL($G$1,"py1",$A120,$C$7,"YTD","gpg")/1000),0)</f>
        <v>0</v>
      </c>
      <c r="D120" s="70"/>
      <c r="E120" s="135">
        <f>ROUND((_xll.HPVAL($G$1,"ACTUAL",$A120,$E$7,"YTD","gpg")/1000),0)</f>
        <v>128</v>
      </c>
      <c r="F120" s="76"/>
      <c r="G120" s="135">
        <f>ROUND((_xll.HPVAL($G$1,"ACTUAL",$A120,$G$7,"YTD","gpg")/1000),0)</f>
        <v>128</v>
      </c>
      <c r="H120" s="76"/>
      <c r="I120" s="135">
        <f>ROUND((_xll.HPVAL($G$1,"ACTUAL",$A120,$I$7,"YTD","gpg")/1000),0)</f>
        <v>128</v>
      </c>
      <c r="J120" s="76"/>
      <c r="K120" s="135">
        <f>ROUND((_xll.HPVAL($G$1,"ACTUAL",$A120,$K$7,"YTD","gpg")/1000),0)</f>
        <v>86</v>
      </c>
      <c r="L120" s="76"/>
      <c r="M120" s="135">
        <f>ROUND((_xll.HPVAL($G$1,"ACTUAL",$A120,$M$7,"YTD","gpg")/1000),0)</f>
        <v>10987</v>
      </c>
      <c r="N120" s="76"/>
      <c r="O120" s="135">
        <f>ROUND((_xll.HPVAL($G$1,"ACTUAL",$A120,$O$7,"YTD","gpg")/1000),0)</f>
        <v>15539</v>
      </c>
      <c r="P120" s="76"/>
      <c r="Q120" s="135">
        <f>ROUND((_xll.HPVAL($G$1,"ACTUAL",$A120,$Q$7,"YTD","gpg")/1000),0)</f>
        <v>14193</v>
      </c>
      <c r="R120" s="76"/>
      <c r="S120" s="135">
        <f>ROUND((_xll.HPVAL($G$1,"ACTUAL",$A120,$S$7,"YTD","gpg")/1000),0)</f>
        <v>14193</v>
      </c>
      <c r="T120" s="76"/>
      <c r="U120" s="135">
        <f>ROUND((_xll.HPVAL($G$1,"ACTUAL",$A120,$U$7,"YTD","gpg")/1000),0)</f>
        <v>0</v>
      </c>
      <c r="V120" s="76"/>
      <c r="W120" s="135">
        <f>ROUND((_xll.HPVAL($G$1,"ACTUAL",$A120,$W$7,"YTD","gpg")/1000),0)</f>
        <v>0</v>
      </c>
      <c r="X120" s="76"/>
      <c r="Y120" s="135">
        <f>ROUND((_xll.HPVAL($G$1,"ACTUAL",$A120,$Y$7,"YTD","gpg")/1000),0)</f>
        <v>0</v>
      </c>
      <c r="Z120" s="76"/>
      <c r="AA120" s="135">
        <f>ROUND((_xll.HPVAL($G$1,"ACTUAL",$A120,$AA$7,"YTD","gpg")/1000),0)</f>
        <v>0</v>
      </c>
      <c r="AB120" s="76"/>
      <c r="AC120" s="135">
        <f>SUM(AC116:AC119)</f>
        <v>0</v>
      </c>
      <c r="AD120" s="70"/>
      <c r="AE120" s="135">
        <f>SUM(AE116:AE119)</f>
        <v>14193</v>
      </c>
      <c r="AF120" s="58"/>
    </row>
    <row r="121" spans="1:55">
      <c r="A121" s="84"/>
      <c r="B121" s="58"/>
      <c r="C121" s="58"/>
      <c r="D121" s="70"/>
      <c r="E121" s="58"/>
      <c r="F121" s="73"/>
      <c r="G121" s="58"/>
      <c r="H121" s="76"/>
      <c r="I121" s="58"/>
      <c r="J121" s="76"/>
      <c r="K121" s="58"/>
      <c r="L121" s="76"/>
      <c r="M121" s="58"/>
      <c r="N121" s="76"/>
      <c r="O121" s="58"/>
      <c r="P121" s="76"/>
      <c r="Q121" s="58"/>
      <c r="R121" s="76"/>
      <c r="S121" s="58"/>
      <c r="T121" s="76"/>
      <c r="U121" s="58"/>
      <c r="V121" s="76"/>
      <c r="W121" s="58"/>
      <c r="X121" s="76"/>
      <c r="Y121" s="58"/>
      <c r="Z121" s="76"/>
      <c r="AA121" s="58"/>
      <c r="AB121" s="76"/>
      <c r="AC121" s="58"/>
      <c r="AD121" s="70"/>
      <c r="AE121" s="58"/>
      <c r="AF121" s="58"/>
    </row>
    <row r="122" spans="1:55">
      <c r="A122" s="84"/>
      <c r="B122" s="58"/>
      <c r="C122" s="58"/>
      <c r="D122" s="70"/>
      <c r="E122" s="58"/>
      <c r="F122" s="76"/>
      <c r="G122" s="58"/>
      <c r="H122" s="76"/>
      <c r="I122" s="58"/>
      <c r="J122" s="76"/>
      <c r="K122" s="58"/>
      <c r="L122" s="76"/>
      <c r="M122" s="58"/>
      <c r="N122" s="76"/>
      <c r="O122" s="58"/>
      <c r="P122" s="76"/>
      <c r="Q122" s="58"/>
      <c r="R122" s="76"/>
      <c r="S122" s="58"/>
      <c r="T122" s="76"/>
      <c r="U122" s="58"/>
      <c r="V122" s="76"/>
      <c r="W122" s="58"/>
      <c r="X122" s="76"/>
      <c r="Y122" s="58"/>
      <c r="Z122" s="76"/>
      <c r="AA122" s="58"/>
      <c r="AB122" s="76"/>
      <c r="AC122" s="58"/>
      <c r="AD122" s="70"/>
      <c r="AE122" s="58"/>
      <c r="AF122" s="58"/>
    </row>
    <row r="123" spans="1:55">
      <c r="A123" s="84" t="s">
        <v>319</v>
      </c>
      <c r="B123" s="58" t="str">
        <f>_xll.HPHEA(A123,"gpg")</f>
        <v>Regulatory assets-noncurrent</v>
      </c>
      <c r="C123" s="58">
        <f>ROUND((_xll.HPVAL($G$1,"py1",$A123,$C$7,"YTD","gpg")/1000),0)</f>
        <v>0</v>
      </c>
      <c r="D123" s="70"/>
      <c r="E123" s="58">
        <f>ROUND((_xll.HPVAL($G$1,"ACTUAL",$A123,$E$7,"YTD","gpg")/1000),0)</f>
        <v>47947</v>
      </c>
      <c r="F123" s="76"/>
      <c r="G123" s="58">
        <f>ROUND((_xll.HPVAL($G$1,"ACTUAL",$A123,$G$7,"YTD","gpg")/1000),0)</f>
        <v>47914</v>
      </c>
      <c r="H123" s="76"/>
      <c r="I123" s="58">
        <f>ROUND((_xll.HPVAL($G$1,"ACTUAL",$A123,$I$7,"YTD","gpg")/1000),0)</f>
        <v>47843</v>
      </c>
      <c r="J123" s="76"/>
      <c r="K123" s="58">
        <f>ROUND((_xll.HPVAL($G$1,"ACTUAL",$A123,$K$7,"YTD","gpg")/1000),0)</f>
        <v>47773</v>
      </c>
      <c r="L123" s="76"/>
      <c r="M123" s="58">
        <f>ROUND((_xll.HPVAL($G$1,"ACTUAL",$A123,$M$7,"YTD","gpg")/1000),0)</f>
        <v>47702</v>
      </c>
      <c r="N123" s="76"/>
      <c r="O123" s="58">
        <f>ROUND((_xll.HPVAL($G$1,"ACTUAL",$A123,$O$7,"YTD","gpg")/1000),0)</f>
        <v>47631</v>
      </c>
      <c r="P123" s="76"/>
      <c r="Q123" s="58">
        <f>ROUND((_xll.HPVAL($G$1,"ACTUAL",$A123,$Q$7,"YTD","gpg")/1000),0)</f>
        <v>47560</v>
      </c>
      <c r="R123" s="76"/>
      <c r="S123" s="58">
        <f>ROUND((_xll.HPVAL($G$1,"ACTUAL",$A123,$S$7,"YTD","gpg")/1000),0)</f>
        <v>47489</v>
      </c>
      <c r="T123" s="76"/>
      <c r="U123" s="58">
        <f>ROUND((_xll.HPVAL($G$1,"ACTUAL",$A123,$U$7,"YTD","gpg")/1000),0)</f>
        <v>0</v>
      </c>
      <c r="V123" s="76"/>
      <c r="W123" s="58">
        <f>ROUND((_xll.HPVAL($G$1,"ACTUAL",$A123,$W$7,"YTD","gpg")/1000),0)</f>
        <v>0</v>
      </c>
      <c r="X123" s="76"/>
      <c r="Y123" s="58">
        <f>ROUND((_xll.HPVAL($G$1,"ACTUAL",$A123,$Y$7,"YTD","gpg")/1000),0)</f>
        <v>0</v>
      </c>
      <c r="Z123" s="76"/>
      <c r="AA123" s="58">
        <f>ROUND((_xll.HPVAL($G$1,"ACTUAL",$A123,$AA$7,"YTD","gpg")/1000),0)</f>
        <v>0</v>
      </c>
      <c r="AB123" s="76"/>
      <c r="AC123" s="58">
        <f>IF(mo=1,+E123-C123,CHOOSE(mo,E123,G123,I123,K123,M123,O123,Q123,S123,U123,W123,Y123,AA123)-CHOOSE(mo-1,E123,G123,I123,K123,M123,O123,Q123,S123,U123,W123,Y123,AA123))</f>
        <v>-71</v>
      </c>
      <c r="AD123" s="70"/>
      <c r="AE123" s="58">
        <f>CHOOSE(mo,E123,G123,I123,K123,M123,O123,Q123,S123,U123,W123,Y123,AA123)-C123</f>
        <v>47489</v>
      </c>
      <c r="AF123" s="58"/>
    </row>
    <row r="124" spans="1:55">
      <c r="A124" s="84" t="s">
        <v>436</v>
      </c>
      <c r="B124" s="58" t="str">
        <f>_xll.HPHEA(A124,"gpg")</f>
        <v>Reclass to stat orders</v>
      </c>
      <c r="C124" s="58">
        <f>ROUND((_xll.HPVAL($G$1,"py1",$A124,$C$7,"YTD","gpg")/1000),0)</f>
        <v>0</v>
      </c>
      <c r="D124" s="70"/>
      <c r="E124" s="58">
        <f>ROUND((_xll.HPVAL($G$1,"ACTUAL",$A124,$E$7,"YTD","gpg")/1000),0)</f>
        <v>-47947</v>
      </c>
      <c r="F124" s="76"/>
      <c r="G124" s="58">
        <f>ROUND((_xll.HPVAL($G$1,"ACTUAL",$A124,$G$7,"YTD","gpg")/1000),0)</f>
        <v>-47914</v>
      </c>
      <c r="H124" s="76"/>
      <c r="I124" s="58">
        <f>ROUND((_xll.HPVAL($G$1,"ACTUAL",$A124,$I$7,"YTD","gpg")/1000),0)</f>
        <v>-47843</v>
      </c>
      <c r="J124" s="76"/>
      <c r="K124" s="58">
        <f>ROUND((_xll.HPVAL($G$1,"ACTUAL",$A124,$K$7,"YTD","gpg")/1000),0)</f>
        <v>-47773</v>
      </c>
      <c r="L124" s="76"/>
      <c r="M124" s="58">
        <f>ROUND((_xll.HPVAL($G$1,"ACTUAL",$A124,$M$7,"YTD","gpg")/1000),0)</f>
        <v>-47702</v>
      </c>
      <c r="N124" s="76"/>
      <c r="O124" s="58">
        <f>ROUND((_xll.HPVAL($G$1,"ACTUAL",$A124,$O$7,"YTD","gpg")/1000),0)</f>
        <v>-47631</v>
      </c>
      <c r="P124" s="76"/>
      <c r="Q124" s="58">
        <f>ROUND((_xll.HPVAL($G$1,"ACTUAL",$A124,$Q$7,"YTD","gpg")/1000),0)</f>
        <v>-47560</v>
      </c>
      <c r="R124" s="76"/>
      <c r="S124" s="58">
        <f>ROUND((_xll.HPVAL($G$1,"ACTUAL",$A124,$S$7,"YTD","gpg")/1000),0)</f>
        <v>0</v>
      </c>
      <c r="T124" s="76"/>
      <c r="U124" s="58">
        <f>ROUND((_xll.HPVAL($G$1,"ACTUAL",$A124,$U$7,"YTD","gpg")/1000),0)</f>
        <v>0</v>
      </c>
      <c r="V124" s="76"/>
      <c r="W124" s="58">
        <f>ROUND((_xll.HPVAL($G$1,"ACTUAL",$A124,$W$7,"YTD","gpg")/1000),0)</f>
        <v>0</v>
      </c>
      <c r="X124" s="76"/>
      <c r="Y124" s="58">
        <f>ROUND((_xll.HPVAL($G$1,"ACTUAL",$A124,$Y$7,"YTD","gpg")/1000),0)</f>
        <v>0</v>
      </c>
      <c r="Z124" s="76"/>
      <c r="AA124" s="58">
        <f>ROUND((_xll.HPVAL($G$1,"ACTUAL",$A124,$AA$7,"YTD","gpg")/1000),0)</f>
        <v>0</v>
      </c>
      <c r="AB124" s="76"/>
      <c r="AC124" s="58">
        <f>IF(mo=1,+E124-C124,CHOOSE(mo,E124,G124,I124,K124,M124,O124,Q124,S124,U124,W124,Y124,AA124)-CHOOSE(mo-1,E124,G124,I124,K124,M124,O124,Q124,S124,U124,W124,Y124,AA124))</f>
        <v>47560</v>
      </c>
      <c r="AD124" s="70"/>
      <c r="AE124" s="58">
        <f>CHOOSE(mo,E124,G124,I124,K124,M124,O124,Q124,S124,U124,W124,Y124,AA124)-C124</f>
        <v>0</v>
      </c>
      <c r="AF124" s="58"/>
    </row>
    <row r="125" spans="1:55">
      <c r="A125" s="84" t="s">
        <v>320</v>
      </c>
      <c r="B125" s="58" t="str">
        <f>_xll.HPHEA(A125,"gpg")</f>
        <v>Regulatory assets-noncurrent (DP)</v>
      </c>
      <c r="C125" s="58">
        <f>ROUND((_xll.HPVAL($G$1,"py1",$A125,$C$7,"YTD","gpg")/1000),0)</f>
        <v>0</v>
      </c>
      <c r="D125" s="70"/>
      <c r="E125" s="58">
        <f>ROUND((_xll.HPVAL($G$1,"ACTUAL",$A125,$E$7,"YTD","gpg")/1000),0)</f>
        <v>36325</v>
      </c>
      <c r="F125" s="76"/>
      <c r="G125" s="58">
        <f>ROUND((_xll.HPVAL($G$1,"ACTUAL",$A125,$G$7,"YTD","gpg")/1000),0)</f>
        <v>35928</v>
      </c>
      <c r="H125" s="76"/>
      <c r="I125" s="58">
        <f>ROUND((_xll.HPVAL($G$1,"ACTUAL",$A125,$I$7,"YTD","gpg")/1000),0)</f>
        <v>0</v>
      </c>
      <c r="J125" s="76"/>
      <c r="K125" s="58">
        <f>ROUND((_xll.HPVAL($G$1,"ACTUAL",$A125,$K$7,"YTD","gpg")/1000),0)</f>
        <v>0</v>
      </c>
      <c r="L125" s="76"/>
      <c r="M125" s="58">
        <f>ROUND((_xll.HPVAL($G$1,"ACTUAL",$A125,$M$7,"YTD","gpg")/1000),0)</f>
        <v>0</v>
      </c>
      <c r="N125" s="76"/>
      <c r="O125" s="58">
        <f>ROUND((_xll.HPVAL($G$1,"ACTUAL",$A125,$O$7,"YTD","gpg")/1000),0)</f>
        <v>0</v>
      </c>
      <c r="P125" s="76"/>
      <c r="Q125" s="58">
        <f>ROUND((_xll.HPVAL($G$1,"ACTUAL",$A125,$Q$7,"YTD","gpg")/1000),0)</f>
        <v>33958</v>
      </c>
      <c r="R125" s="76"/>
      <c r="S125" s="58">
        <f>ROUND((_xll.HPVAL($G$1,"ACTUAL",$A125,$S$7,"YTD","gpg")/1000),0)</f>
        <v>33577</v>
      </c>
      <c r="T125" s="76"/>
      <c r="U125" s="58">
        <f>ROUND((_xll.HPVAL($G$1,"ACTUAL",$A125,$U$7,"YTD","gpg")/1000),0)</f>
        <v>0</v>
      </c>
      <c r="V125" s="76"/>
      <c r="W125" s="58">
        <f>ROUND((_xll.HPVAL($G$1,"ACTUAL",$A125,$W$7,"YTD","gpg")/1000),0)</f>
        <v>0</v>
      </c>
      <c r="X125" s="76"/>
      <c r="Y125" s="58">
        <f>ROUND((_xll.HPVAL($G$1,"ACTUAL",$A125,$Y$7,"YTD","gpg")/1000),0)</f>
        <v>0</v>
      </c>
      <c r="Z125" s="76"/>
      <c r="AA125" s="58">
        <f>ROUND((_xll.HPVAL($G$1,"ACTUAL",$A125,$AA$7,"YTD","gpg")/1000),0)</f>
        <v>0</v>
      </c>
      <c r="AB125" s="76"/>
      <c r="AC125" s="58">
        <f>IF(mo=1,+E125-C125,CHOOSE(mo,E125,G125,I125,K125,M125,O125,Q125,S125,U125,W125,Y125,AA125)-CHOOSE(mo-1,E125,G125,I125,K125,M125,O125,Q125,S125,U125,W125,Y125,AA125))</f>
        <v>-381</v>
      </c>
      <c r="AD125" s="70"/>
      <c r="AE125" s="58">
        <f>CHOOSE(mo,E125,G125,I125,K125,M125,O125,Q125,S125,U125,W125,Y125,AA125)-C125</f>
        <v>33577</v>
      </c>
      <c r="AF125" s="58"/>
    </row>
    <row r="126" spans="1:55">
      <c r="A126" s="84" t="s">
        <v>437</v>
      </c>
      <c r="B126" s="58" t="str">
        <f>_xll.HPHEA(A126,"gpg")</f>
        <v>Reclass to stat orders</v>
      </c>
      <c r="C126" s="85">
        <f>ROUND((_xll.HPVAL($G$1,"py1",$A126,$C$7,"YTD","gpg")/1000),0)</f>
        <v>0</v>
      </c>
      <c r="D126" s="70"/>
      <c r="E126" s="58">
        <f>ROUND((_xll.HPVAL($G$1,"ACTUAL",$A126,$E$7,"YTD","gpg")/1000),0)</f>
        <v>-36325</v>
      </c>
      <c r="F126" s="76"/>
      <c r="G126" s="58">
        <f>ROUND((_xll.HPVAL($G$1,"ACTUAL",$A126,$G$7,"YTD","gpg")/1000),0)</f>
        <v>-35928</v>
      </c>
      <c r="H126" s="76"/>
      <c r="I126" s="58">
        <f>ROUND((_xll.HPVAL($G$1,"ACTUAL",$A126,$I$7,"YTD","gpg")/1000),0)</f>
        <v>0</v>
      </c>
      <c r="J126" s="76"/>
      <c r="K126" s="58">
        <f>ROUND((_xll.HPVAL($G$1,"ACTUAL",$A126,$K$7,"YTD","gpg")/1000),0)</f>
        <v>0</v>
      </c>
      <c r="L126" s="76"/>
      <c r="M126" s="58">
        <f>ROUND((_xll.HPVAL($G$1,"ACTUAL",$A126,$M$7,"YTD","gpg")/1000),0)</f>
        <v>0</v>
      </c>
      <c r="N126" s="76"/>
      <c r="O126" s="58">
        <f>ROUND((_xll.HPVAL($G$1,"ACTUAL",$A126,$O$7,"YTD","gpg")/1000),0)</f>
        <v>0</v>
      </c>
      <c r="P126" s="76"/>
      <c r="Q126" s="58">
        <f>ROUND((_xll.HPVAL($G$1,"ACTUAL",$A126,$Q$7,"YTD","gpg")/1000),0)</f>
        <v>-33958</v>
      </c>
      <c r="R126" s="76"/>
      <c r="S126" s="58">
        <f>ROUND((_xll.HPVAL($G$1,"ACTUAL",$A126,$S$7,"YTD","gpg")/1000),0)</f>
        <v>0</v>
      </c>
      <c r="T126" s="76"/>
      <c r="U126" s="58">
        <f>ROUND((_xll.HPVAL($G$1,"ACTUAL",$A126,$U$7,"YTD","gpg")/1000),0)</f>
        <v>0</v>
      </c>
      <c r="V126" s="76"/>
      <c r="W126" s="58">
        <f>ROUND((_xll.HPVAL($G$1,"ACTUAL",$A126,$W$7,"YTD","gpg")/1000),0)</f>
        <v>0</v>
      </c>
      <c r="X126" s="76"/>
      <c r="Y126" s="58">
        <f>ROUND((_xll.HPVAL($G$1,"ACTUAL",$A126,$Y$7,"YTD","gpg")/1000),0)</f>
        <v>0</v>
      </c>
      <c r="Z126" s="76"/>
      <c r="AA126" s="58">
        <f>ROUND((_xll.HPVAL($G$1,"ACTUAL",$A126,$AA$7,"YTD","gpg")/1000),0)</f>
        <v>0</v>
      </c>
      <c r="AB126" s="76"/>
      <c r="AC126" s="58">
        <f>IF(mo=1,+E126-C126,CHOOSE(mo,E126,G126,I126,K126,M126,O126,Q126,S126,U126,W126,Y126,AA126)-CHOOSE(mo-1,E126,G126,I126,K126,M126,O126,Q126,S126,U126,W126,Y126,AA126))</f>
        <v>33958</v>
      </c>
      <c r="AD126" s="70"/>
      <c r="AE126" s="58">
        <f>CHOOSE(mo,E126,G126,I126,K126,M126,O126,Q126,S126,U126,W126,Y126,AA126)-C126</f>
        <v>0</v>
      </c>
      <c r="AF126" s="58"/>
    </row>
    <row r="127" spans="1:55">
      <c r="A127" s="84"/>
      <c r="B127" s="58"/>
      <c r="C127" s="134">
        <f>SUM(C123:C126)</f>
        <v>0</v>
      </c>
      <c r="D127" s="70"/>
      <c r="E127" s="134">
        <f>SUM(E123:E126)</f>
        <v>0</v>
      </c>
      <c r="F127" s="76"/>
      <c r="G127" s="134">
        <f>SUM(G123:G126)</f>
        <v>0</v>
      </c>
      <c r="H127" s="76"/>
      <c r="I127" s="134">
        <f>SUM(I123:I126)</f>
        <v>0</v>
      </c>
      <c r="J127" s="76"/>
      <c r="K127" s="134">
        <f>SUM(K123:K126)</f>
        <v>0</v>
      </c>
      <c r="L127" s="76"/>
      <c r="M127" s="134">
        <f>SUM(M123:M126)</f>
        <v>0</v>
      </c>
      <c r="N127" s="76"/>
      <c r="O127" s="134">
        <f>SUM(O123:O126)</f>
        <v>0</v>
      </c>
      <c r="P127" s="76"/>
      <c r="Q127" s="134">
        <f>SUM(Q123:Q126)</f>
        <v>0</v>
      </c>
      <c r="R127" s="76"/>
      <c r="S127" s="134">
        <f>SUM(S123:S126)</f>
        <v>81066</v>
      </c>
      <c r="T127" s="76"/>
      <c r="U127" s="134">
        <f>SUM(U123:U126)</f>
        <v>0</v>
      </c>
      <c r="V127" s="76"/>
      <c r="W127" s="134">
        <f>SUM(W123:W126)</f>
        <v>0</v>
      </c>
      <c r="X127" s="76"/>
      <c r="Y127" s="134">
        <f>SUM(Y123:Y126)</f>
        <v>0</v>
      </c>
      <c r="Z127" s="76"/>
      <c r="AA127" s="134">
        <f>SUM(AA123:AA126)</f>
        <v>0</v>
      </c>
      <c r="AB127" s="76"/>
      <c r="AC127" s="134">
        <f>SUM(AC123:AC126)</f>
        <v>81066</v>
      </c>
      <c r="AD127" s="70"/>
      <c r="AE127" s="134">
        <f>SUM(AE123:AE126)</f>
        <v>81066</v>
      </c>
      <c r="AF127" s="58"/>
    </row>
    <row r="128" spans="1:55">
      <c r="A128" s="58"/>
      <c r="B128" s="58"/>
      <c r="C128" s="75"/>
      <c r="D128" s="70"/>
      <c r="E128" s="75"/>
      <c r="F128" s="77"/>
      <c r="G128" s="75"/>
      <c r="H128" s="77"/>
      <c r="I128" s="75"/>
      <c r="J128" s="77"/>
      <c r="K128" s="75"/>
      <c r="L128" s="77"/>
      <c r="M128" s="75"/>
      <c r="N128" s="77"/>
      <c r="O128" s="75"/>
      <c r="P128" s="77"/>
      <c r="Q128" s="75"/>
      <c r="R128" s="77"/>
      <c r="S128" s="75"/>
      <c r="T128" s="77"/>
      <c r="U128" s="75"/>
      <c r="V128" s="77"/>
      <c r="W128" s="75"/>
      <c r="X128" s="77"/>
      <c r="Y128" s="75"/>
      <c r="Z128" s="77"/>
      <c r="AA128" s="75"/>
      <c r="AB128" s="77"/>
      <c r="AC128" s="75"/>
      <c r="AD128" s="70"/>
      <c r="AE128" s="75"/>
      <c r="AF128" s="75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</row>
    <row r="129" spans="1:244" ht="10.5" customHeight="1">
      <c r="A129" s="84" t="s">
        <v>454</v>
      </c>
      <c r="B129" s="58" t="str">
        <f>_xll.HPHEA($A129,$G$2)</f>
        <v>TCR II - other cost</v>
      </c>
      <c r="C129" s="58">
        <f>ROUND((_xll.HPVAL($G$1,"py1",$A129,$C$7,"YTD","gpg")/1000),0)</f>
        <v>114</v>
      </c>
      <c r="D129" s="70"/>
      <c r="E129" s="58">
        <f>ROUND((_xll.HPVAL($G$1,"ACTUAL",$A129,$E$7,"YTD","gpg")/1000),0)</f>
        <v>114</v>
      </c>
      <c r="F129" s="73"/>
      <c r="G129" s="58">
        <f>ROUND((_xll.HPVAL($G$1,"ACTUAL",$A129,$G$7,"YTD","gpg")/1000),0)</f>
        <v>114</v>
      </c>
      <c r="H129" s="73"/>
      <c r="I129" s="58">
        <f>ROUND((_xll.HPVAL($G$1,"ACTUAL",$A129,$I$7,"YTD","gpg")/1000),0)</f>
        <v>114</v>
      </c>
      <c r="J129" s="73"/>
      <c r="K129" s="58">
        <f>ROUND((_xll.HPVAL($G$1,"ACTUAL",$A129,$K$7,"YTD","gpg")/1000),0)</f>
        <v>114</v>
      </c>
      <c r="L129" s="73"/>
      <c r="M129" s="58">
        <f>ROUND((_xll.HPVAL($G$1,"ACTUAL",$A129,$M$7,"YTD","gpg")/1000),0)</f>
        <v>114</v>
      </c>
      <c r="N129" s="73"/>
      <c r="O129" s="58">
        <f>ROUND((_xll.HPVAL($G$1,"ACTUAL",$A129,$O$7,"YTD","gpg")/1000),0)</f>
        <v>114</v>
      </c>
      <c r="P129" s="73"/>
      <c r="Q129" s="58">
        <f>ROUND((_xll.HPVAL($G$1,"ACTUAL",$A129,$Q$7,"YTD","gpg")/1000),0)</f>
        <v>114</v>
      </c>
      <c r="R129" s="73"/>
      <c r="S129" s="58">
        <f>ROUND((_xll.HPVAL($G$1,"ACTUAL",$A129,$S$7,"YTD","gpg")/1000),0)</f>
        <v>0</v>
      </c>
      <c r="T129" s="73"/>
      <c r="U129" s="58">
        <f>ROUND((_xll.HPVAL($G$1,"ACTUAL",$A129,$U$7,"YTD","gpg")/1000),0)</f>
        <v>0</v>
      </c>
      <c r="V129" s="73"/>
      <c r="W129" s="58">
        <f>ROUND((_xll.HPVAL($G$1,"ACTUAL",$A129,$W$7,"YTD","gpg")/1000),0)</f>
        <v>0</v>
      </c>
      <c r="X129" s="73"/>
      <c r="Y129" s="58">
        <f>ROUND((_xll.HPVAL($G$1,"ACTUAL",$A129,$Y$7,"YTD","gpg")/1000),0)</f>
        <v>0</v>
      </c>
      <c r="Z129" s="73"/>
      <c r="AA129" s="58">
        <f>ROUND((_xll.HPVAL($G$1,"ACTUAL",$A129,$AA$7,"YTD","gpg")/1000),0)</f>
        <v>0</v>
      </c>
      <c r="AB129" s="73"/>
      <c r="AC129" s="58">
        <f>IF(mo=1,+E129-C129,CHOOSE(mo,E129,G129,I129,K129,M129,O129,Q129,S129,U129,W129,Y129,AA129)-CHOOSE(mo-1,E129,G129,I129,K129,M129,O129,Q129,S129,U129,W129,Y129,AA129))</f>
        <v>-114</v>
      </c>
      <c r="AD129" s="70"/>
      <c r="AE129" s="58">
        <f>CHOOSE(mo,E129,G129,I129,K129,M129,O129,Q129,S129,U129,W129,Y129,AA129)-C129</f>
        <v>-114</v>
      </c>
      <c r="AF129" s="58"/>
    </row>
    <row r="130" spans="1:244" ht="10.5" customHeight="1">
      <c r="A130" s="84" t="s">
        <v>455</v>
      </c>
      <c r="B130" s="58" t="str">
        <f>_xll.HPHEA($A130,$G$2)</f>
        <v>TCR II - other cost amortization</v>
      </c>
      <c r="C130" s="85">
        <f>ROUND((_xll.HPVAL($G$1,"py1",$A130,$C$7,"YTD","gpg")/1000),0)</f>
        <v>-47</v>
      </c>
      <c r="D130" s="70"/>
      <c r="E130" s="85">
        <f>ROUND((_xll.HPVAL($G$1,"ACTUAL",$A130,$E$7,"YTD","gpg")/1000),0)</f>
        <v>-48</v>
      </c>
      <c r="F130" s="73"/>
      <c r="G130" s="85">
        <f>ROUND((_xll.HPVAL($G$1,"ACTUAL",$A130,$G$7,"YTD","gpg")/1000),0)</f>
        <v>-49</v>
      </c>
      <c r="H130" s="73"/>
      <c r="I130" s="85">
        <f>ROUND((_xll.HPVAL($G$1,"ACTUAL",$A130,$I$7,"YTD","gpg")/1000),0)</f>
        <v>-50</v>
      </c>
      <c r="J130" s="73"/>
      <c r="K130" s="85">
        <f>ROUND((_xll.HPVAL($G$1,"ACTUAL",$A130,$K$7,"YTD","gpg")/1000),0)</f>
        <v>-51</v>
      </c>
      <c r="L130" s="73"/>
      <c r="M130" s="85">
        <f>ROUND((_xll.HPVAL($G$1,"ACTUAL",$A130,$M$7,"YTD","gpg")/1000),0)</f>
        <v>-52</v>
      </c>
      <c r="N130" s="73"/>
      <c r="O130" s="85">
        <f>ROUND((_xll.HPVAL($G$1,"ACTUAL",$A130,$O$7,"YTD","gpg")/1000),0)</f>
        <v>-53</v>
      </c>
      <c r="P130" s="73"/>
      <c r="Q130" s="85">
        <f>ROUND((_xll.HPVAL($G$1,"ACTUAL",$A130,$Q$7,"YTD","gpg")/1000),0)</f>
        <v>-54</v>
      </c>
      <c r="R130" s="73"/>
      <c r="S130" s="85">
        <f>ROUND((_xll.HPVAL($G$1,"ACTUAL",$A130,$S$7,"YTD","gpg")/1000),0)</f>
        <v>0</v>
      </c>
      <c r="T130" s="73"/>
      <c r="U130" s="85">
        <f>ROUND((_xll.HPVAL($G$1,"ACTUAL",$A130,$U$7,"YTD","gpg")/1000),0)</f>
        <v>0</v>
      </c>
      <c r="V130" s="73"/>
      <c r="W130" s="85">
        <f>ROUND((_xll.HPVAL($G$1,"ACTUAL",$A130,$W$7,"YTD","gpg")/1000),0)</f>
        <v>0</v>
      </c>
      <c r="X130" s="73"/>
      <c r="Y130" s="85">
        <f>ROUND((_xll.HPVAL($G$1,"ACTUAL",$A130,$Y$7,"YTD","gpg")/1000),0)</f>
        <v>0</v>
      </c>
      <c r="Z130" s="73"/>
      <c r="AA130" s="85">
        <f>ROUND((_xll.HPVAL($G$1,"ACTUAL",$A130,$AA$7,"YTD","gpg")/1000),0)</f>
        <v>0</v>
      </c>
      <c r="AB130" s="73"/>
      <c r="AC130" s="85">
        <f>IF(mo=1,+E130-C130,CHOOSE(mo,E130,G130,I130,K130,M130,O130,Q130,S130,U130,W130,Y130,AA130)-CHOOSE(mo-1,E130,G130,I130,K130,M130,O130,Q130,S130,U130,W130,Y130,AA130))</f>
        <v>54</v>
      </c>
      <c r="AD130" s="70"/>
      <c r="AE130" s="85">
        <f>CHOOSE(mo,E130,G130,I130,K130,M130,O130,Q130,S130,U130,W130,Y130,AA130)-C130</f>
        <v>47</v>
      </c>
      <c r="AF130" s="58"/>
    </row>
    <row r="131" spans="1:244" ht="10.5" customHeight="1">
      <c r="A131" s="84"/>
      <c r="B131" s="58"/>
      <c r="C131" s="75">
        <f>SUM(C129:C130)</f>
        <v>67</v>
      </c>
      <c r="D131" s="70"/>
      <c r="E131" s="75">
        <f>SUM(E129:E130)</f>
        <v>66</v>
      </c>
      <c r="F131" s="73"/>
      <c r="G131" s="75">
        <f>SUM(G129:G130)</f>
        <v>65</v>
      </c>
      <c r="H131" s="73"/>
      <c r="I131" s="75">
        <f>SUM(I129:I130)</f>
        <v>64</v>
      </c>
      <c r="J131" s="73"/>
      <c r="K131" s="75">
        <f>SUM(K129:K130)</f>
        <v>63</v>
      </c>
      <c r="L131" s="73"/>
      <c r="M131" s="75">
        <f>SUM(M129:M130)</f>
        <v>62</v>
      </c>
      <c r="N131" s="73"/>
      <c r="O131" s="75">
        <f>SUM(O129:O130)</f>
        <v>61</v>
      </c>
      <c r="P131" s="73"/>
      <c r="Q131" s="75">
        <f>SUM(Q129:Q130)</f>
        <v>60</v>
      </c>
      <c r="R131" s="73"/>
      <c r="S131" s="75">
        <f>SUM(S129:S130)</f>
        <v>0</v>
      </c>
      <c r="T131" s="73"/>
      <c r="U131" s="75">
        <f>SUM(U129:U130)</f>
        <v>0</v>
      </c>
      <c r="V131" s="73"/>
      <c r="W131" s="75">
        <f>SUM(W129:W130)</f>
        <v>0</v>
      </c>
      <c r="X131" s="73"/>
      <c r="Y131" s="75">
        <f>SUM(Y129:Y130)</f>
        <v>0</v>
      </c>
      <c r="Z131" s="73"/>
      <c r="AA131" s="75">
        <f>SUM(AA129:AA130)</f>
        <v>0</v>
      </c>
      <c r="AB131" s="73"/>
      <c r="AC131" s="75">
        <f>SUM(AC129:AC130)</f>
        <v>-60</v>
      </c>
      <c r="AD131" s="70"/>
      <c r="AE131" s="75">
        <f>SUM(AE129:AE130)</f>
        <v>-67</v>
      </c>
      <c r="AF131" s="58"/>
    </row>
    <row r="132" spans="1:244" ht="10.5" customHeight="1">
      <c r="A132" s="84" t="s">
        <v>456</v>
      </c>
      <c r="B132" s="58" t="str">
        <f>_xll.HPHEA($A132,$G$2)</f>
        <v>TCR II amortization</v>
      </c>
      <c r="C132" s="58">
        <f>ROUND((_xll.HPVAL($G$1,"py1",$A132,$C$7,"YTD","gpg")/1000),0)</f>
        <v>-6355</v>
      </c>
      <c r="D132" s="70"/>
      <c r="E132" s="58">
        <f>ROUND((_xll.HPVAL($G$1,"ACTUAL",$A132,$E$7,"YTD","gpg")/1000),0)</f>
        <v>-6462</v>
      </c>
      <c r="F132" s="73"/>
      <c r="G132" s="58">
        <f>ROUND((_xll.HPVAL($G$1,"ACTUAL",$A132,$G$7,"YTD","gpg")/1000),0)</f>
        <v>-6568</v>
      </c>
      <c r="H132" s="73"/>
      <c r="I132" s="58">
        <f>ROUND((_xll.HPVAL($G$1,"ACTUAL",$A132,$I$7,"YTD","gpg")/1000),0)</f>
        <v>-6675</v>
      </c>
      <c r="J132" s="73"/>
      <c r="K132" s="58">
        <f>ROUND((_xll.HPVAL($G$1,"ACTUAL",$A132,$K$7,"YTD","gpg")/1000),0)</f>
        <v>-6782</v>
      </c>
      <c r="L132" s="73"/>
      <c r="M132" s="58">
        <f>ROUND((_xll.HPVAL($G$1,"ACTUAL",$A132,$M$7,"YTD","gpg")/1000),0)</f>
        <v>-6888</v>
      </c>
      <c r="N132" s="73"/>
      <c r="O132" s="58">
        <f>ROUND((_xll.HPVAL($G$1,"ACTUAL",$A132,$O$7,"YTD","gpg")/1000),0)</f>
        <v>-6995</v>
      </c>
      <c r="P132" s="73"/>
      <c r="Q132" s="58">
        <f>ROUND((_xll.HPVAL($G$1,"ACTUAL",$A132,$Q$7,"YTD","gpg")/1000),0)</f>
        <v>-7101</v>
      </c>
      <c r="R132" s="73"/>
      <c r="S132" s="58">
        <f>ROUND((_xll.HPVAL($G$1,"ACTUAL",$A132,$S$7,"YTD","gpg")/1000),0)</f>
        <v>0</v>
      </c>
      <c r="T132" s="73"/>
      <c r="U132" s="58">
        <f>ROUND((_xll.HPVAL($G$1,"ACTUAL",$A132,$U$7,"YTD","gpg")/1000),0)</f>
        <v>0</v>
      </c>
      <c r="V132" s="73"/>
      <c r="W132" s="58">
        <f>ROUND((_xll.HPVAL($G$1,"ACTUAL",$A132,$W$7,"YTD","gpg")/1000),0)</f>
        <v>0</v>
      </c>
      <c r="X132" s="73"/>
      <c r="Y132" s="58">
        <f>ROUND((_xll.HPVAL($G$1,"ACTUAL",$A132,$Y$7,"YTD","gpg")/1000),0)</f>
        <v>0</v>
      </c>
      <c r="Z132" s="73"/>
      <c r="AA132" s="58">
        <f>ROUND((_xll.HPVAL($G$1,"ACTUAL",$A132,$AA$7,"YTD","gpg")/1000),0)</f>
        <v>0</v>
      </c>
      <c r="AB132" s="73"/>
      <c r="AC132" s="58">
        <f>IF(mo=1,+E132-C132,CHOOSE(mo,E132,G132,I132,K132,M132,O132,Q132,S132,U132,W132,Y132,AA132)-CHOOSE(mo-1,E132,G132,I132,K132,M132,O132,Q132,S132,U132,W132,Y132,AA132))</f>
        <v>7101</v>
      </c>
      <c r="AD132" s="70"/>
      <c r="AE132" s="58">
        <f>CHOOSE(mo,E132,G132,I132,K132,M132,O132,Q132,S132,U132,W132,Y132,AA132)-C132</f>
        <v>6355</v>
      </c>
      <c r="AF132" s="58"/>
    </row>
    <row r="133" spans="1:244" ht="10.5" customHeight="1">
      <c r="A133" s="84" t="s">
        <v>457</v>
      </c>
      <c r="B133" s="58" t="str">
        <f>_xll.HPHEA($A133,$G$2)</f>
        <v>TCR II payments</v>
      </c>
      <c r="C133" s="58">
        <f>ROUND((_xll.HPVAL($G$1,"py1",$A133,$C$7,"YTD","gpg")/1000),0)</f>
        <v>12665</v>
      </c>
      <c r="D133" s="70"/>
      <c r="E133" s="58">
        <f>ROUND((_xll.HPVAL($G$1,"ACTUAL",$A133,$E$7,"YTD","gpg")/1000),0)</f>
        <v>12665</v>
      </c>
      <c r="F133" s="73"/>
      <c r="G133" s="58">
        <f>ROUND((_xll.HPVAL($G$1,"ACTUAL",$A133,$G$7,"YTD","gpg")/1000),0)</f>
        <v>12665</v>
      </c>
      <c r="H133" s="73"/>
      <c r="I133" s="58">
        <f>ROUND((_xll.HPVAL($G$1,"ACTUAL",$A133,$I$7,"YTD","gpg")/1000),0)</f>
        <v>12665</v>
      </c>
      <c r="J133" s="73"/>
      <c r="K133" s="58">
        <f>ROUND((_xll.HPVAL($G$1,"ACTUAL",$A133,$K$7,"YTD","gpg")/1000),0)</f>
        <v>12665</v>
      </c>
      <c r="L133" s="73"/>
      <c r="M133" s="58">
        <f>ROUND((_xll.HPVAL($G$1,"ACTUAL",$A133,$M$7,"YTD","gpg")/1000),0)</f>
        <v>12665</v>
      </c>
      <c r="N133" s="73"/>
      <c r="O133" s="58">
        <f>ROUND((_xll.HPVAL($G$1,"ACTUAL",$A133,$O$7,"YTD","gpg")/1000),0)</f>
        <v>12665</v>
      </c>
      <c r="P133" s="73"/>
      <c r="Q133" s="58">
        <f>ROUND((_xll.HPVAL($G$1,"ACTUAL",$A133,$Q$7,"YTD","gpg")/1000),0)</f>
        <v>12665</v>
      </c>
      <c r="R133" s="73"/>
      <c r="S133" s="58">
        <f>ROUND((_xll.HPVAL($G$1,"ACTUAL",$A133,$S$7,"YTD","gpg")/1000),0)</f>
        <v>0</v>
      </c>
      <c r="T133" s="73"/>
      <c r="U133" s="58">
        <f>ROUND((_xll.HPVAL($G$1,"ACTUAL",$A133,$U$7,"YTD","gpg")/1000),0)</f>
        <v>0</v>
      </c>
      <c r="V133" s="73"/>
      <c r="W133" s="58">
        <f>ROUND((_xll.HPVAL($G$1,"ACTUAL",$A133,$W$7,"YTD","gpg")/1000),0)</f>
        <v>0</v>
      </c>
      <c r="X133" s="73"/>
      <c r="Y133" s="58">
        <f>ROUND((_xll.HPVAL($G$1,"ACTUAL",$A133,$Y$7,"YTD","gpg")/1000),0)</f>
        <v>0</v>
      </c>
      <c r="Z133" s="73"/>
      <c r="AA133" s="58">
        <f>ROUND((_xll.HPVAL($G$1,"ACTUAL",$A133,$AA$7,"YTD","gpg")/1000),0)</f>
        <v>0</v>
      </c>
      <c r="AB133" s="73"/>
      <c r="AC133" s="58">
        <f>IF(mo=1,+E133-C133,CHOOSE(mo,E133,G133,I133,K133,M133,O133,Q133,S133,U133,W133,Y133,AA133)-CHOOSE(mo-1,E133,G133,I133,K133,M133,O133,Q133,S133,U133,W133,Y133,AA133))</f>
        <v>-12665</v>
      </c>
      <c r="AD133" s="70"/>
      <c r="AE133" s="58">
        <f>CHOOSE(mo,E133,G133,I133,K133,M133,O133,Q133,S133,U133,W133,Y133,AA133)-C133</f>
        <v>-12665</v>
      </c>
      <c r="AF133" s="58"/>
    </row>
    <row r="134" spans="1:244" ht="10.5" customHeight="1">
      <c r="A134" s="84" t="s">
        <v>306</v>
      </c>
      <c r="B134" s="58" t="str">
        <f>_xll.HPHEA($A134,$G$2)</f>
        <v>0357_TCRII_CURR</v>
      </c>
      <c r="C134" s="58">
        <f>ROUND((_xll.HPVAL($G$1,"py1",$A134,$C$7,"YTD","gpg")/1000),0)</f>
        <v>-1290</v>
      </c>
      <c r="D134" s="70"/>
      <c r="E134" s="58">
        <f>ROUND((_xll.HPVAL($G$1,"ACTUAL",$A134,$E$7,"YTD","gpg")/1000),0)</f>
        <v>-1290</v>
      </c>
      <c r="F134" s="73"/>
      <c r="G134" s="58">
        <f>ROUND((_xll.HPVAL($G$1,"ACTUAL",$A134,$G$7,"YTD","gpg")/1000),0)</f>
        <v>-1290</v>
      </c>
      <c r="H134" s="73"/>
      <c r="I134" s="58">
        <f>ROUND((_xll.HPVAL($G$1,"ACTUAL",$A134,$I$7,"YTD","gpg")/1000),0)</f>
        <v>-1290</v>
      </c>
      <c r="J134" s="73"/>
      <c r="K134" s="58">
        <f>ROUND((_xll.HPVAL($G$1,"ACTUAL",$A134,$K$7,"YTD","gpg")/1000),0)</f>
        <v>-1290</v>
      </c>
      <c r="L134" s="73"/>
      <c r="M134" s="58">
        <f>ROUND((_xll.HPVAL($G$1,"ACTUAL",$A134,$M$7,"YTD","gpg")/1000),0)</f>
        <v>-1290</v>
      </c>
      <c r="N134" s="73"/>
      <c r="O134" s="58">
        <f>ROUND((_xll.HPVAL($G$1,"ACTUAL",$A134,$O$7,"YTD","gpg")/1000),0)</f>
        <v>-1290</v>
      </c>
      <c r="P134" s="73"/>
      <c r="Q134" s="58">
        <f>ROUND((_xll.HPVAL($G$1,"ACTUAL",$A134,$Q$7,"YTD","gpg")/1000),0)</f>
        <v>-1290</v>
      </c>
      <c r="R134" s="73"/>
      <c r="S134" s="58">
        <f>ROUND((_xll.HPVAL($G$1,"ACTUAL",$A134,$S$7,"YTD","gpg")/1000),0)</f>
        <v>-1290</v>
      </c>
      <c r="T134" s="73"/>
      <c r="U134" s="58">
        <f>ROUND((_xll.HPVAL($G$1,"ACTUAL",$A134,$U$7,"YTD","gpg")/1000),0)</f>
        <v>0</v>
      </c>
      <c r="V134" s="73"/>
      <c r="W134" s="58">
        <f>ROUND((_xll.HPVAL($G$1,"ACTUAL",$A134,$W$7,"YTD","gpg")/1000),0)</f>
        <v>0</v>
      </c>
      <c r="X134" s="73"/>
      <c r="Y134" s="58">
        <f>ROUND((_xll.HPVAL($G$1,"ACTUAL",$A134,$Y$7,"YTD","gpg")/1000),0)</f>
        <v>0</v>
      </c>
      <c r="Z134" s="73"/>
      <c r="AA134" s="58">
        <f>ROUND((_xll.HPVAL($G$1,"ACTUAL",$A134,$AA$7,"YTD","gpg")/1000),0)</f>
        <v>0</v>
      </c>
      <c r="AB134" s="73"/>
      <c r="AC134" s="58">
        <f>IF(mo=1,+E134-C134,CHOOSE(mo,E134,G134,I134,K134,M134,O134,Q134,S134,U134,W134,Y134,AA134)-CHOOSE(mo-1,E134,G134,I134,K134,M134,O134,Q134,S134,U134,W134,Y134,AA134))</f>
        <v>0</v>
      </c>
      <c r="AD134" s="70"/>
      <c r="AE134" s="58">
        <f>CHOOSE(mo,E134,G134,I134,K134,M134,O134,Q134,S134,U134,W134,Y134,AA134)-C134</f>
        <v>0</v>
      </c>
      <c r="AF134" s="58"/>
    </row>
    <row r="135" spans="1:244" s="197" customFormat="1" ht="15" customHeight="1">
      <c r="A135" s="144" t="s">
        <v>305</v>
      </c>
      <c r="B135" s="58" t="s">
        <v>227</v>
      </c>
      <c r="C135" s="134">
        <f>+C131+SUM(C132:C134)</f>
        <v>5087</v>
      </c>
      <c r="D135" s="78"/>
      <c r="E135" s="134">
        <f>+E131+SUM(E132:E134)</f>
        <v>4979</v>
      </c>
      <c r="F135" s="87"/>
      <c r="G135" s="134">
        <f>+G131+SUM(G132:G134)</f>
        <v>4872</v>
      </c>
      <c r="H135" s="87"/>
      <c r="I135" s="134">
        <f>+I131+SUM(I132:I134)</f>
        <v>4764</v>
      </c>
      <c r="J135" s="87"/>
      <c r="K135" s="134">
        <f>+K131+SUM(K132:K134)</f>
        <v>4656</v>
      </c>
      <c r="L135" s="87"/>
      <c r="M135" s="134">
        <f>+M131+SUM(M132:M134)</f>
        <v>4549</v>
      </c>
      <c r="N135" s="87"/>
      <c r="O135" s="134">
        <f>+O131+SUM(O132:O134)</f>
        <v>4441</v>
      </c>
      <c r="P135" s="87"/>
      <c r="Q135" s="134">
        <f>+Q131+SUM(Q132:Q134)</f>
        <v>4334</v>
      </c>
      <c r="R135" s="87"/>
      <c r="S135" s="134">
        <f>+S131+SUM(S132:S134)</f>
        <v>-1290</v>
      </c>
      <c r="T135" s="87"/>
      <c r="U135" s="134">
        <f>+U131+SUM(U132:U134)</f>
        <v>0</v>
      </c>
      <c r="V135" s="87"/>
      <c r="W135" s="134">
        <f>+W131+SUM(W132:W134)</f>
        <v>0</v>
      </c>
      <c r="X135" s="87"/>
      <c r="Y135" s="134">
        <f>+Y131+SUM(Y132:Y134)</f>
        <v>0</v>
      </c>
      <c r="Z135" s="87"/>
      <c r="AA135" s="134">
        <f>+AA131+SUM(AA132:AA134)</f>
        <v>0</v>
      </c>
      <c r="AB135" s="87"/>
      <c r="AC135" s="134">
        <f>+AC131+SUM(AC132:AC134)</f>
        <v>-5624</v>
      </c>
      <c r="AD135" s="134">
        <f>+AD131+SUM(AD132:AD134)</f>
        <v>0</v>
      </c>
      <c r="AE135" s="134">
        <f>+AE131+SUM(AE132:AE134)</f>
        <v>-6377</v>
      </c>
      <c r="AF135" s="58"/>
      <c r="AG135" s="5"/>
    </row>
    <row r="136" spans="1:244">
      <c r="A136" s="84"/>
      <c r="B136" s="58"/>
      <c r="C136" s="72"/>
      <c r="D136" s="70"/>
      <c r="E136" s="72"/>
      <c r="F136" s="77"/>
      <c r="G136" s="72"/>
      <c r="H136" s="77"/>
      <c r="I136" s="72"/>
      <c r="J136" s="77"/>
      <c r="K136" s="72"/>
      <c r="L136" s="77"/>
      <c r="M136" s="72"/>
      <c r="N136" s="77"/>
      <c r="O136" s="72"/>
      <c r="P136" s="77"/>
      <c r="Q136" s="72"/>
      <c r="R136" s="77"/>
      <c r="S136" s="72"/>
      <c r="T136" s="77"/>
      <c r="U136" s="72"/>
      <c r="V136" s="77"/>
      <c r="W136" s="72"/>
      <c r="X136" s="77"/>
      <c r="Y136" s="72"/>
      <c r="Z136" s="77"/>
      <c r="AA136" s="72"/>
      <c r="AB136" s="77"/>
      <c r="AC136" s="72"/>
      <c r="AD136" s="70"/>
      <c r="AE136" s="72"/>
      <c r="AF136" s="60"/>
      <c r="AH136" s="13"/>
      <c r="AI136" s="13"/>
      <c r="AJ136" s="13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9"/>
      <c r="II136" s="19"/>
      <c r="IJ136" s="19"/>
    </row>
    <row r="137" spans="1:244">
      <c r="A137" s="84" t="s">
        <v>444</v>
      </c>
      <c r="B137" s="58" t="str">
        <f>_xll.HPHEA($A137,$G$2)</f>
        <v>Litigation costs-Monsanto</v>
      </c>
      <c r="C137" s="58">
        <f>ROUND((_xll.HPVAL($G$1,"py1",$A137,$C$7,"YTD","gpg")/1000),0)</f>
        <v>3688</v>
      </c>
      <c r="D137" s="70"/>
      <c r="E137" s="58">
        <f>ROUND((_xll.HPVAL($G$1,"ACTUAL",$A137,$E$7,"YTD","gpg")/1000),0)</f>
        <v>3635</v>
      </c>
      <c r="F137" s="76"/>
      <c r="G137" s="58">
        <f>ROUND((_xll.HPVAL($G$1,"ACTUAL",$A137,$G$7,"YTD","gpg")/1000),0)</f>
        <v>3582</v>
      </c>
      <c r="H137" s="76"/>
      <c r="I137" s="58">
        <f>ROUND((_xll.HPVAL($G$1,"ACTUAL",$A137,$I$7,"YTD","gpg")/1000),0)</f>
        <v>3530</v>
      </c>
      <c r="J137" s="76"/>
      <c r="K137" s="58">
        <f>ROUND((_xll.HPVAL($G$1,"ACTUAL",$A137,$K$7,"YTD","gpg")/1000),0)</f>
        <v>3477</v>
      </c>
      <c r="L137" s="76"/>
      <c r="M137" s="58">
        <f>ROUND((_xll.HPVAL($G$1,"ACTUAL",$A137,$M$7,"YTD","gpg")/1000),0)</f>
        <v>3424</v>
      </c>
      <c r="N137" s="76"/>
      <c r="O137" s="58">
        <f>ROUND((_xll.HPVAL($G$1,"ACTUAL",$A137,$O$7,"YTD","gpg")/1000),0)</f>
        <v>3372</v>
      </c>
      <c r="P137" s="76"/>
      <c r="Q137" s="58">
        <f>ROUND((_xll.HPVAL($G$1,"ACTUAL",$A137,$Q$7,"YTD","gpg")/1000),0)</f>
        <v>3319</v>
      </c>
      <c r="R137" s="76"/>
      <c r="S137" s="58">
        <f>ROUND((_xll.HPVAL($G$1,"ACTUAL",$A137,$S$7,"YTD","gpg")/1000),0)</f>
        <v>0</v>
      </c>
      <c r="T137" s="76"/>
      <c r="U137" s="58">
        <f>ROUND((_xll.HPVAL($G$1,"ACTUAL",$A137,$U$7,"YTD","gpg")/1000),0)</f>
        <v>0</v>
      </c>
      <c r="V137" s="76"/>
      <c r="W137" s="58">
        <f>ROUND((_xll.HPVAL($G$1,"ACTUAL",$A137,$W$7,"YTD","gpg")/1000),0)</f>
        <v>0</v>
      </c>
      <c r="X137" s="76"/>
      <c r="Y137" s="58">
        <f>ROUND((_xll.HPVAL($G$1,"ACTUAL",$A137,$Y$7,"YTD","gpg")/1000),0)</f>
        <v>0</v>
      </c>
      <c r="Z137" s="76"/>
      <c r="AA137" s="58">
        <f>ROUND((_xll.HPVAL($G$1,"ACTUAL",$A137,$AA$7,"YTD","gpg")/1000),0)</f>
        <v>0</v>
      </c>
      <c r="AB137" s="76"/>
      <c r="AC137" s="58">
        <f>IF(mo=1,+E137-C137,CHOOSE(mo,E137,G137,I137,K137,M137,O137,Q137,S137,U137,W137,Y137,AA137)-CHOOSE(mo-1,E137,G137,I137,K137,M137,O137,Q137,S137,U137,W137,Y137,AA137))</f>
        <v>-3319</v>
      </c>
      <c r="AD137" s="70"/>
      <c r="AE137" s="58">
        <f>CHOOSE(mo,E137,G137,I137,K137,M137,O137,Q137,S137,U137,W137,Y137,AA137)-C137</f>
        <v>-3688</v>
      </c>
      <c r="AF137" s="58"/>
    </row>
    <row r="138" spans="1:244">
      <c r="A138" s="84" t="s">
        <v>443</v>
      </c>
      <c r="B138" s="58" t="str">
        <f>_xll.HPHEA($A138,$G$2)</f>
        <v>Litigation costs-JJCC</v>
      </c>
      <c r="C138" s="58">
        <f>ROUND((_xll.HPVAL($G$1,"py1",$A138,$C$7,"YTD","gpg")/1000),0)</f>
        <v>737</v>
      </c>
      <c r="D138" s="70"/>
      <c r="E138" s="58">
        <f>ROUND((_xll.HPVAL($G$1,"ACTUAL",$A138,$E$7,"YTD","gpg")/1000),0)</f>
        <v>727</v>
      </c>
      <c r="F138" s="90"/>
      <c r="G138" s="58">
        <f>ROUND((_xll.HPVAL($G$1,"ACTUAL",$A138,$G$7,"YTD","gpg")/1000),0)</f>
        <v>716</v>
      </c>
      <c r="H138" s="90"/>
      <c r="I138" s="58">
        <f>ROUND((_xll.HPVAL($G$1,"ACTUAL",$A138,$I$7,"YTD","gpg")/1000),0)</f>
        <v>706</v>
      </c>
      <c r="J138" s="90"/>
      <c r="K138" s="58">
        <f>ROUND((_xll.HPVAL($G$1,"ACTUAL",$A138,$K$7,"YTD","gpg")/1000),0)</f>
        <v>695</v>
      </c>
      <c r="L138" s="90"/>
      <c r="M138" s="58">
        <f>ROUND((_xll.HPVAL($G$1,"ACTUAL",$A138,$M$7,"YTD","gpg")/1000),0)</f>
        <v>684</v>
      </c>
      <c r="N138" s="90"/>
      <c r="O138" s="58">
        <f>ROUND((_xll.HPVAL($G$1,"ACTUAL",$A138,$O$7,"YTD","gpg")/1000),0)</f>
        <v>674</v>
      </c>
      <c r="P138" s="90"/>
      <c r="Q138" s="58">
        <f>ROUND((_xll.HPVAL($G$1,"ACTUAL",$A138,$Q$7,"YTD","gpg")/1000),0)</f>
        <v>663</v>
      </c>
      <c r="R138" s="90"/>
      <c r="S138" s="58">
        <f>ROUND((_xll.HPVAL($G$1,"ACTUAL",$A138,$S$7,"YTD","gpg")/1000),0)</f>
        <v>0</v>
      </c>
      <c r="T138" s="90"/>
      <c r="U138" s="58">
        <f>ROUND((_xll.HPVAL($G$1,"ACTUAL",$A138,$U$7,"YTD","gpg")/1000),0)</f>
        <v>0</v>
      </c>
      <c r="V138" s="90"/>
      <c r="W138" s="58">
        <f>ROUND((_xll.HPVAL($G$1,"ACTUAL",$A138,$W$7,"YTD","gpg")/1000),0)</f>
        <v>0</v>
      </c>
      <c r="X138" s="90"/>
      <c r="Y138" s="58">
        <f>ROUND((_xll.HPVAL($G$1,"ACTUAL",$A138,$Y$7,"YTD","gpg")/1000),0)</f>
        <v>0</v>
      </c>
      <c r="Z138" s="90"/>
      <c r="AA138" s="58">
        <f>ROUND((_xll.HPVAL($G$1,"ACTUAL",$A138,$AA$7,"YTD","gpg")/1000),0)</f>
        <v>0</v>
      </c>
      <c r="AB138" s="90"/>
      <c r="AC138" s="58">
        <f>IF(mo=1,+E138-C138,CHOOSE(mo,E138,G138,I138,K138,M138,O138,Q138,S138,U138,W138,Y138,AA138)-CHOOSE(mo-1,E138,G138,I138,K138,M138,O138,Q138,S138,U138,W138,Y138,AA138))</f>
        <v>-663</v>
      </c>
      <c r="AD138" s="70"/>
      <c r="AE138" s="58">
        <f>CHOOSE(mo,E138,G138,I138,K138,M138,O138,Q138,S138,U138,W138,Y138,AA138)-C138</f>
        <v>-737</v>
      </c>
      <c r="AF138" s="58"/>
    </row>
    <row r="139" spans="1:244">
      <c r="A139" s="84" t="s">
        <v>445</v>
      </c>
      <c r="B139" s="58" t="str">
        <f>_xll.HPHEA($A139,$G$2)</f>
        <v>Litigation costs-other</v>
      </c>
      <c r="C139" s="58">
        <f>ROUND((_xll.HPVAL($G$1,"py1",$A139,$C$7,"YTD","gpg")/1000),0)</f>
        <v>9</v>
      </c>
      <c r="D139" s="70"/>
      <c r="E139" s="58">
        <f>ROUND((_xll.HPVAL($G$1,"ACTUAL",$A139,$E$7,"YTD","gpg")/1000),0)</f>
        <v>9</v>
      </c>
      <c r="F139" s="90"/>
      <c r="G139" s="58">
        <f>ROUND((_xll.HPVAL($G$1,"ACTUAL",$A139,$G$7,"YTD","gpg")/1000),0)</f>
        <v>9</v>
      </c>
      <c r="H139" s="90"/>
      <c r="I139" s="58">
        <f>ROUND((_xll.HPVAL($G$1,"ACTUAL",$A139,$I$7,"YTD","gpg")/1000),0)</f>
        <v>9</v>
      </c>
      <c r="J139" s="90"/>
      <c r="K139" s="58">
        <f>ROUND((_xll.HPVAL($G$1,"ACTUAL",$A139,$K$7,"YTD","gpg")/1000),0)</f>
        <v>9</v>
      </c>
      <c r="L139" s="90"/>
      <c r="M139" s="58">
        <f>ROUND((_xll.HPVAL($G$1,"ACTUAL",$A139,$M$7,"YTD","gpg")/1000),0)</f>
        <v>9</v>
      </c>
      <c r="N139" s="90"/>
      <c r="O139" s="58">
        <f>ROUND((_xll.HPVAL($G$1,"ACTUAL",$A139,$O$7,"YTD","gpg")/1000),0)</f>
        <v>9</v>
      </c>
      <c r="P139" s="90"/>
      <c r="Q139" s="58">
        <f>ROUND((_xll.HPVAL($G$1,"ACTUAL",$A139,$Q$7,"YTD","gpg")/1000),0)</f>
        <v>8</v>
      </c>
      <c r="R139" s="90"/>
      <c r="S139" s="58">
        <f>ROUND((_xll.HPVAL($G$1,"ACTUAL",$A139,$S$7,"YTD","gpg")/1000),0)</f>
        <v>0</v>
      </c>
      <c r="T139" s="90"/>
      <c r="U139" s="58">
        <f>ROUND((_xll.HPVAL($G$1,"ACTUAL",$A139,$U$7,"YTD","gpg")/1000),0)</f>
        <v>0</v>
      </c>
      <c r="V139" s="90"/>
      <c r="W139" s="58">
        <f>ROUND((_xll.HPVAL($G$1,"ACTUAL",$A139,$W$7,"YTD","gpg")/1000),0)</f>
        <v>0</v>
      </c>
      <c r="X139" s="90"/>
      <c r="Y139" s="58">
        <f>ROUND((_xll.HPVAL($G$1,"ACTUAL",$A139,$Y$7,"YTD","gpg")/1000),0)</f>
        <v>0</v>
      </c>
      <c r="Z139" s="90"/>
      <c r="AA139" s="58">
        <f>ROUND((_xll.HPVAL($G$1,"ACTUAL",$A139,$AA$7,"YTD","gpg")/1000),0)</f>
        <v>0</v>
      </c>
      <c r="AB139" s="90"/>
      <c r="AC139" s="58">
        <f>IF(mo=1,+E139-C139,CHOOSE(mo,E139,G139,I139,K139,M139,O139,Q139,S139,U139,W139,Y139,AA139)-CHOOSE(mo-1,E139,G139,I139,K139,M139,O139,Q139,S139,U139,W139,Y139,AA139))</f>
        <v>-8</v>
      </c>
      <c r="AD139" s="70"/>
      <c r="AE139" s="58">
        <f>CHOOSE(mo,E139,G139,I139,K139,M139,O139,Q139,S139,U139,W139,Y139,AA139)-C139</f>
        <v>-9</v>
      </c>
      <c r="AF139" s="58"/>
    </row>
    <row r="140" spans="1:244">
      <c r="A140" s="84" t="s">
        <v>152</v>
      </c>
      <c r="B140" s="58" t="str">
        <f>_xll.HPHEA($A140,$G$2)</f>
        <v>Current Litigation</v>
      </c>
      <c r="C140" s="85">
        <f>ROUND((_xll.HPVAL($G$1,"py1",$A140,$C$7,"YTD","gpg")/1000),0)</f>
        <v>-760</v>
      </c>
      <c r="D140" s="70"/>
      <c r="E140" s="85">
        <f>ROUND((_xll.HPVAL($G$1,"ACTUAL",$A140,$E$7,"YTD","gpg")/1000),0)</f>
        <v>-760</v>
      </c>
      <c r="F140" s="77"/>
      <c r="G140" s="85">
        <f>ROUND((_xll.HPVAL($G$1,"ACTUAL",$A140,$G$7,"YTD","gpg")/1000),0)</f>
        <v>-760</v>
      </c>
      <c r="H140" s="77"/>
      <c r="I140" s="85">
        <f>ROUND((_xll.HPVAL($G$1,"ACTUAL",$A140,$I$7,"YTD","gpg")/1000),0)</f>
        <v>-760</v>
      </c>
      <c r="J140" s="77"/>
      <c r="K140" s="85">
        <f>ROUND((_xll.HPVAL($G$1,"ACTUAL",$A140,$K$7,"YTD","gpg")/1000),0)</f>
        <v>-760</v>
      </c>
      <c r="L140" s="77"/>
      <c r="M140" s="85">
        <f>ROUND((_xll.HPVAL($G$1,"ACTUAL",$A140,$M$7,"YTD","gpg")/1000),0)</f>
        <v>-760</v>
      </c>
      <c r="N140" s="77"/>
      <c r="O140" s="85">
        <f>ROUND((_xll.HPVAL($G$1,"ACTUAL",$A140,$O$7,"YTD","gpg")/1000),0)</f>
        <v>-760</v>
      </c>
      <c r="P140" s="77"/>
      <c r="Q140" s="85">
        <f>ROUND((_xll.HPVAL($G$1,"ACTUAL",$A140,$Q$7,"YTD","gpg")/1000),0)</f>
        <v>-760</v>
      </c>
      <c r="R140" s="77"/>
      <c r="S140" s="85">
        <f>ROUND((_xll.HPVAL($G$1,"ACTUAL",$A140,$S$7,"YTD","gpg")/1000),0)</f>
        <v>-760</v>
      </c>
      <c r="T140" s="77"/>
      <c r="U140" s="85">
        <f>ROUND((_xll.HPVAL($G$1,"ACTUAL",$A140,$U$7,"YTD","gpg")/1000),0)</f>
        <v>0</v>
      </c>
      <c r="V140" s="77"/>
      <c r="W140" s="85">
        <f>ROUND((_xll.HPVAL($G$1,"ACTUAL",$A140,$W$7,"YTD","gpg")/1000),0)</f>
        <v>0</v>
      </c>
      <c r="X140" s="77"/>
      <c r="Y140" s="85">
        <f>ROUND((_xll.HPVAL($G$1,"ACTUAL",$A140,$Y$7,"YTD","gpg")/1000),0)</f>
        <v>0</v>
      </c>
      <c r="Z140" s="77"/>
      <c r="AA140" s="85">
        <f>ROUND((_xll.HPVAL($G$1,"ACTUAL",$A140,$AA$7,"YTD","gpg")/1000),0)</f>
        <v>0</v>
      </c>
      <c r="AB140" s="77"/>
      <c r="AC140" s="58">
        <f>IF(mo=1,+E140-C140,CHOOSE(mo,E140,G140,I140,K140,M140,O140,Q140,S140,U140,W140,Y140,AA140)-CHOOSE(mo-1,E140,G140,I140,K140,M140,O140,Q140,S140,U140,W140,Y140,AA140))</f>
        <v>0</v>
      </c>
      <c r="AD140" s="70"/>
      <c r="AE140" s="85">
        <f>CHOOSE(mo,E140,G140,I140,K140,M140,O140,Q140,S140,U140,W140,Y140,AA140)-C140</f>
        <v>0</v>
      </c>
      <c r="AF140" s="75"/>
    </row>
    <row r="141" spans="1:244" s="197" customFormat="1" ht="12.75" customHeight="1">
      <c r="A141" s="84"/>
      <c r="B141" s="58" t="s">
        <v>233</v>
      </c>
      <c r="C141" s="134">
        <f>SUM(C137:C140)</f>
        <v>3674</v>
      </c>
      <c r="D141" s="78"/>
      <c r="E141" s="134">
        <f>SUM(E137:E140)</f>
        <v>3611</v>
      </c>
      <c r="F141" s="87"/>
      <c r="G141" s="134">
        <f>SUM(G137:G140)</f>
        <v>3547</v>
      </c>
      <c r="H141" s="87"/>
      <c r="I141" s="134">
        <f>SUM(I137:I140)</f>
        <v>3485</v>
      </c>
      <c r="J141" s="87"/>
      <c r="K141" s="134">
        <f>SUM(K137:K140)</f>
        <v>3421</v>
      </c>
      <c r="L141" s="87"/>
      <c r="M141" s="134">
        <f>SUM(M137:M140)</f>
        <v>3357</v>
      </c>
      <c r="N141" s="87"/>
      <c r="O141" s="134">
        <f>SUM(O137:O140)</f>
        <v>3295</v>
      </c>
      <c r="P141" s="87"/>
      <c r="Q141" s="134">
        <f>SUM(Q137:Q140)</f>
        <v>3230</v>
      </c>
      <c r="R141" s="87"/>
      <c r="S141" s="134">
        <f>SUM(S137:S140)</f>
        <v>-760</v>
      </c>
      <c r="T141" s="87"/>
      <c r="U141" s="134">
        <f>SUM(U137:U140)</f>
        <v>0</v>
      </c>
      <c r="V141" s="87"/>
      <c r="W141" s="134">
        <f>SUM(W137:W140)</f>
        <v>0</v>
      </c>
      <c r="X141" s="87"/>
      <c r="Y141" s="134">
        <f>SUM(Y137:Y140)</f>
        <v>0</v>
      </c>
      <c r="Z141" s="87"/>
      <c r="AA141" s="134">
        <f>SUM(AA137:AA140)</f>
        <v>0</v>
      </c>
      <c r="AB141" s="87"/>
      <c r="AC141" s="134">
        <f>SUM(AC137:AC140)</f>
        <v>-3990</v>
      </c>
      <c r="AD141" s="78"/>
      <c r="AE141" s="134">
        <f>SUM(AE137:AE140)</f>
        <v>-4434</v>
      </c>
      <c r="AF141" s="75"/>
      <c r="AG141" s="5"/>
    </row>
    <row r="142" spans="1:244" ht="12.75" customHeight="1">
      <c r="A142" s="84"/>
      <c r="B142" s="60"/>
      <c r="C142" s="75"/>
      <c r="D142" s="70"/>
      <c r="E142" s="75"/>
      <c r="F142" s="77"/>
      <c r="G142" s="75"/>
      <c r="H142" s="77"/>
      <c r="I142" s="75"/>
      <c r="J142" s="77"/>
      <c r="K142" s="75"/>
      <c r="L142" s="77"/>
      <c r="M142" s="75"/>
      <c r="N142" s="77"/>
      <c r="O142" s="75"/>
      <c r="P142" s="77"/>
      <c r="Q142" s="75"/>
      <c r="R142" s="77"/>
      <c r="S142" s="75"/>
      <c r="T142" s="77"/>
      <c r="U142" s="75"/>
      <c r="V142" s="77"/>
      <c r="W142" s="75"/>
      <c r="X142" s="77"/>
      <c r="Y142" s="75"/>
      <c r="Z142" s="77"/>
      <c r="AA142" s="75"/>
      <c r="AB142" s="77"/>
      <c r="AC142" s="75"/>
      <c r="AD142" s="70"/>
      <c r="AE142" s="75"/>
      <c r="AF142" s="75"/>
    </row>
    <row r="143" spans="1:244">
      <c r="A143" s="84" t="s">
        <v>460</v>
      </c>
      <c r="B143" s="58" t="str">
        <f>_xll.HPHEA($A143,$G$2)</f>
        <v>Uncoll receivables - other</v>
      </c>
      <c r="C143" s="58">
        <f>ROUND((_xll.HPVAL($G$1,"py1",$A143,$C$7,"YTD","gpg")/1000),0)</f>
        <v>2941</v>
      </c>
      <c r="D143" s="70"/>
      <c r="E143" s="58">
        <f>ROUND((_xll.HPVAL($G$1,"ACTUAL",$A143,$E$7,"YTD","gpg")/1000),0)</f>
        <v>2899</v>
      </c>
      <c r="F143" s="90"/>
      <c r="G143" s="58">
        <f>ROUND((_xll.HPVAL($G$1,"ACTUAL",$A143,$G$7,"YTD","gpg")/1000),0)</f>
        <v>2857</v>
      </c>
      <c r="H143" s="90"/>
      <c r="I143" s="58">
        <f>ROUND((_xll.HPVAL($G$1,"ACTUAL",$A143,$I$7,"YTD","gpg")/1000),0)</f>
        <v>2815</v>
      </c>
      <c r="J143" s="90"/>
      <c r="K143" s="58">
        <f>ROUND((_xll.HPVAL($G$1,"ACTUAL",$A143,$K$7,"YTD","gpg")/1000),0)</f>
        <v>2773</v>
      </c>
      <c r="L143" s="90"/>
      <c r="M143" s="58">
        <f>ROUND((_xll.HPVAL($G$1,"ACTUAL",$A143,$M$7,"YTD","gpg")/1000),0)</f>
        <v>2731</v>
      </c>
      <c r="N143" s="90"/>
      <c r="O143" s="58">
        <f>ROUND((_xll.HPVAL($G$1,"ACTUAL",$A143,$O$7,"YTD","gpg")/1000),0)</f>
        <v>2689</v>
      </c>
      <c r="P143" s="90"/>
      <c r="Q143" s="58">
        <f>ROUND((_xll.HPVAL($G$1,"ACTUAL",$A143,$Q$7,"YTD","gpg")/1000),0)</f>
        <v>2647</v>
      </c>
      <c r="R143" s="90"/>
      <c r="S143" s="58">
        <f>ROUND((_xll.HPVAL($G$1,"ACTUAL",$A143,$S$7,"YTD","gpg")/1000),0)</f>
        <v>0</v>
      </c>
      <c r="T143" s="90"/>
      <c r="U143" s="58">
        <f>ROUND((_xll.HPVAL($G$1,"ACTUAL",$A143,$U$7,"YTD","gpg")/1000),0)</f>
        <v>0</v>
      </c>
      <c r="V143" s="90"/>
      <c r="W143" s="58">
        <f>ROUND((_xll.HPVAL($G$1,"ACTUAL",$A143,$W$7,"YTD","gpg")/1000),0)</f>
        <v>0</v>
      </c>
      <c r="X143" s="90"/>
      <c r="Y143" s="58">
        <f>ROUND((_xll.HPVAL($G$1,"ACTUAL",$A143,$Y$7,"YTD","gpg")/1000),0)</f>
        <v>0</v>
      </c>
      <c r="Z143" s="90"/>
      <c r="AA143" s="58">
        <f>ROUND((_xll.HPVAL($G$1,"ACTUAL",$A143,$AA$7,"YTD","gpg")/1000),0)</f>
        <v>0</v>
      </c>
      <c r="AB143" s="90"/>
      <c r="AC143" s="58">
        <f>IF(mo=1,+E143-C143,CHOOSE(mo,E143,G143,I143,K143,M143,O143,Q143,S143,U143,W143,Y143,AA143)-CHOOSE(mo-1,E143,G143,I143,K143,M143,O143,Q143,S143,U143,W143,Y143,AA143))</f>
        <v>-2647</v>
      </c>
      <c r="AD143" s="70"/>
      <c r="AE143" s="58">
        <f>CHOOSE(mo,E143,G143,I143,K143,M143,O143,Q143,S143,U143,W143,Y143,AA143)-C143</f>
        <v>-2941</v>
      </c>
      <c r="AF143" s="75"/>
    </row>
    <row r="144" spans="1:244">
      <c r="A144" s="84" t="s">
        <v>461</v>
      </c>
      <c r="B144" s="58" t="str">
        <f>_xll.HPHEA($A144,$G$2)</f>
        <v>Uncoll receivables - Sunrise</v>
      </c>
      <c r="C144" s="58">
        <f>ROUND((_xll.HPVAL($G$1,"py1",$A144,$C$7,"YTD","gpg")/1000),0)</f>
        <v>2115</v>
      </c>
      <c r="D144" s="70"/>
      <c r="E144" s="58">
        <f>ROUND((_xll.HPVAL($G$1,"ACTUAL",$A144,$E$7,"YTD","gpg")/1000),0)</f>
        <v>2085</v>
      </c>
      <c r="F144" s="90"/>
      <c r="G144" s="58">
        <f>ROUND((_xll.HPVAL($G$1,"ACTUAL",$A144,$G$7,"YTD","gpg")/1000),0)</f>
        <v>2054</v>
      </c>
      <c r="H144" s="90"/>
      <c r="I144" s="58">
        <f>ROUND((_xll.HPVAL($G$1,"ACTUAL",$A144,$I$7,"YTD","gpg")/1000),0)</f>
        <v>2024</v>
      </c>
      <c r="J144" s="90"/>
      <c r="K144" s="58">
        <f>ROUND((_xll.HPVAL($G$1,"ACTUAL",$A144,$K$7,"YTD","gpg")/1000),0)</f>
        <v>1994</v>
      </c>
      <c r="L144" s="90"/>
      <c r="M144" s="58">
        <f>ROUND((_xll.HPVAL($G$1,"ACTUAL",$A144,$M$7,"YTD","gpg")/1000),0)</f>
        <v>1964</v>
      </c>
      <c r="N144" s="90"/>
      <c r="O144" s="58">
        <f>ROUND((_xll.HPVAL($G$1,"ACTUAL",$A144,$O$7,"YTD","gpg")/1000),0)</f>
        <v>1934</v>
      </c>
      <c r="P144" s="90"/>
      <c r="Q144" s="58">
        <f>ROUND((_xll.HPVAL($G$1,"ACTUAL",$A144,$Q$7,"YTD","gpg")/1000),0)</f>
        <v>1903</v>
      </c>
      <c r="R144" s="90"/>
      <c r="S144" s="58">
        <f>ROUND((_xll.HPVAL($G$1,"ACTUAL",$A144,$S$7,"YTD","gpg")/1000),0)</f>
        <v>0</v>
      </c>
      <c r="T144" s="90"/>
      <c r="U144" s="58">
        <f>ROUND((_xll.HPVAL($G$1,"ACTUAL",$A144,$U$7,"YTD","gpg")/1000),0)</f>
        <v>0</v>
      </c>
      <c r="V144" s="90"/>
      <c r="W144" s="58">
        <f>ROUND((_xll.HPVAL($G$1,"ACTUAL",$A144,$W$7,"YTD","gpg")/1000),0)</f>
        <v>0</v>
      </c>
      <c r="X144" s="90"/>
      <c r="Y144" s="58">
        <f>ROUND((_xll.HPVAL($G$1,"ACTUAL",$A144,$Y$7,"YTD","gpg")/1000),0)</f>
        <v>0</v>
      </c>
      <c r="Z144" s="90"/>
      <c r="AA144" s="58">
        <f>ROUND((_xll.HPVAL($G$1,"ACTUAL",$A144,$AA$7,"YTD","gpg")/1000),0)</f>
        <v>0</v>
      </c>
      <c r="AB144" s="90"/>
      <c r="AC144" s="58">
        <f>IF(mo=1,+E144-C144,CHOOSE(mo,E144,G144,I144,K144,M144,O144,Q144,S144,U144,W144,Y144,AA144)-CHOOSE(mo-1,E144,G144,I144,K144,M144,O144,Q144,S144,U144,W144,Y144,AA144))</f>
        <v>-1903</v>
      </c>
      <c r="AD144" s="70"/>
      <c r="AE144" s="58">
        <f>CHOOSE(mo,E144,G144,I144,K144,M144,O144,Q144,S144,U144,W144,Y144,AA144)-C144</f>
        <v>-2115</v>
      </c>
      <c r="AF144" s="75"/>
    </row>
    <row r="145" spans="1:244">
      <c r="A145" s="84" t="s">
        <v>162</v>
      </c>
      <c r="B145" s="58" t="str">
        <f>_xll.HPHEA($A145,$G$2)</f>
        <v>Current uncoll receivables</v>
      </c>
      <c r="C145" s="85">
        <f>ROUND((_xll.HPVAL($G$1,"py1",$A145,$C$7,"YTD","gpg")/1000),0)</f>
        <v>-889</v>
      </c>
      <c r="D145" s="70"/>
      <c r="E145" s="85">
        <f>ROUND((_xll.HPVAL($G$1,"ACTUAL",$A145,$E$7,"YTD","gpg")/1000),0)</f>
        <v>-889</v>
      </c>
      <c r="F145" s="77"/>
      <c r="G145" s="85">
        <f>ROUND((_xll.HPVAL($G$1,"ACTUAL",$A145,$G$7,"YTD","gpg")/1000),0)</f>
        <v>-889</v>
      </c>
      <c r="H145" s="77"/>
      <c r="I145" s="85">
        <f>ROUND((_xll.HPVAL($G$1,"ACTUAL",$A145,$I$7,"YTD","gpg")/1000),0)</f>
        <v>-889</v>
      </c>
      <c r="J145" s="77"/>
      <c r="K145" s="85">
        <f>ROUND((_xll.HPVAL($G$1,"ACTUAL",$A145,$K$7,"YTD","gpg")/1000),0)</f>
        <v>-889</v>
      </c>
      <c r="L145" s="77"/>
      <c r="M145" s="85">
        <f>ROUND((_xll.HPVAL($G$1,"ACTUAL",$A145,$M$7,"YTD","gpg")/1000),0)</f>
        <v>-889</v>
      </c>
      <c r="N145" s="77"/>
      <c r="O145" s="85">
        <f>ROUND((_xll.HPVAL($G$1,"ACTUAL",$A145,$O$7,"YTD","gpg")/1000),0)</f>
        <v>-889</v>
      </c>
      <c r="P145" s="77"/>
      <c r="Q145" s="85">
        <f>ROUND((_xll.HPVAL($G$1,"ACTUAL",$A145,$Q$7,"YTD","gpg")/1000),0)</f>
        <v>-867</v>
      </c>
      <c r="R145" s="77"/>
      <c r="S145" s="85">
        <f>ROUND((_xll.HPVAL($G$1,"ACTUAL",$A145,$S$7,"YTD","gpg")/1000),0)</f>
        <v>-867</v>
      </c>
      <c r="T145" s="77"/>
      <c r="U145" s="85">
        <f>ROUND((_xll.HPVAL($G$1,"ACTUAL",$A145,$U$7,"YTD","gpg")/1000),0)</f>
        <v>0</v>
      </c>
      <c r="V145" s="77"/>
      <c r="W145" s="85">
        <f>ROUND((_xll.HPVAL($G$1,"ACTUAL",$A145,$W$7,"YTD","gpg")/1000),0)</f>
        <v>0</v>
      </c>
      <c r="X145" s="77"/>
      <c r="Y145" s="85">
        <f>ROUND((_xll.HPVAL($G$1,"ACTUAL",$A145,$Y$7,"YTD","gpg")/1000),0)</f>
        <v>0</v>
      </c>
      <c r="Z145" s="77"/>
      <c r="AA145" s="85">
        <f>ROUND((_xll.HPVAL($G$1,"ACTUAL",$A145,$AA$7,"YTD","gpg")/1000),0)</f>
        <v>0</v>
      </c>
      <c r="AB145" s="77"/>
      <c r="AC145" s="58">
        <f>IF(mo=1,+E145-C145,CHOOSE(mo,E145,G145,I145,K145,M145,O145,Q145,S145,U145,W145,Y145,AA145)-CHOOSE(mo-1,E145,G145,I145,K145,M145,O145,Q145,S145,U145,W145,Y145,AA145))</f>
        <v>0</v>
      </c>
      <c r="AD145" s="70"/>
      <c r="AE145" s="85">
        <f>CHOOSE(mo,E145,G145,I145,K145,M145,O145,Q145,S145,U145,W145,Y145,AA145)-C145</f>
        <v>22</v>
      </c>
      <c r="AF145" s="75"/>
    </row>
    <row r="146" spans="1:244">
      <c r="A146" s="84"/>
      <c r="B146" s="58" t="s">
        <v>234</v>
      </c>
      <c r="C146" s="134">
        <f>SUM(C143:C145)</f>
        <v>4167</v>
      </c>
      <c r="D146" s="70"/>
      <c r="E146" s="134">
        <f>SUM(E143:E145)</f>
        <v>4095</v>
      </c>
      <c r="F146" s="77"/>
      <c r="G146" s="134">
        <f>SUM(G143:G145)</f>
        <v>4022</v>
      </c>
      <c r="H146" s="77"/>
      <c r="I146" s="134">
        <f>SUM(I143:I145)</f>
        <v>3950</v>
      </c>
      <c r="J146" s="77"/>
      <c r="K146" s="134">
        <f>SUM(K143:K145)</f>
        <v>3878</v>
      </c>
      <c r="L146" s="77"/>
      <c r="M146" s="134">
        <f>SUM(M143:M145)</f>
        <v>3806</v>
      </c>
      <c r="N146" s="77"/>
      <c r="O146" s="134">
        <f>SUM(O143:O145)</f>
        <v>3734</v>
      </c>
      <c r="P146" s="77"/>
      <c r="Q146" s="134">
        <f>SUM(Q143:Q145)</f>
        <v>3683</v>
      </c>
      <c r="R146" s="77"/>
      <c r="S146" s="134">
        <f>SUM(S143:S145)</f>
        <v>-867</v>
      </c>
      <c r="T146" s="77"/>
      <c r="U146" s="134">
        <f>SUM(U143:U145)</f>
        <v>0</v>
      </c>
      <c r="V146" s="77"/>
      <c r="W146" s="134">
        <f>SUM(W143:W145)</f>
        <v>0</v>
      </c>
      <c r="X146" s="77"/>
      <c r="Y146" s="134">
        <f>SUM(Y143:Y145)</f>
        <v>0</v>
      </c>
      <c r="Z146" s="77"/>
      <c r="AA146" s="134">
        <f>SUM(AA143:AA145)</f>
        <v>0</v>
      </c>
      <c r="AB146" s="77"/>
      <c r="AC146" s="134">
        <f>SUM(AC143:AC145)</f>
        <v>-4550</v>
      </c>
      <c r="AD146" s="70"/>
      <c r="AE146" s="134">
        <f>SUM(AE143:AE145)</f>
        <v>-5034</v>
      </c>
      <c r="AF146" s="75"/>
    </row>
    <row r="147" spans="1:244" ht="9.75" customHeight="1">
      <c r="A147" s="84"/>
      <c r="B147" s="58"/>
      <c r="C147" s="72"/>
      <c r="D147" s="70"/>
      <c r="E147" s="72"/>
      <c r="F147" s="77"/>
      <c r="G147" s="72"/>
      <c r="H147" s="77"/>
      <c r="I147" s="72"/>
      <c r="J147" s="77"/>
      <c r="K147" s="72"/>
      <c r="L147" s="77"/>
      <c r="M147" s="72"/>
      <c r="N147" s="77"/>
      <c r="O147" s="72"/>
      <c r="P147" s="77"/>
      <c r="Q147" s="72"/>
      <c r="R147" s="77"/>
      <c r="S147" s="72"/>
      <c r="T147" s="77"/>
      <c r="U147" s="72"/>
      <c r="V147" s="77"/>
      <c r="W147" s="72"/>
      <c r="X147" s="77"/>
      <c r="Y147" s="72"/>
      <c r="Z147" s="77"/>
      <c r="AA147" s="72"/>
      <c r="AB147" s="77"/>
      <c r="AC147" s="72"/>
      <c r="AD147" s="70"/>
      <c r="AE147" s="72"/>
      <c r="AF147" s="72"/>
      <c r="AH147" s="13"/>
      <c r="AI147" s="13"/>
      <c r="AJ147" s="13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</row>
    <row r="148" spans="1:244">
      <c r="A148" s="84" t="s">
        <v>442</v>
      </c>
      <c r="B148" s="58" t="str">
        <f>_xll.HPHEA($A148,$G$2)</f>
        <v>FERC audit adjustment</v>
      </c>
      <c r="C148" s="58">
        <f>ROUND((_xll.HPVAL($G$1,"py1",$A148,$C$7,"YTD","gpg")/1000),0)</f>
        <v>734</v>
      </c>
      <c r="D148" s="70"/>
      <c r="E148" s="58">
        <f>ROUND((_xll.HPVAL($G$1,"ACTUAL",$A148,$E$7,"YTD","gpg")/1000),0)</f>
        <v>723</v>
      </c>
      <c r="F148" s="90"/>
      <c r="G148" s="58">
        <f>ROUND((_xll.HPVAL($G$1,"ACTUAL",$A148,$G$7,"YTD","gpg")/1000),0)</f>
        <v>713</v>
      </c>
      <c r="H148" s="90"/>
      <c r="I148" s="58">
        <f>ROUND((_xll.HPVAL($G$1,"ACTUAL",$A148,$I$7,"YTD","gpg")/1000),0)</f>
        <v>702</v>
      </c>
      <c r="J148" s="90"/>
      <c r="K148" s="58">
        <f>ROUND((_xll.HPVAL($G$1,"ACTUAL",$A148,$K$7,"YTD","gpg")/1000),0)</f>
        <v>692</v>
      </c>
      <c r="L148" s="90"/>
      <c r="M148" s="58">
        <f>ROUND((_xll.HPVAL($G$1,"ACTUAL",$A148,$M$7,"YTD","gpg")/1000),0)</f>
        <v>681</v>
      </c>
      <c r="N148" s="90"/>
      <c r="O148" s="58">
        <f>ROUND((_xll.HPVAL($G$1,"ACTUAL",$A148,$O$7,"YTD","gpg")/1000),0)</f>
        <v>671</v>
      </c>
      <c r="P148" s="90"/>
      <c r="Q148" s="58">
        <f>ROUND((_xll.HPVAL($G$1,"ACTUAL",$A148,$Q$7,"YTD","gpg")/1000),0)</f>
        <v>660</v>
      </c>
      <c r="R148" s="90"/>
      <c r="S148" s="58">
        <f>ROUND((_xll.HPVAL($G$1,"ACTUAL",$A148,$S$7,"YTD","gpg")/1000),0)</f>
        <v>0</v>
      </c>
      <c r="T148" s="90"/>
      <c r="U148" s="58">
        <f>ROUND((_xll.HPVAL($G$1,"ACTUAL",$A148,$U$7,"YTD","gpg")/1000),0)</f>
        <v>0</v>
      </c>
      <c r="V148" s="90"/>
      <c r="W148" s="58">
        <f>ROUND((_xll.HPVAL($G$1,"ACTUAL",$A148,$W$7,"YTD","gpg")/1000),0)</f>
        <v>0</v>
      </c>
      <c r="X148" s="90"/>
      <c r="Y148" s="58">
        <f>ROUND((_xll.HPVAL($G$1,"ACTUAL",$A148,$Y$7,"YTD","gpg")/1000),0)</f>
        <v>0</v>
      </c>
      <c r="Z148" s="90"/>
      <c r="AA148" s="58">
        <f>ROUND((_xll.HPVAL($G$1,"ACTUAL",$A148,$AA$7,"YTD","gpg")/1000),0)</f>
        <v>0</v>
      </c>
      <c r="AB148" s="90"/>
      <c r="AC148" s="58">
        <f>IF(mo=1,+E148-C148,CHOOSE(mo,E148,G148,I148,K148,M148,O148,Q148,S148,U148,W148,Y148,AA148)-CHOOSE(mo-1,E148,G148,I148,K148,M148,O148,Q148,S148,U148,W148,Y148,AA148))</f>
        <v>-660</v>
      </c>
      <c r="AD148" s="70"/>
      <c r="AE148" s="58">
        <f>CHOOSE(mo,E148,G148,I148,K148,M148,O148,Q148,S148,U148,W148,Y148,AA148)-C148</f>
        <v>-734</v>
      </c>
      <c r="AF148" s="75"/>
    </row>
    <row r="149" spans="1:244">
      <c r="A149" s="84" t="s">
        <v>149</v>
      </c>
      <c r="B149" s="58" t="str">
        <f>_xll.HPHEA($A149,$G$2)</f>
        <v>Current audit adjustment</v>
      </c>
      <c r="C149" s="85">
        <f>ROUND((_xll.HPVAL($G$1,"py1",$A149,$C$7,"YTD","gpg")/1000),0)</f>
        <v>-126</v>
      </c>
      <c r="D149" s="70"/>
      <c r="E149" s="85">
        <f>ROUND((_xll.HPVAL($G$1,"ACTUAL",$A149,$E$7,"YTD","gpg")/1000),0)</f>
        <v>-126</v>
      </c>
      <c r="F149" s="77"/>
      <c r="G149" s="85">
        <f>ROUND((_xll.HPVAL($G$1,"ACTUAL",$A149,$G$7,"YTD","gpg")/1000),0)</f>
        <v>-126</v>
      </c>
      <c r="H149" s="77"/>
      <c r="I149" s="85">
        <f>ROUND((_xll.HPVAL($G$1,"ACTUAL",$A149,$I$7,"YTD","gpg")/1000),0)</f>
        <v>-126</v>
      </c>
      <c r="J149" s="77"/>
      <c r="K149" s="85">
        <f>ROUND((_xll.HPVAL($G$1,"ACTUAL",$A149,$K$7,"YTD","gpg")/1000),0)</f>
        <v>-126</v>
      </c>
      <c r="L149" s="77"/>
      <c r="M149" s="85">
        <f>ROUND((_xll.HPVAL($G$1,"ACTUAL",$A149,$M$7,"YTD","gpg")/1000),0)</f>
        <v>-126</v>
      </c>
      <c r="N149" s="77"/>
      <c r="O149" s="85">
        <f>ROUND((_xll.HPVAL($G$1,"ACTUAL",$A149,$O$7,"YTD","gpg")/1000),0)</f>
        <v>-126</v>
      </c>
      <c r="P149" s="77"/>
      <c r="Q149" s="85">
        <f>ROUND((_xll.HPVAL($G$1,"ACTUAL",$A149,$Q$7,"YTD","gpg")/1000),0)</f>
        <v>-126</v>
      </c>
      <c r="R149" s="77"/>
      <c r="S149" s="85">
        <f>ROUND((_xll.HPVAL($G$1,"ACTUAL",$A149,$S$7,"YTD","gpg")/1000),0)</f>
        <v>-126</v>
      </c>
      <c r="T149" s="77"/>
      <c r="U149" s="85">
        <f>ROUND((_xll.HPVAL($G$1,"ACTUAL",$A149,$U$7,"YTD","gpg")/1000),0)</f>
        <v>0</v>
      </c>
      <c r="V149" s="77"/>
      <c r="W149" s="85">
        <f>ROUND((_xll.HPVAL($G$1,"ACTUAL",$A149,$W$7,"YTD","gpg")/1000),0)</f>
        <v>0</v>
      </c>
      <c r="X149" s="77"/>
      <c r="Y149" s="85">
        <f>ROUND((_xll.HPVAL($G$1,"ACTUAL",$A149,$Y$7,"YTD","gpg")/1000),0)</f>
        <v>0</v>
      </c>
      <c r="Z149" s="77"/>
      <c r="AA149" s="85">
        <f>ROUND((_xll.HPVAL($G$1,"ACTUAL",$A149,$AA$7,"YTD","gpg")/1000),0)</f>
        <v>0</v>
      </c>
      <c r="AB149" s="77"/>
      <c r="AC149" s="58">
        <f>IF(mo=1,+E149-C149,CHOOSE(mo,E149,G149,I149,K149,M149,O149,Q149,S149,U149,W149,Y149,AA149)-CHOOSE(mo-1,E149,G149,I149,K149,M149,O149,Q149,S149,U149,W149,Y149,AA149))</f>
        <v>0</v>
      </c>
      <c r="AD149" s="70"/>
      <c r="AE149" s="85">
        <f>CHOOSE(mo,E149,G149,I149,K149,M149,O149,Q149,S149,U149,W149,Y149,AA149)-C149</f>
        <v>0</v>
      </c>
      <c r="AF149" s="75"/>
    </row>
    <row r="150" spans="1:244">
      <c r="A150" s="84"/>
      <c r="B150" s="58" t="s">
        <v>235</v>
      </c>
      <c r="C150" s="134">
        <f>SUM(C148:C149)</f>
        <v>608</v>
      </c>
      <c r="D150" s="70"/>
      <c r="E150" s="134">
        <f>SUM(E148:E149)</f>
        <v>597</v>
      </c>
      <c r="F150" s="77"/>
      <c r="G150" s="134">
        <f>SUM(G148:G149)</f>
        <v>587</v>
      </c>
      <c r="H150" s="77"/>
      <c r="I150" s="134">
        <f>SUM(I148:I149)</f>
        <v>576</v>
      </c>
      <c r="J150" s="77"/>
      <c r="K150" s="134">
        <f>SUM(K148:K149)</f>
        <v>566</v>
      </c>
      <c r="L150" s="77"/>
      <c r="M150" s="134">
        <f>SUM(M148:M149)</f>
        <v>555</v>
      </c>
      <c r="N150" s="77"/>
      <c r="O150" s="134">
        <f>SUM(O148:O149)</f>
        <v>545</v>
      </c>
      <c r="P150" s="77"/>
      <c r="Q150" s="134">
        <f>SUM(Q148:Q149)</f>
        <v>534</v>
      </c>
      <c r="R150" s="77"/>
      <c r="S150" s="134">
        <f>SUM(S148:S149)</f>
        <v>-126</v>
      </c>
      <c r="T150" s="77"/>
      <c r="U150" s="134">
        <f>SUM(U148:U149)</f>
        <v>0</v>
      </c>
      <c r="V150" s="77"/>
      <c r="W150" s="134">
        <f>SUM(W148:W149)</f>
        <v>0</v>
      </c>
      <c r="X150" s="77"/>
      <c r="Y150" s="134">
        <f>SUM(Y148:Y149)</f>
        <v>0</v>
      </c>
      <c r="Z150" s="77"/>
      <c r="AA150" s="134">
        <f>SUM(AA148:AA149)</f>
        <v>0</v>
      </c>
      <c r="AB150" s="77"/>
      <c r="AC150" s="134">
        <f>SUM(AC148:AC149)</f>
        <v>-660</v>
      </c>
      <c r="AD150" s="70"/>
      <c r="AE150" s="134">
        <f>SUM(AE148:AE149)</f>
        <v>-734</v>
      </c>
      <c r="AF150" s="75"/>
    </row>
    <row r="151" spans="1:244">
      <c r="A151" s="84"/>
      <c r="B151" s="58"/>
      <c r="C151" s="72"/>
      <c r="D151" s="70"/>
      <c r="E151" s="72"/>
      <c r="F151" s="77"/>
      <c r="G151" s="72"/>
      <c r="H151" s="77"/>
      <c r="I151" s="72"/>
      <c r="J151" s="77"/>
      <c r="K151" s="72"/>
      <c r="L151" s="77"/>
      <c r="M151" s="72"/>
      <c r="N151" s="77"/>
      <c r="O151" s="72"/>
      <c r="P151" s="77"/>
      <c r="Q151" s="72"/>
      <c r="R151" s="77"/>
      <c r="S151" s="72"/>
      <c r="T151" s="77"/>
      <c r="U151" s="72"/>
      <c r="V151" s="77"/>
      <c r="W151" s="72"/>
      <c r="X151" s="77"/>
      <c r="Y151" s="72"/>
      <c r="Z151" s="77"/>
      <c r="AA151" s="72"/>
      <c r="AB151" s="77"/>
      <c r="AC151" s="72"/>
      <c r="AD151" s="70"/>
      <c r="AE151" s="72"/>
      <c r="AF151" s="72"/>
      <c r="AH151" s="13"/>
      <c r="AI151" s="13"/>
      <c r="AJ151" s="13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9"/>
      <c r="II151" s="19"/>
      <c r="IJ151" s="19"/>
    </row>
    <row r="152" spans="1:244">
      <c r="A152" s="84" t="s">
        <v>449</v>
      </c>
      <c r="B152" s="58" t="str">
        <f>_xll.HPHEA($A152,$G$2)</f>
        <v>Regulatory commission expense</v>
      </c>
      <c r="C152" s="58">
        <f>ROUND((_xll.HPVAL($G$1,"py1",$A152,$C$7,"YTD","gpg")/1000),0)</f>
        <v>678</v>
      </c>
      <c r="D152" s="70"/>
      <c r="E152" s="58">
        <f>ROUND((_xll.HPVAL($G$1,"ACTUAL",$A152,$E$7,"YTD","gpg")/1000),0)</f>
        <v>668</v>
      </c>
      <c r="F152" s="90"/>
      <c r="G152" s="58">
        <f>ROUND((_xll.HPVAL($G$1,"ACTUAL",$A152,$G$7,"YTD","gpg")/1000),0)</f>
        <v>659</v>
      </c>
      <c r="H152" s="90"/>
      <c r="I152" s="58">
        <f>ROUND((_xll.HPVAL($G$1,"ACTUAL",$A152,$I$7,"YTD","gpg")/1000),0)</f>
        <v>649</v>
      </c>
      <c r="J152" s="90"/>
      <c r="K152" s="58">
        <f>ROUND((_xll.HPVAL($G$1,"ACTUAL",$A152,$K$7,"YTD","gpg")/1000),0)</f>
        <v>639</v>
      </c>
      <c r="L152" s="90"/>
      <c r="M152" s="58">
        <f>ROUND((_xll.HPVAL($G$1,"ACTUAL",$A152,$M$7,"YTD","gpg")/1000),0)</f>
        <v>630</v>
      </c>
      <c r="N152" s="90"/>
      <c r="O152" s="58">
        <f>ROUND((_xll.HPVAL($G$1,"ACTUAL",$A152,$O$7,"YTD","gpg")/1000),0)</f>
        <v>620</v>
      </c>
      <c r="P152" s="90"/>
      <c r="Q152" s="58">
        <f>ROUND((_xll.HPVAL($G$1,"ACTUAL",$A152,$Q$7,"YTD","gpg")/1000),0)</f>
        <v>610</v>
      </c>
      <c r="R152" s="90"/>
      <c r="S152" s="58">
        <f>ROUND((_xll.HPVAL($G$1,"ACTUAL",$A152,$S$7,"YTD","gpg")/1000),0)</f>
        <v>0</v>
      </c>
      <c r="T152" s="90"/>
      <c r="U152" s="58">
        <f>ROUND((_xll.HPVAL($G$1,"ACTUAL",$A152,$U$7,"YTD","gpg")/1000),0)</f>
        <v>0</v>
      </c>
      <c r="V152" s="90"/>
      <c r="W152" s="58">
        <f>ROUND((_xll.HPVAL($G$1,"ACTUAL",$A152,$W$7,"YTD","gpg")/1000),0)</f>
        <v>0</v>
      </c>
      <c r="X152" s="90"/>
      <c r="Y152" s="58">
        <f>ROUND((_xll.HPVAL($G$1,"ACTUAL",$A152,$Y$7,"YTD","gpg")/1000),0)</f>
        <v>0</v>
      </c>
      <c r="Z152" s="90"/>
      <c r="AA152" s="58">
        <f>ROUND((_xll.HPVAL($G$1,"ACTUAL",$A152,$AA$7,"YTD","gpg")/1000),0)</f>
        <v>0</v>
      </c>
      <c r="AB152" s="90"/>
      <c r="AC152" s="58">
        <f>IF(mo=1,+E152-C152,CHOOSE(mo,E152,G152,I152,K152,M152,O152,Q152,S152,U152,W152,Y152,AA152)-CHOOSE(mo-1,E152,G152,I152,K152,M152,O152,Q152,S152,U152,W152,Y152,AA152))</f>
        <v>-610</v>
      </c>
      <c r="AD152" s="70"/>
      <c r="AE152" s="58">
        <f>CHOOSE(mo,E152,G152,I152,K152,M152,O152,Q152,S152,U152,W152,Y152,AA152)-C152</f>
        <v>-678</v>
      </c>
      <c r="AF152" s="72"/>
      <c r="AH152" s="13"/>
      <c r="AI152" s="13"/>
      <c r="AJ152" s="13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9"/>
      <c r="II152" s="19"/>
      <c r="IJ152" s="19"/>
    </row>
    <row r="153" spans="1:244">
      <c r="A153" s="84" t="s">
        <v>156</v>
      </c>
      <c r="B153" s="58" t="str">
        <f>_xll.HPHEA($A153,$G$2)</f>
        <v>Regulatory commission expense</v>
      </c>
      <c r="C153" s="85">
        <f>ROUND((_xll.HPVAL($G$1,"py1",$A153,$C$7,"YTD","gpg")/1000),0)</f>
        <v>-116</v>
      </c>
      <c r="D153" s="70"/>
      <c r="E153" s="85">
        <f>ROUND((_xll.HPVAL($G$1,"ACTUAL",$A153,$E$7,"YTD","gpg")/1000),0)</f>
        <v>-116</v>
      </c>
      <c r="F153" s="77"/>
      <c r="G153" s="85">
        <f>ROUND((_xll.HPVAL($G$1,"ACTUAL",$A153,$G$7,"YTD","gpg")/1000),0)</f>
        <v>-116</v>
      </c>
      <c r="H153" s="77"/>
      <c r="I153" s="85">
        <f>ROUND((_xll.HPVAL($G$1,"ACTUAL",$A153,$I$7,"YTD","gpg")/1000),0)</f>
        <v>-116</v>
      </c>
      <c r="J153" s="77"/>
      <c r="K153" s="85">
        <f>ROUND((_xll.HPVAL($G$1,"ACTUAL",$A153,$K$7,"YTD","gpg")/1000),0)</f>
        <v>-116</v>
      </c>
      <c r="L153" s="77"/>
      <c r="M153" s="85">
        <f>ROUND((_xll.HPVAL($G$1,"ACTUAL",$A153,$M$7,"YTD","gpg")/1000),0)</f>
        <v>-116</v>
      </c>
      <c r="N153" s="77"/>
      <c r="O153" s="85">
        <f>ROUND((_xll.HPVAL($G$1,"ACTUAL",$A153,$O$7,"YTD","gpg")/1000),0)</f>
        <v>-116</v>
      </c>
      <c r="P153" s="77"/>
      <c r="Q153" s="85">
        <f>ROUND((_xll.HPVAL($G$1,"ACTUAL",$A153,$Q$7,"YTD","gpg")/1000),0)</f>
        <v>-116</v>
      </c>
      <c r="R153" s="77"/>
      <c r="S153" s="85">
        <f>ROUND((_xll.HPVAL($G$1,"ACTUAL",$A153,$S$7,"YTD","gpg")/1000),0)</f>
        <v>-116</v>
      </c>
      <c r="T153" s="77"/>
      <c r="U153" s="85">
        <f>ROUND((_xll.HPVAL($G$1,"ACTUAL",$A153,$U$7,"YTD","gpg")/1000),0)</f>
        <v>0</v>
      </c>
      <c r="V153" s="77"/>
      <c r="W153" s="85">
        <f>ROUND((_xll.HPVAL($G$1,"ACTUAL",$A153,$W$7,"YTD","gpg")/1000),0)</f>
        <v>0</v>
      </c>
      <c r="X153" s="77"/>
      <c r="Y153" s="85">
        <f>ROUND((_xll.HPVAL($G$1,"ACTUAL",$A153,$Y$7,"YTD","gpg")/1000),0)</f>
        <v>0</v>
      </c>
      <c r="Z153" s="77"/>
      <c r="AA153" s="85">
        <f>ROUND((_xll.HPVAL($G$1,"ACTUAL",$A153,$AA$7,"YTD","gpg")/1000),0)</f>
        <v>0</v>
      </c>
      <c r="AB153" s="77"/>
      <c r="AC153" s="58">
        <f>IF(mo=1,+E153-C153,CHOOSE(mo,E153,G153,I153,K153,M153,O153,Q153,S153,U153,W153,Y153,AA153)-CHOOSE(mo-1,E153,G153,I153,K153,M153,O153,Q153,S153,U153,W153,Y153,AA153))</f>
        <v>0</v>
      </c>
      <c r="AD153" s="70"/>
      <c r="AE153" s="85">
        <f>CHOOSE(mo,E153,G153,I153,K153,M153,O153,Q153,S153,U153,W153,Y153,AA153)-C153</f>
        <v>0</v>
      </c>
      <c r="AF153" s="72"/>
      <c r="AH153" s="13"/>
      <c r="AI153" s="13"/>
      <c r="AJ153" s="13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9"/>
      <c r="II153" s="19"/>
      <c r="IJ153" s="19"/>
    </row>
    <row r="154" spans="1:244">
      <c r="A154" s="84"/>
      <c r="B154" s="58" t="s">
        <v>236</v>
      </c>
      <c r="C154" s="134">
        <f>SUM(C152:C153)</f>
        <v>562</v>
      </c>
      <c r="D154" s="70"/>
      <c r="E154" s="134">
        <f>SUM(E152:E153)</f>
        <v>552</v>
      </c>
      <c r="F154" s="77"/>
      <c r="G154" s="134">
        <f>SUM(G152:G153)</f>
        <v>543</v>
      </c>
      <c r="H154" s="77"/>
      <c r="I154" s="134">
        <f>SUM(I152:I153)</f>
        <v>533</v>
      </c>
      <c r="J154" s="77"/>
      <c r="K154" s="134">
        <f>SUM(K152:K153)</f>
        <v>523</v>
      </c>
      <c r="L154" s="77"/>
      <c r="M154" s="134">
        <f>SUM(M152:M153)</f>
        <v>514</v>
      </c>
      <c r="N154" s="77"/>
      <c r="O154" s="134">
        <f>SUM(O152:O153)</f>
        <v>504</v>
      </c>
      <c r="P154" s="77"/>
      <c r="Q154" s="134">
        <f>SUM(Q152:Q153)</f>
        <v>494</v>
      </c>
      <c r="R154" s="77"/>
      <c r="S154" s="134">
        <f>SUM(S152:S153)</f>
        <v>-116</v>
      </c>
      <c r="T154" s="77"/>
      <c r="U154" s="134">
        <f>SUM(U152:U153)</f>
        <v>0</v>
      </c>
      <c r="V154" s="77"/>
      <c r="W154" s="134">
        <f>SUM(W152:W153)</f>
        <v>0</v>
      </c>
      <c r="X154" s="77"/>
      <c r="Y154" s="134">
        <f>SUM(Y152:Y153)</f>
        <v>0</v>
      </c>
      <c r="Z154" s="77"/>
      <c r="AA154" s="134">
        <f>SUM(AA152:AA153)</f>
        <v>0</v>
      </c>
      <c r="AB154" s="77"/>
      <c r="AC154" s="134">
        <f>SUM(AC152:AC153)</f>
        <v>-610</v>
      </c>
      <c r="AD154" s="70"/>
      <c r="AE154" s="134">
        <f>SUM(AE152:AE153)</f>
        <v>-678</v>
      </c>
      <c r="AF154" s="72"/>
      <c r="AH154" s="13"/>
      <c r="AI154" s="13"/>
      <c r="AJ154" s="13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9"/>
      <c r="II154" s="19"/>
      <c r="IJ154" s="19"/>
    </row>
    <row r="155" spans="1:244">
      <c r="A155" s="84"/>
      <c r="B155" s="58"/>
      <c r="C155" s="72"/>
      <c r="D155" s="70"/>
      <c r="E155" s="72"/>
      <c r="F155" s="77"/>
      <c r="G155" s="72"/>
      <c r="H155" s="77"/>
      <c r="I155" s="72"/>
      <c r="J155" s="77"/>
      <c r="K155" s="72"/>
      <c r="L155" s="77"/>
      <c r="M155" s="72"/>
      <c r="N155" s="77"/>
      <c r="O155" s="72"/>
      <c r="P155" s="77"/>
      <c r="Q155" s="72"/>
      <c r="R155" s="77"/>
      <c r="S155" s="72"/>
      <c r="T155" s="77"/>
      <c r="U155" s="72"/>
      <c r="V155" s="77"/>
      <c r="W155" s="72"/>
      <c r="X155" s="77"/>
      <c r="Y155" s="72"/>
      <c r="Z155" s="77"/>
      <c r="AA155" s="72"/>
      <c r="AB155" s="77"/>
      <c r="AC155" s="72"/>
      <c r="AD155" s="70"/>
      <c r="AE155" s="72"/>
      <c r="AF155" s="72"/>
      <c r="AH155" s="13"/>
      <c r="AI155" s="13"/>
      <c r="AJ155" s="13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9"/>
      <c r="II155" s="19"/>
      <c r="IJ155" s="19"/>
    </row>
    <row r="156" spans="1:244">
      <c r="A156" s="84" t="s">
        <v>452</v>
      </c>
      <c r="B156" s="58" t="str">
        <f>_xll.HPHEA($A156,$G$2)</f>
        <v>TCR C</v>
      </c>
      <c r="C156" s="58">
        <f>ROUND((_xll.HPVAL($G$1,"py1",$A156,$C$7,"YTD","gpg")/1000),0)</f>
        <v>17138</v>
      </c>
      <c r="D156" s="70"/>
      <c r="E156" s="58">
        <f>ROUND((_xll.HPVAL($G$1,"ACTUAL",$A156,$E$7,"YTD","gpg")/1000),0)</f>
        <v>17138</v>
      </c>
      <c r="F156" s="77"/>
      <c r="G156" s="58">
        <f>ROUND((_xll.HPVAL($G$1,"ACTUAL",$A156,$G$7,"YTD","gpg")/1000),0)</f>
        <v>17138</v>
      </c>
      <c r="H156" s="77"/>
      <c r="I156" s="58">
        <f>ROUND((_xll.HPVAL($G$1,"ACTUAL",$A156,$I$7,"YTD","gpg")/1000),0)</f>
        <v>17138</v>
      </c>
      <c r="J156" s="77"/>
      <c r="K156" s="58">
        <f>ROUND((_xll.HPVAL($G$1,"ACTUAL",$A156,$K$7,"YTD","gpg")/1000),0)</f>
        <v>17138</v>
      </c>
      <c r="L156" s="77"/>
      <c r="M156" s="58">
        <f>ROUND((_xll.HPVAL($G$1,"ACTUAL",$A156,$M$7,"YTD","gpg")/1000),0)</f>
        <v>17138</v>
      </c>
      <c r="N156" s="77"/>
      <c r="O156" s="58">
        <f>ROUND((_xll.HPVAL($G$1,"ACTUAL",$A156,$O$7,"YTD","gpg")/1000),0)</f>
        <v>17138</v>
      </c>
      <c r="P156" s="77"/>
      <c r="Q156" s="58">
        <f>ROUND((_xll.HPVAL($G$1,"ACTUAL",$A156,$Q$7,"YTD","gpg")/1000),0)</f>
        <v>17138</v>
      </c>
      <c r="R156" s="77"/>
      <c r="S156" s="58">
        <f>ROUND((_xll.HPVAL($G$1,"ACTUAL",$A156,$S$7,"YTD","gpg")/1000),0)</f>
        <v>0</v>
      </c>
      <c r="T156" s="77"/>
      <c r="U156" s="58">
        <f>ROUND((_xll.HPVAL($G$1,"ACTUAL",$A156,$U$7,"YTD","gpg")/1000),0)</f>
        <v>0</v>
      </c>
      <c r="V156" s="77"/>
      <c r="W156" s="58">
        <f>ROUND((_xll.HPVAL($G$1,"ACTUAL",$A156,$W$7,"YTD","gpg")/1000),0)</f>
        <v>0</v>
      </c>
      <c r="X156" s="77"/>
      <c r="Y156" s="58">
        <f>ROUND((_xll.HPVAL($G$1,"ACTUAL",$A156,$Y$7,"YTD","gpg")/1000),0)</f>
        <v>0</v>
      </c>
      <c r="Z156" s="77"/>
      <c r="AA156" s="58">
        <f>ROUND((_xll.HPVAL($G$1,"ACTUAL",$A156,$AA$7,"YTD","gpg")/1000),0)</f>
        <v>0</v>
      </c>
      <c r="AB156" s="77"/>
      <c r="AC156" s="58">
        <f t="shared" ref="AC156:AC161" si="10">IF(mo=1,+E156-C156,CHOOSE(mo,E156,G156,I156,K156,M156,O156,Q156,S156,U156,W156,Y156,AA156)-CHOOSE(mo-1,E156,G156,I156,K156,M156,O156,Q156,S156,U156,W156,Y156,AA156))</f>
        <v>-17138</v>
      </c>
      <c r="AD156" s="70"/>
      <c r="AE156" s="58">
        <f t="shared" ref="AE156:AE161" si="11">CHOOSE(mo,E156,G156,I156,K156,M156,O156,Q156,S156,U156,W156,Y156,AA156)-C156</f>
        <v>-17138</v>
      </c>
      <c r="AF156" s="75"/>
    </row>
    <row r="157" spans="1:244">
      <c r="A157" s="84" t="s">
        <v>453</v>
      </c>
      <c r="B157" s="58" t="str">
        <f>_xll.HPHEA($A157,$G$2)</f>
        <v>TCR C amortization</v>
      </c>
      <c r="C157" s="58">
        <f>ROUND((_xll.HPVAL($G$1,"py1",$A157,$C$7,"YTD","gpg")/1000),0)</f>
        <v>-14934</v>
      </c>
      <c r="D157" s="70"/>
      <c r="E157" s="58">
        <f>ROUND((_xll.HPVAL($G$1,"ACTUAL",$A157,$E$7,"YTD","gpg")/1000),0)</f>
        <v>-14966</v>
      </c>
      <c r="F157" s="77"/>
      <c r="G157" s="58">
        <f>ROUND((_xll.HPVAL($G$1,"ACTUAL",$A157,$G$7,"YTD","gpg")/1000),0)</f>
        <v>-14997</v>
      </c>
      <c r="H157" s="77"/>
      <c r="I157" s="58">
        <f>ROUND((_xll.HPVAL($G$1,"ACTUAL",$A157,$I$7,"YTD","gpg")/1000),0)</f>
        <v>-15029</v>
      </c>
      <c r="J157" s="77"/>
      <c r="K157" s="58">
        <f>ROUND((_xll.HPVAL($G$1,"ACTUAL",$A157,$K$7,"YTD","gpg")/1000),0)</f>
        <v>-15060</v>
      </c>
      <c r="L157" s="77"/>
      <c r="M157" s="58">
        <f>ROUND((_xll.HPVAL($G$1,"ACTUAL",$A157,$M$7,"YTD","gpg")/1000),0)</f>
        <v>-15092</v>
      </c>
      <c r="N157" s="77"/>
      <c r="O157" s="58">
        <f>ROUND((_xll.HPVAL($G$1,"ACTUAL",$A157,$O$7,"YTD","gpg")/1000),0)</f>
        <v>-15123</v>
      </c>
      <c r="P157" s="77"/>
      <c r="Q157" s="58">
        <f>ROUND((_xll.HPVAL($G$1,"ACTUAL",$A157,$Q$7,"YTD","gpg")/1000),0)</f>
        <v>-15155</v>
      </c>
      <c r="R157" s="77"/>
      <c r="S157" s="58">
        <f>ROUND((_xll.HPVAL($G$1,"ACTUAL",$A157,$S$7,"YTD","gpg")/1000),0)</f>
        <v>0</v>
      </c>
      <c r="T157" s="77"/>
      <c r="U157" s="58">
        <f>ROUND((_xll.HPVAL($G$1,"ACTUAL",$A157,$U$7,"YTD","gpg")/1000),0)</f>
        <v>0</v>
      </c>
      <c r="V157" s="77"/>
      <c r="W157" s="58">
        <f>ROUND((_xll.HPVAL($G$1,"ACTUAL",$A157,$W$7,"YTD","gpg")/1000),0)</f>
        <v>0</v>
      </c>
      <c r="X157" s="77"/>
      <c r="Y157" s="58">
        <f>ROUND((_xll.HPVAL($G$1,"ACTUAL",$A157,$Y$7,"YTD","gpg")/1000),0)</f>
        <v>0</v>
      </c>
      <c r="Z157" s="77"/>
      <c r="AA157" s="58">
        <f>ROUND((_xll.HPVAL($G$1,"ACTUAL",$A157,$AA$7,"YTD","gpg")/1000),0)</f>
        <v>0</v>
      </c>
      <c r="AB157" s="77"/>
      <c r="AC157" s="58">
        <f t="shared" si="10"/>
        <v>15155</v>
      </c>
      <c r="AD157" s="70"/>
      <c r="AE157" s="58">
        <f t="shared" si="11"/>
        <v>14934</v>
      </c>
      <c r="AF157" s="75"/>
    </row>
    <row r="158" spans="1:244">
      <c r="A158" s="84" t="s">
        <v>160</v>
      </c>
      <c r="B158" s="58" t="str">
        <f>_xll.HPHEA($A158,$G$2)</f>
        <v>Current TCR C</v>
      </c>
      <c r="C158" s="58">
        <f>ROUND((_xll.HPVAL($G$1,"py1",$A158,$C$7,"YTD","gpg")/1000),0)</f>
        <v>-378</v>
      </c>
      <c r="D158" s="70"/>
      <c r="E158" s="58">
        <f>ROUND((_xll.HPVAL($G$1,"ACTUAL",$A158,$E$7,"YTD","gpg")/1000),0)</f>
        <v>-378</v>
      </c>
      <c r="F158" s="77"/>
      <c r="G158" s="58">
        <f>ROUND((_xll.HPVAL($G$1,"ACTUAL",$A158,$G$7,"YTD","gpg")/1000),0)</f>
        <v>-378</v>
      </c>
      <c r="H158" s="77"/>
      <c r="I158" s="58">
        <f>ROUND((_xll.HPVAL($G$1,"ACTUAL",$A158,$I$7,"YTD","gpg")/1000),0)</f>
        <v>-378</v>
      </c>
      <c r="J158" s="77"/>
      <c r="K158" s="58">
        <f>ROUND((_xll.HPVAL($G$1,"ACTUAL",$A158,$K$7,"YTD","gpg")/1000),0)</f>
        <v>-378</v>
      </c>
      <c r="L158" s="77"/>
      <c r="M158" s="58">
        <f>ROUND((_xll.HPVAL($G$1,"ACTUAL",$A158,$M$7,"YTD","gpg")/1000),0)</f>
        <v>-378</v>
      </c>
      <c r="N158" s="77"/>
      <c r="O158" s="58">
        <f>ROUND((_xll.HPVAL($G$1,"ACTUAL",$A158,$O$7,"YTD","gpg")/1000),0)</f>
        <v>-378</v>
      </c>
      <c r="P158" s="77"/>
      <c r="Q158" s="58">
        <f>ROUND((_xll.HPVAL($G$1,"ACTUAL",$A158,$Q$7,"YTD","gpg")/1000),0)</f>
        <v>-378</v>
      </c>
      <c r="R158" s="77"/>
      <c r="S158" s="58">
        <f>ROUND((_xll.HPVAL($G$1,"ACTUAL",$A158,$S$7,"YTD","gpg")/1000),0)</f>
        <v>-378</v>
      </c>
      <c r="T158" s="77"/>
      <c r="U158" s="58">
        <f>ROUND((_xll.HPVAL($G$1,"ACTUAL",$A158,$U$7,"YTD","gpg")/1000),0)</f>
        <v>0</v>
      </c>
      <c r="V158" s="77"/>
      <c r="W158" s="58">
        <f>ROUND((_xll.HPVAL($G$1,"ACTUAL",$A158,$W$7,"YTD","gpg")/1000),0)</f>
        <v>0</v>
      </c>
      <c r="X158" s="77"/>
      <c r="Y158" s="58">
        <f>ROUND((_xll.HPVAL($G$1,"ACTUAL",$A158,$Y$7,"YTD","gpg")/1000),0)</f>
        <v>0</v>
      </c>
      <c r="Z158" s="77"/>
      <c r="AA158" s="58">
        <f>ROUND((_xll.HPVAL($G$1,"ACTUAL",$A158,$AA$7,"YTD","gpg")/1000),0)</f>
        <v>0</v>
      </c>
      <c r="AB158" s="77"/>
      <c r="AC158" s="58">
        <f t="shared" si="10"/>
        <v>0</v>
      </c>
      <c r="AD158" s="70"/>
      <c r="AE158" s="58">
        <f t="shared" si="11"/>
        <v>0</v>
      </c>
      <c r="AF158" s="75"/>
    </row>
    <row r="159" spans="1:244">
      <c r="A159" s="84" t="s">
        <v>458</v>
      </c>
      <c r="B159" s="58" t="str">
        <f>_xll.HPHEA($A159,$G$2)</f>
        <v>TCR prefiling interest</v>
      </c>
      <c r="C159" s="58">
        <f>ROUND((_xll.HPVAL($G$1,"py1",$A159,$C$7,"YTD","gpg")/1000),0)</f>
        <v>897</v>
      </c>
      <c r="D159" s="70"/>
      <c r="E159" s="58">
        <f>ROUND((_xll.HPVAL($G$1,"ACTUAL",$A159,$E$7,"YTD","gpg")/1000),0)</f>
        <v>897</v>
      </c>
      <c r="F159" s="77"/>
      <c r="G159" s="58">
        <f>ROUND((_xll.HPVAL($G$1,"ACTUAL",$A159,$G$7,"YTD","gpg")/1000),0)</f>
        <v>897</v>
      </c>
      <c r="H159" s="77"/>
      <c r="I159" s="58">
        <f>ROUND((_xll.HPVAL($G$1,"ACTUAL",$A159,$I$7,"YTD","gpg")/1000),0)</f>
        <v>897</v>
      </c>
      <c r="J159" s="77"/>
      <c r="K159" s="58">
        <f>ROUND((_xll.HPVAL($G$1,"ACTUAL",$A159,$K$7,"YTD","gpg")/1000),0)</f>
        <v>897</v>
      </c>
      <c r="L159" s="77"/>
      <c r="M159" s="58">
        <f>ROUND((_xll.HPVAL($G$1,"ACTUAL",$A159,$M$7,"YTD","gpg")/1000),0)</f>
        <v>897</v>
      </c>
      <c r="N159" s="77"/>
      <c r="O159" s="58">
        <f>ROUND((_xll.HPVAL($G$1,"ACTUAL",$A159,$O$7,"YTD","gpg")/1000),0)</f>
        <v>897</v>
      </c>
      <c r="P159" s="77"/>
      <c r="Q159" s="58">
        <f>ROUND((_xll.HPVAL($G$1,"ACTUAL",$A159,$Q$7,"YTD","gpg")/1000),0)</f>
        <v>897</v>
      </c>
      <c r="R159" s="77"/>
      <c r="S159" s="58">
        <f>ROUND((_xll.HPVAL($G$1,"ACTUAL",$A159,$S$7,"YTD","gpg")/1000),0)</f>
        <v>0</v>
      </c>
      <c r="T159" s="77"/>
      <c r="U159" s="58">
        <f>ROUND((_xll.HPVAL($G$1,"ACTUAL",$A159,$U$7,"YTD","gpg")/1000),0)</f>
        <v>0</v>
      </c>
      <c r="V159" s="77"/>
      <c r="W159" s="58">
        <f>ROUND((_xll.HPVAL($G$1,"ACTUAL",$A159,$W$7,"YTD","gpg")/1000),0)</f>
        <v>0</v>
      </c>
      <c r="X159" s="77"/>
      <c r="Y159" s="58">
        <f>ROUND((_xll.HPVAL($G$1,"ACTUAL",$A159,$Y$7,"YTD","gpg")/1000),0)</f>
        <v>0</v>
      </c>
      <c r="Z159" s="77"/>
      <c r="AA159" s="58">
        <f>ROUND((_xll.HPVAL($G$1,"ACTUAL",$A159,$AA$7,"YTD","gpg")/1000),0)</f>
        <v>0</v>
      </c>
      <c r="AB159" s="77"/>
      <c r="AC159" s="58">
        <f t="shared" si="10"/>
        <v>-897</v>
      </c>
      <c r="AD159" s="70"/>
      <c r="AE159" s="58">
        <f t="shared" si="11"/>
        <v>-897</v>
      </c>
      <c r="AF159" s="75"/>
    </row>
    <row r="160" spans="1:244">
      <c r="A160" s="84" t="s">
        <v>459</v>
      </c>
      <c r="B160" s="58" t="str">
        <f>_xll.HPHEA($A160,$G$2)</f>
        <v>TCR prefiling interest amortization</v>
      </c>
      <c r="C160" s="58">
        <f>ROUND((_xll.HPVAL($G$1,"py1",$A160,$C$7,"YTD","gpg")/1000),0)</f>
        <v>-374</v>
      </c>
      <c r="D160" s="70"/>
      <c r="E160" s="58">
        <f>ROUND((_xll.HPVAL($G$1,"ACTUAL",$A160,$E$7,"YTD","gpg")/1000),0)</f>
        <v>-381</v>
      </c>
      <c r="F160" s="77"/>
      <c r="G160" s="58">
        <f>ROUND((_xll.HPVAL($G$1,"ACTUAL",$A160,$G$7,"YTD","gpg")/1000),0)</f>
        <v>-389</v>
      </c>
      <c r="H160" s="77"/>
      <c r="I160" s="58">
        <f>ROUND((_xll.HPVAL($G$1,"ACTUAL",$A160,$I$7,"YTD","gpg")/1000),0)</f>
        <v>-396</v>
      </c>
      <c r="J160" s="77"/>
      <c r="K160" s="58">
        <f>ROUND((_xll.HPVAL($G$1,"ACTUAL",$A160,$K$7,"YTD","gpg")/1000),0)</f>
        <v>-404</v>
      </c>
      <c r="L160" s="77"/>
      <c r="M160" s="58">
        <f>ROUND((_xll.HPVAL($G$1,"ACTUAL",$A160,$M$7,"YTD","gpg")/1000),0)</f>
        <v>-411</v>
      </c>
      <c r="N160" s="77"/>
      <c r="O160" s="58">
        <f>ROUND((_xll.HPVAL($G$1,"ACTUAL",$A160,$O$7,"YTD","gpg")/1000),0)</f>
        <v>-418</v>
      </c>
      <c r="P160" s="77"/>
      <c r="Q160" s="58">
        <f>ROUND((_xll.HPVAL($G$1,"ACTUAL",$A160,$Q$7,"YTD","gpg")/1000),0)</f>
        <v>-426</v>
      </c>
      <c r="R160" s="77"/>
      <c r="S160" s="58">
        <f>ROUND((_xll.HPVAL($G$1,"ACTUAL",$A160,$S$7,"YTD","gpg")/1000),0)</f>
        <v>0</v>
      </c>
      <c r="T160" s="77"/>
      <c r="U160" s="58">
        <f>ROUND((_xll.HPVAL($G$1,"ACTUAL",$A160,$U$7,"YTD","gpg")/1000),0)</f>
        <v>0</v>
      </c>
      <c r="V160" s="77"/>
      <c r="W160" s="58">
        <f>ROUND((_xll.HPVAL($G$1,"ACTUAL",$A160,$W$7,"YTD","gpg")/1000),0)</f>
        <v>0</v>
      </c>
      <c r="X160" s="77"/>
      <c r="Y160" s="58">
        <f>ROUND((_xll.HPVAL($G$1,"ACTUAL",$A160,$Y$7,"YTD","gpg")/1000),0)</f>
        <v>0</v>
      </c>
      <c r="Z160" s="77"/>
      <c r="AA160" s="58">
        <f>ROUND((_xll.HPVAL($G$1,"ACTUAL",$A160,$AA$7,"YTD","gpg")/1000),0)</f>
        <v>0</v>
      </c>
      <c r="AB160" s="77"/>
      <c r="AC160" s="58">
        <f t="shared" si="10"/>
        <v>426</v>
      </c>
      <c r="AD160" s="70"/>
      <c r="AE160" s="58">
        <f t="shared" si="11"/>
        <v>374</v>
      </c>
      <c r="AF160" s="75"/>
    </row>
    <row r="161" spans="1:244">
      <c r="A161" s="84" t="s">
        <v>161</v>
      </c>
      <c r="B161" s="58" t="str">
        <f>_xll.HPHEA($A161,$G$2)</f>
        <v>Current TCR prefiling interest</v>
      </c>
      <c r="C161" s="85">
        <f>ROUND((_xll.HPVAL($G$1,"py1",$A161,$C$7,"YTD","gpg")/1000),0)</f>
        <v>-90</v>
      </c>
      <c r="D161" s="70"/>
      <c r="E161" s="85">
        <f>ROUND((_xll.HPVAL($G$1,"ACTUAL",$A161,$E$7,"YTD","gpg")/1000),0)</f>
        <v>-90</v>
      </c>
      <c r="F161" s="77"/>
      <c r="G161" s="85">
        <f>ROUND((_xll.HPVAL($G$1,"ACTUAL",$A161,$G$7,"YTD","gpg")/1000),0)</f>
        <v>-90</v>
      </c>
      <c r="H161" s="77"/>
      <c r="I161" s="85">
        <f>ROUND((_xll.HPVAL($G$1,"ACTUAL",$A161,$I$7,"YTD","gpg")/1000),0)</f>
        <v>-90</v>
      </c>
      <c r="J161" s="77"/>
      <c r="K161" s="85">
        <f>ROUND((_xll.HPVAL($G$1,"ACTUAL",$A161,$K$7,"YTD","gpg")/1000),0)</f>
        <v>-90</v>
      </c>
      <c r="L161" s="77"/>
      <c r="M161" s="85">
        <f>ROUND((_xll.HPVAL($G$1,"ACTUAL",$A161,$M$7,"YTD","gpg")/1000),0)</f>
        <v>-90</v>
      </c>
      <c r="N161" s="77"/>
      <c r="O161" s="85">
        <f>ROUND((_xll.HPVAL($G$1,"ACTUAL",$A161,$O$7,"YTD","gpg")/1000),0)</f>
        <v>-90</v>
      </c>
      <c r="P161" s="77"/>
      <c r="Q161" s="85">
        <f>ROUND((_xll.HPVAL($G$1,"ACTUAL",$A161,$Q$7,"YTD","gpg")/1000),0)</f>
        <v>-90</v>
      </c>
      <c r="R161" s="77"/>
      <c r="S161" s="85">
        <f>ROUND((_xll.HPVAL($G$1,"ACTUAL",$A161,$S$7,"YTD","gpg")/1000),0)</f>
        <v>-90</v>
      </c>
      <c r="T161" s="77"/>
      <c r="U161" s="85">
        <f>ROUND((_xll.HPVAL($G$1,"ACTUAL",$A161,$U$7,"YTD","gpg")/1000),0)</f>
        <v>0</v>
      </c>
      <c r="V161" s="77"/>
      <c r="W161" s="85">
        <f>ROUND((_xll.HPVAL($G$1,"ACTUAL",$A161,$W$7,"YTD","gpg")/1000),0)</f>
        <v>0</v>
      </c>
      <c r="X161" s="77"/>
      <c r="Y161" s="85">
        <f>ROUND((_xll.HPVAL($G$1,"ACTUAL",$A161,$Y$7,"YTD","gpg")/1000),0)</f>
        <v>0</v>
      </c>
      <c r="Z161" s="77"/>
      <c r="AA161" s="85">
        <f>ROUND((_xll.HPVAL($G$1,"ACTUAL",$A161,$AA$7,"YTD","gpg")/1000),0)</f>
        <v>0</v>
      </c>
      <c r="AB161" s="77"/>
      <c r="AC161" s="58">
        <f t="shared" si="10"/>
        <v>0</v>
      </c>
      <c r="AD161" s="70"/>
      <c r="AE161" s="85">
        <f t="shared" si="11"/>
        <v>0</v>
      </c>
      <c r="AF161" s="75"/>
    </row>
    <row r="162" spans="1:244">
      <c r="A162" s="84"/>
      <c r="B162" s="58" t="s">
        <v>216</v>
      </c>
      <c r="C162" s="134">
        <f>SUM(C156:C161)</f>
        <v>2259</v>
      </c>
      <c r="D162" s="70"/>
      <c r="E162" s="134">
        <f>SUM(E156:E161)</f>
        <v>2220</v>
      </c>
      <c r="F162" s="77"/>
      <c r="G162" s="134">
        <f>SUM(G156:G161)</f>
        <v>2181</v>
      </c>
      <c r="H162" s="77"/>
      <c r="I162" s="134">
        <f>SUM(I156:I161)</f>
        <v>2142</v>
      </c>
      <c r="J162" s="77"/>
      <c r="K162" s="134">
        <f>SUM(K156:K161)</f>
        <v>2103</v>
      </c>
      <c r="L162" s="77"/>
      <c r="M162" s="134">
        <f>SUM(M156:M161)</f>
        <v>2064</v>
      </c>
      <c r="N162" s="77"/>
      <c r="O162" s="134">
        <f>SUM(O156:O161)</f>
        <v>2026</v>
      </c>
      <c r="P162" s="77"/>
      <c r="Q162" s="134">
        <f>SUM(Q156:Q161)</f>
        <v>1986</v>
      </c>
      <c r="R162" s="77"/>
      <c r="S162" s="134">
        <f>SUM(S156:S161)</f>
        <v>-468</v>
      </c>
      <c r="T162" s="77"/>
      <c r="U162" s="134">
        <f>SUM(U156:U161)</f>
        <v>0</v>
      </c>
      <c r="V162" s="77"/>
      <c r="W162" s="134">
        <f>SUM(W156:W161)</f>
        <v>0</v>
      </c>
      <c r="X162" s="77"/>
      <c r="Y162" s="134">
        <f>SUM(Y156:Y161)</f>
        <v>0</v>
      </c>
      <c r="Z162" s="77"/>
      <c r="AA162" s="134">
        <f>SUM(AA156:AA161)</f>
        <v>0</v>
      </c>
      <c r="AB162" s="77"/>
      <c r="AC162" s="134">
        <f>SUM(AC156:AC161)</f>
        <v>-2454</v>
      </c>
      <c r="AD162" s="70"/>
      <c r="AE162" s="134">
        <f>SUM(AE156:AE161)</f>
        <v>-2727</v>
      </c>
      <c r="AF162" s="75"/>
    </row>
    <row r="163" spans="1:244">
      <c r="A163" s="84"/>
      <c r="B163" s="58"/>
      <c r="C163" s="72"/>
      <c r="D163" s="70"/>
      <c r="E163" s="72"/>
      <c r="F163" s="77"/>
      <c r="G163" s="72"/>
      <c r="H163" s="77"/>
      <c r="I163" s="72"/>
      <c r="J163" s="77"/>
      <c r="K163" s="72"/>
      <c r="L163" s="77"/>
      <c r="M163" s="72"/>
      <c r="N163" s="77"/>
      <c r="O163" s="72"/>
      <c r="P163" s="77"/>
      <c r="Q163" s="72"/>
      <c r="R163" s="77"/>
      <c r="S163" s="72"/>
      <c r="T163" s="77"/>
      <c r="U163" s="72"/>
      <c r="V163" s="77"/>
      <c r="W163" s="72"/>
      <c r="X163" s="77"/>
      <c r="Y163" s="72"/>
      <c r="Z163" s="77"/>
      <c r="AA163" s="72"/>
      <c r="AB163" s="77"/>
      <c r="AC163" s="72"/>
      <c r="AD163" s="70"/>
      <c r="AE163" s="72"/>
      <c r="AF163" s="72"/>
      <c r="AH163" s="13"/>
      <c r="AI163" s="13"/>
      <c r="AJ163" s="13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19"/>
      <c r="IE163" s="19"/>
      <c r="IF163" s="19"/>
      <c r="IG163" s="19"/>
      <c r="IH163" s="19"/>
      <c r="II163" s="19"/>
      <c r="IJ163" s="19"/>
    </row>
    <row r="164" spans="1:244">
      <c r="A164" s="84" t="s">
        <v>446</v>
      </c>
      <c r="B164" s="58" t="str">
        <f>_xll.HPHEA($A164,$G$2)</f>
        <v>PGAR</v>
      </c>
      <c r="C164" s="58">
        <f>ROUND((_xll.HPVAL($G$1,"py1",$A164,$C$7,"YTD","gpg")/1000),0)</f>
        <v>3132</v>
      </c>
      <c r="D164" s="70"/>
      <c r="E164" s="58">
        <f>ROUND((_xll.HPVAL($G$1,"ACTUAL",$A164,$E$7,"YTD","gpg")/1000),0)</f>
        <v>3087</v>
      </c>
      <c r="F164" s="90"/>
      <c r="G164" s="58">
        <f>ROUND((_xll.HPVAL($G$1,"ACTUAL",$A164,$G$7,"YTD","gpg")/1000),0)</f>
        <v>3042</v>
      </c>
      <c r="H164" s="90"/>
      <c r="I164" s="58">
        <f>ROUND((_xll.HPVAL($G$1,"ACTUAL",$A164,$I$7,"YTD","gpg")/1000),0)</f>
        <v>2998</v>
      </c>
      <c r="J164" s="90"/>
      <c r="K164" s="58">
        <f>ROUND((_xll.HPVAL($G$1,"ACTUAL",$A164,$K$7,"YTD","gpg")/1000),0)</f>
        <v>2953</v>
      </c>
      <c r="L164" s="90"/>
      <c r="M164" s="58">
        <f>ROUND((_xll.HPVAL($G$1,"ACTUAL",$A164,$M$7,"YTD","gpg")/1000),0)</f>
        <v>2908</v>
      </c>
      <c r="N164" s="90"/>
      <c r="O164" s="58">
        <f>ROUND((_xll.HPVAL($G$1,"ACTUAL",$A164,$O$7,"YTD","gpg")/1000),0)</f>
        <v>2863</v>
      </c>
      <c r="P164" s="90"/>
      <c r="Q164" s="58">
        <f>ROUND((_xll.HPVAL($G$1,"ACTUAL",$A164,$Q$7,"YTD","gpg")/1000),0)</f>
        <v>2819</v>
      </c>
      <c r="R164" s="90"/>
      <c r="S164" s="58">
        <f>ROUND((_xll.HPVAL($G$1,"ACTUAL",$A164,$S$7,"YTD","gpg")/1000),0)</f>
        <v>0</v>
      </c>
      <c r="T164" s="90"/>
      <c r="U164" s="58">
        <f>ROUND((_xll.HPVAL($G$1,"ACTUAL",$A164,$U$7,"YTD","gpg")/1000),0)</f>
        <v>0</v>
      </c>
      <c r="V164" s="90"/>
      <c r="W164" s="58">
        <f>ROUND((_xll.HPVAL($G$1,"ACTUAL",$A164,$W$7,"YTD","gpg")/1000),0)</f>
        <v>0</v>
      </c>
      <c r="X164" s="90"/>
      <c r="Y164" s="58">
        <f>ROUND((_xll.HPVAL($G$1,"ACTUAL",$A164,$Y$7,"YTD","gpg")/1000),0)</f>
        <v>0</v>
      </c>
      <c r="Z164" s="90"/>
      <c r="AA164" s="58">
        <f>ROUND((_xll.HPVAL($G$1,"ACTUAL",$A164,$AA$7,"YTD","gpg")/1000),0)</f>
        <v>0</v>
      </c>
      <c r="AB164" s="90"/>
      <c r="AC164" s="58">
        <f>IF(mo=1,+E164-C164,CHOOSE(mo,E164,G164,I164,K164,M164,O164,Q164,S164,U164,W164,Y164,AA164)-CHOOSE(mo-1,E164,G164,I164,K164,M164,O164,Q164,S164,U164,W164,Y164,AA164))</f>
        <v>-2819</v>
      </c>
      <c r="AD164" s="70"/>
      <c r="AE164" s="58">
        <f>CHOOSE(mo,E164,G164,I164,K164,M164,O164,Q164,S164,U164,W164,Y164,AA164)-C164</f>
        <v>-3132</v>
      </c>
      <c r="AF164" s="75"/>
    </row>
    <row r="165" spans="1:244">
      <c r="A165" s="84" t="s">
        <v>154</v>
      </c>
      <c r="B165" s="58" t="str">
        <f>_xll.HPHEA($A165,$G$2)</f>
        <v>Current PGAR</v>
      </c>
      <c r="C165" s="85">
        <f>ROUND((_xll.HPVAL($G$1,"py1",$A165,$C$7,"YTD","gpg")/1000),0)</f>
        <v>-537</v>
      </c>
      <c r="D165" s="70"/>
      <c r="E165" s="85">
        <f>ROUND((_xll.HPVAL($G$1,"ACTUAL",$A165,$E$7,"YTD","gpg")/1000),0)</f>
        <v>-537</v>
      </c>
      <c r="F165" s="77"/>
      <c r="G165" s="85">
        <f>ROUND((_xll.HPVAL($G$1,"ACTUAL",$A165,$G$7,"YTD","gpg")/1000),0)</f>
        <v>-537</v>
      </c>
      <c r="H165" s="77"/>
      <c r="I165" s="85">
        <f>ROUND((_xll.HPVAL($G$1,"ACTUAL",$A165,$I$7,"YTD","gpg")/1000),0)</f>
        <v>-537</v>
      </c>
      <c r="J165" s="77"/>
      <c r="K165" s="85">
        <f>ROUND((_xll.HPVAL($G$1,"ACTUAL",$A165,$K$7,"YTD","gpg")/1000),0)</f>
        <v>-537</v>
      </c>
      <c r="L165" s="77"/>
      <c r="M165" s="85">
        <f>ROUND((_xll.HPVAL($G$1,"ACTUAL",$A165,$M$7,"YTD","gpg")/1000),0)</f>
        <v>-537</v>
      </c>
      <c r="N165" s="77"/>
      <c r="O165" s="85">
        <f>ROUND((_xll.HPVAL($G$1,"ACTUAL",$A165,$O$7,"YTD","gpg")/1000),0)</f>
        <v>-537</v>
      </c>
      <c r="P165" s="77"/>
      <c r="Q165" s="85">
        <f>ROUND((_xll.HPVAL($G$1,"ACTUAL",$A165,$Q$7,"YTD","gpg")/1000),0)</f>
        <v>-537</v>
      </c>
      <c r="R165" s="77"/>
      <c r="S165" s="85">
        <f>ROUND((_xll.HPVAL($G$1,"ACTUAL",$A165,$S$7,"YTD","gpg")/1000),0)</f>
        <v>-537</v>
      </c>
      <c r="T165" s="77"/>
      <c r="U165" s="85">
        <f>ROUND((_xll.HPVAL($G$1,"ACTUAL",$A165,$U$7,"YTD","gpg")/1000),0)</f>
        <v>0</v>
      </c>
      <c r="V165" s="77"/>
      <c r="W165" s="85">
        <f>ROUND((_xll.HPVAL($G$1,"ACTUAL",$A165,$W$7,"YTD","gpg")/1000),0)</f>
        <v>0</v>
      </c>
      <c r="X165" s="77"/>
      <c r="Y165" s="85">
        <f>ROUND((_xll.HPVAL($G$1,"ACTUAL",$A165,$Y$7,"YTD","gpg")/1000),0)</f>
        <v>0</v>
      </c>
      <c r="Z165" s="77"/>
      <c r="AA165" s="85">
        <f>ROUND((_xll.HPVAL($G$1,"ACTUAL",$A165,$AA$7,"YTD","gpg")/1000),0)</f>
        <v>0</v>
      </c>
      <c r="AB165" s="77"/>
      <c r="AC165" s="58">
        <f>IF(mo=1,+E165-C165,CHOOSE(mo,E165,G165,I165,K165,M165,O165,Q165,S165,U165,W165,Y165,AA165)-CHOOSE(mo-1,E165,G165,I165,K165,M165,O165,Q165,S165,U165,W165,Y165,AA165))</f>
        <v>0</v>
      </c>
      <c r="AD165" s="70"/>
      <c r="AE165" s="85">
        <f>CHOOSE(mo,E165,G165,I165,K165,M165,O165,Q165,S165,U165,W165,Y165,AA165)-C165</f>
        <v>0</v>
      </c>
      <c r="AF165" s="75"/>
    </row>
    <row r="166" spans="1:244">
      <c r="A166" s="84"/>
      <c r="B166" s="58" t="s">
        <v>237</v>
      </c>
      <c r="C166" s="134">
        <f>SUM(C164:C165)</f>
        <v>2595</v>
      </c>
      <c r="D166" s="70"/>
      <c r="E166" s="134">
        <f>SUM(E164:E165)</f>
        <v>2550</v>
      </c>
      <c r="F166" s="77"/>
      <c r="G166" s="134">
        <f>SUM(G164:G165)</f>
        <v>2505</v>
      </c>
      <c r="H166" s="77"/>
      <c r="I166" s="134">
        <f>SUM(I164:I165)</f>
        <v>2461</v>
      </c>
      <c r="J166" s="77"/>
      <c r="K166" s="134">
        <f>SUM(K164:K165)</f>
        <v>2416</v>
      </c>
      <c r="L166" s="77"/>
      <c r="M166" s="134">
        <f>SUM(M164:M165)</f>
        <v>2371</v>
      </c>
      <c r="N166" s="77"/>
      <c r="O166" s="134">
        <f>SUM(O164:O165)</f>
        <v>2326</v>
      </c>
      <c r="P166" s="77"/>
      <c r="Q166" s="134">
        <f>SUM(Q164:Q165)</f>
        <v>2282</v>
      </c>
      <c r="R166" s="77"/>
      <c r="S166" s="134">
        <f>SUM(S164:S165)</f>
        <v>-537</v>
      </c>
      <c r="T166" s="77"/>
      <c r="U166" s="134">
        <f>SUM(U164:U165)</f>
        <v>0</v>
      </c>
      <c r="V166" s="77"/>
      <c r="W166" s="134">
        <f>SUM(W164:W165)</f>
        <v>0</v>
      </c>
      <c r="X166" s="77"/>
      <c r="Y166" s="134">
        <f>SUM(Y164:Y165)</f>
        <v>0</v>
      </c>
      <c r="Z166" s="77"/>
      <c r="AA166" s="134">
        <f>SUM(AA164:AA165)</f>
        <v>0</v>
      </c>
      <c r="AB166" s="77"/>
      <c r="AC166" s="134">
        <f>SUM(AC164:AC165)</f>
        <v>-2819</v>
      </c>
      <c r="AD166" s="70"/>
      <c r="AE166" s="134">
        <f>SUM(AE164:AE165)</f>
        <v>-3132</v>
      </c>
      <c r="AF166" s="75"/>
    </row>
    <row r="167" spans="1:244">
      <c r="A167" s="58"/>
      <c r="B167" s="58"/>
      <c r="C167" s="58"/>
      <c r="D167" s="70"/>
      <c r="E167" s="58"/>
      <c r="F167" s="77"/>
      <c r="G167" s="58"/>
      <c r="H167" s="77"/>
      <c r="I167" s="58"/>
      <c r="J167" s="77"/>
      <c r="K167" s="58"/>
      <c r="L167" s="77"/>
      <c r="M167" s="58"/>
      <c r="N167" s="77"/>
      <c r="O167" s="58"/>
      <c r="P167" s="77"/>
      <c r="Q167" s="58"/>
      <c r="R167" s="77"/>
      <c r="S167" s="58"/>
      <c r="T167" s="77"/>
      <c r="U167" s="58"/>
      <c r="V167" s="77"/>
      <c r="W167" s="58"/>
      <c r="X167" s="77"/>
      <c r="Y167" s="58"/>
      <c r="Z167" s="77"/>
      <c r="AA167" s="58"/>
      <c r="AB167" s="77"/>
      <c r="AC167" s="58"/>
      <c r="AD167" s="70"/>
      <c r="AE167" s="58"/>
      <c r="AF167" s="75"/>
    </row>
    <row r="168" spans="1:244">
      <c r="A168" s="84" t="s">
        <v>450</v>
      </c>
      <c r="B168" s="58" t="str">
        <f>_xll.HPHEA($A168,$G$2)</f>
        <v>S. Georgia def tax receivable</v>
      </c>
      <c r="C168" s="58">
        <f>ROUND((_xll.HPVAL($G$1,"py1",$A168,$C$7,"YTD","gpg")/1000),0)</f>
        <v>2880</v>
      </c>
      <c r="D168" s="70"/>
      <c r="E168" s="58">
        <f>ROUND((_xll.HPVAL($G$1,"ACTUAL",$A168,$E$7,"YTD","gpg")/1000),0)</f>
        <v>2876</v>
      </c>
      <c r="F168" s="90"/>
      <c r="G168" s="58">
        <f>ROUND((_xll.HPVAL($G$1,"ACTUAL",$A168,$G$7,"YTD","gpg")/1000),0)</f>
        <v>2872</v>
      </c>
      <c r="H168" s="90"/>
      <c r="I168" s="58">
        <f>ROUND((_xll.HPVAL($G$1,"ACTUAL",$A168,$I$7,"YTD","gpg")/1000),0)</f>
        <v>2868</v>
      </c>
      <c r="J168" s="90"/>
      <c r="K168" s="58">
        <f>ROUND((_xll.HPVAL($G$1,"ACTUAL",$A168,$K$7,"YTD","gpg")/1000),0)</f>
        <v>2864</v>
      </c>
      <c r="L168" s="90"/>
      <c r="M168" s="58">
        <f>ROUND((_xll.HPVAL($G$1,"ACTUAL",$A168,$M$7,"YTD","gpg")/1000),0)</f>
        <v>2860</v>
      </c>
      <c r="N168" s="90"/>
      <c r="O168" s="58">
        <f>ROUND((_xll.HPVAL($G$1,"ACTUAL",$A168,$O$7,"YTD","gpg")/1000),0)</f>
        <v>2856</v>
      </c>
      <c r="P168" s="90"/>
      <c r="Q168" s="58">
        <f>ROUND((_xll.HPVAL($G$1,"ACTUAL",$A168,$Q$7,"YTD","gpg")/1000),0)</f>
        <v>2852</v>
      </c>
      <c r="R168" s="90"/>
      <c r="S168" s="58">
        <f>ROUND((_xll.HPVAL($G$1,"ACTUAL",$A168,$S$7,"YTD","gpg")/1000),0)</f>
        <v>0</v>
      </c>
      <c r="T168" s="90"/>
      <c r="U168" s="58">
        <f>ROUND((_xll.HPVAL($G$1,"ACTUAL",$A168,$U$7,"YTD","gpg")/1000),0)</f>
        <v>0</v>
      </c>
      <c r="V168" s="90"/>
      <c r="W168" s="58">
        <f>ROUND((_xll.HPVAL($G$1,"ACTUAL",$A168,$W$7,"YTD","gpg")/1000),0)</f>
        <v>0</v>
      </c>
      <c r="X168" s="90"/>
      <c r="Y168" s="58">
        <f>ROUND((_xll.HPVAL($G$1,"ACTUAL",$A168,$Y$7,"YTD","gpg")/1000),0)</f>
        <v>0</v>
      </c>
      <c r="Z168" s="90"/>
      <c r="AA168" s="58">
        <f>ROUND((_xll.HPVAL($G$1,"ACTUAL",$A168,$AA$7,"YTD","gpg")/1000),0)</f>
        <v>0</v>
      </c>
      <c r="AB168" s="90"/>
      <c r="AC168" s="58">
        <f>IF(mo=1,+E168-C168,CHOOSE(mo,E168,G168,I168,K168,M168,O168,Q168,S168,U168,W168,Y168,AA168)-CHOOSE(mo-1,E168,G168,I168,K168,M168,O168,Q168,S168,U168,W168,Y168,AA168))</f>
        <v>-2852</v>
      </c>
      <c r="AD168" s="70"/>
      <c r="AE168" s="58">
        <f>CHOOSE(mo,E168,G168,I168,K168,M168,O168,Q168,S168,U168,W168,Y168,AA168)-C168</f>
        <v>-2880</v>
      </c>
      <c r="AF168" s="75"/>
    </row>
    <row r="169" spans="1:244">
      <c r="A169" s="84" t="s">
        <v>158</v>
      </c>
      <c r="B169" s="58" t="str">
        <f>_xll.HPHEA($A169,$G$2)</f>
        <v>Current SO. GA.</v>
      </c>
      <c r="C169" s="85">
        <f>ROUND((_xll.HPVAL($G$1,"py1",$A169,$C$7,"YTD","gpg")/1000),0)</f>
        <v>-49</v>
      </c>
      <c r="D169" s="70"/>
      <c r="E169" s="85">
        <f>ROUND((_xll.HPVAL($G$1,"ACTUAL",$A169,$E$7,"YTD","gpg")/1000),0)</f>
        <v>-49</v>
      </c>
      <c r="F169" s="77"/>
      <c r="G169" s="85">
        <f>ROUND((_xll.HPVAL($G$1,"ACTUAL",$A169,$G$7,"YTD","gpg")/1000),0)</f>
        <v>-49</v>
      </c>
      <c r="H169" s="77"/>
      <c r="I169" s="85">
        <f>ROUND((_xll.HPVAL($G$1,"ACTUAL",$A169,$I$7,"YTD","gpg")/1000),0)</f>
        <v>-49</v>
      </c>
      <c r="J169" s="77"/>
      <c r="K169" s="85">
        <f>ROUND((_xll.HPVAL($G$1,"ACTUAL",$A169,$K$7,"YTD","gpg")/1000),0)</f>
        <v>-49</v>
      </c>
      <c r="L169" s="77"/>
      <c r="M169" s="85">
        <f>ROUND((_xll.HPVAL($G$1,"ACTUAL",$A169,$M$7,"YTD","gpg")/1000),0)</f>
        <v>-49</v>
      </c>
      <c r="N169" s="77"/>
      <c r="O169" s="85">
        <f>ROUND((_xll.HPVAL($G$1,"ACTUAL",$A169,$O$7,"YTD","gpg")/1000),0)</f>
        <v>-49</v>
      </c>
      <c r="P169" s="77"/>
      <c r="Q169" s="85">
        <f>ROUND((_xll.HPVAL($G$1,"ACTUAL",$A169,$Q$7,"YTD","gpg")/1000),0)</f>
        <v>-49</v>
      </c>
      <c r="R169" s="77"/>
      <c r="S169" s="85">
        <f>ROUND((_xll.HPVAL($G$1,"ACTUAL",$A169,$S$7,"YTD","gpg")/1000),0)</f>
        <v>-49</v>
      </c>
      <c r="T169" s="77"/>
      <c r="U169" s="85">
        <f>ROUND((_xll.HPVAL($G$1,"ACTUAL",$A169,$U$7,"YTD","gpg")/1000),0)</f>
        <v>0</v>
      </c>
      <c r="V169" s="77"/>
      <c r="W169" s="85">
        <f>ROUND((_xll.HPVAL($G$1,"ACTUAL",$A169,$W$7,"YTD","gpg")/1000),0)</f>
        <v>0</v>
      </c>
      <c r="X169" s="77"/>
      <c r="Y169" s="85">
        <f>ROUND((_xll.HPVAL($G$1,"ACTUAL",$A169,$Y$7,"YTD","gpg")/1000),0)</f>
        <v>0</v>
      </c>
      <c r="Z169" s="77"/>
      <c r="AA169" s="85">
        <f>ROUND((_xll.HPVAL($G$1,"ACTUAL",$A169,$AA$7,"YTD","gpg")/1000),0)</f>
        <v>0</v>
      </c>
      <c r="AB169" s="77"/>
      <c r="AC169" s="58">
        <f>IF(mo=1,+E169-C169,CHOOSE(mo,E169,G169,I169,K169,M169,O169,Q169,S169,U169,W169,Y169,AA169)-CHOOSE(mo-1,E169,G169,I169,K169,M169,O169,Q169,S169,U169,W169,Y169,AA169))</f>
        <v>0</v>
      </c>
      <c r="AD169" s="70"/>
      <c r="AE169" s="85">
        <f>CHOOSE(mo,E169,G169,I169,K169,M169,O169,Q169,S169,U169,W169,Y169,AA169)-C169</f>
        <v>0</v>
      </c>
      <c r="AF169" s="75"/>
    </row>
    <row r="170" spans="1:244">
      <c r="A170" s="84"/>
      <c r="B170" s="58" t="s">
        <v>238</v>
      </c>
      <c r="C170" s="134">
        <f>SUM(C168:C169)</f>
        <v>2831</v>
      </c>
      <c r="D170" s="70"/>
      <c r="E170" s="134">
        <f>SUM(E168:E169)</f>
        <v>2827</v>
      </c>
      <c r="F170" s="77"/>
      <c r="G170" s="134">
        <f>SUM(G168:G169)</f>
        <v>2823</v>
      </c>
      <c r="H170" s="77"/>
      <c r="I170" s="134">
        <f>SUM(I168:I169)</f>
        <v>2819</v>
      </c>
      <c r="J170" s="77"/>
      <c r="K170" s="134">
        <f>SUM(K168:K169)</f>
        <v>2815</v>
      </c>
      <c r="L170" s="77"/>
      <c r="M170" s="134">
        <f>SUM(M168:M169)</f>
        <v>2811</v>
      </c>
      <c r="N170" s="77"/>
      <c r="O170" s="134">
        <f>SUM(O168:O169)</f>
        <v>2807</v>
      </c>
      <c r="P170" s="77"/>
      <c r="Q170" s="134">
        <f>SUM(Q168:Q169)</f>
        <v>2803</v>
      </c>
      <c r="R170" s="77"/>
      <c r="S170" s="134">
        <f>SUM(S168:S169)</f>
        <v>-49</v>
      </c>
      <c r="T170" s="77"/>
      <c r="U170" s="134">
        <f>SUM(U168:U169)</f>
        <v>0</v>
      </c>
      <c r="V170" s="77"/>
      <c r="W170" s="134">
        <f>SUM(W168:W169)</f>
        <v>0</v>
      </c>
      <c r="X170" s="77"/>
      <c r="Y170" s="134">
        <f>SUM(Y168:Y169)</f>
        <v>0</v>
      </c>
      <c r="Z170" s="77"/>
      <c r="AA170" s="134">
        <f>SUM(AA168:AA169)</f>
        <v>0</v>
      </c>
      <c r="AB170" s="77"/>
      <c r="AC170" s="134">
        <f>SUM(AC168:AC169)</f>
        <v>-2852</v>
      </c>
      <c r="AD170" s="70"/>
      <c r="AE170" s="134">
        <f>SUM(AE168:AE169)</f>
        <v>-2880</v>
      </c>
      <c r="AF170" s="75"/>
    </row>
    <row r="171" spans="1:244">
      <c r="A171" s="58"/>
      <c r="B171" s="58"/>
      <c r="C171" s="58"/>
      <c r="D171" s="70"/>
      <c r="E171" s="58"/>
      <c r="F171" s="77"/>
      <c r="G171" s="58"/>
      <c r="H171" s="77"/>
      <c r="I171" s="58"/>
      <c r="J171" s="77"/>
      <c r="K171" s="58"/>
      <c r="L171" s="77"/>
      <c r="M171" s="58"/>
      <c r="N171" s="77"/>
      <c r="O171" s="58"/>
      <c r="P171" s="77"/>
      <c r="Q171" s="58"/>
      <c r="R171" s="77"/>
      <c r="S171" s="58"/>
      <c r="T171" s="77"/>
      <c r="U171" s="58"/>
      <c r="V171" s="77"/>
      <c r="W171" s="58"/>
      <c r="X171" s="77"/>
      <c r="Y171" s="58"/>
      <c r="Z171" s="77"/>
      <c r="AA171" s="58"/>
      <c r="AB171" s="77"/>
      <c r="AC171" s="58"/>
      <c r="AD171" s="70"/>
      <c r="AE171" s="58"/>
      <c r="AF171" s="75"/>
    </row>
    <row r="172" spans="1:244">
      <c r="A172" s="84" t="s">
        <v>447</v>
      </c>
      <c r="B172" s="58" t="str">
        <f>_xll.HPHEA($A172,$G$2)</f>
        <v>Pipe recoating cost-amortization</v>
      </c>
      <c r="C172" s="58">
        <f>ROUND((_xll.HPVAL($G$1,"py1",$A172,$C$7,"YTD","gpg")/1000),0)</f>
        <v>-864</v>
      </c>
      <c r="D172" s="70"/>
      <c r="E172" s="58">
        <f>ROUND((_xll.HPVAL($G$1,"ACTUAL",$A172,$E$7,"YTD","gpg")/1000),0)</f>
        <v>-881</v>
      </c>
      <c r="F172" s="77"/>
      <c r="G172" s="58">
        <f>ROUND((_xll.HPVAL($G$1,"ACTUAL",$A172,$G$7,"YTD","gpg")/1000),0)</f>
        <v>-864</v>
      </c>
      <c r="H172" s="77"/>
      <c r="I172" s="58">
        <f>ROUND((_xll.HPVAL($G$1,"ACTUAL",$A172,$I$7,"YTD","gpg")/1000),0)</f>
        <v>-885</v>
      </c>
      <c r="J172" s="77"/>
      <c r="K172" s="58">
        <f>ROUND((_xll.HPVAL($G$1,"ACTUAL",$A172,$K$7,"YTD","gpg")/1000),0)</f>
        <v>-905</v>
      </c>
      <c r="L172" s="77"/>
      <c r="M172" s="58">
        <f>ROUND((_xll.HPVAL($G$1,"ACTUAL",$A172,$M$7,"YTD","gpg")/1000),0)</f>
        <v>-926</v>
      </c>
      <c r="N172" s="77"/>
      <c r="O172" s="58">
        <f>ROUND((_xll.HPVAL($G$1,"ACTUAL",$A172,$O$7,"YTD","gpg")/1000),0)</f>
        <v>-947</v>
      </c>
      <c r="P172" s="77"/>
      <c r="Q172" s="58">
        <f>ROUND((_xll.HPVAL($G$1,"ACTUAL",$A172,$Q$7,"YTD","gpg")/1000),0)</f>
        <v>-968</v>
      </c>
      <c r="R172" s="77"/>
      <c r="S172" s="58">
        <f>ROUND((_xll.HPVAL($G$1,"ACTUAL",$A172,$S$7,"YTD","gpg")/1000),0)</f>
        <v>0</v>
      </c>
      <c r="T172" s="77"/>
      <c r="U172" s="58">
        <f>ROUND((_xll.HPVAL($G$1,"ACTUAL",$A172,$U$7,"YTD","gpg")/1000),0)</f>
        <v>0</v>
      </c>
      <c r="V172" s="77"/>
      <c r="W172" s="58">
        <f>ROUND((_xll.HPVAL($G$1,"ACTUAL",$A172,$W$7,"YTD","gpg")/1000),0)</f>
        <v>0</v>
      </c>
      <c r="X172" s="77"/>
      <c r="Y172" s="58">
        <f>ROUND((_xll.HPVAL($G$1,"ACTUAL",$A172,$Y$7,"YTD","gpg")/1000),0)</f>
        <v>0</v>
      </c>
      <c r="Z172" s="77"/>
      <c r="AA172" s="58">
        <f>ROUND((_xll.HPVAL($G$1,"ACTUAL",$A172,$AA$7,"YTD","gpg")/1000),0)</f>
        <v>0</v>
      </c>
      <c r="AB172" s="77"/>
      <c r="AC172" s="58">
        <f>IF(mo=1,+E172-C172,CHOOSE(mo,E172,G172,I172,K172,M172,O172,Q172,S172,U172,W172,Y172,AA172)-CHOOSE(mo-1,E172,G172,I172,K172,M172,O172,Q172,S172,U172,W172,Y172,AA172))</f>
        <v>968</v>
      </c>
      <c r="AD172" s="70"/>
      <c r="AE172" s="58">
        <f>CHOOSE(mo,E172,G172,I172,K172,M172,O172,Q172,S172,U172,W172,Y172,AA172)-C172</f>
        <v>864</v>
      </c>
      <c r="AF172" s="75"/>
    </row>
    <row r="173" spans="1:244">
      <c r="A173" s="84" t="s">
        <v>448</v>
      </c>
      <c r="B173" s="58" t="str">
        <f>_xll.HPHEA($A173,$G$2)</f>
        <v>Pipe recoating</v>
      </c>
      <c r="C173" s="58">
        <f>ROUND((_xll.HPVAL($G$1,"py1",$A173,$C$7,"YTD","gpg")/1000),0)</f>
        <v>2073</v>
      </c>
      <c r="D173" s="70"/>
      <c r="E173" s="58">
        <f>ROUND((_xll.HPVAL($G$1,"ACTUAL",$A173,$E$7,"YTD","gpg")/1000),0)</f>
        <v>2073</v>
      </c>
      <c r="F173" s="77"/>
      <c r="G173" s="58">
        <f>ROUND((_xll.HPVAL($G$1,"ACTUAL",$A173,$G$7,"YTD","gpg")/1000),0)</f>
        <v>2073</v>
      </c>
      <c r="H173" s="77"/>
      <c r="I173" s="58">
        <f>ROUND((_xll.HPVAL($G$1,"ACTUAL",$A173,$I$7,"YTD","gpg")/1000),0)</f>
        <v>2073</v>
      </c>
      <c r="J173" s="77"/>
      <c r="K173" s="58">
        <f>ROUND((_xll.HPVAL($G$1,"ACTUAL",$A173,$K$7,"YTD","gpg")/1000),0)</f>
        <v>2073</v>
      </c>
      <c r="L173" s="77"/>
      <c r="M173" s="58">
        <f>ROUND((_xll.HPVAL($G$1,"ACTUAL",$A173,$M$7,"YTD","gpg")/1000),0)</f>
        <v>2073</v>
      </c>
      <c r="N173" s="77"/>
      <c r="O173" s="58">
        <f>ROUND((_xll.HPVAL($G$1,"ACTUAL",$A173,$O$7,"YTD","gpg")/1000),0)</f>
        <v>2073</v>
      </c>
      <c r="P173" s="77"/>
      <c r="Q173" s="58">
        <f>ROUND((_xll.HPVAL($G$1,"ACTUAL",$A173,$Q$7,"YTD","gpg")/1000),0)</f>
        <v>2073</v>
      </c>
      <c r="R173" s="77"/>
      <c r="S173" s="58">
        <f>ROUND((_xll.HPVAL($G$1,"ACTUAL",$A173,$S$7,"YTD","gpg")/1000),0)</f>
        <v>0</v>
      </c>
      <c r="T173" s="77"/>
      <c r="U173" s="58">
        <f>ROUND((_xll.HPVAL($G$1,"ACTUAL",$A173,$U$7,"YTD","gpg")/1000),0)</f>
        <v>0</v>
      </c>
      <c r="V173" s="77"/>
      <c r="W173" s="58">
        <f>ROUND((_xll.HPVAL($G$1,"ACTUAL",$A173,$W$7,"YTD","gpg")/1000),0)</f>
        <v>0</v>
      </c>
      <c r="X173" s="77"/>
      <c r="Y173" s="58">
        <f>ROUND((_xll.HPVAL($G$1,"ACTUAL",$A173,$Y$7,"YTD","gpg")/1000),0)</f>
        <v>0</v>
      </c>
      <c r="Z173" s="77"/>
      <c r="AA173" s="58">
        <f>ROUND((_xll.HPVAL($G$1,"ACTUAL",$A173,$AA$7,"YTD","gpg")/1000),0)</f>
        <v>0</v>
      </c>
      <c r="AB173" s="77"/>
      <c r="AC173" s="58">
        <f>IF(mo=1,+E173-C173,CHOOSE(mo,E173,G173,I173,K173,M173,O173,Q173,S173,U173,W173,Y173,AA173)-CHOOSE(mo-1,E173,G173,I173,K173,M173,O173,Q173,S173,U173,W173,Y173,AA173))</f>
        <v>-2073</v>
      </c>
      <c r="AD173" s="70"/>
      <c r="AE173" s="58">
        <f>CHOOSE(mo,E173,G173,I173,K173,M173,O173,Q173,S173,U173,W173,Y173,AA173)-C173</f>
        <v>-2073</v>
      </c>
      <c r="AF173" s="75"/>
    </row>
    <row r="174" spans="1:244">
      <c r="A174" s="84" t="s">
        <v>153</v>
      </c>
      <c r="B174" s="58" t="str">
        <f>_xll.HPHEA($A174,$G$2)</f>
        <v>Current pipe recoat</v>
      </c>
      <c r="C174" s="85">
        <f>ROUND((_xll.HPVAL($G$1,"py1",$A174,$C$7,"YTD","gpg")/1000),0)</f>
        <v>-207</v>
      </c>
      <c r="D174" s="70"/>
      <c r="E174" s="85">
        <f>ROUND((_xll.HPVAL($G$1,"ACTUAL",$A174,$E$7,"YTD","gpg")/1000),0)</f>
        <v>-207</v>
      </c>
      <c r="F174" s="77"/>
      <c r="G174" s="85">
        <f>ROUND((_xll.HPVAL($G$1,"ACTUAL",$A174,$G$7,"YTD","gpg")/1000),0)</f>
        <v>-207</v>
      </c>
      <c r="H174" s="77"/>
      <c r="I174" s="85">
        <f>ROUND((_xll.HPVAL($G$1,"ACTUAL",$A174,$I$7,"YTD","gpg")/1000),0)</f>
        <v>-207</v>
      </c>
      <c r="J174" s="77"/>
      <c r="K174" s="85">
        <f>ROUND((_xll.HPVAL($G$1,"ACTUAL",$A174,$K$7,"YTD","gpg")/1000),0)</f>
        <v>-207</v>
      </c>
      <c r="L174" s="77"/>
      <c r="M174" s="85">
        <f>ROUND((_xll.HPVAL($G$1,"ACTUAL",$A174,$M$7,"YTD","gpg")/1000),0)</f>
        <v>-207</v>
      </c>
      <c r="N174" s="77"/>
      <c r="O174" s="85">
        <f>ROUND((_xll.HPVAL($G$1,"ACTUAL",$A174,$O$7,"YTD","gpg")/1000),0)</f>
        <v>-207</v>
      </c>
      <c r="P174" s="77"/>
      <c r="Q174" s="85">
        <f>ROUND((_xll.HPVAL($G$1,"ACTUAL",$A174,$Q$7,"YTD","gpg")/1000),0)</f>
        <v>-207</v>
      </c>
      <c r="R174" s="77"/>
      <c r="S174" s="85">
        <f>ROUND((_xll.HPVAL($G$1,"ACTUAL",$A174,$S$7,"YTD","gpg")/1000),0)</f>
        <v>-207</v>
      </c>
      <c r="T174" s="77"/>
      <c r="U174" s="85">
        <f>ROUND((_xll.HPVAL($G$1,"ACTUAL",$A174,$U$7,"YTD","gpg")/1000),0)</f>
        <v>0</v>
      </c>
      <c r="V174" s="77"/>
      <c r="W174" s="85">
        <f>ROUND((_xll.HPVAL($G$1,"ACTUAL",$A174,$W$7,"YTD","gpg")/1000),0)</f>
        <v>0</v>
      </c>
      <c r="X174" s="77"/>
      <c r="Y174" s="85">
        <f>ROUND((_xll.HPVAL($G$1,"ACTUAL",$A174,$Y$7,"YTD","gpg")/1000),0)</f>
        <v>0</v>
      </c>
      <c r="Z174" s="77"/>
      <c r="AA174" s="85">
        <f>ROUND((_xll.HPVAL($G$1,"ACTUAL",$A174,$AA$7,"YTD","gpg")/1000),0)</f>
        <v>0</v>
      </c>
      <c r="AB174" s="77"/>
      <c r="AC174" s="58">
        <f>IF(mo=1,+E174-C174,CHOOSE(mo,E174,G174,I174,K174,M174,O174,Q174,S174,U174,W174,Y174,AA174)-CHOOSE(mo-1,E174,G174,I174,K174,M174,O174,Q174,S174,U174,W174,Y174,AA174))</f>
        <v>0</v>
      </c>
      <c r="AD174" s="70"/>
      <c r="AE174" s="58">
        <f>CHOOSE(mo,E174,G174,I174,K174,M174,O174,Q174,S174,U174,W174,Y174,AA174)-C174</f>
        <v>0</v>
      </c>
      <c r="AF174" s="75"/>
    </row>
    <row r="175" spans="1:244">
      <c r="A175" s="84"/>
      <c r="B175" s="58" t="s">
        <v>239</v>
      </c>
      <c r="C175" s="134">
        <f>SUM(C172:C174)</f>
        <v>1002</v>
      </c>
      <c r="D175" s="70"/>
      <c r="E175" s="134">
        <f>SUM(E172:E174)</f>
        <v>985</v>
      </c>
      <c r="F175" s="77"/>
      <c r="G175" s="134">
        <f>SUM(G172:G174)</f>
        <v>1002</v>
      </c>
      <c r="H175" s="77"/>
      <c r="I175" s="134">
        <f>SUM(I172:I174)</f>
        <v>981</v>
      </c>
      <c r="J175" s="77"/>
      <c r="K175" s="134">
        <f>SUM(K172:K174)</f>
        <v>961</v>
      </c>
      <c r="L175" s="77"/>
      <c r="M175" s="134">
        <f>SUM(M172:M174)</f>
        <v>940</v>
      </c>
      <c r="N175" s="77"/>
      <c r="O175" s="134">
        <f>SUM(O172:O174)</f>
        <v>919</v>
      </c>
      <c r="P175" s="77"/>
      <c r="Q175" s="134">
        <f>SUM(Q172:Q174)</f>
        <v>898</v>
      </c>
      <c r="R175" s="77"/>
      <c r="S175" s="134">
        <f>SUM(S172:S174)</f>
        <v>-207</v>
      </c>
      <c r="T175" s="77"/>
      <c r="U175" s="134">
        <f>SUM(U172:U174)</f>
        <v>0</v>
      </c>
      <c r="V175" s="77"/>
      <c r="W175" s="134">
        <f>SUM(W172:W174)</f>
        <v>0</v>
      </c>
      <c r="X175" s="77"/>
      <c r="Y175" s="134">
        <f>SUM(Y172:Y174)</f>
        <v>0</v>
      </c>
      <c r="Z175" s="77"/>
      <c r="AA175" s="134">
        <f>SUM(AA172:AA174)</f>
        <v>0</v>
      </c>
      <c r="AB175" s="77"/>
      <c r="AC175" s="134">
        <f>SUM(AC172:AC174)</f>
        <v>-1105</v>
      </c>
      <c r="AD175" s="70"/>
      <c r="AE175" s="134">
        <f>SUM(AE172:AE174)</f>
        <v>-1209</v>
      </c>
      <c r="AF175" s="75"/>
    </row>
    <row r="176" spans="1:244">
      <c r="A176" s="58"/>
      <c r="B176" s="58"/>
      <c r="C176" s="58"/>
      <c r="D176" s="70"/>
      <c r="E176" s="58"/>
      <c r="F176" s="77"/>
      <c r="G176" s="58"/>
      <c r="H176" s="77"/>
      <c r="I176" s="58"/>
      <c r="J176" s="77"/>
      <c r="K176" s="58"/>
      <c r="L176" s="77"/>
      <c r="M176" s="58"/>
      <c r="N176" s="77"/>
      <c r="O176" s="58"/>
      <c r="P176" s="77"/>
      <c r="Q176" s="58"/>
      <c r="R176" s="77"/>
      <c r="S176" s="58"/>
      <c r="T176" s="77"/>
      <c r="U176" s="58"/>
      <c r="V176" s="77"/>
      <c r="W176" s="58"/>
      <c r="X176" s="77"/>
      <c r="Y176" s="58"/>
      <c r="Z176" s="77"/>
      <c r="AA176" s="58"/>
      <c r="AB176" s="77"/>
      <c r="AC176" s="58"/>
      <c r="AD176" s="70"/>
      <c r="AE176" s="58"/>
      <c r="AF176" s="75"/>
    </row>
    <row r="177" spans="1:32">
      <c r="A177" s="84" t="s">
        <v>451</v>
      </c>
      <c r="B177" s="58" t="str">
        <f>_xll.HPHEA($A177,$G$2)</f>
        <v>Severance/relocation costs</v>
      </c>
      <c r="C177" s="58">
        <f>ROUND((_xll.HPVAL($G$1,"py1",$A177,$C$7,"YTD","gpg")/1000),0)</f>
        <v>2646</v>
      </c>
      <c r="D177" s="70"/>
      <c r="E177" s="58">
        <f>ROUND((_xll.HPVAL($G$1,"ACTUAL",$A177,$E$7,"YTD","gpg")/1000),0)</f>
        <v>2608</v>
      </c>
      <c r="F177" s="77"/>
      <c r="G177" s="58">
        <f>ROUND((_xll.HPVAL($G$1,"ACTUAL",$A177,$G$7,"YTD","gpg")/1000),0)</f>
        <v>2570</v>
      </c>
      <c r="H177" s="77"/>
      <c r="I177" s="58">
        <f>ROUND((_xll.HPVAL($G$1,"ACTUAL",$A177,$I$7,"YTD","gpg")/1000),0)</f>
        <v>2532</v>
      </c>
      <c r="J177" s="77"/>
      <c r="K177" s="58">
        <f>ROUND((_xll.HPVAL($G$1,"ACTUAL",$A177,$K$7,"YTD","gpg")/1000),0)</f>
        <v>2494</v>
      </c>
      <c r="L177" s="77"/>
      <c r="M177" s="58">
        <f>ROUND((_xll.HPVAL($G$1,"ACTUAL",$A177,$M$7,"YTD","gpg")/1000),0)</f>
        <v>2457</v>
      </c>
      <c r="N177" s="77"/>
      <c r="O177" s="58">
        <f>ROUND((_xll.HPVAL($G$1,"ACTUAL",$A177,$O$7,"YTD","gpg")/1000),0)</f>
        <v>2419</v>
      </c>
      <c r="P177" s="77"/>
      <c r="Q177" s="58">
        <f>ROUND((_xll.HPVAL($G$1,"ACTUAL",$A177,$Q$7,"YTD","gpg")/1000),0)</f>
        <v>2381</v>
      </c>
      <c r="R177" s="77"/>
      <c r="S177" s="58">
        <f>ROUND((_xll.HPVAL($G$1,"ACTUAL",$A177,$S$7,"YTD","gpg")/1000),0)</f>
        <v>0</v>
      </c>
      <c r="T177" s="77"/>
      <c r="U177" s="58">
        <f>ROUND((_xll.HPVAL($G$1,"ACTUAL",$A177,$U$7,"YTD","gpg")/1000),0)</f>
        <v>0</v>
      </c>
      <c r="V177" s="77"/>
      <c r="W177" s="58">
        <f>ROUND((_xll.HPVAL($G$1,"ACTUAL",$A177,$W$7,"YTD","gpg")/1000),0)</f>
        <v>0</v>
      </c>
      <c r="X177" s="77"/>
      <c r="Y177" s="58">
        <f>ROUND((_xll.HPVAL($G$1,"ACTUAL",$A177,$Y$7,"YTD","gpg")/1000),0)</f>
        <v>0</v>
      </c>
      <c r="Z177" s="77"/>
      <c r="AA177" s="58">
        <f>ROUND((_xll.HPVAL($G$1,"ACTUAL",$A177,$AA$7,"YTD","gpg")/1000),0)</f>
        <v>0</v>
      </c>
      <c r="AB177" s="77"/>
      <c r="AC177" s="58">
        <f>IF(mo=1,+E177-C177,CHOOSE(mo,E177,G177,I177,K177,M177,O177,Q177,S177,U177,W177,Y177,AA177)-CHOOSE(mo-1,E177,G177,I177,K177,M177,O177,Q177,S177,U177,W177,Y177,AA177))</f>
        <v>-2381</v>
      </c>
      <c r="AD177" s="70"/>
      <c r="AE177" s="58">
        <f>CHOOSE(mo,E177,G177,I177,K177,M177,O177,Q177,S177,U177,W177,Y177,AA177)-C177</f>
        <v>-2646</v>
      </c>
      <c r="AF177" s="75"/>
    </row>
    <row r="178" spans="1:32">
      <c r="A178" s="84" t="s">
        <v>159</v>
      </c>
      <c r="B178" s="58" t="str">
        <f>_xll.HPHEA($A178,$G$2)</f>
        <v>Current severance/relocation</v>
      </c>
      <c r="C178" s="85">
        <f>ROUND((_xll.HPVAL($G$1,"py1",$A178,$C$7,"YTD","gpg")/1000),0)</f>
        <v>-454</v>
      </c>
      <c r="D178" s="70"/>
      <c r="E178" s="85">
        <f>ROUND((_xll.HPVAL($G$1,"ACTUAL",$A178,$E$7,"YTD","gpg")/1000),0)</f>
        <v>-454</v>
      </c>
      <c r="F178" s="77"/>
      <c r="G178" s="85">
        <f>ROUND((_xll.HPVAL($G$1,"ACTUAL",$A178,$G$7,"YTD","gpg")/1000),0)</f>
        <v>-454</v>
      </c>
      <c r="H178" s="77"/>
      <c r="I178" s="85">
        <f>ROUND((_xll.HPVAL($G$1,"ACTUAL",$A178,$I$7,"YTD","gpg")/1000),0)</f>
        <v>-454</v>
      </c>
      <c r="J178" s="77"/>
      <c r="K178" s="85">
        <f>ROUND((_xll.HPVAL($G$1,"ACTUAL",$A178,$K$7,"YTD","gpg")/1000),0)</f>
        <v>-454</v>
      </c>
      <c r="L178" s="77"/>
      <c r="M178" s="85">
        <f>ROUND((_xll.HPVAL($G$1,"ACTUAL",$A178,$M$7,"YTD","gpg")/1000),0)</f>
        <v>-454</v>
      </c>
      <c r="N178" s="77"/>
      <c r="O178" s="85">
        <f>ROUND((_xll.HPVAL($G$1,"ACTUAL",$A178,$O$7,"YTD","gpg")/1000),0)</f>
        <v>-454</v>
      </c>
      <c r="P178" s="77"/>
      <c r="Q178" s="85">
        <f>ROUND((_xll.HPVAL($G$1,"ACTUAL",$A178,$Q$7,"YTD","gpg")/1000),0)</f>
        <v>-454</v>
      </c>
      <c r="R178" s="77"/>
      <c r="S178" s="85">
        <f>ROUND((_xll.HPVAL($G$1,"ACTUAL",$A178,$S$7,"YTD","gpg")/1000),0)</f>
        <v>-454</v>
      </c>
      <c r="T178" s="77"/>
      <c r="U178" s="85">
        <f>ROUND((_xll.HPVAL($G$1,"ACTUAL",$A178,$U$7,"YTD","gpg")/1000),0)</f>
        <v>0</v>
      </c>
      <c r="V178" s="77"/>
      <c r="W178" s="85">
        <f>ROUND((_xll.HPVAL($G$1,"ACTUAL",$A178,$W$7,"YTD","gpg")/1000),0)</f>
        <v>0</v>
      </c>
      <c r="X178" s="77"/>
      <c r="Y178" s="85">
        <f>ROUND((_xll.HPVAL($G$1,"ACTUAL",$A178,$Y$7,"YTD","gpg")/1000),0)</f>
        <v>0</v>
      </c>
      <c r="Z178" s="77"/>
      <c r="AA178" s="85">
        <f>ROUND((_xll.HPVAL($G$1,"ACTUAL",$A178,$AA$7,"YTD","gpg")/1000),0)</f>
        <v>0</v>
      </c>
      <c r="AB178" s="77"/>
      <c r="AC178" s="58">
        <f>IF(mo=1,+E178-C178,CHOOSE(mo,E178,G178,I178,K178,M178,O178,Q178,S178,U178,W178,Y178,AA178)-CHOOSE(mo-1,E178,G178,I178,K178,M178,O178,Q178,S178,U178,W178,Y178,AA178))</f>
        <v>0</v>
      </c>
      <c r="AD178" s="70"/>
      <c r="AE178" s="58">
        <f>CHOOSE(mo,E178,G178,I178,K178,M178,O178,Q178,S178,U178,W178,Y178,AA178)-C178</f>
        <v>0</v>
      </c>
      <c r="AF178" s="75"/>
    </row>
    <row r="179" spans="1:32">
      <c r="A179" s="84"/>
      <c r="B179" s="58" t="s">
        <v>240</v>
      </c>
      <c r="C179" s="134">
        <f>SUM(C177:C178)</f>
        <v>2192</v>
      </c>
      <c r="D179" s="70"/>
      <c r="E179" s="134">
        <f>SUM(E177:E178)</f>
        <v>2154</v>
      </c>
      <c r="F179" s="77"/>
      <c r="G179" s="134">
        <f>SUM(G177:G178)</f>
        <v>2116</v>
      </c>
      <c r="H179" s="77"/>
      <c r="I179" s="134">
        <f>SUM(I177:I178)</f>
        <v>2078</v>
      </c>
      <c r="J179" s="77"/>
      <c r="K179" s="134">
        <f>SUM(K177:K178)</f>
        <v>2040</v>
      </c>
      <c r="L179" s="77"/>
      <c r="M179" s="134">
        <f>SUM(M177:M178)</f>
        <v>2003</v>
      </c>
      <c r="N179" s="77"/>
      <c r="O179" s="134">
        <f>SUM(O177:O178)</f>
        <v>1965</v>
      </c>
      <c r="P179" s="77"/>
      <c r="Q179" s="134">
        <f>SUM(Q177:Q178)</f>
        <v>1927</v>
      </c>
      <c r="R179" s="77"/>
      <c r="S179" s="134">
        <f>SUM(S177:S178)</f>
        <v>-454</v>
      </c>
      <c r="T179" s="77"/>
      <c r="U179" s="134">
        <f>SUM(U177:U178)</f>
        <v>0</v>
      </c>
      <c r="V179" s="77"/>
      <c r="W179" s="134">
        <f>SUM(W177:W178)</f>
        <v>0</v>
      </c>
      <c r="X179" s="77"/>
      <c r="Y179" s="134">
        <f>SUM(Y177:Y178)</f>
        <v>0</v>
      </c>
      <c r="Z179" s="77"/>
      <c r="AA179" s="134">
        <f>SUM(AA177:AA178)</f>
        <v>0</v>
      </c>
      <c r="AB179" s="77"/>
      <c r="AC179" s="134">
        <f>SUM(AC177:AC178)</f>
        <v>-2381</v>
      </c>
      <c r="AD179" s="70"/>
      <c r="AE179" s="134">
        <f>SUM(AE177:AE178)</f>
        <v>-2646</v>
      </c>
      <c r="AF179" s="75"/>
    </row>
    <row r="180" spans="1:32">
      <c r="A180" s="58"/>
      <c r="B180" s="58"/>
      <c r="C180" s="58"/>
      <c r="D180" s="70"/>
      <c r="E180" s="58"/>
      <c r="F180" s="77"/>
      <c r="G180" s="58"/>
      <c r="H180" s="77"/>
      <c r="I180" s="58"/>
      <c r="J180" s="77"/>
      <c r="K180" s="58"/>
      <c r="L180" s="77"/>
      <c r="M180" s="58"/>
      <c r="N180" s="77"/>
      <c r="O180" s="58"/>
      <c r="P180" s="77"/>
      <c r="Q180" s="58"/>
      <c r="R180" s="77"/>
      <c r="S180" s="58"/>
      <c r="T180" s="77"/>
      <c r="U180" s="58"/>
      <c r="V180" s="77"/>
      <c r="W180" s="58"/>
      <c r="X180" s="77"/>
      <c r="Y180" s="58"/>
      <c r="Z180" s="77"/>
      <c r="AA180" s="58"/>
      <c r="AB180" s="77"/>
      <c r="AC180" s="58"/>
      <c r="AD180" s="70"/>
      <c r="AE180" s="58"/>
      <c r="AF180" s="75"/>
    </row>
    <row r="181" spans="1:32">
      <c r="A181" s="84" t="s">
        <v>439</v>
      </c>
      <c r="B181" s="58" t="str">
        <f>_xll.HPHEA($A181,$G$2)</f>
        <v>AFUDC gross up</v>
      </c>
      <c r="C181" s="58">
        <f>ROUND((_xll.HPVAL($G$1,"py1",$A181,$C$7,"YTD","gpg")/1000),0)</f>
        <v>8415</v>
      </c>
      <c r="D181" s="70"/>
      <c r="E181" s="58">
        <f>ROUND((_xll.HPVAL($G$1,"ACTUAL",$A181,$E$7,"YTD","gpg")/1000),0)</f>
        <v>8422</v>
      </c>
      <c r="F181" s="90"/>
      <c r="G181" s="58">
        <f>ROUND((_xll.HPVAL($G$1,"ACTUAL",$A181,$G$7,"YTD","gpg")/1000),0)</f>
        <v>8429</v>
      </c>
      <c r="H181" s="90"/>
      <c r="I181" s="58">
        <f>ROUND((_xll.HPVAL($G$1,"ACTUAL",$A181,$I$7,"YTD","gpg")/1000),0)</f>
        <v>8434</v>
      </c>
      <c r="J181" s="90"/>
      <c r="K181" s="58">
        <f>ROUND((_xll.HPVAL($G$1,"ACTUAL",$A181,$K$7,"YTD","gpg")/1000),0)</f>
        <v>8439</v>
      </c>
      <c r="L181" s="90"/>
      <c r="M181" s="58">
        <f>ROUND((_xll.HPVAL($G$1,"ACTUAL",$A181,$M$7,"YTD","gpg")/1000),0)</f>
        <v>8443</v>
      </c>
      <c r="N181" s="90"/>
      <c r="O181" s="58">
        <f>ROUND((_xll.HPVAL($G$1,"ACTUAL",$A181,$O$7,"YTD","gpg")/1000),0)</f>
        <v>8450</v>
      </c>
      <c r="P181" s="90"/>
      <c r="Q181" s="58">
        <f>ROUND((_xll.HPVAL($G$1,"ACTUAL",$A181,$Q$7,"YTD","gpg")/1000),0)</f>
        <v>8473</v>
      </c>
      <c r="R181" s="90"/>
      <c r="S181" s="58">
        <f>ROUND((_xll.HPVAL($G$1,"ACTUAL",$A181,$S$7,"YTD","gpg")/1000),0)</f>
        <v>0</v>
      </c>
      <c r="T181" s="90"/>
      <c r="U181" s="58">
        <f>ROUND((_xll.HPVAL($G$1,"ACTUAL",$A181,$U$7,"YTD","gpg")/1000),0)</f>
        <v>0</v>
      </c>
      <c r="V181" s="90"/>
      <c r="W181" s="58">
        <f>ROUND((_xll.HPVAL($G$1,"ACTUAL",$A181,$W$7,"YTD","gpg")/1000),0)</f>
        <v>0</v>
      </c>
      <c r="X181" s="90"/>
      <c r="Y181" s="58">
        <f>ROUND((_xll.HPVAL($G$1,"ACTUAL",$A181,$Y$7,"YTD","gpg")/1000),0)</f>
        <v>0</v>
      </c>
      <c r="Z181" s="90"/>
      <c r="AA181" s="58">
        <f>ROUND((_xll.HPVAL($G$1,"ACTUAL",$A181,$AA$7,"YTD","gpg")/1000),0)</f>
        <v>0</v>
      </c>
      <c r="AB181" s="90"/>
      <c r="AC181" s="58">
        <f>IF(mo=1,+E181-C181,CHOOSE(mo,E181,G181,I181,K181,M181,O181,Q181,S181,U181,W181,Y181,AA181)-CHOOSE(mo-1,E181,G181,I181,K181,M181,O181,Q181,S181,U181,W181,Y181,AA181))</f>
        <v>-8473</v>
      </c>
      <c r="AD181" s="70"/>
      <c r="AE181" s="58">
        <f>CHOOSE(mo,E181,G181,I181,K181,M181,O181,Q181,S181,U181,W181,Y181,AA181)-C181</f>
        <v>-8415</v>
      </c>
      <c r="AF181" s="75"/>
    </row>
    <row r="182" spans="1:32">
      <c r="A182" s="84" t="s">
        <v>440</v>
      </c>
      <c r="B182" s="58" t="str">
        <f>_xll.HPHEA($A182,$G$2)</f>
        <v>AFUDC gross up amortization</v>
      </c>
      <c r="C182" s="58">
        <f>ROUND((_xll.HPVAL($G$1,"py1",$A182,$C$7,"YTD","gpg")/1000),0)</f>
        <v>-1252</v>
      </c>
      <c r="D182" s="70"/>
      <c r="E182" s="58">
        <f>ROUND((_xll.HPVAL($G$1,"ACTUAL",$A182,$E$7,"YTD","gpg")/1000),0)</f>
        <v>-1259</v>
      </c>
      <c r="F182" s="90"/>
      <c r="G182" s="58">
        <f>ROUND((_xll.HPVAL($G$1,"ACTUAL",$A182,$G$7,"YTD","gpg")/1000),0)</f>
        <v>-1266</v>
      </c>
      <c r="H182" s="90"/>
      <c r="I182" s="58">
        <f>ROUND((_xll.HPVAL($G$1,"ACTUAL",$A182,$I$7,"YTD","gpg")/1000),0)</f>
        <v>-1273</v>
      </c>
      <c r="J182" s="90"/>
      <c r="K182" s="58">
        <f>ROUND((_xll.HPVAL($G$1,"ACTUAL",$A182,$K$7,"YTD","gpg")/1000),0)</f>
        <v>-1280</v>
      </c>
      <c r="L182" s="90"/>
      <c r="M182" s="58">
        <f>ROUND((_xll.HPVAL($G$1,"ACTUAL",$A182,$M$7,"YTD","gpg")/1000),0)</f>
        <v>-1287</v>
      </c>
      <c r="N182" s="90"/>
      <c r="O182" s="58">
        <f>ROUND((_xll.HPVAL($G$1,"ACTUAL",$A182,$O$7,"YTD","gpg")/1000),0)</f>
        <v>-1295</v>
      </c>
      <c r="P182" s="90"/>
      <c r="Q182" s="58">
        <f>ROUND((_xll.HPVAL($G$1,"ACTUAL",$A182,$Q$7,"YTD","gpg")/1000),0)</f>
        <v>-1302</v>
      </c>
      <c r="R182" s="90"/>
      <c r="S182" s="58">
        <f>ROUND((_xll.HPVAL($G$1,"ACTUAL",$A182,$S$7,"YTD","gpg")/1000),0)</f>
        <v>0</v>
      </c>
      <c r="T182" s="90"/>
      <c r="U182" s="58">
        <f>ROUND((_xll.HPVAL($G$1,"ACTUAL",$A182,$U$7,"YTD","gpg")/1000),0)</f>
        <v>0</v>
      </c>
      <c r="V182" s="90"/>
      <c r="W182" s="58">
        <f>ROUND((_xll.HPVAL($G$1,"ACTUAL",$A182,$W$7,"YTD","gpg")/1000),0)</f>
        <v>0</v>
      </c>
      <c r="X182" s="90"/>
      <c r="Y182" s="58">
        <f>ROUND((_xll.HPVAL($G$1,"ACTUAL",$A182,$Y$7,"YTD","gpg")/1000),0)</f>
        <v>0</v>
      </c>
      <c r="Z182" s="90"/>
      <c r="AA182" s="58">
        <f>ROUND((_xll.HPVAL($G$1,"ACTUAL",$A182,$AA$7,"YTD","gpg")/1000),0)</f>
        <v>0</v>
      </c>
      <c r="AB182" s="90"/>
      <c r="AC182" s="58">
        <f>IF(mo=1,+E182-C182,CHOOSE(mo,E182,G182,I182,K182,M182,O182,Q182,S182,U182,W182,Y182,AA182)-CHOOSE(mo-1,E182,G182,I182,K182,M182,O182,Q182,S182,U182,W182,Y182,AA182))</f>
        <v>1302</v>
      </c>
      <c r="AD182" s="70"/>
      <c r="AE182" s="58">
        <f>CHOOSE(mo,E182,G182,I182,K182,M182,O182,Q182,S182,U182,W182,Y182,AA182)-C182</f>
        <v>1252</v>
      </c>
      <c r="AF182" s="75"/>
    </row>
    <row r="183" spans="1:32">
      <c r="A183" s="84" t="s">
        <v>148</v>
      </c>
      <c r="B183" s="58" t="str">
        <f>_xll.HPHEA($A183,$G$2)</f>
        <v>Current AFUDC gross-up</v>
      </c>
      <c r="C183" s="85">
        <f>ROUND((_xll.HPVAL($G$1,"py1",$A183,$C$7,"YTD","gpg")/1000),0)</f>
        <v>-101</v>
      </c>
      <c r="D183" s="70"/>
      <c r="E183" s="85">
        <f>ROUND((_xll.HPVAL($G$1,"ACTUAL",$A183,$E$7,"YTD","gpg")/1000),0)</f>
        <v>-101</v>
      </c>
      <c r="F183" s="77"/>
      <c r="G183" s="85">
        <f>ROUND((_xll.HPVAL($G$1,"ACTUAL",$A183,$G$7,"YTD","gpg")/1000),0)</f>
        <v>-101</v>
      </c>
      <c r="H183" s="77"/>
      <c r="I183" s="85">
        <f>ROUND((_xll.HPVAL($G$1,"ACTUAL",$A183,$I$7,"YTD","gpg")/1000),0)</f>
        <v>-101</v>
      </c>
      <c r="J183" s="77"/>
      <c r="K183" s="85">
        <f>ROUND((_xll.HPVAL($G$1,"ACTUAL",$A183,$K$7,"YTD","gpg")/1000),0)</f>
        <v>-101</v>
      </c>
      <c r="L183" s="77"/>
      <c r="M183" s="85">
        <f>ROUND((_xll.HPVAL($G$1,"ACTUAL",$A183,$M$7,"YTD","gpg")/1000),0)</f>
        <v>-101</v>
      </c>
      <c r="N183" s="77"/>
      <c r="O183" s="85">
        <f>ROUND((_xll.HPVAL($G$1,"ACTUAL",$A183,$O$7,"YTD","gpg")/1000),0)</f>
        <v>-101</v>
      </c>
      <c r="P183" s="77"/>
      <c r="Q183" s="85">
        <f>ROUND((_xll.HPVAL($G$1,"ACTUAL",$A183,$Q$7,"YTD","gpg")/1000),0)</f>
        <v>-102</v>
      </c>
      <c r="R183" s="77"/>
      <c r="S183" s="85">
        <f>ROUND((_xll.HPVAL($G$1,"ACTUAL",$A183,$S$7,"YTD","gpg")/1000),0)</f>
        <v>-102</v>
      </c>
      <c r="T183" s="77"/>
      <c r="U183" s="85">
        <f>ROUND((_xll.HPVAL($G$1,"ACTUAL",$A183,$U$7,"YTD","gpg")/1000),0)</f>
        <v>0</v>
      </c>
      <c r="V183" s="77"/>
      <c r="W183" s="85">
        <f>ROUND((_xll.HPVAL($G$1,"ACTUAL",$A183,$W$7,"YTD","gpg")/1000),0)</f>
        <v>0</v>
      </c>
      <c r="X183" s="77"/>
      <c r="Y183" s="85">
        <f>ROUND((_xll.HPVAL($G$1,"ACTUAL",$A183,$Y$7,"YTD","gpg")/1000),0)</f>
        <v>0</v>
      </c>
      <c r="Z183" s="77"/>
      <c r="AA183" s="85">
        <f>ROUND((_xll.HPVAL($G$1,"ACTUAL",$A183,$AA$7,"YTD","gpg")/1000),0)</f>
        <v>0</v>
      </c>
      <c r="AB183" s="77"/>
      <c r="AC183" s="58">
        <f>IF(mo=1,+E183-C183,CHOOSE(mo,E183,G183,I183,K183,M183,O183,Q183,S183,U183,W183,Y183,AA183)-CHOOSE(mo-1,E183,G183,I183,K183,M183,O183,Q183,S183,U183,W183,Y183,AA183))</f>
        <v>0</v>
      </c>
      <c r="AD183" s="70"/>
      <c r="AE183" s="58">
        <f>CHOOSE(mo,E183,G183,I183,K183,M183,O183,Q183,S183,U183,W183,Y183,AA183)-C183</f>
        <v>-1</v>
      </c>
      <c r="AF183" s="75"/>
    </row>
    <row r="184" spans="1:32">
      <c r="A184" s="84"/>
      <c r="B184" s="58" t="s">
        <v>241</v>
      </c>
      <c r="C184" s="134">
        <f>SUM(C181:C183)</f>
        <v>7062</v>
      </c>
      <c r="D184" s="70"/>
      <c r="E184" s="134">
        <f>SUM(E181:E183)</f>
        <v>7062</v>
      </c>
      <c r="F184" s="77"/>
      <c r="G184" s="134">
        <f>SUM(G181:G183)</f>
        <v>7062</v>
      </c>
      <c r="H184" s="77"/>
      <c r="I184" s="134">
        <f>SUM(I181:I183)</f>
        <v>7060</v>
      </c>
      <c r="J184" s="77"/>
      <c r="K184" s="134">
        <f>SUM(K181:K183)</f>
        <v>7058</v>
      </c>
      <c r="L184" s="77"/>
      <c r="M184" s="134">
        <f>SUM(M181:M183)</f>
        <v>7055</v>
      </c>
      <c r="N184" s="77"/>
      <c r="O184" s="134">
        <f>SUM(O181:O183)</f>
        <v>7054</v>
      </c>
      <c r="P184" s="77"/>
      <c r="Q184" s="134">
        <f>SUM(Q181:Q183)</f>
        <v>7069</v>
      </c>
      <c r="R184" s="77"/>
      <c r="S184" s="134">
        <f>SUM(S181:S183)</f>
        <v>-102</v>
      </c>
      <c r="T184" s="77"/>
      <c r="U184" s="134">
        <f>SUM(U181:U183)</f>
        <v>0</v>
      </c>
      <c r="V184" s="77"/>
      <c r="W184" s="134">
        <f>SUM(W181:W183)</f>
        <v>0</v>
      </c>
      <c r="X184" s="77"/>
      <c r="Y184" s="134">
        <f>SUM(Y181:Y183)</f>
        <v>0</v>
      </c>
      <c r="Z184" s="77"/>
      <c r="AA184" s="134">
        <f>SUM(AA181:AA183)</f>
        <v>0</v>
      </c>
      <c r="AB184" s="77"/>
      <c r="AC184" s="134">
        <f>SUM(AC181:AC183)</f>
        <v>-7171</v>
      </c>
      <c r="AD184" s="70"/>
      <c r="AE184" s="134">
        <f>SUM(AE181:AE183)</f>
        <v>-7164</v>
      </c>
      <c r="AF184" s="75"/>
    </row>
    <row r="185" spans="1:32">
      <c r="A185" s="58"/>
      <c r="B185" s="58"/>
      <c r="C185" s="58"/>
      <c r="D185" s="70"/>
      <c r="E185" s="58"/>
      <c r="F185" s="77"/>
      <c r="G185" s="58"/>
      <c r="H185" s="77"/>
      <c r="I185" s="58"/>
      <c r="J185" s="77"/>
      <c r="K185" s="58"/>
      <c r="L185" s="77"/>
      <c r="M185" s="58"/>
      <c r="N185" s="77"/>
      <c r="O185" s="58"/>
      <c r="P185" s="77"/>
      <c r="Q185" s="58"/>
      <c r="R185" s="77"/>
      <c r="S185" s="58"/>
      <c r="T185" s="77"/>
      <c r="U185" s="58"/>
      <c r="V185" s="77"/>
      <c r="W185" s="58"/>
      <c r="X185" s="77"/>
      <c r="Y185" s="58"/>
      <c r="Z185" s="77"/>
      <c r="AA185" s="58"/>
      <c r="AB185" s="77"/>
      <c r="AC185" s="58"/>
      <c r="AD185" s="70"/>
      <c r="AE185" s="58"/>
      <c r="AF185" s="75"/>
    </row>
    <row r="186" spans="1:32">
      <c r="A186" s="84" t="s">
        <v>467</v>
      </c>
      <c r="B186" s="58" t="str">
        <f>_xll.HPHEA($A186,$G$2)</f>
        <v>Accumulated reserve adj amortization</v>
      </c>
      <c r="C186" s="58">
        <f>ROUND((_xll.HPVAL($G$1,"py1",$A186,$C$7,"YTD","gpg")/1000),0)</f>
        <v>-3290</v>
      </c>
      <c r="D186" s="70"/>
      <c r="E186" s="58">
        <f>ROUND((_xll.HPVAL($G$1,"ACTUAL",$A186,$E$7,"YTD","gpg")/1000),0)</f>
        <v>-3340</v>
      </c>
      <c r="F186" s="90"/>
      <c r="G186" s="58">
        <f>ROUND((_xll.HPVAL($G$1,"ACTUAL",$A186,$G$7,"YTD","gpg")/1000),0)</f>
        <v>-3390</v>
      </c>
      <c r="H186" s="90"/>
      <c r="I186" s="58">
        <f>ROUND((_xll.HPVAL($G$1,"ACTUAL",$A186,$I$7,"YTD","gpg")/1000),0)</f>
        <v>-3440</v>
      </c>
      <c r="J186" s="90"/>
      <c r="K186" s="58">
        <f>ROUND((_xll.HPVAL($G$1,"ACTUAL",$A186,$K$7,"YTD","gpg")/1000),0)</f>
        <v>-3490</v>
      </c>
      <c r="L186" s="90"/>
      <c r="M186" s="58">
        <f>ROUND((_xll.HPVAL($G$1,"ACTUAL",$A186,$M$7,"YTD","gpg")/1000),0)</f>
        <v>-3540</v>
      </c>
      <c r="N186" s="90"/>
      <c r="O186" s="58">
        <f>ROUND((_xll.HPVAL($G$1,"ACTUAL",$A186,$O$7,"YTD","gpg")/1000),0)</f>
        <v>-3590</v>
      </c>
      <c r="P186" s="90"/>
      <c r="Q186" s="58">
        <f>ROUND((_xll.HPVAL($G$1,"ACTUAL",$A186,$Q$7,"YTD","gpg")/1000),0)</f>
        <v>-3640</v>
      </c>
      <c r="R186" s="90"/>
      <c r="S186" s="58">
        <f>ROUND((_xll.HPVAL($G$1,"ACTUAL",$A186,$S$7,"YTD","gpg")/1000),0)</f>
        <v>0</v>
      </c>
      <c r="T186" s="90"/>
      <c r="U186" s="58">
        <f>ROUND((_xll.HPVAL($G$1,"ACTUAL",$A186,$U$7,"YTD","gpg")/1000),0)</f>
        <v>0</v>
      </c>
      <c r="V186" s="90"/>
      <c r="W186" s="58">
        <f>ROUND((_xll.HPVAL($G$1,"ACTUAL",$A186,$W$7,"YTD","gpg")/1000),0)</f>
        <v>0</v>
      </c>
      <c r="X186" s="90"/>
      <c r="Y186" s="58">
        <f>ROUND((_xll.HPVAL($G$1,"ACTUAL",$A186,$Y$7,"YTD","gpg")/1000),0)</f>
        <v>0</v>
      </c>
      <c r="Z186" s="90"/>
      <c r="AA186" s="58">
        <f>ROUND((_xll.HPVAL($G$1,"ACTUAL",$A186,$AA$7,"YTD","gpg")/1000),0)</f>
        <v>0</v>
      </c>
      <c r="AB186" s="90"/>
      <c r="AC186" s="58">
        <f>IF(mo=1,+E186-C186,CHOOSE(mo,E186,G186,I186,K186,M186,O186,Q186,S186,U186,W186,Y186,AA186)-CHOOSE(mo-1,E186,G186,I186,K186,M186,O186,Q186,S186,U186,W186,Y186,AA186))</f>
        <v>3640</v>
      </c>
      <c r="AD186" s="70"/>
      <c r="AE186" s="58">
        <f>CHOOSE(mo,E186,G186,I186,K186,M186,O186,Q186,S186,U186,W186,Y186,AA186)-C186</f>
        <v>3290</v>
      </c>
      <c r="AF186" s="75"/>
    </row>
    <row r="187" spans="1:32">
      <c r="A187" s="84" t="s">
        <v>438</v>
      </c>
      <c r="B187" s="58" t="str">
        <f>_xll.HPHEA($A187,$G$2)</f>
        <v>Accumulated reserve adj</v>
      </c>
      <c r="C187" s="58">
        <f>ROUND((_xll.HPVAL($G$1,"py1",$A187,$C$7,"YTD","gpg")/1000),0)</f>
        <v>50094</v>
      </c>
      <c r="D187" s="70"/>
      <c r="E187" s="58">
        <f>ROUND((_xll.HPVAL($G$1,"ACTUAL",$A187,$E$7,"YTD","gpg")/1000),0)</f>
        <v>50094</v>
      </c>
      <c r="F187" s="90"/>
      <c r="G187" s="58">
        <f>ROUND((_xll.HPVAL($G$1,"ACTUAL",$A187,$G$7,"YTD","gpg")/1000),0)</f>
        <v>50094</v>
      </c>
      <c r="H187" s="90"/>
      <c r="I187" s="58">
        <f>ROUND((_xll.HPVAL($G$1,"ACTUAL",$A187,$I$7,"YTD","gpg")/1000),0)</f>
        <v>50094</v>
      </c>
      <c r="J187" s="90"/>
      <c r="K187" s="58">
        <f>ROUND((_xll.HPVAL($G$1,"ACTUAL",$A187,$K$7,"YTD","gpg")/1000),0)</f>
        <v>50094</v>
      </c>
      <c r="L187" s="90"/>
      <c r="M187" s="58">
        <f>ROUND((_xll.HPVAL($G$1,"ACTUAL",$A187,$M$7,"YTD","gpg")/1000),0)</f>
        <v>50094</v>
      </c>
      <c r="N187" s="90"/>
      <c r="O187" s="58">
        <f>ROUND((_xll.HPVAL($G$1,"ACTUAL",$A187,$O$7,"YTD","gpg")/1000),0)</f>
        <v>50094</v>
      </c>
      <c r="P187" s="90"/>
      <c r="Q187" s="58">
        <f>ROUND((_xll.HPVAL($G$1,"ACTUAL",$A187,$Q$7,"YTD","gpg")/1000),0)</f>
        <v>50094</v>
      </c>
      <c r="R187" s="90"/>
      <c r="S187" s="58">
        <f>ROUND((_xll.HPVAL($G$1,"ACTUAL",$A187,$S$7,"YTD","gpg")/1000),0)</f>
        <v>0</v>
      </c>
      <c r="T187" s="90"/>
      <c r="U187" s="58">
        <f>ROUND((_xll.HPVAL($G$1,"ACTUAL",$A187,$U$7,"YTD","gpg")/1000),0)</f>
        <v>0</v>
      </c>
      <c r="V187" s="90"/>
      <c r="W187" s="58">
        <f>ROUND((_xll.HPVAL($G$1,"ACTUAL",$A187,$W$7,"YTD","gpg")/1000),0)</f>
        <v>0</v>
      </c>
      <c r="X187" s="90"/>
      <c r="Y187" s="58">
        <f>ROUND((_xll.HPVAL($G$1,"ACTUAL",$A187,$Y$7,"YTD","gpg")/1000),0)</f>
        <v>0</v>
      </c>
      <c r="Z187" s="90"/>
      <c r="AA187" s="58">
        <f>ROUND((_xll.HPVAL($G$1,"ACTUAL",$A187,$AA$7,"YTD","gpg")/1000),0)</f>
        <v>0</v>
      </c>
      <c r="AB187" s="90"/>
      <c r="AC187" s="58">
        <f>IF(mo=1,+E187-C187,CHOOSE(mo,E187,G187,I187,K187,M187,O187,Q187,S187,U187,W187,Y187,AA187)-CHOOSE(mo-1,E187,G187,I187,K187,M187,O187,Q187,S187,U187,W187,Y187,AA187))</f>
        <v>-50094</v>
      </c>
      <c r="AD187" s="70"/>
      <c r="AE187" s="58">
        <f>CHOOSE(mo,E187,G187,I187,K187,M187,O187,Q187,S187,U187,W187,Y187,AA187)-C187</f>
        <v>-50094</v>
      </c>
      <c r="AF187" s="75"/>
    </row>
    <row r="188" spans="1:32">
      <c r="A188" s="84" t="s">
        <v>157</v>
      </c>
      <c r="B188" s="58" t="str">
        <f>_xll.HPHEA($A188,$G$2)</f>
        <v>Current accumulated reserve adj</v>
      </c>
      <c r="C188" s="85">
        <f>ROUND((_xll.HPVAL($G$1,"py1",$A188,$C$7,"YTD","gpg")/1000),0)</f>
        <v>-601</v>
      </c>
      <c r="D188" s="70"/>
      <c r="E188" s="85">
        <f>ROUND((_xll.HPVAL($G$1,"ACTUAL",$A188,$E$7,"YTD","gpg")/1000),0)</f>
        <v>-601</v>
      </c>
      <c r="F188" s="77"/>
      <c r="G188" s="85">
        <f>ROUND((_xll.HPVAL($G$1,"ACTUAL",$A188,$G$7,"YTD","gpg")/1000),0)</f>
        <v>-601</v>
      </c>
      <c r="H188" s="77"/>
      <c r="I188" s="85">
        <f>ROUND((_xll.HPVAL($G$1,"ACTUAL",$A188,$I$7,"YTD","gpg")/1000),0)</f>
        <v>-601</v>
      </c>
      <c r="J188" s="77"/>
      <c r="K188" s="85">
        <f>ROUND((_xll.HPVAL($G$1,"ACTUAL",$A188,$K$7,"YTD","gpg")/1000),0)</f>
        <v>-601</v>
      </c>
      <c r="L188" s="77"/>
      <c r="M188" s="85">
        <f>ROUND((_xll.HPVAL($G$1,"ACTUAL",$A188,$M$7,"YTD","gpg")/1000),0)</f>
        <v>-601</v>
      </c>
      <c r="N188" s="77"/>
      <c r="O188" s="85">
        <f>ROUND((_xll.HPVAL($G$1,"ACTUAL",$A188,$O$7,"YTD","gpg")/1000),0)</f>
        <v>-601</v>
      </c>
      <c r="P188" s="77"/>
      <c r="Q188" s="85">
        <f>ROUND((_xll.HPVAL($G$1,"ACTUAL",$A188,$Q$7,"YTD","gpg")/1000),0)</f>
        <v>-601</v>
      </c>
      <c r="R188" s="77"/>
      <c r="S188" s="85">
        <f>ROUND((_xll.HPVAL($G$1,"ACTUAL",$A188,$S$7,"YTD","gpg")/1000),0)</f>
        <v>-601</v>
      </c>
      <c r="T188" s="77"/>
      <c r="U188" s="85">
        <f>ROUND((_xll.HPVAL($G$1,"ACTUAL",$A188,$U$7,"YTD","gpg")/1000),0)</f>
        <v>0</v>
      </c>
      <c r="V188" s="77"/>
      <c r="W188" s="85">
        <f>ROUND((_xll.HPVAL($G$1,"ACTUAL",$A188,$W$7,"YTD","gpg")/1000),0)</f>
        <v>0</v>
      </c>
      <c r="X188" s="77"/>
      <c r="Y188" s="85">
        <f>ROUND((_xll.HPVAL($G$1,"ACTUAL",$A188,$Y$7,"YTD","gpg")/1000),0)</f>
        <v>0</v>
      </c>
      <c r="Z188" s="77"/>
      <c r="AA188" s="85">
        <f>ROUND((_xll.HPVAL($G$1,"ACTUAL",$A188,$AA$7,"YTD","gpg")/1000),0)</f>
        <v>0</v>
      </c>
      <c r="AB188" s="77"/>
      <c r="AC188" s="58">
        <f>IF(mo=1,+E188-C188,CHOOSE(mo,E188,G188,I188,K188,M188,O188,Q188,S188,U188,W188,Y188,AA188)-CHOOSE(mo-1,E188,G188,I188,K188,M188,O188,Q188,S188,U188,W188,Y188,AA188))</f>
        <v>0</v>
      </c>
      <c r="AD188" s="70"/>
      <c r="AE188" s="58">
        <f>CHOOSE(mo,E188,G188,I188,K188,M188,O188,Q188,S188,U188,W188,Y188,AA188)-C188</f>
        <v>0</v>
      </c>
      <c r="AF188" s="75"/>
    </row>
    <row r="189" spans="1:32">
      <c r="A189" s="84"/>
      <c r="B189" s="58" t="s">
        <v>242</v>
      </c>
      <c r="C189" s="134">
        <f>SUM(C186:C188)</f>
        <v>46203</v>
      </c>
      <c r="D189" s="70"/>
      <c r="E189" s="134">
        <f>SUM(E186:E188)</f>
        <v>46153</v>
      </c>
      <c r="F189" s="77"/>
      <c r="G189" s="134">
        <f>SUM(G186:G188)</f>
        <v>46103</v>
      </c>
      <c r="H189" s="77"/>
      <c r="I189" s="134">
        <f>SUM(I186:I188)</f>
        <v>46053</v>
      </c>
      <c r="J189" s="77"/>
      <c r="K189" s="134">
        <f>SUM(K186:K188)</f>
        <v>46003</v>
      </c>
      <c r="L189" s="77"/>
      <c r="M189" s="134">
        <f>SUM(M186:M188)</f>
        <v>45953</v>
      </c>
      <c r="N189" s="77"/>
      <c r="O189" s="134">
        <f>SUM(O186:O188)</f>
        <v>45903</v>
      </c>
      <c r="P189" s="77"/>
      <c r="Q189" s="134">
        <f>SUM(Q186:Q188)</f>
        <v>45853</v>
      </c>
      <c r="R189" s="77"/>
      <c r="S189" s="134">
        <f>SUM(S186:S188)</f>
        <v>-601</v>
      </c>
      <c r="T189" s="77"/>
      <c r="U189" s="134">
        <f>SUM(U186:U188)</f>
        <v>0</v>
      </c>
      <c r="V189" s="77"/>
      <c r="W189" s="134">
        <f>SUM(W186:W188)</f>
        <v>0</v>
      </c>
      <c r="X189" s="77"/>
      <c r="Y189" s="134">
        <f>SUM(Y186:Y188)</f>
        <v>0</v>
      </c>
      <c r="Z189" s="77"/>
      <c r="AA189" s="134">
        <f>SUM(AA186:AA188)</f>
        <v>0</v>
      </c>
      <c r="AB189" s="77"/>
      <c r="AC189" s="134">
        <f>SUM(AC186:AC188)</f>
        <v>-46454</v>
      </c>
      <c r="AD189" s="70"/>
      <c r="AE189" s="134">
        <f>SUM(AE186:AE188)</f>
        <v>-46804</v>
      </c>
      <c r="AF189" s="75"/>
    </row>
    <row r="190" spans="1:32">
      <c r="A190" s="84"/>
      <c r="B190" s="58"/>
      <c r="C190" s="75"/>
      <c r="D190" s="70"/>
      <c r="E190" s="75"/>
      <c r="F190" s="77"/>
      <c r="G190" s="75"/>
      <c r="H190" s="77"/>
      <c r="I190" s="75"/>
      <c r="J190" s="77"/>
      <c r="K190" s="75"/>
      <c r="L190" s="77"/>
      <c r="M190" s="75"/>
      <c r="N190" s="77"/>
      <c r="O190" s="75"/>
      <c r="P190" s="77"/>
      <c r="Q190" s="75"/>
      <c r="R190" s="77"/>
      <c r="S190" s="75"/>
      <c r="T190" s="77"/>
      <c r="U190" s="75"/>
      <c r="V190" s="77"/>
      <c r="W190" s="75"/>
      <c r="X190" s="77"/>
      <c r="Y190" s="75"/>
      <c r="Z190" s="77"/>
      <c r="AA190" s="75"/>
      <c r="AB190" s="77"/>
      <c r="AC190" s="75"/>
      <c r="AD190" s="70"/>
      <c r="AE190" s="75"/>
      <c r="AF190" s="75"/>
    </row>
    <row r="191" spans="1:32">
      <c r="A191" s="84" t="s">
        <v>441</v>
      </c>
      <c r="B191" s="58" t="str">
        <f>_xll.HPHEA($A191,$G$2)</f>
        <v>Extraord environmental cost</v>
      </c>
      <c r="C191" s="58">
        <f>ROUND((_xll.HPVAL($G$1,"py1",$A191,$C$7,"YTD","gpg")/1000),0)</f>
        <v>486</v>
      </c>
      <c r="D191" s="70"/>
      <c r="E191" s="58">
        <f>ROUND((_xll.HPVAL($G$1,"ACTUAL",$A191,$E$7,"YTD","gpg")/1000),0)</f>
        <v>479</v>
      </c>
      <c r="F191" s="90"/>
      <c r="G191" s="58">
        <f>ROUND((_xll.HPVAL($G$1,"ACTUAL",$A191,$G$7,"YTD","gpg")/1000),0)</f>
        <v>472</v>
      </c>
      <c r="H191" s="90"/>
      <c r="I191" s="58">
        <f>ROUND((_xll.HPVAL($G$1,"ACTUAL",$A191,$I$7,"YTD","gpg")/1000),0)</f>
        <v>465</v>
      </c>
      <c r="J191" s="90"/>
      <c r="K191" s="58">
        <f>ROUND((_xll.HPVAL($G$1,"ACTUAL",$A191,$K$7,"YTD","gpg")/1000),0)</f>
        <v>458</v>
      </c>
      <c r="L191" s="90"/>
      <c r="M191" s="58">
        <f>ROUND((_xll.HPVAL($G$1,"ACTUAL",$A191,$M$7,"YTD","gpg")/1000),0)</f>
        <v>451</v>
      </c>
      <c r="N191" s="90"/>
      <c r="O191" s="58">
        <f>ROUND((_xll.HPVAL($G$1,"ACTUAL",$A191,$O$7,"YTD","gpg")/1000),0)</f>
        <v>445</v>
      </c>
      <c r="P191" s="90"/>
      <c r="Q191" s="58">
        <f>ROUND((_xll.HPVAL($G$1,"ACTUAL",$A191,$Q$7,"YTD","gpg")/1000),0)</f>
        <v>438</v>
      </c>
      <c r="R191" s="90"/>
      <c r="S191" s="58">
        <f>ROUND((_xll.HPVAL($G$1,"ACTUAL",$A191,$S$7,"YTD","gpg")/1000),0)</f>
        <v>0</v>
      </c>
      <c r="T191" s="90"/>
      <c r="U191" s="58">
        <f>ROUND((_xll.HPVAL($G$1,"ACTUAL",$A191,$U$7,"YTD","gpg")/1000),0)</f>
        <v>0</v>
      </c>
      <c r="V191" s="90"/>
      <c r="W191" s="58">
        <f>ROUND((_xll.HPVAL($G$1,"ACTUAL",$A191,$W$7,"YTD","gpg")/1000),0)</f>
        <v>0</v>
      </c>
      <c r="X191" s="90"/>
      <c r="Y191" s="58">
        <f>ROUND((_xll.HPVAL($G$1,"ACTUAL",$A191,$Y$7,"YTD","gpg")/1000),0)</f>
        <v>0</v>
      </c>
      <c r="Z191" s="90"/>
      <c r="AA191" s="58">
        <f>ROUND((_xll.HPVAL($G$1,"ACTUAL",$A191,$AA$7,"YTD","gpg")/1000),0)</f>
        <v>0</v>
      </c>
      <c r="AB191" s="90"/>
      <c r="AC191" s="58">
        <f>IF(mo=1,+E191-C191,CHOOSE(mo,E191,G191,I191,K191,M191,O191,Q191,S191,U191,W191,Y191,AA191)-CHOOSE(mo-1,E191,G191,I191,K191,M191,O191,Q191,S191,U191,W191,Y191,AA191))</f>
        <v>-438</v>
      </c>
      <c r="AD191" s="70"/>
      <c r="AE191" s="58">
        <f>CHOOSE(mo,E191,G191,I191,K191,M191,O191,Q191,S191,U191,W191,Y191,AA191)-C191</f>
        <v>-486</v>
      </c>
      <c r="AF191" s="75"/>
    </row>
    <row r="192" spans="1:32">
      <c r="A192" s="84" t="s">
        <v>151</v>
      </c>
      <c r="B192" s="58" t="str">
        <f>_xll.HPHEA($A192,$G$2)</f>
        <v>Current extraord. environ. costs</v>
      </c>
      <c r="C192" s="85">
        <f>ROUND((_xll.HPVAL($G$1,"py1",$A192,$C$7,"YTD","gpg")/1000),0)</f>
        <v>-83</v>
      </c>
      <c r="D192" s="70"/>
      <c r="E192" s="85">
        <f>ROUND((_xll.HPVAL($G$1,"ACTUAL",$A192,$E$7,"YTD","gpg")/1000),0)</f>
        <v>-83</v>
      </c>
      <c r="F192" s="77"/>
      <c r="G192" s="85">
        <f>ROUND((_xll.HPVAL($G$1,"ACTUAL",$A192,$G$7,"YTD","gpg")/1000),0)</f>
        <v>-83</v>
      </c>
      <c r="H192" s="77"/>
      <c r="I192" s="85">
        <f>ROUND((_xll.HPVAL($G$1,"ACTUAL",$A192,$I$7,"YTD","gpg")/1000),0)</f>
        <v>-83</v>
      </c>
      <c r="J192" s="77"/>
      <c r="K192" s="85">
        <f>ROUND((_xll.HPVAL($G$1,"ACTUAL",$A192,$K$7,"YTD","gpg")/1000),0)</f>
        <v>-83</v>
      </c>
      <c r="L192" s="77"/>
      <c r="M192" s="85">
        <f>ROUND((_xll.HPVAL($G$1,"ACTUAL",$A192,$M$7,"YTD","gpg")/1000),0)</f>
        <v>-83</v>
      </c>
      <c r="N192" s="77"/>
      <c r="O192" s="85">
        <f>ROUND((_xll.HPVAL($G$1,"ACTUAL",$A192,$O$7,"YTD","gpg")/1000),0)</f>
        <v>-83</v>
      </c>
      <c r="P192" s="77"/>
      <c r="Q192" s="85">
        <f>ROUND((_xll.HPVAL($G$1,"ACTUAL",$A192,$Q$7,"YTD","gpg")/1000),0)</f>
        <v>-83</v>
      </c>
      <c r="R192" s="77"/>
      <c r="S192" s="85">
        <f>ROUND((_xll.HPVAL($G$1,"ACTUAL",$A192,$S$7,"YTD","gpg")/1000),0)</f>
        <v>-83</v>
      </c>
      <c r="T192" s="77"/>
      <c r="U192" s="85">
        <f>ROUND((_xll.HPVAL($G$1,"ACTUAL",$A192,$U$7,"YTD","gpg")/1000),0)</f>
        <v>0</v>
      </c>
      <c r="V192" s="77"/>
      <c r="W192" s="85">
        <f>ROUND((_xll.HPVAL($G$1,"ACTUAL",$A192,$W$7,"YTD","gpg")/1000),0)</f>
        <v>0</v>
      </c>
      <c r="X192" s="77"/>
      <c r="Y192" s="85">
        <f>ROUND((_xll.HPVAL($G$1,"ACTUAL",$A192,$Y$7,"YTD","gpg")/1000),0)</f>
        <v>0</v>
      </c>
      <c r="Z192" s="77"/>
      <c r="AA192" s="85">
        <f>ROUND((_xll.HPVAL($G$1,"ACTUAL",$A192,$AA$7,"YTD","gpg")/1000),0)</f>
        <v>0</v>
      </c>
      <c r="AB192" s="77"/>
      <c r="AC192" s="58">
        <f>IF(mo=1,+E192-C192,CHOOSE(mo,E192,G192,I192,K192,M192,O192,Q192,S192,U192,W192,Y192,AA192)-CHOOSE(mo-1,E192,G192,I192,K192,M192,O192,Q192,S192,U192,W192,Y192,AA192))</f>
        <v>0</v>
      </c>
      <c r="AD192" s="70"/>
      <c r="AE192" s="85">
        <f>CHOOSE(mo,E192,G192,I192,K192,M192,O192,Q192,S192,U192,W192,Y192,AA192)-C192</f>
        <v>0</v>
      </c>
      <c r="AF192" s="75"/>
    </row>
    <row r="193" spans="1:37">
      <c r="A193" s="84"/>
      <c r="B193" s="58" t="s">
        <v>88</v>
      </c>
      <c r="C193" s="134">
        <f>SUM(C191:C192)</f>
        <v>403</v>
      </c>
      <c r="D193" s="70"/>
      <c r="E193" s="134">
        <f>SUM(E191:E192)</f>
        <v>396</v>
      </c>
      <c r="F193" s="77"/>
      <c r="G193" s="134">
        <f>SUM(G191:G192)</f>
        <v>389</v>
      </c>
      <c r="H193" s="77"/>
      <c r="I193" s="134">
        <f>SUM(I191:I192)</f>
        <v>382</v>
      </c>
      <c r="J193" s="77"/>
      <c r="K193" s="134">
        <f>SUM(K191:K192)</f>
        <v>375</v>
      </c>
      <c r="L193" s="77"/>
      <c r="M193" s="134">
        <f>SUM(M191:M192)</f>
        <v>368</v>
      </c>
      <c r="N193" s="77"/>
      <c r="O193" s="134">
        <f>SUM(O191:O192)</f>
        <v>362</v>
      </c>
      <c r="P193" s="77"/>
      <c r="Q193" s="134">
        <f>SUM(Q191:Q192)</f>
        <v>355</v>
      </c>
      <c r="R193" s="77"/>
      <c r="S193" s="134">
        <f>SUM(S191:S192)</f>
        <v>-83</v>
      </c>
      <c r="T193" s="77"/>
      <c r="U193" s="134">
        <f>SUM(U191:U192)</f>
        <v>0</v>
      </c>
      <c r="V193" s="77"/>
      <c r="W193" s="134">
        <f>SUM(W191:W192)</f>
        <v>0</v>
      </c>
      <c r="X193" s="77"/>
      <c r="Y193" s="134">
        <f>SUM(Y191:Y192)</f>
        <v>0</v>
      </c>
      <c r="Z193" s="77"/>
      <c r="AA193" s="134">
        <f>SUM(AA191:AA192)</f>
        <v>0</v>
      </c>
      <c r="AB193" s="77"/>
      <c r="AC193" s="134">
        <f>SUM(AC191:AC192)</f>
        <v>-438</v>
      </c>
      <c r="AD193" s="70"/>
      <c r="AE193" s="134">
        <f>SUM(AE191:AE192)</f>
        <v>-486</v>
      </c>
      <c r="AF193" s="75"/>
    </row>
    <row r="194" spans="1:37">
      <c r="A194" s="84"/>
      <c r="B194" s="58"/>
      <c r="C194" s="75"/>
      <c r="D194" s="70"/>
      <c r="E194" s="75"/>
      <c r="F194" s="77"/>
      <c r="G194" s="75"/>
      <c r="H194" s="77"/>
      <c r="I194" s="75"/>
      <c r="J194" s="77"/>
      <c r="K194" s="75"/>
      <c r="L194" s="77"/>
      <c r="M194" s="75"/>
      <c r="N194" s="77"/>
      <c r="O194" s="75"/>
      <c r="P194" s="77"/>
      <c r="Q194" s="75"/>
      <c r="R194" s="77"/>
      <c r="S194" s="75"/>
      <c r="T194" s="77"/>
      <c r="U194" s="75"/>
      <c r="V194" s="77"/>
      <c r="W194" s="75"/>
      <c r="X194" s="77"/>
      <c r="Y194" s="75"/>
      <c r="Z194" s="77"/>
      <c r="AA194" s="75"/>
      <c r="AB194" s="77"/>
      <c r="AC194" s="75"/>
      <c r="AD194" s="70"/>
      <c r="AE194" s="75"/>
      <c r="AF194" s="75"/>
    </row>
    <row r="195" spans="1:37">
      <c r="A195" s="84" t="s">
        <v>462</v>
      </c>
      <c r="B195" s="58" t="str">
        <f>_xll.HPHEA($A195,$G$2)</f>
        <v>Year 2000 costs</v>
      </c>
      <c r="C195" s="58">
        <f>ROUND((_xll.HPVAL($G$1,"py1",$A195,$C$7,"YTD","gpg")/1000),0)</f>
        <v>409</v>
      </c>
      <c r="D195" s="70"/>
      <c r="E195" s="58">
        <f>ROUND((_xll.HPVAL($G$1,"ACTUAL",$A195,$E$7,"YTD","gpg")/1000),0)</f>
        <v>409</v>
      </c>
      <c r="F195" s="90"/>
      <c r="G195" s="58">
        <f>ROUND((_xll.HPVAL($G$1,"ACTUAL",$A195,$G$7,"YTD","gpg")/1000),0)</f>
        <v>409</v>
      </c>
      <c r="H195" s="90"/>
      <c r="I195" s="58">
        <f>ROUND((_xll.HPVAL($G$1,"ACTUAL",$A195,$I$7,"YTD","gpg")/1000),0)</f>
        <v>409</v>
      </c>
      <c r="J195" s="90"/>
      <c r="K195" s="58">
        <f>ROUND((_xll.HPVAL($G$1,"ACTUAL",$A195,$K$7,"YTD","gpg")/1000),0)</f>
        <v>409</v>
      </c>
      <c r="L195" s="90"/>
      <c r="M195" s="58">
        <f>ROUND((_xll.HPVAL($G$1,"ACTUAL",$A195,$M$7,"YTD","gpg")/1000),0)</f>
        <v>409</v>
      </c>
      <c r="N195" s="90"/>
      <c r="O195" s="58">
        <f>ROUND((_xll.HPVAL($G$1,"ACTUAL",$A195,$O$7,"YTD","gpg")/1000),0)</f>
        <v>409</v>
      </c>
      <c r="P195" s="90"/>
      <c r="Q195" s="58">
        <f>ROUND((_xll.HPVAL($G$1,"ACTUAL",$A195,$Q$7,"YTD","gpg")/1000),0)</f>
        <v>409</v>
      </c>
      <c r="R195" s="90"/>
      <c r="S195" s="58">
        <f>ROUND((_xll.HPVAL($G$1,"ACTUAL",$A195,$S$7,"YTD","gpg")/1000),0)</f>
        <v>0</v>
      </c>
      <c r="T195" s="90"/>
      <c r="U195" s="58">
        <f>ROUND((_xll.HPVAL($G$1,"ACTUAL",$A195,$U$7,"YTD","gpg")/1000),0)</f>
        <v>0</v>
      </c>
      <c r="V195" s="90"/>
      <c r="W195" s="58">
        <f>ROUND((_xll.HPVAL($G$1,"ACTUAL",$A195,$W$7,"YTD","gpg")/1000),0)</f>
        <v>0</v>
      </c>
      <c r="X195" s="90"/>
      <c r="Y195" s="58">
        <f>ROUND((_xll.HPVAL($G$1,"ACTUAL",$A195,$Y$7,"YTD","gpg")/1000),0)</f>
        <v>0</v>
      </c>
      <c r="Z195" s="90"/>
      <c r="AA195" s="58">
        <f>ROUND((_xll.HPVAL($G$1,"ACTUAL",$A195,$AA$7,"YTD","gpg")/1000),0)</f>
        <v>0</v>
      </c>
      <c r="AB195" s="90"/>
      <c r="AC195" s="58">
        <f>IF(mo=1,+E195-C195,CHOOSE(mo,E195,G195,I195,K195,M195,O195,Q195,S195,U195,W195,Y195,AA195)-CHOOSE(mo-1,E195,G195,I195,K195,M195,O195,Q195,S195,U195,W195,Y195,AA195))</f>
        <v>-409</v>
      </c>
      <c r="AD195" s="70"/>
      <c r="AE195" s="58">
        <f>CHOOSE(mo,E195,G195,I195,K195,M195,O195,Q195,S195,U195,W195,Y195,AA195)-C195</f>
        <v>-409</v>
      </c>
      <c r="AF195" s="75"/>
    </row>
    <row r="196" spans="1:37">
      <c r="A196" s="84"/>
      <c r="B196" s="58" t="s">
        <v>463</v>
      </c>
      <c r="C196" s="134">
        <f>SUM(C195)</f>
        <v>409</v>
      </c>
      <c r="D196" s="134"/>
      <c r="E196" s="134">
        <f>SUM(E195)</f>
        <v>409</v>
      </c>
      <c r="F196" s="134"/>
      <c r="G196" s="134">
        <f>SUM(G195)</f>
        <v>409</v>
      </c>
      <c r="H196" s="134"/>
      <c r="I196" s="134">
        <f>SUM(I195)</f>
        <v>409</v>
      </c>
      <c r="J196" s="134"/>
      <c r="K196" s="134">
        <f>SUM(K195)</f>
        <v>409</v>
      </c>
      <c r="L196" s="134"/>
      <c r="M196" s="134">
        <f>SUM(M195)</f>
        <v>409</v>
      </c>
      <c r="N196" s="134"/>
      <c r="O196" s="134">
        <f>SUM(O195)</f>
        <v>409</v>
      </c>
      <c r="P196" s="134"/>
      <c r="Q196" s="134">
        <f>SUM(Q195)</f>
        <v>409</v>
      </c>
      <c r="R196" s="134"/>
      <c r="S196" s="134">
        <f>SUM(S195)</f>
        <v>0</v>
      </c>
      <c r="T196" s="134"/>
      <c r="U196" s="134">
        <f>SUM(U195)</f>
        <v>0</v>
      </c>
      <c r="V196" s="134"/>
      <c r="W196" s="134">
        <f>SUM(W195)</f>
        <v>0</v>
      </c>
      <c r="X196" s="134"/>
      <c r="Y196" s="134">
        <f>SUM(Y195)</f>
        <v>0</v>
      </c>
      <c r="Z196" s="134"/>
      <c r="AA196" s="134">
        <f>SUM(AA195)</f>
        <v>0</v>
      </c>
      <c r="AB196" s="134"/>
      <c r="AC196" s="134">
        <f>SUM(AC195)</f>
        <v>-409</v>
      </c>
      <c r="AD196" s="70"/>
      <c r="AE196" s="134">
        <f>SUM(AE195)</f>
        <v>-409</v>
      </c>
      <c r="AF196" s="75"/>
    </row>
    <row r="197" spans="1:37">
      <c r="A197" s="84"/>
      <c r="B197" s="60"/>
      <c r="C197" s="75"/>
      <c r="D197" s="70"/>
      <c r="E197" s="75"/>
      <c r="F197" s="77"/>
      <c r="G197" s="75"/>
      <c r="H197" s="77"/>
      <c r="I197" s="75"/>
      <c r="J197" s="77"/>
      <c r="K197" s="75"/>
      <c r="L197" s="77"/>
      <c r="M197" s="75"/>
      <c r="N197" s="77"/>
      <c r="O197" s="75"/>
      <c r="P197" s="77"/>
      <c r="Q197" s="75"/>
      <c r="R197" s="77"/>
      <c r="S197" s="75"/>
      <c r="T197" s="77"/>
      <c r="U197" s="75"/>
      <c r="V197" s="77"/>
      <c r="W197" s="75"/>
      <c r="X197" s="77"/>
      <c r="Y197" s="75"/>
      <c r="Z197" s="77"/>
      <c r="AA197" s="75"/>
      <c r="AB197" s="77"/>
      <c r="AC197" s="75"/>
      <c r="AD197" s="70"/>
      <c r="AE197" s="75"/>
      <c r="AF197" s="75"/>
    </row>
    <row r="198" spans="1:37">
      <c r="A198" s="84"/>
      <c r="B198" s="58" t="s">
        <v>243</v>
      </c>
      <c r="C198" s="250">
        <f>C127+C135+C141+C146+C150+C154+C162+C166+C170+C175+C179+C184+C189+C193+C196</f>
        <v>79054</v>
      </c>
      <c r="D198" s="70"/>
      <c r="E198" s="250">
        <f>E123+E124+E126+E125+E135+E141+E146+E150+E154+E162+E166+E170+E175+E179+E184+E189+E193+E196</f>
        <v>78590</v>
      </c>
      <c r="F198" s="77"/>
      <c r="G198" s="250">
        <f>G123+G124+G126+G125+G135+G141+G146+G150+G154+G162+G166+G170+G175+G179+G184+G189+G193+G196</f>
        <v>78161</v>
      </c>
      <c r="H198" s="77"/>
      <c r="I198" s="250">
        <f>I123+I124+I126+I125+I135+I141+I146+I150+I154+I162+I166+I170+I175+I179+I184+I189+I193+I196</f>
        <v>77693</v>
      </c>
      <c r="J198" s="77"/>
      <c r="K198" s="250">
        <f>K123+K124+K126+K125+K135+K141+K146+K150+K154+K162+K166+K170+K175+K179+K184+K189+K193+K196</f>
        <v>77224</v>
      </c>
      <c r="L198" s="77" t="s">
        <v>226</v>
      </c>
      <c r="M198" s="250">
        <f>M123+M124+M126+M125+M135+M141+M146+M150+M154+M162+M166+M170+M175+M179+M184+M189+M193+M196</f>
        <v>76755</v>
      </c>
      <c r="N198" s="77" t="s">
        <v>231</v>
      </c>
      <c r="O198" s="250">
        <f>O123+O124+O126+O125+O135+O141+O146+O150+O154+O162+O166+O170+O175+O179+O184+O189+O193+O196</f>
        <v>76290</v>
      </c>
      <c r="P198" s="77" t="s">
        <v>231</v>
      </c>
      <c r="Q198" s="250">
        <f>Q123+Q124+Q126+Q125+Q135+Q141+Q146+Q150+Q154+Q162+Q166+Q170+Q175+Q179+Q184+Q189+Q193+Q196</f>
        <v>75857</v>
      </c>
      <c r="R198" s="77"/>
      <c r="S198" s="250">
        <f>S123+S124+S126+S125+S135+S141+S146+S150+S154+S162+S166+S170+S175+S179+S184+S189+S193+S196</f>
        <v>75406</v>
      </c>
      <c r="T198" s="77"/>
      <c r="U198" s="250">
        <f>U123+U124+U126+U125+U135+U141+U146+U150+U154+U162+U166+U170+U175+U179+U184+U189+U193+U196</f>
        <v>0</v>
      </c>
      <c r="V198" s="77"/>
      <c r="W198" s="250">
        <f>W123+W124+W126+W125+W135+W141+W146+W150+W154+W162+W166+W170+W175+W179+W184+W189+W193+W196</f>
        <v>0</v>
      </c>
      <c r="X198" s="77"/>
      <c r="Y198" s="250">
        <f>Y123+Y124+Y126+Y125+Y135+Y141+Y146+Y150+Y154+Y162+Y166+Y170+Y175+Y179+Y184+Y189+Y193+Y196</f>
        <v>0</v>
      </c>
      <c r="Z198" s="77"/>
      <c r="AA198" s="250">
        <f>AA123+AA124+AA126+AA125+AA135+AA141+AA146+AA150+AA154+AA162+AA166+AA170+AA175+AA179+AA184+AA189+AA193+AA196</f>
        <v>0</v>
      </c>
      <c r="AB198" s="77"/>
      <c r="AC198" s="250">
        <f>AC123+AC124+AC126+AC125+AC135+AC141+AC146+AC150+AC154+AC162+AC166+AC170+AC175+AC179+AC184+AC189+AC193+AC196</f>
        <v>-451</v>
      </c>
      <c r="AD198" s="70"/>
      <c r="AE198" s="250">
        <f>AE123+AE124+AE126+AE125+AE135+AE141+AE146+AE150+AE154+AE162+AE166+AE170+AE175+AE179+AE184+AE189+AE193+AE196</f>
        <v>-3648</v>
      </c>
      <c r="AF198" s="75"/>
    </row>
    <row r="199" spans="1:37">
      <c r="A199" s="84"/>
      <c r="B199" s="58" t="s">
        <v>216</v>
      </c>
      <c r="C199" s="85">
        <f>+C200-C198</f>
        <v>0</v>
      </c>
      <c r="D199" s="70"/>
      <c r="E199" s="85">
        <f>+E200-E198</f>
        <v>1</v>
      </c>
      <c r="F199" s="77"/>
      <c r="G199" s="85">
        <f>+G200-G198</f>
        <v>1</v>
      </c>
      <c r="H199" s="77"/>
      <c r="I199" s="85">
        <f>+I200-I198</f>
        <v>0</v>
      </c>
      <c r="J199" s="77"/>
      <c r="K199" s="85">
        <f>+K200-K198</f>
        <v>0</v>
      </c>
      <c r="L199" s="77"/>
      <c r="M199" s="85">
        <f>+M200-M198</f>
        <v>0</v>
      </c>
      <c r="N199" s="77"/>
      <c r="O199" s="85">
        <f>+O200-O198</f>
        <v>-2</v>
      </c>
      <c r="P199" s="77"/>
      <c r="Q199" s="85">
        <f>+Q200-Q198</f>
        <v>3</v>
      </c>
      <c r="R199" s="77"/>
      <c r="S199" s="85">
        <f>+S200-S198</f>
        <v>1</v>
      </c>
      <c r="T199" s="77"/>
      <c r="U199" s="85">
        <f>+U200-U198</f>
        <v>0</v>
      </c>
      <c r="V199" s="77"/>
      <c r="W199" s="85">
        <f>+W200-W198</f>
        <v>0</v>
      </c>
      <c r="X199" s="77"/>
      <c r="Y199" s="85">
        <f>+Y200-Y198</f>
        <v>0</v>
      </c>
      <c r="Z199" s="77"/>
      <c r="AA199" s="85">
        <f>+AA200-AA198</f>
        <v>0</v>
      </c>
      <c r="AB199" s="77"/>
      <c r="AC199" s="85">
        <f>+AC200-AC198</f>
        <v>-2</v>
      </c>
      <c r="AD199" s="70"/>
      <c r="AE199" s="85">
        <f>+AE200-AE198</f>
        <v>1</v>
      </c>
      <c r="AF199" s="75"/>
    </row>
    <row r="200" spans="1:37" s="13" customFormat="1" ht="15" customHeight="1" thickBot="1">
      <c r="A200" s="60"/>
      <c r="B200" s="59" t="s">
        <v>243</v>
      </c>
      <c r="C200" s="88">
        <f>ROUND((_xll.HPVAL($G$1,"py1","0350",$C$7,"YTD","gpg")/1000),0)+ROUND((_xll.HPVAL($G$1,"py1","0357",$C$7,"YTD","gpg")/1000),0)</f>
        <v>79054</v>
      </c>
      <c r="D200" s="70"/>
      <c r="E200" s="88">
        <f>ROUND((_xll.HPVAL($G$1,"actual","0350",$E$7,"YTD","gpg")/1000),0)+ROUND((_xll.HPVAL($G$1,"actual","0357",$E$7,"YTD","gpg")/1000),0)</f>
        <v>78591</v>
      </c>
      <c r="F200" s="77"/>
      <c r="G200" s="88">
        <f>ROUND((_xll.HPVAL($G$1,"actual","0350",$G$7,"YTD","gpg")/1000),0)+ROUND((_xll.HPVAL($G$1,"actual","0357",$G$7,"YTD","gpg")/1000),0)</f>
        <v>78162</v>
      </c>
      <c r="H200" s="77"/>
      <c r="I200" s="88">
        <f>ROUND((_xll.HPVAL($G$1,"actual","0350",$I$7,"YTD","gpg")/1000),0)+ROUND((_xll.HPVAL($G$1,"actual","0357",$I$7,"YTD","gpg")/1000),0)</f>
        <v>77693</v>
      </c>
      <c r="J200" s="77"/>
      <c r="K200" s="88">
        <f>ROUND((_xll.HPVAL($G$1,"actual","0350",$K$7,"YTD","gpg")/1000),0)+ROUND((_xll.HPVAL($G$1,"actual","0357",$K$7,"YTD","gpg")/1000),0)</f>
        <v>77224</v>
      </c>
      <c r="L200" s="77"/>
      <c r="M200" s="88">
        <f>ROUND((_xll.HPVAL($G$1,"actual","0350",$M$7,"YTD","gpg")/1000),0)+ROUND((_xll.HPVAL($G$1,"actual","0357",$M$7,"YTD","gpg")/1000),0)</f>
        <v>76755</v>
      </c>
      <c r="N200" s="77"/>
      <c r="O200" s="88">
        <f>ROUND((_xll.HPVAL($G$1,"actual","0350",$O$7,"YTD","gpg")/1000),0)+ROUND((_xll.HPVAL($G$1,"actual","0357",$O$7,"YTD","gpg")/1000),0)</f>
        <v>76288</v>
      </c>
      <c r="P200" s="77"/>
      <c r="Q200" s="88">
        <f>ROUND((_xll.HPVAL($G$1,"ACTUAL","0350",$Q$7,"YTD","gpg")/1000),0)+ROUND((_xll.HPVAL($G$1,"ACTUAL","0357",$Q$7,"YTD","gpg")/1000),0)</f>
        <v>75860</v>
      </c>
      <c r="R200" s="77"/>
      <c r="S200" s="88">
        <f>ROUND((_xll.HPVAL($G$1,"ACTUAL","0350",$S$7,"YTD","gpg")/1000),0)+ROUND((_xll.HPVAL($G$1,"ACTUAL","0357",$S$7,"YTD","gpg")/1000),0)</f>
        <v>75407</v>
      </c>
      <c r="T200" s="77"/>
      <c r="U200" s="88">
        <f>ROUND((_xll.HPVAL($G$1,"ACTUAL","0350",$U$7,"YTD","gpg")/1000),0)+ROUND((_xll.HPVAL($G$1,"ACTUAL","0357",$U$7,"YTD","gpg")/1000),0)</f>
        <v>0</v>
      </c>
      <c r="V200" s="77"/>
      <c r="W200" s="88">
        <f>ROUND((_xll.HPVAL($G$1,"ACTUAL","0350",$W$7,"YTD","gpg")/1000),0)+ROUND((_xll.HPVAL($G$1,"ACTUAL","0357",$W$7,"YTD","gpg")/1000),0)</f>
        <v>0</v>
      </c>
      <c r="X200" s="77"/>
      <c r="Y200" s="88">
        <f>ROUND((_xll.HPVAL($G$1,"ACTUAL","0350",$Y$7,"YTD","gpg")/1000),0)+ROUND((_xll.HPVAL($G$1,"ACTUAL","0357",$Y$7,"YTD","gpg")/1000),0)</f>
        <v>0</v>
      </c>
      <c r="Z200" s="77"/>
      <c r="AA200" s="88">
        <f>ROUND((_xll.HPVAL($G$1,"ACTUAL","0350",$AA$7,"YTD","gpg")/1000),0)+ROUND((_xll.HPVAL($G$1,"ACTUAL","0357",$AA$7,"YTD","gpg")/1000),0)</f>
        <v>0</v>
      </c>
      <c r="AB200" s="77"/>
      <c r="AC200" s="88">
        <f>IF(mo=1,+E200-C200,CHOOSE(mo,E200,G200,I200,K200,M200,O200,Q200,S200,U200,W200,Y200,AA200)-CHOOSE(mo-1,E200,G200,I200,K200,M200,O200,Q200,S200,U200,W200,Y200,AA200))</f>
        <v>-453</v>
      </c>
      <c r="AD200" s="199"/>
      <c r="AE200" s="86">
        <f>CHOOSE(mo,E200,G200,I200,K200,M200,O200,Q200,S200,U200,W200,Y200,AA200)-C200</f>
        <v>-3647</v>
      </c>
      <c r="AF200" s="72"/>
      <c r="AG200" s="5"/>
    </row>
    <row r="201" spans="1:37" ht="10.8" thickTop="1">
      <c r="A201" s="58"/>
      <c r="B201" s="84"/>
      <c r="C201" s="72"/>
      <c r="D201" s="70"/>
      <c r="E201" s="72"/>
      <c r="F201" s="77"/>
      <c r="G201" s="72"/>
      <c r="H201" s="77"/>
      <c r="I201" s="72"/>
      <c r="J201" s="77"/>
      <c r="K201" s="72"/>
      <c r="L201" s="77"/>
      <c r="M201" s="72"/>
      <c r="N201" s="77"/>
      <c r="O201" s="72"/>
      <c r="P201" s="77"/>
      <c r="Q201" s="72"/>
      <c r="R201" s="77"/>
      <c r="S201" s="72"/>
      <c r="T201" s="77"/>
      <c r="U201" s="72"/>
      <c r="V201" s="77"/>
      <c r="W201" s="72"/>
      <c r="X201" s="77"/>
      <c r="Y201" s="72"/>
      <c r="Z201" s="77"/>
      <c r="AA201" s="72"/>
      <c r="AB201" s="77"/>
      <c r="AC201" s="72"/>
      <c r="AD201" s="70"/>
      <c r="AE201" s="72"/>
      <c r="AF201" s="60"/>
      <c r="AH201" s="13"/>
      <c r="AI201" s="13"/>
      <c r="AJ201" s="13"/>
      <c r="AK201" s="13"/>
    </row>
    <row r="202" spans="1:37">
      <c r="A202" s="89" t="s">
        <v>474</v>
      </c>
      <c r="B202" s="58"/>
      <c r="C202" s="58"/>
      <c r="D202" s="70"/>
      <c r="E202" s="58"/>
      <c r="F202" s="73"/>
      <c r="G202" s="58"/>
      <c r="H202" s="73"/>
      <c r="I202" s="58"/>
      <c r="J202" s="73"/>
      <c r="K202" s="58"/>
      <c r="L202" s="73"/>
      <c r="M202" s="58"/>
      <c r="N202" s="73"/>
      <c r="O202" s="58"/>
      <c r="P202" s="73"/>
      <c r="Q202" s="58"/>
      <c r="R202" s="73"/>
      <c r="S202" s="58"/>
      <c r="T202" s="73"/>
      <c r="U202" s="58"/>
      <c r="V202" s="73"/>
      <c r="W202" s="58"/>
      <c r="X202" s="73"/>
      <c r="Y202" s="58"/>
      <c r="Z202" s="73"/>
      <c r="AA202" s="58"/>
      <c r="AB202" s="73"/>
      <c r="AC202" s="58"/>
      <c r="AD202" s="70"/>
      <c r="AE202" s="58"/>
      <c r="AF202" s="58"/>
    </row>
    <row r="203" spans="1:37">
      <c r="A203" s="89" t="s">
        <v>473</v>
      </c>
      <c r="B203" s="58"/>
      <c r="C203" s="58"/>
      <c r="D203" s="70"/>
      <c r="E203" s="58"/>
      <c r="F203" s="73"/>
      <c r="G203" s="58"/>
      <c r="H203" s="73"/>
      <c r="I203" s="58"/>
      <c r="J203" s="73"/>
      <c r="K203" s="58"/>
      <c r="L203" s="73"/>
      <c r="M203" s="58"/>
      <c r="N203" s="73"/>
      <c r="O203" s="58"/>
      <c r="P203" s="73"/>
      <c r="Q203" s="58"/>
      <c r="R203" s="73"/>
      <c r="S203" s="58"/>
      <c r="T203" s="73"/>
      <c r="U203" s="58"/>
      <c r="V203" s="73"/>
      <c r="W203" s="58"/>
      <c r="X203" s="73"/>
      <c r="Y203" s="58"/>
      <c r="Z203" s="73"/>
      <c r="AA203" s="58"/>
      <c r="AB203" s="73"/>
      <c r="AC203" s="58"/>
      <c r="AD203" s="70"/>
      <c r="AE203" s="58"/>
      <c r="AF203" s="58"/>
    </row>
    <row r="204" spans="1:37">
      <c r="A204" s="84" t="s">
        <v>343</v>
      </c>
      <c r="B204" s="58" t="str">
        <f>_xll.HPHEA($A204,$G$2)</f>
        <v>Unamortized debt expense</v>
      </c>
      <c r="C204" s="58">
        <f>ROUND((_xll.HPVAL($G$1,"py1",$A204,$C$7,"YTD","gpg")/1000),0)</f>
        <v>14</v>
      </c>
      <c r="D204" s="70"/>
      <c r="E204" s="58">
        <f>ROUND((_xll.HPVAL($G$1,"ACTUAL",$A204,$E$7,"YTD","gpg")/1000),0)</f>
        <v>13</v>
      </c>
      <c r="F204" s="73"/>
      <c r="G204" s="58">
        <f>ROUND((_xll.HPVAL($G$1,"ACTUAL",$A204,$G$7,"YTD","gpg")/1000),0)</f>
        <v>13</v>
      </c>
      <c r="H204" s="73"/>
      <c r="I204" s="58">
        <f>ROUND((_xll.HPVAL($G$1,"ACTUAL",$A204,$I$7,"YTD","gpg")/1000),0)</f>
        <v>12</v>
      </c>
      <c r="J204" s="73"/>
      <c r="K204" s="58">
        <f>ROUND((_xll.HPVAL($G$1,"ACTUAL",$A204,$K$7,"YTD","gpg")/1000),0)</f>
        <v>12</v>
      </c>
      <c r="L204" s="73"/>
      <c r="M204" s="58">
        <f>ROUND((_xll.HPVAL($G$1,"ACTUAL",$A204,$M$7,"YTD","gpg")/1000),0)</f>
        <v>11</v>
      </c>
      <c r="N204" s="73"/>
      <c r="O204" s="58">
        <f>ROUND((_xll.HPVAL($G$1,"ACTUAL",$A204,$O$7,"YTD","gpg")/1000),0)</f>
        <v>11</v>
      </c>
      <c r="P204" s="73"/>
      <c r="Q204" s="58">
        <f>ROUND((_xll.HPVAL($G$1,"ACTUAL",$A204,$Q$7,"YTD","gpg")/1000),0)</f>
        <v>10</v>
      </c>
      <c r="R204" s="73"/>
      <c r="S204" s="58">
        <f>ROUND((_xll.HPVAL($G$1,"ACTUAL",$A204,$S$7,"YTD","gpg")/1000),0)</f>
        <v>10</v>
      </c>
      <c r="T204" s="73"/>
      <c r="U204" s="58">
        <f>ROUND((_xll.HPVAL($G$1,"ACTUAL",$A204,$U$7,"YTD","gpg")/1000),0)</f>
        <v>0</v>
      </c>
      <c r="V204" s="73"/>
      <c r="W204" s="58">
        <f>ROUND((_xll.HPVAL($G$1,"ACTUAL",$A204,$W$7,"YTD","gpg")/1000),0)</f>
        <v>0</v>
      </c>
      <c r="X204" s="73"/>
      <c r="Y204" s="58">
        <f>ROUND((_xll.HPVAL($G$1,"ACTUAL",$A204,$Y$7,"YTD","gpg")/1000),0)</f>
        <v>0</v>
      </c>
      <c r="Z204" s="73"/>
      <c r="AA204" s="58">
        <f>ROUND((_xll.HPVAL($G$1,"ACTUAL",$A204,$AA$7,"YTD","gpg")/1000),0)</f>
        <v>0</v>
      </c>
      <c r="AB204" s="73"/>
      <c r="AC204" s="58">
        <f>IF(mo=1,+E204-C204,CHOOSE(mo,E204,G204,I204,K204,M204,O204,Q204,S204,U204,W204,Y204,AA204)-CHOOSE(mo-1,E204,G204,I204,K204,M204,O204,Q204,S204,U204,W204,Y204,AA204))</f>
        <v>0</v>
      </c>
      <c r="AD204" s="70"/>
      <c r="AE204" s="58">
        <f>CHOOSE(mo,E204,G204,I204,K204,M204,O204,Q204,S204,U204,W204,Y204,AA204)-C204</f>
        <v>-4</v>
      </c>
      <c r="AF204" s="58"/>
    </row>
    <row r="205" spans="1:37">
      <c r="A205" s="84" t="s">
        <v>344</v>
      </c>
      <c r="B205" s="58" t="str">
        <f>_xll.HPHEA($A205,$G$2)</f>
        <v>Deferred Asset Development Cost</v>
      </c>
      <c r="C205" s="58">
        <f>ROUND((_xll.HPVAL($G$1,"py1",$A205,$C$7,"YTD","gpg")/1000),0)</f>
        <v>593</v>
      </c>
      <c r="D205" s="70" t="s">
        <v>250</v>
      </c>
      <c r="E205" s="58">
        <f>ROUND((_xll.HPVAL($G$1,"ACTUAL",$A205,$E$7,"YTD","gpg")/1000),0)</f>
        <v>588</v>
      </c>
      <c r="F205" s="76"/>
      <c r="G205" s="58">
        <f>ROUND((_xll.HPVAL($G$1,"ACTUAL",$A205,$G$7,"YTD","gpg")/1000),0)</f>
        <v>652</v>
      </c>
      <c r="H205" s="76"/>
      <c r="I205" s="58">
        <f>ROUND((_xll.HPVAL($G$1,"ACTUAL",$A205,$I$7,"YTD","gpg")/1000),0)</f>
        <v>645</v>
      </c>
      <c r="J205" s="76"/>
      <c r="K205" s="58">
        <f>ROUND((_xll.HPVAL($G$1,"ACTUAL",$A205,$K$7,"YTD","gpg")/1000),0)</f>
        <v>866</v>
      </c>
      <c r="L205" s="76"/>
      <c r="M205" s="58">
        <f>ROUND((_xll.HPVAL($G$1,"ACTUAL",$A205,$M$7,"YTD","gpg")/1000),0)</f>
        <v>1452</v>
      </c>
      <c r="N205" s="76"/>
      <c r="O205" s="58">
        <f>ROUND((_xll.HPVAL($G$1,"ACTUAL",$A205,$O$7,"YTD","gpg")/1000),0)</f>
        <v>1850</v>
      </c>
      <c r="P205" s="76"/>
      <c r="Q205" s="58">
        <f>ROUND((_xll.HPVAL($G$1,"ACTUAL",$A205,$Q$7,"YTD","gpg")/1000),0)</f>
        <v>2103</v>
      </c>
      <c r="R205" s="76"/>
      <c r="S205" s="58">
        <f>ROUND((_xll.HPVAL($G$1,"ACTUAL",$A205,$S$7,"YTD","gpg")/1000),0)</f>
        <v>2404</v>
      </c>
      <c r="T205" s="76"/>
      <c r="U205" s="58">
        <f>ROUND((_xll.HPVAL($G$1,"ACTUAL",$A205,$U$7,"YTD","gpg")/1000),0)</f>
        <v>0</v>
      </c>
      <c r="V205" s="76"/>
      <c r="W205" s="58">
        <f>ROUND((_xll.HPVAL($G$1,"ACTUAL",$A205,$W$7,"YTD","gpg")/1000),0)</f>
        <v>0</v>
      </c>
      <c r="X205" s="76"/>
      <c r="Y205" s="58">
        <f>ROUND((_xll.HPVAL($G$1,"ACTUAL",$A205,$Y$7,"YTD","gpg")/1000),0)</f>
        <v>0</v>
      </c>
      <c r="Z205" s="76"/>
      <c r="AA205" s="58">
        <f>ROUND((_xll.HPVAL($G$1,"ACTUAL",$A205,$AA$7,"YTD","gpg")/1000),0)</f>
        <v>0</v>
      </c>
      <c r="AB205" s="76"/>
      <c r="AC205" s="58">
        <f>IF(mo=1,+E205-C205,CHOOSE(mo,E205,G205,I205,K205,M205,O205,Q205,S205,U205,W205,Y205,AA205)-CHOOSE(mo-1,E205,G205,I205,K205,M205,O205,Q205,S205,U205,W205,Y205,AA205))</f>
        <v>301</v>
      </c>
      <c r="AD205" s="70"/>
      <c r="AE205" s="58">
        <f>CHOOSE(mo,E205,G205,I205,K205,M205,O205,Q205,S205,U205,W205,Y205,AA205)-C205</f>
        <v>1811</v>
      </c>
      <c r="AF205" s="58"/>
    </row>
    <row r="206" spans="1:37">
      <c r="A206" s="84" t="s">
        <v>472</v>
      </c>
      <c r="B206" s="58" t="str">
        <f>_xll.HPHEA($A206,$G$2)</f>
        <v>Deferred debits - other</v>
      </c>
      <c r="C206" s="58">
        <f>ROUND((_xll.HPVAL($G$1,"py1",$A206,$C$7,"YTD","gpg")/1000),0)</f>
        <v>821</v>
      </c>
      <c r="D206" s="70" t="s">
        <v>249</v>
      </c>
      <c r="E206" s="58">
        <f>ROUND((_xll.HPVAL($G$1,"ACTUAL",$A206,$E$7,"YTD","gpg")/1000),0)</f>
        <v>0</v>
      </c>
      <c r="F206" s="73" t="s">
        <v>250</v>
      </c>
      <c r="G206" s="58">
        <f>ROUND((_xll.HPVAL($G$1,"ACTUAL",$A206,$G$7,"YTD","gpg")/1000),0)</f>
        <v>0</v>
      </c>
      <c r="H206" s="73"/>
      <c r="I206" s="58">
        <f>ROUND((_xll.HPVAL($G$1,"ACTUAL",$A206,$I$7,"YTD","gpg")/1000),0)</f>
        <v>0</v>
      </c>
      <c r="J206" s="73"/>
      <c r="K206" s="58">
        <f>ROUND((_xll.HPVAL($G$1,"ACTUAL",$A206,$K$7,"YTD","gpg")/1000),0)</f>
        <v>0</v>
      </c>
      <c r="L206" s="73"/>
      <c r="M206" s="58">
        <f>ROUND((_xll.HPVAL($G$1,"ACTUAL",$A206,$M$7,"YTD","gpg")/1000),0)</f>
        <v>0</v>
      </c>
      <c r="N206" s="73"/>
      <c r="O206" s="58">
        <f>ROUND((_xll.HPVAL($G$1,"ACTUAL",$A206,$O$7,"YTD","gpg")/1000),0)</f>
        <v>0</v>
      </c>
      <c r="P206" s="73"/>
      <c r="Q206" s="58">
        <f>ROUND((_xll.HPVAL($G$1,"ACTUAL",$A206,$Q$7,"YTD","gpg")/1000),0)</f>
        <v>0</v>
      </c>
      <c r="R206" s="73"/>
      <c r="S206" s="58">
        <f>ROUND((_xll.HPVAL($G$1,"ACTUAL",$A206,$S$7,"YTD","gpg")/1000),0)</f>
        <v>0</v>
      </c>
      <c r="T206" s="73"/>
      <c r="U206" s="58">
        <f>ROUND((_xll.HPVAL($G$1,"ACTUAL",$A206,$U$7,"YTD","gpg")/1000),0)</f>
        <v>0</v>
      </c>
      <c r="V206" s="73"/>
      <c r="W206" s="58">
        <f>ROUND((_xll.HPVAL($G$1,"ACTUAL",$A206,$W$7,"YTD","gpg")/1000),0)</f>
        <v>0</v>
      </c>
      <c r="X206" s="73"/>
      <c r="Y206" s="58">
        <f>ROUND((_xll.HPVAL($G$1,"ACTUAL",$A206,$Y$7,"YTD","gpg")/1000),0)</f>
        <v>0</v>
      </c>
      <c r="Z206" s="73"/>
      <c r="AA206" s="58">
        <f>ROUND((_xll.HPVAL($G$1,"ACTUAL",$A206,$AA$7,"YTD","gpg")/1000),0)</f>
        <v>0</v>
      </c>
      <c r="AB206" s="73"/>
      <c r="AC206" s="58">
        <f>IF(mo=1,+E206-C206,CHOOSE(mo,E206,G206,I206,K206,M206,O206,Q206,S206,U206,W206,Y206,AA206)-CHOOSE(mo-1,E206,G206,I206,K206,M206,O206,Q206,S206,U206,W206,Y206,AA206))</f>
        <v>0</v>
      </c>
      <c r="AD206" s="70"/>
      <c r="AE206" s="58">
        <f>CHOOSE(mo,E206,G206,I206,K206,M206,O206,Q206,S206,U206,W206,Y206,AA206)-C206</f>
        <v>-821</v>
      </c>
      <c r="AF206" s="58"/>
    </row>
    <row r="207" spans="1:37">
      <c r="A207" s="84" t="s">
        <v>345</v>
      </c>
      <c r="B207" s="58" t="str">
        <f>_xll.HPHEA($A207,$G$2)</f>
        <v>Deferred debits - other (DP)</v>
      </c>
      <c r="C207" s="58">
        <f>ROUND((_xll.HPVAL($G$1,"py1",$A207,$C$7,"YTD","gpg")/1000),0)</f>
        <v>826</v>
      </c>
      <c r="D207" s="70" t="s">
        <v>493</v>
      </c>
      <c r="E207" s="58">
        <f>ROUND((_xll.HPVAL($G$1,"ACTUAL",$A207,$E$7,"YTD","gpg")/1000),0)</f>
        <v>1602</v>
      </c>
      <c r="F207" s="73" t="s">
        <v>250</v>
      </c>
      <c r="G207" s="58">
        <f>ROUND((_xll.HPVAL($G$1,"ACTUAL",$A207,$G$7,"YTD","gpg")/1000),0)</f>
        <v>2261</v>
      </c>
      <c r="H207" s="73" t="s">
        <v>223</v>
      </c>
      <c r="I207" s="58">
        <f>ROUND((_xll.HPVAL($G$1,"ACTUAL",$A207,$I$7,"YTD","gpg")/1000),0)</f>
        <v>1903</v>
      </c>
      <c r="J207" s="73"/>
      <c r="K207" s="58">
        <f>ROUND((_xll.HPVAL($G$1,"ACTUAL",$A207,$K$7,"YTD","gpg")/1000),0)</f>
        <v>1950</v>
      </c>
      <c r="L207" s="73"/>
      <c r="M207" s="58">
        <f>ROUND((_xll.HPVAL($G$1,"ACTUAL",$A207,$M$7,"YTD","gpg")/1000),0)</f>
        <v>1938</v>
      </c>
      <c r="N207" s="73"/>
      <c r="O207" s="58">
        <f>ROUND((_xll.HPVAL($G$1,"ACTUAL",$A207,$O$7,"YTD","gpg")/1000),0)</f>
        <v>1925</v>
      </c>
      <c r="P207" s="73"/>
      <c r="Q207" s="58">
        <f>ROUND((_xll.HPVAL($G$1,"ACTUAL",$A207,$Q$7,"YTD","gpg")/1000),0)</f>
        <v>1913</v>
      </c>
      <c r="R207" s="73"/>
      <c r="S207" s="58">
        <f>ROUND((_xll.HPVAL($G$1,"ACTUAL",$A207,$S$7,"YTD","gpg")/1000),0)</f>
        <v>1750</v>
      </c>
      <c r="T207" s="73"/>
      <c r="U207" s="58">
        <f>ROUND((_xll.HPVAL($G$1,"ACTUAL",$A207,$U$7,"YTD","gpg")/1000),0)</f>
        <v>0</v>
      </c>
      <c r="V207" s="73"/>
      <c r="W207" s="58">
        <f>ROUND((_xll.HPVAL($G$1,"ACTUAL",$A207,$W$7,"YTD","gpg")/1000),0)</f>
        <v>0</v>
      </c>
      <c r="X207" s="73"/>
      <c r="Y207" s="58">
        <f>ROUND((_xll.HPVAL($G$1,"ACTUAL",$A207,$Y$7,"YTD","gpg")/1000),0)</f>
        <v>0</v>
      </c>
      <c r="Z207" s="73"/>
      <c r="AA207" s="58">
        <f>ROUND((_xll.HPVAL($G$1,"ACTUAL",$A207,$AA$7,"YTD","gpg")/1000),0)</f>
        <v>0</v>
      </c>
      <c r="AB207" s="73"/>
      <c r="AC207" s="58">
        <f>IF(mo=1,+E207-C207,CHOOSE(mo,E207,G207,I207,K207,M207,O207,Q207,S207,U207,W207,Y207,AA207)-CHOOSE(mo-1,E207,G207,I207,K207,M207,O207,Q207,S207,U207,W207,Y207,AA207))</f>
        <v>-163</v>
      </c>
      <c r="AD207" s="70"/>
      <c r="AE207" s="58">
        <f>CHOOSE(mo,E207,G207,I207,K207,M207,O207,Q207,S207,U207,W207,Y207,AA207)-C207</f>
        <v>924</v>
      </c>
      <c r="AF207" s="58"/>
    </row>
    <row r="208" spans="1:37" s="197" customFormat="1">
      <c r="A208" s="58"/>
      <c r="B208" s="58" t="s">
        <v>214</v>
      </c>
      <c r="C208" s="85">
        <f>+C209-SUM(C202:C207)</f>
        <v>0</v>
      </c>
      <c r="D208" s="70"/>
      <c r="E208" s="85">
        <f>+E209-SUM(E202:E207)</f>
        <v>0</v>
      </c>
      <c r="F208" s="77"/>
      <c r="G208" s="85">
        <f>+G209-SUM(G202:G207)</f>
        <v>0</v>
      </c>
      <c r="H208" s="77"/>
      <c r="I208" s="85">
        <f>+I209-SUM(I202:I207)</f>
        <v>0</v>
      </c>
      <c r="J208" s="77"/>
      <c r="K208" s="85">
        <f>+K209-SUM(K202:K207)</f>
        <v>0</v>
      </c>
      <c r="L208" s="77"/>
      <c r="M208" s="85">
        <f>+M209-SUM(M202:M207)</f>
        <v>0</v>
      </c>
      <c r="N208" s="77"/>
      <c r="O208" s="85">
        <f>+O209-SUM(O202:O207)</f>
        <v>0</v>
      </c>
      <c r="P208" s="77"/>
      <c r="Q208" s="85">
        <f>+Q209-SUM(Q202:Q207)</f>
        <v>0</v>
      </c>
      <c r="R208" s="77"/>
      <c r="S208" s="85">
        <f>+S209-SUM(S202:S207)</f>
        <v>0</v>
      </c>
      <c r="T208" s="77"/>
      <c r="U208" s="85">
        <f>+U209-SUM(U202:U207)</f>
        <v>0</v>
      </c>
      <c r="V208" s="77"/>
      <c r="W208" s="85">
        <f>+W209-SUM(W202:W207)</f>
        <v>0</v>
      </c>
      <c r="X208" s="77"/>
      <c r="Y208" s="85">
        <f>+Y209-SUM(Y202:Y207)</f>
        <v>0</v>
      </c>
      <c r="Z208" s="77"/>
      <c r="AA208" s="85">
        <f>+AA209-SUM(AA202:AA207)</f>
        <v>0</v>
      </c>
      <c r="AB208" s="77"/>
      <c r="AC208" s="85">
        <f>IF(mo=1,+E208-C208,CHOOSE(mo,E208,G208,I208,K208,M208,O208,Q208,S208,U208,W208,Y208,AA208)-CHOOSE(mo-1,E208,G208,I208,K208,M208,O208,Q208,S208,U208,W208,Y208,AA208))</f>
        <v>0</v>
      </c>
      <c r="AD208" s="198"/>
      <c r="AE208" s="85">
        <f>CHOOSE(mo,E208,G208,I208,K208,M208,O208,Q208,S208,U208,W208,Y208,AA208)-C208</f>
        <v>0</v>
      </c>
      <c r="AF208" s="58"/>
      <c r="AG208" s="5"/>
    </row>
    <row r="209" spans="1:51" s="13" customFormat="1" ht="15" customHeight="1" thickBot="1">
      <c r="A209" s="59"/>
      <c r="B209" s="60" t="s">
        <v>216</v>
      </c>
      <c r="C209" s="88">
        <f>ROUND((_xll.HPVAL($G$1,"py1","0341",$C$7,"YTD","gpg")/1000),0)+ROUND((_xll.HPVAL($G$1,"py1","0343",$C$7,"YTD","gpg")/1000),0)+ROUND((_xll.HPVAL($G$1,"py1","0360",$C$7,"YTD","gpg")/1000),0)</f>
        <v>2254</v>
      </c>
      <c r="D209" s="70"/>
      <c r="E209" s="88">
        <f>ROUND((_xll.HPVAL($G$1,"ACTUAL","0341",$E$7,"YTD","gpg")/1000),0)+ROUND((_xll.HPVAL($G$1,"ACTUAL","0343",$E$7,"YTD","gpg")/1000),0)+ROUND((_xll.HPVAL($G$1,"ACTUAL","0360",$E$7,"YTD","gpg")/1000),0)</f>
        <v>2203</v>
      </c>
      <c r="F209" s="77"/>
      <c r="G209" s="88">
        <f>ROUND((_xll.HPVAL($G$1,"ACTUAL","0341",$G$7,"YTD","gpg")/1000),0)+ROUND((_xll.HPVAL($G$1,"ACTUAL","0343",$G$7,"YTD","gpg")/1000),0)+ROUND((_xll.HPVAL($G$1,"ACTUAL","0360",$G$7,"YTD","gpg")/1000),0)</f>
        <v>2926</v>
      </c>
      <c r="H209" s="77"/>
      <c r="I209" s="88">
        <f>ROUND((_xll.HPVAL($G$1,"ACTUAL","0341",$I$7,"YTD","gpg")/1000),0)+ROUND((_xll.HPVAL($G$1,"ACTUAL","0343",$I$7,"YTD","gpg")/1000),0)+ROUND((_xll.HPVAL($G$1,"ACTUAL","0360",$I$7,"YTD","gpg")/1000),0)</f>
        <v>2560</v>
      </c>
      <c r="J209" s="77"/>
      <c r="K209" s="88">
        <f>ROUND((_xll.HPVAL($G$1,"ACTUAL","0341",$K$7,"YTD","gpg")/1000),0)+ROUND((_xll.HPVAL($G$1,"ACTUAL","0343",$K$7,"YTD","gpg")/1000),0)+ROUND((_xll.HPVAL($G$1,"ACTUAL","0360",$K$7,"YTD","gpg")/1000),0)</f>
        <v>2828</v>
      </c>
      <c r="L209" s="77"/>
      <c r="M209" s="88">
        <f>ROUND((_xll.HPVAL($G$1,"ACTUAL","0341",$M$7,"YTD","gpg")/1000),0)+ROUND((_xll.HPVAL($G$1,"ACTUAL","0343",$M$7,"YTD","gpg")/1000),0)+ROUND((_xll.HPVAL($G$1,"ACTUAL","0360",$M$7,"YTD","gpg")/1000),0)</f>
        <v>3401</v>
      </c>
      <c r="N209" s="77"/>
      <c r="O209" s="88">
        <f>ROUND((_xll.HPVAL($G$1,"ACTUAL","0341",$O$7,"YTD","gpg")/1000),0)+ROUND((_xll.HPVAL($G$1,"ACTUAL","0343",$O$7,"YTD","gpg")/1000),0)+ROUND((_xll.HPVAL($G$1,"ACTUAL","0360",$O$7,"YTD","gpg")/1000),0)</f>
        <v>3786</v>
      </c>
      <c r="P209" s="77"/>
      <c r="Q209" s="88">
        <f>ROUND((_xll.HPVAL($G$1,"ACTUAL","0341",$Q$7,"YTD","gpg")/1000),0)+ROUND((_xll.HPVAL($G$1,"ACTUAL","0343",$Q$7,"YTD","gpg")/1000),0)+ROUND((_xll.HPVAL($G$1,"ACTUAL","0360",$Q$7,"YTD","gpg")/1000),0)</f>
        <v>4026</v>
      </c>
      <c r="R209" s="77"/>
      <c r="S209" s="88">
        <f>ROUND((_xll.HPVAL($G$1,"ACTUAL","0341",$S$7,"YTD","gpg")/1000),0)+ROUND((_xll.HPVAL($G$1,"ACTUAL","0343",$S$7,"YTD","gpg")/1000),0)+ROUND((_xll.HPVAL($G$1,"ACTUAL","0360",$S$7,"YTD","gpg")/1000),0)</f>
        <v>4164</v>
      </c>
      <c r="T209" s="77"/>
      <c r="U209" s="88">
        <f>ROUND((_xll.HPVAL($G$1,"ACTUAL","0341",$U$7,"YTD","gpg")/1000),0)+ROUND((_xll.HPVAL($G$1,"ACTUAL","0343",$U$7,"YTD","gpg")/1000),0)+ROUND((_xll.HPVAL($G$1,"ACTUAL","0360",$U$7,"YTD","gpg")/1000),0)</f>
        <v>0</v>
      </c>
      <c r="V209" s="77"/>
      <c r="W209" s="88">
        <f>ROUND((_xll.HPVAL($G$1,"ACTUAL","0341",$W$7,"YTD","gpg")/1000),0)+ROUND((_xll.HPVAL($G$1,"ACTUAL","0343",$W$7,"YTD","gpg")/1000),0)+ROUND((_xll.HPVAL($G$1,"ACTUAL","0360",$W$7,"YTD","gpg")/1000),0)</f>
        <v>0</v>
      </c>
      <c r="X209" s="77"/>
      <c r="Y209" s="88">
        <f>ROUND((_xll.HPVAL($G$1,"ACTUAL","0341",$Y$7,"YTD","gpg")/1000),0)+ROUND((_xll.HPVAL($G$1,"ACTUAL","0343",$Y$7,"YTD","gpg")/1000),0)+ROUND((_xll.HPVAL($G$1,"ACTUAL","0360",$Y$7,"YTD","gpg")/1000),0)</f>
        <v>0</v>
      </c>
      <c r="Z209" s="77"/>
      <c r="AA209" s="88">
        <f>ROUND((_xll.HPVAL($G$1,"ACTUAL","0341",$AA$7,"YTD","gpg")/1000),0)+ROUND((_xll.HPVAL($G$1,"ACTUAL","0343",$AA$7,"YTD","gpg")/1000),0)+ROUND((_xll.HPVAL($G$1,"ACTUAL","0360",$AA$7,"YTD","gpg")/1000),0)</f>
        <v>0</v>
      </c>
      <c r="AB209" s="77"/>
      <c r="AC209" s="86">
        <f>SUM(AC202:AC208)</f>
        <v>138</v>
      </c>
      <c r="AD209" s="70"/>
      <c r="AE209" s="86">
        <f>SUM(AE202:AE208)</f>
        <v>1910</v>
      </c>
      <c r="AF209" s="60"/>
      <c r="AG209" s="5"/>
    </row>
    <row r="210" spans="1:51" ht="10.8" thickTop="1">
      <c r="A210" s="84"/>
      <c r="B210" s="58"/>
      <c r="C210" s="75"/>
      <c r="D210" s="70"/>
      <c r="E210" s="75"/>
      <c r="F210" s="77"/>
      <c r="G210" s="75"/>
      <c r="H210" s="77"/>
      <c r="I210" s="75"/>
      <c r="J210" s="77"/>
      <c r="K210" s="75"/>
      <c r="L210" s="77"/>
      <c r="M210" s="75"/>
      <c r="N210" s="77"/>
      <c r="O210" s="75"/>
      <c r="P210" s="77"/>
      <c r="Q210" s="75"/>
      <c r="R210" s="77"/>
      <c r="S210" s="75"/>
      <c r="T210" s="77"/>
      <c r="U210" s="75"/>
      <c r="V210" s="77"/>
      <c r="W210" s="75"/>
      <c r="X210" s="77"/>
      <c r="Y210" s="72"/>
      <c r="Z210" s="77"/>
      <c r="AA210" s="75"/>
      <c r="AB210" s="77"/>
      <c r="AC210" s="58"/>
      <c r="AD210" s="70"/>
      <c r="AE210" s="58"/>
      <c r="AF210" s="58"/>
    </row>
    <row r="211" spans="1:51" s="13" customFormat="1" ht="15" customHeight="1" thickBot="1">
      <c r="A211" s="93" t="s">
        <v>244</v>
      </c>
      <c r="B211" s="60"/>
      <c r="C211" s="86">
        <f>C200+C209</f>
        <v>81308</v>
      </c>
      <c r="D211" s="70"/>
      <c r="E211" s="86">
        <f>E200+E209</f>
        <v>80794</v>
      </c>
      <c r="F211" s="77"/>
      <c r="G211" s="86">
        <f>G200+G209</f>
        <v>81088</v>
      </c>
      <c r="H211" s="77"/>
      <c r="I211" s="86">
        <f>I200+I209</f>
        <v>80253</v>
      </c>
      <c r="J211" s="77"/>
      <c r="K211" s="86">
        <f>K200+K209</f>
        <v>80052</v>
      </c>
      <c r="L211" s="77"/>
      <c r="M211" s="86">
        <f>+M200+M209</f>
        <v>80156</v>
      </c>
      <c r="N211" s="77"/>
      <c r="O211" s="86">
        <f>O200+O209</f>
        <v>80074</v>
      </c>
      <c r="P211" s="77"/>
      <c r="Q211" s="86">
        <f>Q200+Q209</f>
        <v>79886</v>
      </c>
      <c r="R211" s="77"/>
      <c r="S211" s="86">
        <f>S200+S209</f>
        <v>79571</v>
      </c>
      <c r="T211" s="77"/>
      <c r="U211" s="86">
        <f>U200+U209</f>
        <v>0</v>
      </c>
      <c r="V211" s="77"/>
      <c r="W211" s="86">
        <f>W200+W209</f>
        <v>0</v>
      </c>
      <c r="X211" s="77"/>
      <c r="Y211" s="86">
        <f>Y200+Y209</f>
        <v>0</v>
      </c>
      <c r="Z211" s="77"/>
      <c r="AA211" s="86">
        <f>AA200+AA209</f>
        <v>0</v>
      </c>
      <c r="AB211" s="77"/>
      <c r="AC211" s="86">
        <f>AC200+AC209</f>
        <v>-315</v>
      </c>
      <c r="AD211" s="86">
        <f>AD200+AD209</f>
        <v>0</v>
      </c>
      <c r="AE211" s="86">
        <f>AE200+AE209</f>
        <v>-1737</v>
      </c>
      <c r="AF211" s="60"/>
      <c r="AG211" s="5"/>
    </row>
    <row r="212" spans="1:51" ht="10.8" thickTop="1">
      <c r="A212" s="84"/>
      <c r="B212" s="58"/>
      <c r="C212" s="75"/>
      <c r="D212" s="70"/>
      <c r="E212" s="75"/>
      <c r="F212" s="77"/>
      <c r="G212" s="75"/>
      <c r="H212" s="77"/>
      <c r="I212" s="75"/>
      <c r="J212" s="77"/>
      <c r="K212" s="75"/>
      <c r="L212" s="77"/>
      <c r="M212" s="75"/>
      <c r="N212" s="77"/>
      <c r="O212" s="75"/>
      <c r="P212" s="77"/>
      <c r="Q212" s="75"/>
      <c r="R212" s="77"/>
      <c r="S212" s="75"/>
      <c r="T212" s="77"/>
      <c r="U212" s="75"/>
      <c r="V212" s="77"/>
      <c r="W212" s="75"/>
      <c r="X212" s="77"/>
      <c r="Y212" s="75"/>
      <c r="Z212" s="77"/>
      <c r="AA212" s="75"/>
      <c r="AB212" s="77"/>
      <c r="AC212" s="75"/>
      <c r="AD212" s="70"/>
      <c r="AE212" s="75"/>
      <c r="AF212" s="75"/>
    </row>
    <row r="213" spans="1:51" s="13" customFormat="1" ht="15" customHeight="1" thickBot="1">
      <c r="A213" s="72" t="s">
        <v>22</v>
      </c>
      <c r="B213" s="72"/>
      <c r="C213" s="86">
        <f>+C90+C92+C115+C120+C211</f>
        <v>1372400</v>
      </c>
      <c r="D213" s="70"/>
      <c r="E213" s="86">
        <f>+E90+E92+E115+E120+E211</f>
        <v>1382501</v>
      </c>
      <c r="F213" s="77"/>
      <c r="G213" s="86">
        <f>+G90+G92+G115+G120+G211</f>
        <v>1391033</v>
      </c>
      <c r="H213" s="77"/>
      <c r="I213" s="86">
        <f>+I90+I92+I115+I120+I211</f>
        <v>1416580</v>
      </c>
      <c r="J213" s="77"/>
      <c r="K213" s="86">
        <f>+K90+K92+K115+K120+K211</f>
        <v>1408881</v>
      </c>
      <c r="L213" s="77"/>
      <c r="M213" s="86">
        <f>+M90+M92+M115+M120+M211</f>
        <v>1428253</v>
      </c>
      <c r="N213" s="77"/>
      <c r="O213" s="86">
        <f>+O90+O92+O115+O120+O211</f>
        <v>1295686</v>
      </c>
      <c r="P213" s="77"/>
      <c r="Q213" s="86">
        <f>+Q90+Q92+Q115+Q120+Q211</f>
        <v>1301499</v>
      </c>
      <c r="R213" s="77"/>
      <c r="S213" s="86">
        <f>+S90+S92+S115+S120+S211</f>
        <v>1315980</v>
      </c>
      <c r="T213" s="77"/>
      <c r="U213" s="86">
        <f>+U90+U92+U115+U120+U211</f>
        <v>0</v>
      </c>
      <c r="V213" s="77"/>
      <c r="W213" s="86">
        <f>+W90+W92+W115+W120+W211</f>
        <v>0</v>
      </c>
      <c r="X213" s="77"/>
      <c r="Y213" s="86">
        <f>+Y90+Y92+Y115+Y120+Y211</f>
        <v>0</v>
      </c>
      <c r="Z213" s="77"/>
      <c r="AA213" s="86">
        <f>+AA90+AA92+AA115+AA120+AA211</f>
        <v>0</v>
      </c>
      <c r="AB213" s="77"/>
      <c r="AC213" s="86">
        <f>+AC90+AC92+AC115+AC120+AC211</f>
        <v>14481</v>
      </c>
      <c r="AD213" s="86">
        <f>+AD90+AD92+AD115+AD120+AD211</f>
        <v>4</v>
      </c>
      <c r="AE213" s="86">
        <f>+AE90+AE92+AE115+AE120+AE211</f>
        <v>-56420</v>
      </c>
      <c r="AF213" s="60"/>
      <c r="AG213" s="5"/>
    </row>
    <row r="214" spans="1:51" ht="10.8" thickTop="1">
      <c r="A214" s="58"/>
      <c r="B214" s="58"/>
      <c r="C214" s="58"/>
      <c r="D214" s="70"/>
      <c r="E214" s="58"/>
      <c r="F214" s="73"/>
      <c r="G214" s="58"/>
      <c r="H214" s="73"/>
      <c r="I214" s="58"/>
      <c r="J214" s="73"/>
      <c r="K214" s="58"/>
      <c r="L214" s="73"/>
      <c r="M214" s="58"/>
      <c r="N214" s="73"/>
      <c r="O214" s="58"/>
      <c r="P214" s="73"/>
      <c r="Q214" s="58"/>
      <c r="R214" s="73"/>
      <c r="S214" s="58"/>
      <c r="T214" s="73"/>
      <c r="U214" s="58"/>
      <c r="V214" s="73"/>
      <c r="W214" s="58"/>
      <c r="X214" s="73"/>
      <c r="Y214" s="58"/>
      <c r="Z214" s="73"/>
      <c r="AA214" s="58"/>
      <c r="AB214" s="73"/>
      <c r="AC214" s="58"/>
      <c r="AD214" s="70"/>
      <c r="AE214" s="58"/>
      <c r="AF214" s="58"/>
    </row>
    <row r="215" spans="1:51">
      <c r="A215" s="60" t="s">
        <v>245</v>
      </c>
      <c r="B215" s="58"/>
      <c r="C215" s="58"/>
      <c r="D215" s="70"/>
      <c r="E215" s="58"/>
      <c r="F215" s="73"/>
      <c r="G215" s="58"/>
      <c r="H215" s="73"/>
      <c r="I215" s="58"/>
      <c r="J215" s="73"/>
      <c r="K215" s="58"/>
      <c r="L215" s="73"/>
      <c r="M215" s="58"/>
      <c r="N215" s="73"/>
      <c r="O215" s="58"/>
      <c r="P215" s="73"/>
      <c r="Q215" s="58"/>
      <c r="R215" s="73"/>
      <c r="S215" s="58"/>
      <c r="T215" s="73"/>
      <c r="U215" s="58"/>
      <c r="V215" s="73"/>
      <c r="W215" s="58"/>
      <c r="X215" s="73"/>
      <c r="Y215" s="58"/>
      <c r="Z215" s="73"/>
      <c r="AA215" s="58"/>
      <c r="AB215" s="73"/>
      <c r="AC215" s="58"/>
      <c r="AD215" s="70"/>
      <c r="AE215" s="58"/>
      <c r="AF215" s="58"/>
    </row>
    <row r="216" spans="1:51">
      <c r="A216" s="60"/>
      <c r="B216" s="58"/>
      <c r="C216" s="58"/>
      <c r="D216" s="70"/>
      <c r="E216" s="58"/>
      <c r="F216" s="73"/>
      <c r="G216" s="58"/>
      <c r="H216" s="73"/>
      <c r="I216" s="58"/>
      <c r="J216" s="73"/>
      <c r="K216" s="58"/>
      <c r="L216" s="73"/>
      <c r="M216" s="58"/>
      <c r="N216" s="73"/>
      <c r="O216" s="58"/>
      <c r="P216" s="73"/>
      <c r="Q216" s="58"/>
      <c r="R216" s="73"/>
      <c r="S216" s="58"/>
      <c r="T216" s="73"/>
      <c r="U216" s="58"/>
      <c r="V216" s="73"/>
      <c r="W216" s="58"/>
      <c r="X216" s="73"/>
      <c r="Y216" s="58"/>
      <c r="Z216" s="73"/>
      <c r="AA216" s="58"/>
      <c r="AB216" s="73"/>
      <c r="AC216" s="58"/>
      <c r="AD216" s="70"/>
      <c r="AE216" s="58"/>
      <c r="AF216" s="58"/>
    </row>
    <row r="217" spans="1:51">
      <c r="A217" s="144" t="s">
        <v>392</v>
      </c>
      <c r="B217" s="58" t="str">
        <f>_xll.HPHEA($A217,$G$2)</f>
        <v>Current maturities of long-term debt</v>
      </c>
      <c r="C217" s="58">
        <f>ROUND((_xll.HPVAL($G$1,"py1",$A217,$C$7,"YTD","gpg")/1000),0)</f>
        <v>3850</v>
      </c>
      <c r="D217" s="70"/>
      <c r="E217" s="58">
        <f>ROUND((_xll.HPVAL($G$1,"ACTUAL",$A217,$E$7,"YTD","gpg")/1000),0)</f>
        <v>3850</v>
      </c>
      <c r="F217" s="73"/>
      <c r="G217" s="58">
        <f>ROUND((_xll.HPVAL($G$1,"ACTUAL",$A217,$G$7,"YTD","gpg")/1000),0)</f>
        <v>3850</v>
      </c>
      <c r="H217" s="73"/>
      <c r="I217" s="58">
        <f>ROUND((_xll.HPVAL($G$1,"ACTUAL",$A217,$I$7,"YTD","gpg")/1000),0)</f>
        <v>3850</v>
      </c>
      <c r="J217" s="73"/>
      <c r="K217" s="58">
        <f>ROUND((_xll.HPVAL($G$1,"ACTUAL",$A217,$K$7,"YTD","gpg")/1000),0)</f>
        <v>3850</v>
      </c>
      <c r="L217" s="73"/>
      <c r="M217" s="58">
        <f>ROUND((_xll.HPVAL($G$1,"ACTUAL",$A217,$M$7,"YTD","gpg")/1000),0)</f>
        <v>3850</v>
      </c>
      <c r="N217" s="73"/>
      <c r="O217" s="58">
        <f>ROUND((_xll.HPVAL($G$1,"ACTUAL",$A217,$O$7,"YTD","gpg")/1000),0)</f>
        <v>3850</v>
      </c>
      <c r="P217" s="73"/>
      <c r="Q217" s="58">
        <f>ROUND((_xll.HPVAL($G$1,"ACTUAL",$A217,$Q$7,"YTD","gpg")/1000),0)</f>
        <v>3850</v>
      </c>
      <c r="R217" s="73"/>
      <c r="S217" s="58">
        <f>ROUND((_xll.HPVAL($G$1,"ACTUAL",$A217,$S$7,"YTD","gpg")/1000),0)</f>
        <v>3850</v>
      </c>
      <c r="T217" s="73"/>
      <c r="U217" s="58">
        <f>ROUND((_xll.HPVAL($G$1,"ACTUAL",$A217,$U$7,"YTD","gpg")/1000),0)</f>
        <v>0</v>
      </c>
      <c r="V217" s="73"/>
      <c r="W217" s="58">
        <f>ROUND((_xll.HPVAL($G$1,"ACTUAL",$A217,$W$7,"YTD","gpg")/1000),0)</f>
        <v>0</v>
      </c>
      <c r="X217" s="73"/>
      <c r="Y217" s="58">
        <f>ROUND((_xll.HPVAL($G$1,"ACTUAL",$A217,$Y$7,"YTD","gpg")/1000),0)</f>
        <v>0</v>
      </c>
      <c r="Z217" s="73"/>
      <c r="AA217" s="58">
        <f>ROUND((_xll.HPVAL($G$1,"ACTUAL",$A217,$AA$7,"YTD","gpg")/1000),0)</f>
        <v>0</v>
      </c>
      <c r="AB217" s="73"/>
      <c r="AC217" s="58">
        <f>IF(mo=1,+E217-C217,CHOOSE(mo,E217,G217,I217,K217,M217,O217,Q217,S217,U217,W217,Y217,AA217)-CHOOSE(mo-1,E217,G217,I217,K217,M217,O217,Q217,S217,U217,W217,Y217,AA217))</f>
        <v>0</v>
      </c>
      <c r="AD217" s="70"/>
      <c r="AE217" s="58">
        <f>CHOOSE(mo,E217,G217,I217,K217,M217,O217,Q217,S217,U217,W217,Y217,AA217)-C217</f>
        <v>0</v>
      </c>
      <c r="AF217" s="58"/>
      <c r="AK217" s="73"/>
      <c r="AL217" s="58"/>
      <c r="AM217" s="71"/>
      <c r="AN217" s="58"/>
      <c r="AO217" s="72"/>
      <c r="AP217" s="58"/>
      <c r="AQ217" s="72"/>
      <c r="AR217" s="58"/>
      <c r="AS217" s="70"/>
      <c r="AT217" s="58"/>
      <c r="AU217" s="72"/>
      <c r="AV217" s="58"/>
      <c r="AW217" s="70"/>
      <c r="AX217" s="58"/>
      <c r="AY217" s="58"/>
    </row>
    <row r="218" spans="1:51">
      <c r="A218" s="144"/>
      <c r="B218" s="84" t="s">
        <v>216</v>
      </c>
      <c r="C218" s="58">
        <f>C219-SUM(C217:C217)</f>
        <v>0</v>
      </c>
      <c r="D218" s="70"/>
      <c r="E218" s="58">
        <f>E219-SUM(E217:E217)</f>
        <v>0</v>
      </c>
      <c r="F218" s="73"/>
      <c r="G218" s="58">
        <f>G219-SUM(G217:G217)</f>
        <v>0</v>
      </c>
      <c r="H218" s="73"/>
      <c r="I218" s="58">
        <f>I219-SUM(I217:I217)</f>
        <v>0</v>
      </c>
      <c r="J218" s="73"/>
      <c r="K218" s="58">
        <f>K219-SUM(K217:K217)</f>
        <v>0</v>
      </c>
      <c r="L218" s="73"/>
      <c r="M218" s="58">
        <f>M219-SUM(M217:M217)</f>
        <v>0</v>
      </c>
      <c r="N218" s="73"/>
      <c r="O218" s="58">
        <f>O219-SUM(O217:O217)</f>
        <v>0</v>
      </c>
      <c r="P218" s="73"/>
      <c r="Q218" s="58">
        <f>Q219-SUM(Q217:Q217)</f>
        <v>0</v>
      </c>
      <c r="R218" s="73"/>
      <c r="S218" s="58">
        <f>S219-SUM(S217:S217)</f>
        <v>0</v>
      </c>
      <c r="T218" s="73"/>
      <c r="U218" s="58">
        <f>U219-SUM(U217:U217)</f>
        <v>0</v>
      </c>
      <c r="V218" s="73"/>
      <c r="W218" s="58">
        <f>W219-SUM(W217:W217)</f>
        <v>0</v>
      </c>
      <c r="X218" s="73"/>
      <c r="Y218" s="58">
        <f>Y219-SUM(Y217:Y217)</f>
        <v>0</v>
      </c>
      <c r="Z218" s="73"/>
      <c r="AA218" s="58">
        <f>AA219-SUM(AA217:AA217)</f>
        <v>0</v>
      </c>
      <c r="AB218" s="73"/>
      <c r="AC218" s="58">
        <f>AC219-SUM(AC217:AC217)</f>
        <v>0</v>
      </c>
      <c r="AD218" s="70"/>
      <c r="AE218" s="58">
        <f>AE219-SUM(AE217:AE217)</f>
        <v>0</v>
      </c>
      <c r="AF218" s="58"/>
      <c r="AK218" s="73"/>
      <c r="AL218" s="58"/>
      <c r="AM218" s="71"/>
      <c r="AN218" s="58"/>
      <c r="AO218" s="72"/>
      <c r="AP218" s="58"/>
      <c r="AQ218" s="72"/>
      <c r="AR218" s="58"/>
      <c r="AS218" s="70"/>
      <c r="AT218" s="58"/>
      <c r="AU218" s="72"/>
      <c r="AV218" s="58"/>
      <c r="AW218" s="70"/>
      <c r="AX218" s="58"/>
      <c r="AY218" s="58"/>
    </row>
    <row r="219" spans="1:51" s="13" customFormat="1" ht="15" customHeight="1" thickBot="1">
      <c r="A219" s="144" t="s">
        <v>168</v>
      </c>
      <c r="B219" s="60" t="str">
        <f>_xll.HPHEA($A219,$G$2)</f>
        <v>Current Maturities of Long-Term Debt</v>
      </c>
      <c r="C219" s="88">
        <f>ROUND((_xll.HPVAL($G$1,"py1",$A219,$C$7,"YTD","gpg")/1000),0)</f>
        <v>3850</v>
      </c>
      <c r="D219" s="70"/>
      <c r="E219" s="88">
        <f>ROUND((_xll.HPVAL($G$1,"ACTUAL",$A219,$E$7,"YTD","gpg")/1000),0)</f>
        <v>3850</v>
      </c>
      <c r="F219" s="77"/>
      <c r="G219" s="88">
        <f>ROUND((_xll.HPVAL($G$1,"ACTUAL",$A219,$G$7,"YTD","gpg")/1000),0)</f>
        <v>3850</v>
      </c>
      <c r="H219" s="77"/>
      <c r="I219" s="88">
        <f>ROUND((_xll.HPVAL($G$1,"ACTUAL",$A219,$I$7,"YTD","gpg")/1000),0)</f>
        <v>3850</v>
      </c>
      <c r="J219" s="77"/>
      <c r="K219" s="88">
        <f>ROUND((_xll.HPVAL($G$1,"ACTUAL",$A219,$K$7,"YTD","gpg")/1000),0)</f>
        <v>3850</v>
      </c>
      <c r="L219" s="77"/>
      <c r="M219" s="88">
        <f>ROUND((_xll.HPVAL($G$1,"ACTUAL",$A219,$M$7,"YTD","gpg")/1000),0)</f>
        <v>3850</v>
      </c>
      <c r="N219" s="77"/>
      <c r="O219" s="88">
        <f>ROUND((_xll.HPVAL($G$1,"ACTUAL",$A219,$O$7,"YTD","gpg")/1000),0)</f>
        <v>3850</v>
      </c>
      <c r="P219" s="77"/>
      <c r="Q219" s="88">
        <f>ROUND((_xll.HPVAL($G$1,"ACTUAL",$A219,$Q$7,"YTD","gpg")/1000),0)</f>
        <v>3850</v>
      </c>
      <c r="R219" s="77"/>
      <c r="S219" s="88">
        <f>ROUND((_xll.HPVAL($G$1,"ACTUAL",$A219,$S$7,"YTD","gpg")/1000),0)</f>
        <v>3850</v>
      </c>
      <c r="T219" s="77"/>
      <c r="U219" s="88">
        <f>ROUND((_xll.HPVAL($G$1,"ACTUAL",$A219,$U$7,"YTD","gpg")/1000),0)</f>
        <v>0</v>
      </c>
      <c r="V219" s="77"/>
      <c r="W219" s="88">
        <f>ROUND((_xll.HPVAL($G$1,"ACTUAL",$A219,$W$7,"YTD","gpg")/1000),0)</f>
        <v>0</v>
      </c>
      <c r="X219" s="77"/>
      <c r="Y219" s="88">
        <f>ROUND((_xll.HPVAL($G$1,"ACTUAL",$A219,$Y$7,"YTD","gpg")/1000),0)</f>
        <v>0</v>
      </c>
      <c r="Z219" s="77"/>
      <c r="AA219" s="88">
        <f>ROUND((_xll.HPVAL($G$1,"ACTUAL",$A219,$AA$7,"YTD","gpg")/1000),0)</f>
        <v>0</v>
      </c>
      <c r="AB219" s="77"/>
      <c r="AC219" s="88">
        <f>IF(mo=1,+E219-C219,CHOOSE(mo,E219,G219,I219,K219,M219,O219,Q219,S219,U219,W219,Y219,AA219)-CHOOSE(mo-1,E219,G219,I219,K219,M219,O219,Q219,S219,U219,W219,Y219,AA219))</f>
        <v>0</v>
      </c>
      <c r="AD219" s="70"/>
      <c r="AE219" s="88">
        <f>CHOOSE(mo,E219,G219,I219,K219,M219,O219,Q219,S219,U219,W219,Y219,AA219)-C219</f>
        <v>0</v>
      </c>
      <c r="AF219" s="72"/>
      <c r="AG219" s="5"/>
      <c r="AH219" s="17"/>
      <c r="AI219" s="17"/>
      <c r="AJ219" s="17"/>
    </row>
    <row r="220" spans="1:51" ht="10.8" thickTop="1">
      <c r="A220" s="58"/>
      <c r="B220" s="58"/>
      <c r="C220" s="58"/>
      <c r="D220" s="70"/>
      <c r="E220" s="58"/>
      <c r="F220" s="73"/>
      <c r="G220" s="58"/>
      <c r="H220" s="73"/>
      <c r="I220" s="58"/>
      <c r="J220" s="73"/>
      <c r="K220" s="58"/>
      <c r="L220" s="73"/>
      <c r="M220" s="58"/>
      <c r="N220" s="73"/>
      <c r="O220" s="58"/>
      <c r="P220" s="73"/>
      <c r="Q220" s="58"/>
      <c r="R220" s="73"/>
      <c r="S220" s="58"/>
      <c r="T220" s="73"/>
      <c r="U220" s="58"/>
      <c r="V220" s="73"/>
      <c r="W220" s="58"/>
      <c r="X220" s="73"/>
      <c r="Y220" s="58"/>
      <c r="Z220" s="73"/>
      <c r="AA220" s="58"/>
      <c r="AB220" s="73"/>
      <c r="AC220" s="58"/>
      <c r="AD220" s="70"/>
      <c r="AE220" s="58"/>
      <c r="AF220" s="58"/>
    </row>
    <row r="221" spans="1:51" s="13" customFormat="1" ht="15" customHeight="1" thickBot="1">
      <c r="A221" s="144" t="s">
        <v>169</v>
      </c>
      <c r="B221" s="60" t="str">
        <f>_xll.HPHEA($A221,$G$2)</f>
        <v>Accounts Payable - Consolidated Subs</v>
      </c>
      <c r="C221" s="86">
        <f>ROUND((_xll.HPVAL($G$1,"py1",$A221,$C$7,"YTD","gpg")/1000),0)</f>
        <v>0</v>
      </c>
      <c r="D221" s="70"/>
      <c r="E221" s="86">
        <f>ROUND((_xll.HPVAL($G$1,"ACTUAL",$A221,$E$7,"YTD","gpg")/1000),0)</f>
        <v>0</v>
      </c>
      <c r="F221" s="77"/>
      <c r="G221" s="86">
        <f>ROUND((_xll.HPVAL($G$1,"ACTUAL",$A221,$G$7,"YTD","gpg")/1000),0)</f>
        <v>0</v>
      </c>
      <c r="H221" s="77"/>
      <c r="I221" s="86">
        <f>ROUND((_xll.HPVAL($G$1,"ACTUAL",$A221,$I$7,"YTD","gpg")/1000),0)</f>
        <v>0</v>
      </c>
      <c r="J221" s="77"/>
      <c r="K221" s="86">
        <f>ROUND((_xll.HPVAL($G$1,"ACTUAL",$A221,$K$7,"YTD","gpg")/1000),0)</f>
        <v>0</v>
      </c>
      <c r="L221" s="77"/>
      <c r="M221" s="86">
        <f>ROUND((_xll.HPVAL($G$1,"ACTUAL",$A221,$M$7,"YTD","gpg")/1000),0)</f>
        <v>0</v>
      </c>
      <c r="N221" s="77"/>
      <c r="O221" s="86">
        <f>ROUND((_xll.HPVAL($G$1,"ACTUAL",$A221,$O$7,"YTD","gpg")/1000),0)</f>
        <v>0</v>
      </c>
      <c r="P221" s="77"/>
      <c r="Q221" s="86">
        <f>ROUND((_xll.HPVAL($G$1,"ACTUAL",$A221,$Q$7,"YTD","gpg")/1000),0)</f>
        <v>0</v>
      </c>
      <c r="R221" s="77"/>
      <c r="S221" s="86">
        <f>ROUND((_xll.HPVAL($G$1,"ACTUAL",$A221,$S$7,"YTD","gpg")/1000),0)</f>
        <v>0</v>
      </c>
      <c r="T221" s="77"/>
      <c r="U221" s="86">
        <f>ROUND((_xll.HPVAL($G$1,"ACTUAL",$A221,$U$7,"YTD","gpg")/1000),0)</f>
        <v>0</v>
      </c>
      <c r="V221" s="77"/>
      <c r="W221" s="86">
        <f>ROUND((_xll.HPVAL($G$1,"ACTUAL",$A221,$W$7,"YTD","gpg")/1000),0)</f>
        <v>0</v>
      </c>
      <c r="X221" s="77"/>
      <c r="Y221" s="86">
        <f>ROUND((_xll.HPVAL($G$1,"ACTUAL",$A221,$Y$7,"YTD","gpg")/1000),0)</f>
        <v>0</v>
      </c>
      <c r="Z221" s="77"/>
      <c r="AA221" s="86">
        <f>ROUND((_xll.HPVAL($G$1,"ACTUAL",$A221,$AA$7,"YTD","gpg")/1000),0)</f>
        <v>0</v>
      </c>
      <c r="AB221" s="77"/>
      <c r="AC221" s="86">
        <f>IF(mo=1,+E221-C221,CHOOSE(mo,E221,G221,I221,K221,M221,O221,Q221,S221,U221,W221,Y221,AA221)-CHOOSE(mo-1,E221,G221,I221,K221,M221,O221,Q221,S221,U221,W221,Y221,AA221))</f>
        <v>0</v>
      </c>
      <c r="AD221" s="70"/>
      <c r="AE221" s="86">
        <f>CHOOSE(mo,E221,G221,I221,K221,M221,O221,Q221,S221,U221,W221,Y221,AA221)-C221</f>
        <v>0</v>
      </c>
      <c r="AF221" s="60"/>
      <c r="AG221" s="5"/>
    </row>
    <row r="222" spans="1:51" s="13" customFormat="1" ht="15" customHeight="1" thickTop="1">
      <c r="A222" s="144"/>
      <c r="B222" s="60"/>
      <c r="C222" s="72"/>
      <c r="D222" s="70"/>
      <c r="E222" s="72"/>
      <c r="F222" s="77"/>
      <c r="G222" s="72"/>
      <c r="H222" s="77"/>
      <c r="I222" s="72"/>
      <c r="J222" s="77"/>
      <c r="K222" s="72"/>
      <c r="L222" s="77"/>
      <c r="M222" s="72"/>
      <c r="N222" s="77"/>
      <c r="O222" s="72"/>
      <c r="P222" s="77"/>
      <c r="Q222" s="72"/>
      <c r="R222" s="77"/>
      <c r="S222" s="72"/>
      <c r="T222" s="77"/>
      <c r="U222" s="72"/>
      <c r="V222" s="77"/>
      <c r="W222" s="72"/>
      <c r="X222" s="77"/>
      <c r="Y222" s="72"/>
      <c r="Z222" s="77"/>
      <c r="AA222" s="72"/>
      <c r="AB222" s="77"/>
      <c r="AC222" s="75"/>
      <c r="AD222" s="70"/>
      <c r="AE222" s="72"/>
      <c r="AF222" s="60"/>
      <c r="AG222" s="5"/>
    </row>
    <row r="223" spans="1:51" s="13" customFormat="1" ht="11.25" customHeight="1">
      <c r="A223" s="84" t="s">
        <v>398</v>
      </c>
      <c r="B223" s="58" t="str">
        <f>_xll.HPHEA($A223,$G$2)</f>
        <v>0051_30013000 - Enron Services Corp.</v>
      </c>
      <c r="C223" s="58">
        <f>-ROUND((_xll.HPVAL($G$1,"py1",$A223,$C$7,"YTD","gpg")/1000),0)</f>
        <v>40</v>
      </c>
      <c r="D223" s="70"/>
      <c r="E223" s="58">
        <f>-ROUND((_xll.HPVAL($G$1,"ACTUAL",$A223,$E$7,"YTD","gpg")/1000),0)</f>
        <v>40</v>
      </c>
      <c r="F223" s="76"/>
      <c r="G223" s="58">
        <f>-ROUND((_xll.HPVAL($G$1,"ACTUAL",$A223,$G$7,"YTD","gpg")/1000),0)</f>
        <v>40</v>
      </c>
      <c r="H223" s="76"/>
      <c r="I223" s="58">
        <f>-ROUND((_xll.HPVAL($G$1,"ACTUAL",$A223,$I$7,"YTD","gpg")/1000),0)</f>
        <v>40</v>
      </c>
      <c r="J223" s="76"/>
      <c r="K223" s="58">
        <f>-ROUND((_xll.HPVAL($G$1,"ACTUAL",$A223,$K$7,"YTD","gpg")/1000),0)</f>
        <v>40</v>
      </c>
      <c r="L223" s="76"/>
      <c r="M223" s="58">
        <f>-ROUND((_xll.HPVAL($G$1,"ACTUAL",$A223,$M$7,"YTD","gpg")/1000),0)</f>
        <v>40</v>
      </c>
      <c r="N223" s="76"/>
      <c r="O223" s="58">
        <f>-ROUND((_xll.HPVAL($G$1,"ACTUAL",$A223,$O$7,"YTD","gpg")/1000),0)</f>
        <v>40</v>
      </c>
      <c r="P223" s="76"/>
      <c r="Q223" s="58">
        <f>-ROUND((_xll.HPVAL($G$1,"ACTUAL",$A223,$Q$7,"YTD","gpg")/1000),0)</f>
        <v>39</v>
      </c>
      <c r="R223" s="76"/>
      <c r="S223" s="58">
        <f>-ROUND((_xll.HPVAL($G$1,"ACTUAL",$A223,$S$7,"YTD","gpg")/1000),0)</f>
        <v>0</v>
      </c>
      <c r="T223" s="76"/>
      <c r="U223" s="58">
        <f>-ROUND((_xll.HPVAL($G$1,"ACTUAL",$A223,$U$7,"YTD","gpg")/1000),0)</f>
        <v>0</v>
      </c>
      <c r="V223" s="76"/>
      <c r="W223" s="58">
        <f>-ROUND((_xll.HPVAL($G$1,"ACTUAL",$A223,$W$7,"YTD","gpg")/1000),0)</f>
        <v>0</v>
      </c>
      <c r="X223" s="76"/>
      <c r="Y223" s="58">
        <f>-ROUND((_xll.HPVAL($G$1,"ACTUAL",$A223,$Y$7,"YTD","gpg")/1000),0)</f>
        <v>0</v>
      </c>
      <c r="Z223" s="76"/>
      <c r="AA223" s="58">
        <f>-ROUND((_xll.HPVAL($G$1,"ACTUAL",$A223,$AA$7,"YTD","gpg")/1000),0)</f>
        <v>0</v>
      </c>
      <c r="AB223" s="76"/>
      <c r="AC223" s="58">
        <f t="shared" ref="AC223:AC250" si="12">IF(mo=1,+E223-C223,CHOOSE(mo,E223,G223,I223,K223,M223,O223,Q223,S223,U223,W223,Y223,AA223)-CHOOSE(mo-1,E223,G223,I223,K223,M223,O223,Q223,S223,U223,W223,Y223,AA223))</f>
        <v>-39</v>
      </c>
      <c r="AD223" s="70"/>
      <c r="AE223" s="58">
        <f t="shared" ref="AE223:AE248" si="13">CHOOSE(mo,E223,G223,I223,K223,M223,O223,Q223,S223,U223,W223,Y223,AA223)-C223</f>
        <v>-40</v>
      </c>
      <c r="AF223" s="60"/>
      <c r="AG223" s="5"/>
    </row>
    <row r="224" spans="1:51" s="13" customFormat="1" ht="11.25" customHeight="1">
      <c r="A224" s="84" t="s">
        <v>399</v>
      </c>
      <c r="B224" s="58" t="str">
        <f>_xll.HPHEA($A224,$G$2)</f>
        <v>0051_30013000 - Houston Pipe Line Company</v>
      </c>
      <c r="C224" s="58">
        <f>-ROUND((_xll.HPVAL($G$1,"py1",$A224,$C$7,"YTD","gpg")/1000),0)</f>
        <v>2</v>
      </c>
      <c r="D224" s="70"/>
      <c r="E224" s="58">
        <f>-ROUND((_xll.HPVAL($G$1,"ACTUAL",$A224,$E$7,"YTD","gpg")/1000),0)</f>
        <v>2</v>
      </c>
      <c r="F224" s="76"/>
      <c r="G224" s="58">
        <f>-ROUND((_xll.HPVAL($G$1,"ACTUAL",$A224,$G$7,"YTD","gpg")/1000),0)</f>
        <v>2</v>
      </c>
      <c r="H224" s="76"/>
      <c r="I224" s="58">
        <f>-ROUND((_xll.HPVAL($G$1,"ACTUAL",$A224,$I$7,"YTD","gpg")/1000),0)</f>
        <v>4</v>
      </c>
      <c r="J224" s="76"/>
      <c r="K224" s="58">
        <f>-ROUND((_xll.HPVAL($G$1,"ACTUAL",$A224,$K$7,"YTD","gpg")/1000),0)</f>
        <v>4</v>
      </c>
      <c r="L224" s="76"/>
      <c r="M224" s="58">
        <f>-ROUND((_xll.HPVAL($G$1,"ACTUAL",$A224,$M$7,"YTD","gpg")/1000),0)</f>
        <v>4</v>
      </c>
      <c r="N224" s="76"/>
      <c r="O224" s="58">
        <f>-ROUND((_xll.HPVAL($G$1,"ACTUAL",$A224,$O$7,"YTD","gpg")/1000),0)</f>
        <v>0</v>
      </c>
      <c r="P224" s="76"/>
      <c r="Q224" s="58">
        <f>-ROUND((_xll.HPVAL($G$1,"ACTUAL",$A224,$Q$7,"YTD","gpg")/1000),0)</f>
        <v>0</v>
      </c>
      <c r="R224" s="76"/>
      <c r="S224" s="58">
        <f>-ROUND((_xll.HPVAL($G$1,"ACTUAL",$A224,$S$7,"YTD","gpg")/1000),0)</f>
        <v>0</v>
      </c>
      <c r="T224" s="76"/>
      <c r="U224" s="58">
        <f>-ROUND((_xll.HPVAL($G$1,"ACTUAL",$A224,$U$7,"YTD","gpg")/1000),0)</f>
        <v>0</v>
      </c>
      <c r="V224" s="76"/>
      <c r="W224" s="58">
        <f>-ROUND((_xll.HPVAL($G$1,"ACTUAL",$A224,$W$7,"YTD","gpg")/1000),0)</f>
        <v>0</v>
      </c>
      <c r="X224" s="76"/>
      <c r="Y224" s="58">
        <f>-ROUND((_xll.HPVAL($G$1,"ACTUAL",$A224,$Y$7,"YTD","gpg")/1000),0)</f>
        <v>0</v>
      </c>
      <c r="Z224" s="76"/>
      <c r="AA224" s="58">
        <f>-ROUND((_xll.HPVAL($G$1,"ACTUAL",$A224,$AA$7,"YTD","gpg")/1000),0)</f>
        <v>0</v>
      </c>
      <c r="AB224" s="76"/>
      <c r="AC224" s="58">
        <f t="shared" si="12"/>
        <v>0</v>
      </c>
      <c r="AD224" s="70"/>
      <c r="AE224" s="58">
        <f t="shared" si="13"/>
        <v>-2</v>
      </c>
      <c r="AF224" s="60"/>
      <c r="AG224" s="5"/>
    </row>
    <row r="225" spans="1:33" s="13" customFormat="1" ht="11.25" customHeight="1">
      <c r="A225" s="84" t="s">
        <v>400</v>
      </c>
      <c r="B225" s="58" t="str">
        <f>_xll.HPHEA($A225,$G$2)</f>
        <v>0051_30013000 - Enron Engineering and Con</v>
      </c>
      <c r="C225" s="58">
        <f>-ROUND((_xll.HPVAL($G$1,"py1",$A225,$C$7,"YTD","gpg")/1000),0)</f>
        <v>0</v>
      </c>
      <c r="D225" s="70"/>
      <c r="E225" s="58">
        <f>-ROUND((_xll.HPVAL($G$1,"ACTUAL",$A225,$E$7,"YTD","gpg")/1000),0)</f>
        <v>12</v>
      </c>
      <c r="F225" s="76"/>
      <c r="G225" s="58">
        <f>-ROUND((_xll.HPVAL($G$1,"ACTUAL",$A225,$G$7,"YTD","gpg")/1000),0)</f>
        <v>18</v>
      </c>
      <c r="H225" s="76"/>
      <c r="I225" s="58">
        <f>-ROUND((_xll.HPVAL($G$1,"ACTUAL",$A225,$I$7,"YTD","gpg")/1000),0)</f>
        <v>21</v>
      </c>
      <c r="J225" s="76"/>
      <c r="K225" s="58">
        <f>-ROUND((_xll.HPVAL($G$1,"ACTUAL",$A225,$K$7,"YTD","gpg")/1000),0)</f>
        <v>28</v>
      </c>
      <c r="L225" s="76"/>
      <c r="M225" s="58">
        <f>-ROUND((_xll.HPVAL($G$1,"ACTUAL",$A225,$M$7,"YTD","gpg")/1000),0)</f>
        <v>0</v>
      </c>
      <c r="N225" s="76"/>
      <c r="O225" s="58">
        <f>-ROUND((_xll.HPVAL($G$1,"ACTUAL",$A225,$O$7,"YTD","gpg")/1000),0)</f>
        <v>0</v>
      </c>
      <c r="P225" s="76"/>
      <c r="Q225" s="58">
        <f>-ROUND((_xll.HPVAL($G$1,"ACTUAL",$A225,$Q$7,"YTD","gpg")/1000),0)</f>
        <v>0</v>
      </c>
      <c r="R225" s="76"/>
      <c r="S225" s="58">
        <f>-ROUND((_xll.HPVAL($G$1,"ACTUAL",$A225,$S$7,"YTD","gpg")/1000),0)</f>
        <v>0</v>
      </c>
      <c r="T225" s="76"/>
      <c r="U225" s="58">
        <f>-ROUND((_xll.HPVAL($G$1,"ACTUAL",$A225,$U$7,"YTD","gpg")/1000),0)</f>
        <v>0</v>
      </c>
      <c r="V225" s="76"/>
      <c r="W225" s="58">
        <f>-ROUND((_xll.HPVAL($G$1,"ACTUAL",$A225,$W$7,"YTD","gpg")/1000),0)</f>
        <v>0</v>
      </c>
      <c r="X225" s="76"/>
      <c r="Y225" s="58">
        <f>-ROUND((_xll.HPVAL($G$1,"ACTUAL",$A225,$Y$7,"YTD","gpg")/1000),0)</f>
        <v>0</v>
      </c>
      <c r="Z225" s="76"/>
      <c r="AA225" s="58">
        <f>-ROUND((_xll.HPVAL($G$1,"ACTUAL",$A225,$AA$7,"YTD","gpg")/1000),0)</f>
        <v>0</v>
      </c>
      <c r="AB225" s="76"/>
      <c r="AC225" s="58">
        <f t="shared" si="12"/>
        <v>0</v>
      </c>
      <c r="AD225" s="70"/>
      <c r="AE225" s="58">
        <f t="shared" si="13"/>
        <v>0</v>
      </c>
      <c r="AF225" s="60"/>
      <c r="AG225" s="5"/>
    </row>
    <row r="226" spans="1:33" s="13" customFormat="1" ht="11.25" customHeight="1">
      <c r="A226" s="84" t="s">
        <v>465</v>
      </c>
      <c r="B226" s="58" t="str">
        <f>_xll.HPHEA($A226,$G$2)</f>
        <v>0051_30013000 - 83E</v>
      </c>
      <c r="C226" s="58">
        <f>-ROUND((_xll.HPVAL($G$1,"py1",$A226,$C$7,"YTD","gpg")/1000),0)</f>
        <v>13</v>
      </c>
      <c r="D226" s="70"/>
      <c r="E226" s="58">
        <f>-ROUND((_xll.HPVAL($G$1,"ACTUAL",$A226,$E$7,"YTD","gpg")/1000),0)</f>
        <v>38</v>
      </c>
      <c r="F226" s="76"/>
      <c r="G226" s="58">
        <f>-ROUND((_xll.HPVAL($G$1,"ACTUAL",$A226,$G$7,"YTD","gpg")/1000),0)</f>
        <v>62</v>
      </c>
      <c r="H226" s="76"/>
      <c r="I226" s="58">
        <f>-ROUND((_xll.HPVAL($G$1,"ACTUAL",$A226,$I$7,"YTD","gpg")/1000),0)</f>
        <v>89</v>
      </c>
      <c r="J226" s="76"/>
      <c r="K226" s="58">
        <f>-ROUND((_xll.HPVAL($G$1,"ACTUAL",$A226,$K$7,"YTD","gpg")/1000),0)</f>
        <v>150</v>
      </c>
      <c r="L226" s="76"/>
      <c r="M226" s="58">
        <f>-ROUND((_xll.HPVAL($G$1,"ACTUAL",$A226,$M$7,"YTD","gpg")/1000),0)</f>
        <v>138</v>
      </c>
      <c r="N226" s="76"/>
      <c r="O226" s="58">
        <f>-ROUND((_xll.HPVAL($G$1,"ACTUAL",$A226,$O$7,"YTD","gpg")/1000),0)</f>
        <v>164</v>
      </c>
      <c r="P226" s="76"/>
      <c r="Q226" s="58">
        <f>-ROUND((_xll.HPVAL($G$1,"ACTUAL",$A226,$Q$7,"YTD","gpg")/1000),0)</f>
        <v>187</v>
      </c>
      <c r="R226" s="76"/>
      <c r="S226" s="58">
        <f>-ROUND((_xll.HPVAL($G$1,"ACTUAL",$A226,$S$7,"YTD","gpg")/1000),0)</f>
        <v>0</v>
      </c>
      <c r="T226" s="76"/>
      <c r="U226" s="58">
        <f>-ROUND((_xll.HPVAL($G$1,"ACTUAL",$A226,$U$7,"YTD","gpg")/1000),0)</f>
        <v>0</v>
      </c>
      <c r="V226" s="76"/>
      <c r="W226" s="58">
        <f>-ROUND((_xll.HPVAL($G$1,"ACTUAL",$A226,$W$7,"YTD","gpg")/1000),0)</f>
        <v>0</v>
      </c>
      <c r="X226" s="76"/>
      <c r="Y226" s="58">
        <f>-ROUND((_xll.HPVAL($G$1,"ACTUAL",$A226,$Y$7,"YTD","gpg")/1000),0)</f>
        <v>0</v>
      </c>
      <c r="Z226" s="76"/>
      <c r="AA226" s="58">
        <f>-ROUND((_xll.HPVAL($G$1,"ACTUAL",$A226,$AA$7,"YTD","gpg")/1000),0)</f>
        <v>0</v>
      </c>
      <c r="AB226" s="76"/>
      <c r="AC226" s="58">
        <f>IF(mo=1,+E226-C226,CHOOSE(mo,E226,G226,I226,K226,M226,O226,Q226,S226,U226,W226,Y226,AA226)-CHOOSE(mo-1,E226,G226,I226,K226,M226,O226,Q226,S226,U226,W226,Y226,AA226))</f>
        <v>-187</v>
      </c>
      <c r="AD226" s="70"/>
      <c r="AE226" s="58">
        <f>CHOOSE(mo,E226,G226,I226,K226,M226,O226,Q226,S226,U226,W226,Y226,AA226)-C226</f>
        <v>-13</v>
      </c>
      <c r="AF226" s="60"/>
      <c r="AG226" s="5"/>
    </row>
    <row r="227" spans="1:33" s="13" customFormat="1" ht="11.25" customHeight="1">
      <c r="A227" s="84" t="s">
        <v>523</v>
      </c>
      <c r="B227" s="58" t="str">
        <f>_xll.HPHEA($A227,$G$2)</f>
        <v>0051_30013000 - Enron Energy Mkt Corp</v>
      </c>
      <c r="C227" s="58">
        <f>-ROUND((_xll.HPVAL($G$1,"py1",$A227,$C$7,"YTD","gpg")/1000),0)</f>
        <v>0</v>
      </c>
      <c r="D227" s="70"/>
      <c r="E227" s="58">
        <f>-ROUND((_xll.HPVAL($G$1,"ACTUAL",$A227,$E$7,"YTD","gpg")/1000),0)</f>
        <v>4</v>
      </c>
      <c r="F227" s="76"/>
      <c r="G227" s="58">
        <f>-ROUND((_xll.HPVAL($G$1,"ACTUAL",$A227,$G$7,"YTD","gpg")/1000),0)</f>
        <v>0</v>
      </c>
      <c r="H227" s="76"/>
      <c r="I227" s="58">
        <f>-ROUND((_xll.HPVAL($G$1,"ACTUAL",$A227,$I$7,"YTD","gpg")/1000),0)</f>
        <v>0</v>
      </c>
      <c r="J227" s="76"/>
      <c r="K227" s="58">
        <f>-ROUND((_xll.HPVAL($G$1,"ACTUAL",$A227,$K$7,"YTD","gpg")/1000),0)</f>
        <v>0</v>
      </c>
      <c r="L227" s="76"/>
      <c r="M227" s="58">
        <f>-ROUND((_xll.HPVAL($G$1,"ACTUAL",$A227,$M$7,"YTD","gpg")/1000),0)</f>
        <v>0</v>
      </c>
      <c r="N227" s="76"/>
      <c r="O227" s="58">
        <f>-ROUND((_xll.HPVAL($G$1,"ACTUAL",$A227,$O$7,"YTD","gpg")/1000),0)</f>
        <v>0</v>
      </c>
      <c r="P227" s="76"/>
      <c r="Q227" s="58">
        <f>-ROUND((_xll.HPVAL($G$1,"ACTUAL",$A227,$Q$7,"YTD","gpg")/1000),0)</f>
        <v>0</v>
      </c>
      <c r="R227" s="76"/>
      <c r="S227" s="58">
        <f>-ROUND((_xll.HPVAL($G$1,"ACTUAL",$A227,$S$7,"YTD","gpg")/1000),0)</f>
        <v>0</v>
      </c>
      <c r="T227" s="76"/>
      <c r="U227" s="58">
        <f>-ROUND((_xll.HPVAL($G$1,"ACTUAL",$A227,$U$7,"YTD","gpg")/1000),0)</f>
        <v>0</v>
      </c>
      <c r="V227" s="76"/>
      <c r="W227" s="58">
        <f>-ROUND((_xll.HPVAL($G$1,"ACTUAL",$A227,$W$7,"YTD","gpg")/1000),0)</f>
        <v>0</v>
      </c>
      <c r="X227" s="76"/>
      <c r="Y227" s="58">
        <f>-ROUND((_xll.HPVAL($G$1,"ACTUAL",$A227,$Y$7,"YTD","gpg")/1000),0)</f>
        <v>0</v>
      </c>
      <c r="Z227" s="76"/>
      <c r="AA227" s="58">
        <f>-ROUND((_xll.HPVAL($G$1,"ACTUAL",$A227,$AA$7,"YTD","gpg")/1000),0)</f>
        <v>0</v>
      </c>
      <c r="AB227" s="76"/>
      <c r="AC227" s="58">
        <f>IF(mo=1,+E227-C227,CHOOSE(mo,E227,G227,I227,K227,M227,O227,Q227,S227,U227,W227,Y227,AA227)-CHOOSE(mo-1,E227,G227,I227,K227,M227,O227,Q227,S227,U227,W227,Y227,AA227))</f>
        <v>0</v>
      </c>
      <c r="AD227" s="70"/>
      <c r="AE227" s="58">
        <f>CHOOSE(mo,E227,G227,I227,K227,M227,O227,Q227,S227,U227,W227,Y227,AA227)-C227</f>
        <v>0</v>
      </c>
      <c r="AF227" s="60"/>
      <c r="AG227" s="5"/>
    </row>
    <row r="228" spans="1:33" s="13" customFormat="1" ht="11.25" customHeight="1">
      <c r="A228" s="84" t="s">
        <v>556</v>
      </c>
      <c r="B228" s="58" t="str">
        <f>_xll.HPHEA($A228,$G$2)</f>
        <v>0051_30013000 - Corporate Finance Company</v>
      </c>
      <c r="C228" s="58">
        <f>-ROUND((_xll.HPVAL($G$1,"py1",$A228,$C$7,"YTD","gpg")/1000),0)</f>
        <v>0</v>
      </c>
      <c r="D228" s="70"/>
      <c r="E228" s="58">
        <f>-ROUND((_xll.HPVAL($G$1,"ACTUAL",$A228,$E$7,"YTD","gpg")/1000),0)</f>
        <v>0</v>
      </c>
      <c r="F228" s="76"/>
      <c r="G228" s="58">
        <f>-ROUND((_xll.HPVAL($G$1,"ACTUAL",$A228,$G$7,"YTD","gpg")/1000),0)</f>
        <v>0</v>
      </c>
      <c r="H228" s="76"/>
      <c r="I228" s="58">
        <f>-ROUND((_xll.HPVAL($G$1,"ACTUAL",$A228,$I$7,"YTD","gpg")/1000),0)</f>
        <v>12962</v>
      </c>
      <c r="J228" s="73" t="s">
        <v>219</v>
      </c>
      <c r="K228" s="58">
        <f>-ROUND((_xll.HPVAL($G$1,"ACTUAL",$A228,$K$7,"YTD","gpg")/1000),0)</f>
        <v>0</v>
      </c>
      <c r="L228" s="73" t="s">
        <v>231</v>
      </c>
      <c r="M228" s="58">
        <f>-ROUND((_xll.HPVAL($G$1,"ACTUAL",$A228,$M$7,"YTD","gpg")/1000),0)</f>
        <v>0</v>
      </c>
      <c r="N228" s="76"/>
      <c r="O228" s="58">
        <f>-ROUND((_xll.HPVAL($G$1,"ACTUAL",$A228,$O$7,"YTD","gpg")/1000),0)</f>
        <v>0</v>
      </c>
      <c r="P228" s="76"/>
      <c r="Q228" s="58">
        <f>-ROUND((_xll.HPVAL($G$1,"ACTUAL",$A228,$Q$7,"YTD","gpg")/1000),0)</f>
        <v>0</v>
      </c>
      <c r="R228" s="76"/>
      <c r="S228" s="58">
        <f>-ROUND((_xll.HPVAL($G$1,"ACTUAL",$A228,$S$7,"YTD","gpg")/1000),0)</f>
        <v>0</v>
      </c>
      <c r="T228" s="76"/>
      <c r="U228" s="58">
        <f>-ROUND((_xll.HPVAL($G$1,"ACTUAL",$A228,$U$7,"YTD","gpg")/1000),0)</f>
        <v>0</v>
      </c>
      <c r="V228" s="76"/>
      <c r="W228" s="58">
        <f>-ROUND((_xll.HPVAL($G$1,"ACTUAL",$A228,$W$7,"YTD","gpg")/1000),0)</f>
        <v>0</v>
      </c>
      <c r="X228" s="76"/>
      <c r="Y228" s="58">
        <f>-ROUND((_xll.HPVAL($G$1,"ACTUAL",$A228,$Y$7,"YTD","gpg")/1000),0)</f>
        <v>0</v>
      </c>
      <c r="Z228" s="76"/>
      <c r="AA228" s="58">
        <f>-ROUND((_xll.HPVAL($G$1,"ACTUAL",$A228,$AA$7,"YTD","gpg")/1000),0)</f>
        <v>0</v>
      </c>
      <c r="AB228" s="73"/>
      <c r="AC228" s="58">
        <f>IF(mo=1,+E228-C228,CHOOSE(mo,E228,G228,I228,K228,M228,O228,Q228,S228,U228,W228,Y228,AA228)-CHOOSE(mo-1,E228,G228,I228,K228,M228,O228,Q228,S228,U228,W228,Y228,AA228))</f>
        <v>0</v>
      </c>
      <c r="AD228" s="70"/>
      <c r="AE228" s="58">
        <f>CHOOSE(mo,E228,G228,I228,K228,M228,O228,Q228,S228,U228,W228,Y228,AA228)-C228</f>
        <v>0</v>
      </c>
      <c r="AF228" s="60"/>
      <c r="AG228" s="5"/>
    </row>
    <row r="229" spans="1:33" s="13" customFormat="1" ht="11.25" customHeight="1">
      <c r="A229" s="84" t="s">
        <v>401</v>
      </c>
      <c r="B229" s="58" t="str">
        <f>_xll.HPHEA($A229,$G$2)</f>
        <v>0051_30013000 - Northern Natural Gas Comp</v>
      </c>
      <c r="C229" s="58">
        <f>-ROUND((_xll.HPVAL($G$1,"py1",$A229,$C$7,"YTD","gpg")/1000),0)</f>
        <v>28</v>
      </c>
      <c r="D229" s="70"/>
      <c r="E229" s="58">
        <f>-ROUND((_xll.HPVAL($G$1,"ACTUAL",$A229,$E$7,"YTD","gpg")/1000),0)</f>
        <v>35</v>
      </c>
      <c r="F229" s="76"/>
      <c r="G229" s="58">
        <f>-ROUND((_xll.HPVAL($G$1,"ACTUAL",$A229,$G$7,"YTD","gpg")/1000),0)</f>
        <v>0</v>
      </c>
      <c r="H229" s="76"/>
      <c r="I229" s="58">
        <f>-ROUND((_xll.HPVAL($G$1,"ACTUAL",$A229,$I$7,"YTD","gpg")/1000),0)</f>
        <v>0</v>
      </c>
      <c r="J229" s="76"/>
      <c r="K229" s="58">
        <f>-ROUND((_xll.HPVAL($G$1,"ACTUAL",$A229,$K$7,"YTD","gpg")/1000),0)</f>
        <v>0</v>
      </c>
      <c r="L229" s="76"/>
      <c r="M229" s="58">
        <f>-ROUND((_xll.HPVAL($G$1,"ACTUAL",$A229,$M$7,"YTD","gpg")/1000),0)</f>
        <v>0</v>
      </c>
      <c r="N229" s="76"/>
      <c r="O229" s="58">
        <f>-ROUND((_xll.HPVAL($G$1,"ACTUAL",$A229,$O$7,"YTD","gpg")/1000),0)</f>
        <v>48</v>
      </c>
      <c r="P229" s="76"/>
      <c r="Q229" s="58">
        <f>-ROUND((_xll.HPVAL($G$1,"ACTUAL",$A229,$Q$7,"YTD","gpg")/1000),0)</f>
        <v>5</v>
      </c>
      <c r="R229" s="76"/>
      <c r="S229" s="58">
        <f>-ROUND((_xll.HPVAL($G$1,"ACTUAL",$A229,$S$7,"YTD","gpg")/1000),0)</f>
        <v>0</v>
      </c>
      <c r="T229" s="76"/>
      <c r="U229" s="58">
        <f>-ROUND((_xll.HPVAL($G$1,"ACTUAL",$A229,$U$7,"YTD","gpg")/1000),0)</f>
        <v>0</v>
      </c>
      <c r="V229" s="76"/>
      <c r="W229" s="58">
        <f>-ROUND((_xll.HPVAL($G$1,"ACTUAL",$A229,$W$7,"YTD","gpg")/1000),0)</f>
        <v>0</v>
      </c>
      <c r="X229" s="76"/>
      <c r="Y229" s="58">
        <f>-ROUND((_xll.HPVAL($G$1,"ACTUAL",$A229,$Y$7,"YTD","gpg")/1000),0)</f>
        <v>0</v>
      </c>
      <c r="Z229" s="76"/>
      <c r="AA229" s="58">
        <f>-ROUND((_xll.HPVAL($G$1,"ACTUAL",$A229,$AA$7,"YTD","gpg")/1000),0)</f>
        <v>0</v>
      </c>
      <c r="AB229" s="76"/>
      <c r="AC229" s="58">
        <f t="shared" si="12"/>
        <v>-5</v>
      </c>
      <c r="AD229" s="70"/>
      <c r="AE229" s="58">
        <f t="shared" si="13"/>
        <v>-28</v>
      </c>
      <c r="AF229" s="60"/>
      <c r="AG229" s="5"/>
    </row>
    <row r="230" spans="1:33" s="13" customFormat="1" ht="11.25" customHeight="1">
      <c r="A230" s="84" t="s">
        <v>402</v>
      </c>
      <c r="B230" s="58" t="str">
        <f>_xll.HPHEA($A230,$G$2)</f>
        <v>0051_30013000 - Enron Expat Services Inc.</v>
      </c>
      <c r="C230" s="58">
        <f>-ROUND((_xll.HPVAL($G$1,"py1",$A230,$C$7,"YTD","gpg")/1000),0)</f>
        <v>1</v>
      </c>
      <c r="D230" s="70"/>
      <c r="E230" s="58">
        <f>-ROUND((_xll.HPVAL($G$1,"ACTUAL",$A230,$E$7,"YTD","gpg")/1000),0)</f>
        <v>1</v>
      </c>
      <c r="F230" s="76"/>
      <c r="G230" s="58">
        <f>-ROUND((_xll.HPVAL($G$1,"ACTUAL",$A230,$G$7,"YTD","gpg")/1000),0)</f>
        <v>1</v>
      </c>
      <c r="H230" s="76"/>
      <c r="I230" s="58">
        <f>-ROUND((_xll.HPVAL($G$1,"ACTUAL",$A230,$I$7,"YTD","gpg")/1000),0)</f>
        <v>1</v>
      </c>
      <c r="J230" s="76"/>
      <c r="K230" s="58">
        <f>-ROUND((_xll.HPVAL($G$1,"ACTUAL",$A230,$K$7,"YTD","gpg")/1000),0)</f>
        <v>1</v>
      </c>
      <c r="L230" s="76"/>
      <c r="M230" s="58">
        <f>-ROUND((_xll.HPVAL($G$1,"ACTUAL",$A230,$M$7,"YTD","gpg")/1000),0)</f>
        <v>1</v>
      </c>
      <c r="N230" s="76"/>
      <c r="O230" s="58">
        <f>-ROUND((_xll.HPVAL($G$1,"ACTUAL",$A230,$O$7,"YTD","gpg")/1000),0)</f>
        <v>1</v>
      </c>
      <c r="P230" s="76"/>
      <c r="Q230" s="58">
        <f>-ROUND((_xll.HPVAL($G$1,"ACTUAL",$A230,$Q$7,"YTD","gpg")/1000),0)</f>
        <v>1</v>
      </c>
      <c r="R230" s="76"/>
      <c r="S230" s="58">
        <f>-ROUND((_xll.HPVAL($G$1,"ACTUAL",$A230,$S$7,"YTD","gpg")/1000),0)</f>
        <v>0</v>
      </c>
      <c r="T230" s="76"/>
      <c r="U230" s="58">
        <f>-ROUND((_xll.HPVAL($G$1,"ACTUAL",$A230,$U$7,"YTD","gpg")/1000),0)</f>
        <v>0</v>
      </c>
      <c r="V230" s="76"/>
      <c r="W230" s="58">
        <f>-ROUND((_xll.HPVAL($G$1,"ACTUAL",$A230,$W$7,"YTD","gpg")/1000),0)</f>
        <v>0</v>
      </c>
      <c r="X230" s="76"/>
      <c r="Y230" s="58">
        <f>-ROUND((_xll.HPVAL($G$1,"ACTUAL",$A230,$Y$7,"YTD","gpg")/1000),0)</f>
        <v>0</v>
      </c>
      <c r="Z230" s="76"/>
      <c r="AA230" s="58">
        <f>-ROUND((_xll.HPVAL($G$1,"ACTUAL",$A230,$AA$7,"YTD","gpg")/1000),0)</f>
        <v>0</v>
      </c>
      <c r="AB230" s="76"/>
      <c r="AC230" s="58">
        <f t="shared" si="12"/>
        <v>-1</v>
      </c>
      <c r="AD230" s="70"/>
      <c r="AE230" s="58">
        <f t="shared" si="13"/>
        <v>-1</v>
      </c>
      <c r="AF230" s="60"/>
      <c r="AG230" s="5"/>
    </row>
    <row r="231" spans="1:33" s="13" customFormat="1" ht="11.25" customHeight="1">
      <c r="A231" s="84" t="s">
        <v>413</v>
      </c>
      <c r="B231" s="58" t="str">
        <f>_xll.HPHEA($A231,$G$2)</f>
        <v>0051_30013000 - Enron Capital &amp; Trade Res</v>
      </c>
      <c r="C231" s="58">
        <f>-ROUND((_xll.HPVAL($G$1,"py1",$A231,$C$7,"YTD","gpg")/1000),0)</f>
        <v>1227</v>
      </c>
      <c r="D231" s="70"/>
      <c r="E231" s="58">
        <f>-ROUND((_xll.HPVAL($G$1,"ACTUAL",$A231,$E$7,"YTD","gpg")/1000),0)</f>
        <v>3298</v>
      </c>
      <c r="F231" s="76"/>
      <c r="G231" s="58">
        <f>-ROUND((_xll.HPVAL($G$1,"ACTUAL",$A231,$G$7,"YTD","gpg")/1000),0)</f>
        <v>1214</v>
      </c>
      <c r="H231" s="76"/>
      <c r="I231" s="58">
        <f>-ROUND((_xll.HPVAL($G$1,"ACTUAL",$A231,$I$7,"YTD","gpg")/1000),0)</f>
        <v>394</v>
      </c>
      <c r="J231" s="76"/>
      <c r="K231" s="58">
        <f>-ROUND((_xll.HPVAL($G$1,"ACTUAL",$A231,$K$7,"YTD","gpg")/1000),0)</f>
        <v>495</v>
      </c>
      <c r="L231" s="76"/>
      <c r="M231" s="58">
        <f>-ROUND((_xll.HPVAL($G$1,"ACTUAL",$A231,$M$7,"YTD","gpg")/1000),0)</f>
        <v>1028</v>
      </c>
      <c r="N231" s="76"/>
      <c r="O231" s="58">
        <f>-ROUND((_xll.HPVAL($G$1,"ACTUAL",$A231,$O$7,"YTD","gpg")/1000),0)</f>
        <v>183</v>
      </c>
      <c r="P231" s="76"/>
      <c r="Q231" s="58">
        <f>-ROUND((_xll.HPVAL($G$1,"ACTUAL",$A231,$Q$7,"YTD","gpg")/1000),0)</f>
        <v>183</v>
      </c>
      <c r="R231" s="76"/>
      <c r="S231" s="58">
        <f>-ROUND((_xll.HPVAL($G$1,"ACTUAL",$A231,$S$7,"YTD","gpg")/1000),0)</f>
        <v>183</v>
      </c>
      <c r="T231" s="76"/>
      <c r="U231" s="58">
        <f>-ROUND((_xll.HPVAL($G$1,"ACTUAL",$A231,$U$7,"YTD","gpg")/1000),0)</f>
        <v>0</v>
      </c>
      <c r="V231" s="76"/>
      <c r="W231" s="58">
        <f>-ROUND((_xll.HPVAL($G$1,"ACTUAL",$A231,$W$7,"YTD","gpg")/1000),0)</f>
        <v>0</v>
      </c>
      <c r="X231" s="76"/>
      <c r="Y231" s="58">
        <f>-ROUND((_xll.HPVAL($G$1,"ACTUAL",$A231,$Y$7,"YTD","gpg")/1000),0)</f>
        <v>0</v>
      </c>
      <c r="Z231" s="76"/>
      <c r="AA231" s="58">
        <f>-ROUND((_xll.HPVAL($G$1,"ACTUAL",$A231,$AA$7,"YTD","gpg")/1000),0)</f>
        <v>0</v>
      </c>
      <c r="AB231" s="76"/>
      <c r="AC231" s="58">
        <f t="shared" si="12"/>
        <v>0</v>
      </c>
      <c r="AD231" s="70"/>
      <c r="AE231" s="58">
        <f t="shared" si="13"/>
        <v>-1044</v>
      </c>
      <c r="AF231" s="60"/>
      <c r="AG231" s="5"/>
    </row>
    <row r="232" spans="1:33" s="13" customFormat="1" ht="11.25" customHeight="1">
      <c r="A232" s="84" t="s">
        <v>403</v>
      </c>
      <c r="B232" s="58" t="str">
        <f>_xll.HPHEA($A232,$G$2)</f>
        <v>0051_30013000 - Enron Pipeline Company</v>
      </c>
      <c r="C232" s="58">
        <f>-ROUND((_xll.HPVAL($G$1,"py1",$A232,$C$7,"YTD","gpg")/1000),0)</f>
        <v>0</v>
      </c>
      <c r="D232" s="70"/>
      <c r="E232" s="58">
        <f>-ROUND((_xll.HPVAL($G$1,"ACTUAL",$A232,$E$7,"YTD","gpg")/1000),0)</f>
        <v>450</v>
      </c>
      <c r="F232" s="76"/>
      <c r="G232" s="58">
        <f>-ROUND((_xll.HPVAL($G$1,"ACTUAL",$A232,$G$7,"YTD","gpg")/1000),0)</f>
        <v>908</v>
      </c>
      <c r="H232" s="76"/>
      <c r="I232" s="58">
        <f>-ROUND((_xll.HPVAL($G$1,"ACTUAL",$A232,$I$7,"YTD","gpg")/1000),0)</f>
        <v>0</v>
      </c>
      <c r="J232" s="76"/>
      <c r="K232" s="58">
        <f>-ROUND((_xll.HPVAL($G$1,"ACTUAL",$A232,$K$7,"YTD","gpg")/1000),0)</f>
        <v>0</v>
      </c>
      <c r="L232" s="76"/>
      <c r="M232" s="58">
        <f>-ROUND((_xll.HPVAL($G$1,"ACTUAL",$A232,$M$7,"YTD","gpg")/1000),0)</f>
        <v>0</v>
      </c>
      <c r="N232" s="76"/>
      <c r="O232" s="58">
        <f>-ROUND((_xll.HPVAL($G$1,"ACTUAL",$A232,$O$7,"YTD","gpg")/1000),0)</f>
        <v>0</v>
      </c>
      <c r="P232" s="76"/>
      <c r="Q232" s="58">
        <f>-ROUND((_xll.HPVAL($G$1,"ACTUAL",$A232,$Q$7,"YTD","gpg")/1000),0)</f>
        <v>0</v>
      </c>
      <c r="R232" s="76"/>
      <c r="S232" s="58">
        <f>-ROUND((_xll.HPVAL($G$1,"ACTUAL",$A232,$S$7,"YTD","gpg")/1000),0)</f>
        <v>0</v>
      </c>
      <c r="T232" s="76"/>
      <c r="U232" s="58">
        <f>-ROUND((_xll.HPVAL($G$1,"ACTUAL",$A232,$U$7,"YTD","gpg")/1000),0)</f>
        <v>0</v>
      </c>
      <c r="V232" s="76"/>
      <c r="W232" s="58">
        <f>-ROUND((_xll.HPVAL($G$1,"ACTUAL",$A232,$W$7,"YTD","gpg")/1000),0)</f>
        <v>0</v>
      </c>
      <c r="X232" s="76"/>
      <c r="Y232" s="58">
        <f>-ROUND((_xll.HPVAL($G$1,"ACTUAL",$A232,$Y$7,"YTD","gpg")/1000),0)</f>
        <v>0</v>
      </c>
      <c r="Z232" s="76"/>
      <c r="AA232" s="58">
        <f>-ROUND((_xll.HPVAL($G$1,"ACTUAL",$A232,$AA$7,"YTD","gpg")/1000),0)</f>
        <v>0</v>
      </c>
      <c r="AB232" s="76"/>
      <c r="AC232" s="58">
        <f t="shared" si="12"/>
        <v>0</v>
      </c>
      <c r="AD232" s="70"/>
      <c r="AE232" s="58">
        <f t="shared" si="13"/>
        <v>0</v>
      </c>
      <c r="AF232" s="60"/>
      <c r="AG232" s="5"/>
    </row>
    <row r="233" spans="1:33" s="13" customFormat="1" ht="11.25" customHeight="1">
      <c r="A233" s="84" t="s">
        <v>404</v>
      </c>
      <c r="B233" s="58" t="str">
        <f>_xll.HPHEA($A233,$G$2)</f>
        <v>0051_30013000 - Enron Gas Services Corp.</v>
      </c>
      <c r="C233" s="58">
        <f>-ROUND((_xll.HPVAL($G$1,"py1",$A233,$C$7,"YTD","gpg")/1000),0)</f>
        <v>20</v>
      </c>
      <c r="D233" s="70"/>
      <c r="E233" s="58">
        <f>-ROUND((_xll.HPVAL($G$1,"ACTUAL",$A233,$E$7,"YTD","gpg")/1000),0)</f>
        <v>20</v>
      </c>
      <c r="F233" s="76"/>
      <c r="G233" s="58">
        <f>-ROUND((_xll.HPVAL($G$1,"ACTUAL",$A233,$G$7,"YTD","gpg")/1000),0)</f>
        <v>20</v>
      </c>
      <c r="H233" s="76"/>
      <c r="I233" s="58">
        <f>-ROUND((_xll.HPVAL($G$1,"ACTUAL",$A233,$I$7,"YTD","gpg")/1000),0)</f>
        <v>25</v>
      </c>
      <c r="J233" s="76"/>
      <c r="K233" s="58">
        <f>-ROUND((_xll.HPVAL($G$1,"ACTUAL",$A233,$K$7,"YTD","gpg")/1000),0)</f>
        <v>25</v>
      </c>
      <c r="L233" s="76"/>
      <c r="M233" s="58">
        <f>-ROUND((_xll.HPVAL($G$1,"ACTUAL",$A233,$M$7,"YTD","gpg")/1000),0)</f>
        <v>28</v>
      </c>
      <c r="N233" s="76"/>
      <c r="O233" s="58">
        <f>-ROUND((_xll.HPVAL($G$1,"ACTUAL",$A233,$O$7,"YTD","gpg")/1000),0)</f>
        <v>32</v>
      </c>
      <c r="P233" s="76"/>
      <c r="Q233" s="58">
        <f>-ROUND((_xll.HPVAL($G$1,"ACTUAL",$A233,$Q$7,"YTD","gpg")/1000),0)</f>
        <v>0</v>
      </c>
      <c r="R233" s="76"/>
      <c r="S233" s="58">
        <f>-ROUND((_xll.HPVAL($G$1,"ACTUAL",$A233,$S$7,"YTD","gpg")/1000),0)</f>
        <v>0</v>
      </c>
      <c r="T233" s="76"/>
      <c r="U233" s="58">
        <f>-ROUND((_xll.HPVAL($G$1,"ACTUAL",$A233,$U$7,"YTD","gpg")/1000),0)</f>
        <v>0</v>
      </c>
      <c r="V233" s="76"/>
      <c r="W233" s="58">
        <f>-ROUND((_xll.HPVAL($G$1,"ACTUAL",$A233,$W$7,"YTD","gpg")/1000),0)</f>
        <v>0</v>
      </c>
      <c r="X233" s="76"/>
      <c r="Y233" s="58">
        <f>-ROUND((_xll.HPVAL($G$1,"ACTUAL",$A233,$Y$7,"YTD","gpg")/1000),0)</f>
        <v>0</v>
      </c>
      <c r="Z233" s="76"/>
      <c r="AA233" s="58">
        <f>-ROUND((_xll.HPVAL($G$1,"ACTUAL",$A233,$AA$7,"YTD","gpg")/1000),0)</f>
        <v>0</v>
      </c>
      <c r="AB233" s="76"/>
      <c r="AC233" s="58">
        <f t="shared" si="12"/>
        <v>0</v>
      </c>
      <c r="AD233" s="70"/>
      <c r="AE233" s="58">
        <f t="shared" si="13"/>
        <v>-20</v>
      </c>
      <c r="AF233" s="60"/>
      <c r="AG233" s="5"/>
    </row>
    <row r="234" spans="1:33" s="13" customFormat="1" ht="11.25" customHeight="1">
      <c r="A234" s="84" t="s">
        <v>405</v>
      </c>
      <c r="B234" s="58" t="str">
        <f>_xll.HPHEA($A234,$G$2)</f>
        <v>0051_30013000 - EGP Fuels Company</v>
      </c>
      <c r="C234" s="58">
        <f>-ROUND((_xll.HPVAL($G$1,"py1",$A234,$C$7,"YTD","gpg")/1000),0)</f>
        <v>0</v>
      </c>
      <c r="D234" s="70"/>
      <c r="E234" s="58">
        <f>-ROUND((_xll.HPVAL($G$1,"ACTUAL",$A234,$E$7,"YTD","gpg")/1000),0)</f>
        <v>0</v>
      </c>
      <c r="F234" s="76"/>
      <c r="G234" s="58">
        <f>-ROUND((_xll.HPVAL($G$1,"ACTUAL",$A234,$G$7,"YTD","gpg")/1000),0)</f>
        <v>0</v>
      </c>
      <c r="H234" s="76"/>
      <c r="I234" s="58">
        <f>-ROUND((_xll.HPVAL($G$1,"ACTUAL",$A234,$I$7,"YTD","gpg")/1000),0)</f>
        <v>0</v>
      </c>
      <c r="J234" s="76"/>
      <c r="K234" s="58">
        <f>-ROUND((_xll.HPVAL($G$1,"ACTUAL",$A234,$K$7,"YTD","gpg")/1000),0)</f>
        <v>0</v>
      </c>
      <c r="L234" s="76"/>
      <c r="M234" s="58">
        <f>-ROUND((_xll.HPVAL($G$1,"ACTUAL",$A234,$M$7,"YTD","gpg")/1000),0)</f>
        <v>0</v>
      </c>
      <c r="N234" s="76"/>
      <c r="O234" s="58">
        <f>-ROUND((_xll.HPVAL($G$1,"ACTUAL",$A234,$O$7,"YTD","gpg")/1000),0)</f>
        <v>0</v>
      </c>
      <c r="P234" s="76"/>
      <c r="Q234" s="58">
        <f>-ROUND((_xll.HPVAL($G$1,"ACTUAL",$A234,$Q$7,"YTD","gpg")/1000),0)</f>
        <v>0</v>
      </c>
      <c r="R234" s="76"/>
      <c r="S234" s="58">
        <f>-ROUND((_xll.HPVAL($G$1,"ACTUAL",$A234,$S$7,"YTD","gpg")/1000),0)</f>
        <v>0</v>
      </c>
      <c r="T234" s="76"/>
      <c r="U234" s="58">
        <f>-ROUND((_xll.HPVAL($G$1,"ACTUAL",$A234,$U$7,"YTD","gpg")/1000),0)</f>
        <v>0</v>
      </c>
      <c r="V234" s="76"/>
      <c r="W234" s="58">
        <f>-ROUND((_xll.HPVAL($G$1,"ACTUAL",$A234,$W$7,"YTD","gpg")/1000),0)</f>
        <v>0</v>
      </c>
      <c r="X234" s="76"/>
      <c r="Y234" s="58">
        <f>-ROUND((_xll.HPVAL($G$1,"ACTUAL",$A234,$Y$7,"YTD","gpg")/1000),0)</f>
        <v>0</v>
      </c>
      <c r="Z234" s="76"/>
      <c r="AA234" s="58">
        <f>-ROUND((_xll.HPVAL($G$1,"ACTUAL",$A234,$AA$7,"YTD","gpg")/1000),0)</f>
        <v>0</v>
      </c>
      <c r="AB234" s="76"/>
      <c r="AC234" s="58">
        <f t="shared" si="12"/>
        <v>0</v>
      </c>
      <c r="AD234" s="70"/>
      <c r="AE234" s="58">
        <f t="shared" si="13"/>
        <v>0</v>
      </c>
      <c r="AF234" s="60"/>
      <c r="AG234" s="5"/>
    </row>
    <row r="235" spans="1:33" s="13" customFormat="1" ht="11.25" customHeight="1">
      <c r="A235" s="84" t="s">
        <v>548</v>
      </c>
      <c r="B235" s="58" t="str">
        <f>_xll.HPHEA($A235,$G$2)</f>
        <v>0051_30013000 - Enron Hydrocarbons Servic</v>
      </c>
      <c r="C235" s="58">
        <f>-ROUND((_xll.HPVAL($G$1,"py1",$A235,$C$7,"YTD","gpg")/1000),0)</f>
        <v>0</v>
      </c>
      <c r="D235" s="70"/>
      <c r="E235" s="58">
        <f>-ROUND((_xll.HPVAL($G$1,"ACTUAL",$A235,$E$7,"YTD","gpg")/1000),0)</f>
        <v>0</v>
      </c>
      <c r="F235" s="76"/>
      <c r="G235" s="58">
        <f>-ROUND((_xll.HPVAL($G$1,"ACTUAL",$A235,$G$7,"YTD","gpg")/1000),0)</f>
        <v>11</v>
      </c>
      <c r="H235" s="76"/>
      <c r="I235" s="58">
        <f>-ROUND((_xll.HPVAL($G$1,"ACTUAL",$A235,$I$7,"YTD","gpg")/1000),0)</f>
        <v>11</v>
      </c>
      <c r="J235" s="76"/>
      <c r="K235" s="58">
        <f>-ROUND((_xll.HPVAL($G$1,"ACTUAL",$A235,$K$7,"YTD","gpg")/1000),0)</f>
        <v>11</v>
      </c>
      <c r="L235" s="76"/>
      <c r="M235" s="58">
        <f>-ROUND((_xll.HPVAL($G$1,"ACTUAL",$A235,$M$7,"YTD","gpg")/1000),0)</f>
        <v>11</v>
      </c>
      <c r="N235" s="76"/>
      <c r="O235" s="58">
        <f>-ROUND((_xll.HPVAL($G$1,"ACTUAL",$A235,$O$7,"YTD","gpg")/1000),0)</f>
        <v>11</v>
      </c>
      <c r="P235" s="76"/>
      <c r="Q235" s="58">
        <f>-ROUND((_xll.HPVAL($G$1,"ACTUAL",$A235,$Q$7,"YTD","gpg")/1000),0)</f>
        <v>11</v>
      </c>
      <c r="R235" s="76"/>
      <c r="S235" s="58">
        <f>-ROUND((_xll.HPVAL($G$1,"ACTUAL",$A235,$S$7,"YTD","gpg")/1000),0)</f>
        <v>0</v>
      </c>
      <c r="T235" s="76"/>
      <c r="U235" s="58">
        <f>-ROUND((_xll.HPVAL($G$1,"ACTUAL",$A235,$U$7,"YTD","gpg")/1000),0)</f>
        <v>0</v>
      </c>
      <c r="V235" s="76"/>
      <c r="W235" s="58">
        <f>-ROUND((_xll.HPVAL($G$1,"ACTUAL",$A235,$W$7,"YTD","gpg")/1000),0)</f>
        <v>0</v>
      </c>
      <c r="X235" s="76"/>
      <c r="Y235" s="58">
        <f>-ROUND((_xll.HPVAL($G$1,"ACTUAL",$A235,$Y$7,"YTD","gpg")/1000),0)</f>
        <v>0</v>
      </c>
      <c r="Z235" s="76"/>
      <c r="AA235" s="58">
        <f>-ROUND((_xll.HPVAL($G$1,"ACTUAL",$A235,$AA$7,"YTD","gpg")/1000),0)</f>
        <v>0</v>
      </c>
      <c r="AB235" s="76"/>
      <c r="AC235" s="58">
        <f t="shared" si="12"/>
        <v>-11</v>
      </c>
      <c r="AD235" s="70"/>
      <c r="AE235" s="58">
        <f t="shared" si="13"/>
        <v>0</v>
      </c>
      <c r="AF235" s="60"/>
      <c r="AG235" s="5"/>
    </row>
    <row r="236" spans="1:33" s="13" customFormat="1" ht="11.25" customHeight="1">
      <c r="A236" s="84" t="s">
        <v>545</v>
      </c>
      <c r="B236" s="58" t="str">
        <f>_xll.HPHEA($A236,$G$2)</f>
        <v>0051_30013000 - HPL Pipeline Operations</v>
      </c>
      <c r="C236" s="58">
        <f>-ROUND((_xll.HPVAL($G$1,"py1",$A236,$C$7,"YTD","gpg")/1000),0)</f>
        <v>0</v>
      </c>
      <c r="D236" s="70"/>
      <c r="E236" s="58">
        <f>-ROUND((_xll.HPVAL($G$1,"ACTUAL",$A236,$E$7,"YTD","gpg")/1000),0)</f>
        <v>0</v>
      </c>
      <c r="F236" s="76"/>
      <c r="G236" s="58">
        <f>-ROUND((_xll.HPVAL($G$1,"ACTUAL",$A236,$G$7,"YTD","gpg")/1000),0)</f>
        <v>4</v>
      </c>
      <c r="H236" s="76"/>
      <c r="I236" s="58">
        <f>-ROUND((_xll.HPVAL($G$1,"ACTUAL",$A236,$I$7,"YTD","gpg")/1000),0)</f>
        <v>0</v>
      </c>
      <c r="J236" s="76"/>
      <c r="K236" s="58">
        <f>-ROUND((_xll.HPVAL($G$1,"ACTUAL",$A236,$K$7,"YTD","gpg")/1000),0)</f>
        <v>0</v>
      </c>
      <c r="L236" s="76"/>
      <c r="M236" s="58">
        <f>-ROUND((_xll.HPVAL($G$1,"ACTUAL",$A236,$M$7,"YTD","gpg")/1000),0)</f>
        <v>0</v>
      </c>
      <c r="N236" s="76"/>
      <c r="O236" s="58">
        <f>-ROUND((_xll.HPVAL($G$1,"ACTUAL",$A236,$O$7,"YTD","gpg")/1000),0)</f>
        <v>0</v>
      </c>
      <c r="P236" s="76"/>
      <c r="Q236" s="58">
        <f>-ROUND((_xll.HPVAL($G$1,"ACTUAL",$A236,$Q$7,"YTD","gpg")/1000),0)</f>
        <v>0</v>
      </c>
      <c r="R236" s="76"/>
      <c r="S236" s="58">
        <f>-ROUND((_xll.HPVAL($G$1,"ACTUAL",$A236,$S$7,"YTD","gpg")/1000),0)</f>
        <v>0</v>
      </c>
      <c r="T236" s="76"/>
      <c r="U236" s="58">
        <f>-ROUND((_xll.HPVAL($G$1,"ACTUAL",$A236,$U$7,"YTD","gpg")/1000),0)</f>
        <v>0</v>
      </c>
      <c r="V236" s="76"/>
      <c r="W236" s="58">
        <f>-ROUND((_xll.HPVAL($G$1,"ACTUAL",$A236,$W$7,"YTD","gpg")/1000),0)</f>
        <v>0</v>
      </c>
      <c r="X236" s="76"/>
      <c r="Y236" s="58">
        <f>-ROUND((_xll.HPVAL($G$1,"ACTUAL",$A236,$Y$7,"YTD","gpg")/1000),0)</f>
        <v>0</v>
      </c>
      <c r="Z236" s="76"/>
      <c r="AA236" s="58">
        <f>-ROUND((_xll.HPVAL($G$1,"ACTUAL",$A236,$AA$7,"YTD","gpg")/1000),0)</f>
        <v>0</v>
      </c>
      <c r="AB236" s="76"/>
      <c r="AC236" s="58">
        <f>IF(mo=1,+E236-C236,CHOOSE(mo,E236,G236,I236,K236,M236,O236,Q236,S236,U236,W236,Y236,AA236)-CHOOSE(mo-1,E236,G236,I236,K236,M236,O236,Q236,S236,U236,W236,Y236,AA236))</f>
        <v>0</v>
      </c>
      <c r="AD236" s="70"/>
      <c r="AE236" s="58">
        <f>CHOOSE(mo,E236,G236,I236,K236,M236,O236,Q236,S236,U236,W236,Y236,AA236)-C236</f>
        <v>0</v>
      </c>
      <c r="AF236" s="60"/>
      <c r="AG236" s="5"/>
    </row>
    <row r="237" spans="1:33" s="13" customFormat="1" ht="11.25" customHeight="1">
      <c r="A237" s="84" t="s">
        <v>546</v>
      </c>
      <c r="B237" s="58" t="str">
        <f>_xll.HPHEA($A237,$G$2)</f>
        <v>0051_30013000 - 61M</v>
      </c>
      <c r="C237" s="58">
        <f>-ROUND((_xll.HPVAL($G$1,"py1",$A237,$C$7,"YTD","gpg")/1000),0)</f>
        <v>0</v>
      </c>
      <c r="D237" s="70"/>
      <c r="E237" s="58">
        <f>-ROUND((_xll.HPVAL($G$1,"ACTUAL",$A237,$E$7,"YTD","gpg")/1000),0)</f>
        <v>0</v>
      </c>
      <c r="F237" s="76"/>
      <c r="G237" s="58">
        <f>-ROUND((_xll.HPVAL($G$1,"ACTUAL",$A237,$G$7,"YTD","gpg")/1000),0)</f>
        <v>0</v>
      </c>
      <c r="H237" s="76"/>
      <c r="I237" s="58">
        <f>-ROUND((_xll.HPVAL($G$1,"ACTUAL",$A237,$I$7,"YTD","gpg")/1000),0)</f>
        <v>0</v>
      </c>
      <c r="J237" s="76"/>
      <c r="K237" s="58">
        <f>-ROUND((_xll.HPVAL($G$1,"ACTUAL",$A237,$K$7,"YTD","gpg")/1000),0)</f>
        <v>0</v>
      </c>
      <c r="L237" s="76"/>
      <c r="M237" s="58">
        <f>-ROUND((_xll.HPVAL($G$1,"ACTUAL",$A237,$M$7,"YTD","gpg")/1000),0)</f>
        <v>0</v>
      </c>
      <c r="N237" s="76"/>
      <c r="O237" s="58">
        <f>-ROUND((_xll.HPVAL($G$1,"ACTUAL",$A237,$O$7,"YTD","gpg")/1000),0)</f>
        <v>0</v>
      </c>
      <c r="P237" s="76"/>
      <c r="Q237" s="58">
        <f>-ROUND((_xll.HPVAL($G$1,"ACTUAL",$A237,$Q$7,"YTD","gpg")/1000),0)</f>
        <v>0</v>
      </c>
      <c r="R237" s="76"/>
      <c r="S237" s="58">
        <f>-ROUND((_xll.HPVAL($G$1,"ACTUAL",$A237,$S$7,"YTD","gpg")/1000),0)</f>
        <v>0</v>
      </c>
      <c r="T237" s="76"/>
      <c r="U237" s="58">
        <f>-ROUND((_xll.HPVAL($G$1,"ACTUAL",$A237,$U$7,"YTD","gpg")/1000),0)</f>
        <v>0</v>
      </c>
      <c r="V237" s="76"/>
      <c r="W237" s="58">
        <f>-ROUND((_xll.HPVAL($G$1,"ACTUAL",$A237,$W$7,"YTD","gpg")/1000),0)</f>
        <v>0</v>
      </c>
      <c r="X237" s="76"/>
      <c r="Y237" s="58">
        <f>-ROUND((_xll.HPVAL($G$1,"ACTUAL",$A237,$Y$7,"YTD","gpg")/1000),0)</f>
        <v>0</v>
      </c>
      <c r="Z237" s="76"/>
      <c r="AA237" s="58">
        <f>-ROUND((_xll.HPVAL($G$1,"ACTUAL",$A237,$AA$7,"YTD","gpg")/1000),0)</f>
        <v>0</v>
      </c>
      <c r="AB237" s="76"/>
      <c r="AC237" s="58">
        <f>IF(mo=1,+E237-C237,CHOOSE(mo,E237,G237,I237,K237,M237,O237,Q237,S237,U237,W237,Y237,AA237)-CHOOSE(mo-1,E237,G237,I237,K237,M237,O237,Q237,S237,U237,W237,Y237,AA237))</f>
        <v>0</v>
      </c>
      <c r="AD237" s="70"/>
      <c r="AE237" s="58">
        <f>CHOOSE(mo,E237,G237,I237,K237,M237,O237,Q237,S237,U237,W237,Y237,AA237)-C237</f>
        <v>0</v>
      </c>
      <c r="AF237" s="60"/>
      <c r="AG237" s="5"/>
    </row>
    <row r="238" spans="1:33" s="13" customFormat="1" ht="11.25" customHeight="1">
      <c r="A238" s="84" t="s">
        <v>406</v>
      </c>
      <c r="B238" s="58" t="str">
        <f>_xll.HPHEA($A238,$G$2)</f>
        <v>0051_30013000 - Enron South America LLC</v>
      </c>
      <c r="C238" s="58">
        <f>-ROUND((_xll.HPVAL($G$1,"py1",$A238,$C$7,"YTD","gpg")/1000),0)</f>
        <v>2</v>
      </c>
      <c r="D238" s="70"/>
      <c r="E238" s="58">
        <f>-ROUND((_xll.HPVAL($G$1,"ACTUAL",$A238,$E$7,"YTD","gpg")/1000),0)</f>
        <v>2</v>
      </c>
      <c r="F238" s="76"/>
      <c r="G238" s="58">
        <f>-ROUND((_xll.HPVAL($G$1,"ACTUAL",$A238,$G$7,"YTD","gpg")/1000),0)</f>
        <v>2</v>
      </c>
      <c r="H238" s="76"/>
      <c r="I238" s="58">
        <f>-ROUND((_xll.HPVAL($G$1,"ACTUAL",$A238,$I$7,"YTD","gpg")/1000),0)</f>
        <v>2</v>
      </c>
      <c r="J238" s="76"/>
      <c r="K238" s="58">
        <f>-ROUND((_xll.HPVAL($G$1,"ACTUAL",$A238,$K$7,"YTD","gpg")/1000),0)</f>
        <v>2</v>
      </c>
      <c r="L238" s="76"/>
      <c r="M238" s="58">
        <f>-ROUND((_xll.HPVAL($G$1,"ACTUAL",$A238,$M$7,"YTD","gpg")/1000),0)</f>
        <v>2</v>
      </c>
      <c r="N238" s="76"/>
      <c r="O238" s="58">
        <f>-ROUND((_xll.HPVAL($G$1,"ACTUAL",$A238,$O$7,"YTD","gpg")/1000),0)</f>
        <v>2</v>
      </c>
      <c r="P238" s="76"/>
      <c r="Q238" s="58">
        <f>-ROUND((_xll.HPVAL($G$1,"ACTUAL",$A238,$Q$7,"YTD","gpg")/1000),0)</f>
        <v>2</v>
      </c>
      <c r="R238" s="76"/>
      <c r="S238" s="58">
        <f>-ROUND((_xll.HPVAL($G$1,"ACTUAL",$A238,$S$7,"YTD","gpg")/1000),0)</f>
        <v>0</v>
      </c>
      <c r="T238" s="76"/>
      <c r="U238" s="58">
        <f>-ROUND((_xll.HPVAL($G$1,"ACTUAL",$A238,$U$7,"YTD","gpg")/1000),0)</f>
        <v>0</v>
      </c>
      <c r="V238" s="76"/>
      <c r="W238" s="58">
        <f>-ROUND((_xll.HPVAL($G$1,"ACTUAL",$A238,$W$7,"YTD","gpg")/1000),0)</f>
        <v>0</v>
      </c>
      <c r="X238" s="76"/>
      <c r="Y238" s="58">
        <f>-ROUND((_xll.HPVAL($G$1,"ACTUAL",$A238,$Y$7,"YTD","gpg")/1000),0)</f>
        <v>0</v>
      </c>
      <c r="Z238" s="76"/>
      <c r="AA238" s="58">
        <f>-ROUND((_xll.HPVAL($G$1,"ACTUAL",$A238,$AA$7,"YTD","gpg")/1000),0)</f>
        <v>0</v>
      </c>
      <c r="AB238" s="76"/>
      <c r="AC238" s="58">
        <f>IF(mo=1,+E238-C238,CHOOSE(mo,E238,G238,I238,K238,M238,O238,Q238,S238,U238,W238,Y238,AA238)-CHOOSE(mo-1,E238,G238,I238,K238,M238,O238,Q238,S238,U238,W238,Y238,AA238))</f>
        <v>-2</v>
      </c>
      <c r="AD238" s="70"/>
      <c r="AE238" s="58">
        <f>CHOOSE(mo,E238,G238,I238,K238,M238,O238,Q238,S238,U238,W238,Y238,AA238)-C238</f>
        <v>-2</v>
      </c>
      <c r="AF238" s="60"/>
      <c r="AG238" s="5"/>
    </row>
    <row r="239" spans="1:33" s="13" customFormat="1" ht="11.25" customHeight="1">
      <c r="A239" s="84" t="s">
        <v>547</v>
      </c>
      <c r="B239" s="58" t="str">
        <f>_xll.HPHEA($A239,$G$2)</f>
        <v>0051_30013000 - Enron Online, LLC</v>
      </c>
      <c r="C239" s="58">
        <f>-ROUND((_xll.HPVAL($G$1,"py1",$A239,$C$7,"YTD","gpg")/1000),0)</f>
        <v>0</v>
      </c>
      <c r="D239" s="70"/>
      <c r="E239" s="58">
        <f>-ROUND((_xll.HPVAL($G$1,"ACTUAL",$A239,$E$7,"YTD","gpg")/1000),0)</f>
        <v>0</v>
      </c>
      <c r="F239" s="76"/>
      <c r="G239" s="58">
        <f>-ROUND((_xll.HPVAL($G$1,"ACTUAL",$A239,$G$7,"YTD","gpg")/1000),0)</f>
        <v>85</v>
      </c>
      <c r="H239" s="76"/>
      <c r="I239" s="58">
        <f>-ROUND((_xll.HPVAL($G$1,"ACTUAL",$A239,$I$7,"YTD","gpg")/1000),0)</f>
        <v>85</v>
      </c>
      <c r="J239" s="76"/>
      <c r="K239" s="58">
        <f>-ROUND((_xll.HPVAL($G$1,"ACTUAL",$A239,$K$7,"YTD","gpg")/1000),0)</f>
        <v>85</v>
      </c>
      <c r="L239" s="76"/>
      <c r="M239" s="58">
        <f>-ROUND((_xll.HPVAL($G$1,"ACTUAL",$A239,$M$7,"YTD","gpg")/1000),0)</f>
        <v>85</v>
      </c>
      <c r="N239" s="76"/>
      <c r="O239" s="58">
        <f>-ROUND((_xll.HPVAL($G$1,"ACTUAL",$A239,$O$7,"YTD","gpg")/1000),0)</f>
        <v>85</v>
      </c>
      <c r="P239" s="76"/>
      <c r="Q239" s="58">
        <f>-ROUND((_xll.HPVAL($G$1,"ACTUAL",$A239,$Q$7,"YTD","gpg")/1000),0)</f>
        <v>85</v>
      </c>
      <c r="R239" s="76"/>
      <c r="S239" s="58">
        <f>-ROUND((_xll.HPVAL($G$1,"ACTUAL",$A239,$S$7,"YTD","gpg")/1000),0)</f>
        <v>0</v>
      </c>
      <c r="T239" s="76"/>
      <c r="U239" s="58">
        <f>-ROUND((_xll.HPVAL($G$1,"ACTUAL",$A239,$U$7,"YTD","gpg")/1000),0)</f>
        <v>0</v>
      </c>
      <c r="V239" s="76"/>
      <c r="W239" s="58">
        <f>-ROUND((_xll.HPVAL($G$1,"ACTUAL",$A239,$W$7,"YTD","gpg")/1000),0)</f>
        <v>0</v>
      </c>
      <c r="X239" s="76"/>
      <c r="Y239" s="58">
        <f>-ROUND((_xll.HPVAL($G$1,"ACTUAL",$A239,$Y$7,"YTD","gpg")/1000),0)</f>
        <v>0</v>
      </c>
      <c r="Z239" s="76"/>
      <c r="AA239" s="58">
        <f>-ROUND((_xll.HPVAL($G$1,"ACTUAL",$A239,$AA$7,"YTD","gpg")/1000),0)</f>
        <v>0</v>
      </c>
      <c r="AB239" s="76"/>
      <c r="AC239" s="58">
        <f t="shared" si="12"/>
        <v>-85</v>
      </c>
      <c r="AD239" s="70"/>
      <c r="AE239" s="58">
        <f t="shared" si="13"/>
        <v>0</v>
      </c>
      <c r="AF239" s="60"/>
      <c r="AG239" s="5"/>
    </row>
    <row r="240" spans="1:33" s="13" customFormat="1" ht="11.25" customHeight="1">
      <c r="A240" s="84" t="s">
        <v>407</v>
      </c>
      <c r="B240" s="58" t="str">
        <f>_xll.HPHEA($A240,$G$2)</f>
        <v>0051_30013000 - Enron Property and Servic</v>
      </c>
      <c r="C240" s="58">
        <f>-ROUND((_xll.HPVAL($G$1,"py1",$A240,$C$7,"YTD","gpg")/1000),0)</f>
        <v>270</v>
      </c>
      <c r="D240" s="70"/>
      <c r="E240" s="58">
        <f>-ROUND((_xll.HPVAL($G$1,"ACTUAL",$A240,$E$7,"YTD","gpg")/1000),0)</f>
        <v>317</v>
      </c>
      <c r="F240" s="76"/>
      <c r="G240" s="58">
        <f>-ROUND((_xll.HPVAL($G$1,"ACTUAL",$A240,$G$7,"YTD","gpg")/1000),0)</f>
        <v>367</v>
      </c>
      <c r="H240" s="76"/>
      <c r="I240" s="58">
        <f>-ROUND((_xll.HPVAL($G$1,"ACTUAL",$A240,$I$7,"YTD","gpg")/1000),0)</f>
        <v>416</v>
      </c>
      <c r="J240" s="76"/>
      <c r="K240" s="58">
        <f>-ROUND((_xll.HPVAL($G$1,"ACTUAL",$A240,$K$7,"YTD","gpg")/1000),0)</f>
        <v>475</v>
      </c>
      <c r="L240" s="76"/>
      <c r="M240" s="58">
        <f>-ROUND((_xll.HPVAL($G$1,"ACTUAL",$A240,$M$7,"YTD","gpg")/1000),0)</f>
        <v>521</v>
      </c>
      <c r="N240" s="76"/>
      <c r="O240" s="58">
        <f>-ROUND((_xll.HPVAL($G$1,"ACTUAL",$A240,$O$7,"YTD","gpg")/1000),0)</f>
        <v>571</v>
      </c>
      <c r="P240" s="76"/>
      <c r="Q240" s="58">
        <f>-ROUND((_xll.HPVAL($G$1,"ACTUAL",$A240,$Q$7,"YTD","gpg")/1000),0)</f>
        <v>622</v>
      </c>
      <c r="R240" s="76"/>
      <c r="S240" s="58">
        <f>-ROUND((_xll.HPVAL($G$1,"ACTUAL",$A240,$S$7,"YTD","gpg")/1000),0)</f>
        <v>0</v>
      </c>
      <c r="T240" s="76"/>
      <c r="U240" s="58">
        <f>-ROUND((_xll.HPVAL($G$1,"ACTUAL",$A240,$U$7,"YTD","gpg")/1000),0)</f>
        <v>0</v>
      </c>
      <c r="V240" s="76"/>
      <c r="W240" s="58">
        <f>-ROUND((_xll.HPVAL($G$1,"ACTUAL",$A240,$W$7,"YTD","gpg")/1000),0)</f>
        <v>0</v>
      </c>
      <c r="X240" s="76"/>
      <c r="Y240" s="58">
        <f>-ROUND((_xll.HPVAL($G$1,"ACTUAL",$A240,$Y$7,"YTD","gpg")/1000),0)</f>
        <v>0</v>
      </c>
      <c r="Z240" s="76"/>
      <c r="AA240" s="58">
        <f>-ROUND((_xll.HPVAL($G$1,"ACTUAL",$A240,$AA$7,"YTD","gpg")/1000),0)</f>
        <v>0</v>
      </c>
      <c r="AB240" s="76"/>
      <c r="AC240" s="58">
        <f t="shared" si="12"/>
        <v>-622</v>
      </c>
      <c r="AD240" s="70"/>
      <c r="AE240" s="58">
        <f t="shared" si="13"/>
        <v>-270</v>
      </c>
      <c r="AF240" s="60"/>
      <c r="AG240" s="5"/>
    </row>
    <row r="241" spans="1:33" s="13" customFormat="1" ht="11.25" customHeight="1">
      <c r="A241" s="84" t="s">
        <v>408</v>
      </c>
      <c r="B241" s="58" t="str">
        <f>_xll.HPHEA($A241,$G$2)</f>
        <v>0051_30013000 - Enron Transition Company,</v>
      </c>
      <c r="C241" s="58">
        <f>-ROUND((_xll.HPVAL($G$1,"py1",$A241,$C$7,"YTD","gpg")/1000),0)</f>
        <v>0</v>
      </c>
      <c r="D241" s="70"/>
      <c r="E241" s="58">
        <f>-ROUND((_xll.HPVAL($G$1,"ACTUAL",$A241,$E$7,"YTD","gpg")/1000),0)</f>
        <v>0</v>
      </c>
      <c r="F241" s="76"/>
      <c r="G241" s="58">
        <f>-ROUND((_xll.HPVAL($G$1,"ACTUAL",$A241,$G$7,"YTD","gpg")/1000),0)</f>
        <v>0</v>
      </c>
      <c r="H241" s="76"/>
      <c r="I241" s="58">
        <f>-ROUND((_xll.HPVAL($G$1,"ACTUAL",$A241,$I$7,"YTD","gpg")/1000),0)</f>
        <v>0</v>
      </c>
      <c r="J241" s="76"/>
      <c r="K241" s="58">
        <f>-ROUND((_xll.HPVAL($G$1,"ACTUAL",$A241,$K$7,"YTD","gpg")/1000),0)</f>
        <v>0</v>
      </c>
      <c r="L241" s="76"/>
      <c r="M241" s="58">
        <f>-ROUND((_xll.HPVAL($G$1,"ACTUAL",$A241,$M$7,"YTD","gpg")/1000),0)</f>
        <v>0</v>
      </c>
      <c r="N241" s="76"/>
      <c r="O241" s="58">
        <f>-ROUND((_xll.HPVAL($G$1,"ACTUAL",$A241,$O$7,"YTD","gpg")/1000),0)</f>
        <v>0</v>
      </c>
      <c r="P241" s="76"/>
      <c r="Q241" s="58">
        <f>-ROUND((_xll.HPVAL($G$1,"ACTUAL",$A241,$Q$7,"YTD","gpg")/1000),0)</f>
        <v>0</v>
      </c>
      <c r="R241" s="76"/>
      <c r="S241" s="58">
        <f>-ROUND((_xll.HPVAL($G$1,"ACTUAL",$A241,$S$7,"YTD","gpg")/1000),0)</f>
        <v>0</v>
      </c>
      <c r="T241" s="76"/>
      <c r="U241" s="58">
        <f>-ROUND((_xll.HPVAL($G$1,"ACTUAL",$A241,$U$7,"YTD","gpg")/1000),0)</f>
        <v>0</v>
      </c>
      <c r="V241" s="76"/>
      <c r="W241" s="58">
        <f>-ROUND((_xll.HPVAL($G$1,"ACTUAL",$A241,$W$7,"YTD","gpg")/1000),0)</f>
        <v>0</v>
      </c>
      <c r="X241" s="76"/>
      <c r="Y241" s="58">
        <f>-ROUND((_xll.HPVAL($G$1,"ACTUAL",$A241,$Y$7,"YTD","gpg")/1000),0)</f>
        <v>0</v>
      </c>
      <c r="Z241" s="76"/>
      <c r="AA241" s="58">
        <f>-ROUND((_xll.HPVAL($G$1,"ACTUAL",$A241,$AA$7,"YTD","gpg")/1000),0)</f>
        <v>0</v>
      </c>
      <c r="AB241" s="76"/>
      <c r="AC241" s="58">
        <f t="shared" si="12"/>
        <v>0</v>
      </c>
      <c r="AD241" s="70"/>
      <c r="AE241" s="58">
        <f t="shared" si="13"/>
        <v>0</v>
      </c>
      <c r="AF241" s="60"/>
      <c r="AG241" s="5"/>
    </row>
    <row r="242" spans="1:33" s="13" customFormat="1" ht="11.25" customHeight="1">
      <c r="A242" s="84" t="s">
        <v>409</v>
      </c>
      <c r="B242" s="58" t="str">
        <f>_xll.HPHEA($A242,$G$2)</f>
        <v>0051_30013000 - Enron Energy Services Ope</v>
      </c>
      <c r="C242" s="58">
        <f>-ROUND((_xll.HPVAL($G$1,"py1",$A242,$C$7,"YTD","gpg")/1000),0)</f>
        <v>2</v>
      </c>
      <c r="D242" s="70"/>
      <c r="E242" s="58">
        <f>-ROUND((_xll.HPVAL($G$1,"ACTUAL",$A242,$E$7,"YTD","gpg")/1000),0)</f>
        <v>2</v>
      </c>
      <c r="F242" s="76"/>
      <c r="G242" s="58">
        <f>-ROUND((_xll.HPVAL($G$1,"ACTUAL",$A242,$G$7,"YTD","gpg")/1000),0)</f>
        <v>2</v>
      </c>
      <c r="H242" s="76"/>
      <c r="I242" s="58">
        <f>-ROUND((_xll.HPVAL($G$1,"ACTUAL",$A242,$I$7,"YTD","gpg")/1000),0)</f>
        <v>2</v>
      </c>
      <c r="J242" s="76"/>
      <c r="K242" s="58">
        <f>-ROUND((_xll.HPVAL($G$1,"ACTUAL",$A242,$K$7,"YTD","gpg")/1000),0)</f>
        <v>2</v>
      </c>
      <c r="L242" s="76"/>
      <c r="M242" s="58">
        <f>-ROUND((_xll.HPVAL($G$1,"ACTUAL",$A242,$M$7,"YTD","gpg")/1000),0)</f>
        <v>2</v>
      </c>
      <c r="N242" s="76"/>
      <c r="O242" s="58">
        <f>-ROUND((_xll.HPVAL($G$1,"ACTUAL",$A242,$O$7,"YTD","gpg")/1000),0)</f>
        <v>2</v>
      </c>
      <c r="P242" s="76"/>
      <c r="Q242" s="58">
        <f>-ROUND((_xll.HPVAL($G$1,"ACTUAL",$A242,$Q$7,"YTD","gpg")/1000),0)</f>
        <v>2</v>
      </c>
      <c r="R242" s="76"/>
      <c r="S242" s="58">
        <f>-ROUND((_xll.HPVAL($G$1,"ACTUAL",$A242,$S$7,"YTD","gpg")/1000),0)</f>
        <v>0</v>
      </c>
      <c r="T242" s="76"/>
      <c r="U242" s="58">
        <f>-ROUND((_xll.HPVAL($G$1,"ACTUAL",$A242,$U$7,"YTD","gpg")/1000),0)</f>
        <v>0</v>
      </c>
      <c r="V242" s="76"/>
      <c r="W242" s="58">
        <f>-ROUND((_xll.HPVAL($G$1,"ACTUAL",$A242,$W$7,"YTD","gpg")/1000),0)</f>
        <v>0</v>
      </c>
      <c r="X242" s="76"/>
      <c r="Y242" s="58">
        <f>-ROUND((_xll.HPVAL($G$1,"ACTUAL",$A242,$Y$7,"YTD","gpg")/1000),0)</f>
        <v>0</v>
      </c>
      <c r="Z242" s="76"/>
      <c r="AA242" s="58">
        <f>-ROUND((_xll.HPVAL($G$1,"ACTUAL",$A242,$AA$7,"YTD","gpg")/1000),0)</f>
        <v>0</v>
      </c>
      <c r="AB242" s="76"/>
      <c r="AC242" s="58">
        <f t="shared" si="12"/>
        <v>-2</v>
      </c>
      <c r="AD242" s="70"/>
      <c r="AE242" s="58">
        <f t="shared" si="13"/>
        <v>-2</v>
      </c>
      <c r="AF242" s="60"/>
      <c r="AG242" s="5"/>
    </row>
    <row r="243" spans="1:33" s="13" customFormat="1" ht="11.25" customHeight="1">
      <c r="A243" s="84" t="s">
        <v>410</v>
      </c>
      <c r="B243" s="58" t="str">
        <f>_xll.HPHEA($A243,$G$2)</f>
        <v>0051_30013000 - Enron Capital Managment</v>
      </c>
      <c r="C243" s="58">
        <f>-ROUND((_xll.HPVAL($G$1,"py1",$A243,$C$7,"YTD","gpg")/1000),0)</f>
        <v>31</v>
      </c>
      <c r="D243" s="70"/>
      <c r="E243" s="58">
        <f>-ROUND((_xll.HPVAL($G$1,"ACTUAL",$A243,$E$7,"YTD","gpg")/1000),0)</f>
        <v>32</v>
      </c>
      <c r="F243" s="76"/>
      <c r="G243" s="58">
        <f>-ROUND((_xll.HPVAL($G$1,"ACTUAL",$A243,$G$7,"YTD","gpg")/1000),0)</f>
        <v>34</v>
      </c>
      <c r="H243" s="76"/>
      <c r="I243" s="58">
        <f>-ROUND((_xll.HPVAL($G$1,"ACTUAL",$A243,$I$7,"YTD","gpg")/1000),0)</f>
        <v>35</v>
      </c>
      <c r="J243" s="76"/>
      <c r="K243" s="58">
        <f>-ROUND((_xll.HPVAL($G$1,"ACTUAL",$A243,$K$7,"YTD","gpg")/1000),0)</f>
        <v>37</v>
      </c>
      <c r="L243" s="76"/>
      <c r="M243" s="58">
        <f>-ROUND((_xll.HPVAL($G$1,"ACTUAL",$A243,$M$7,"YTD","gpg")/1000),0)</f>
        <v>38</v>
      </c>
      <c r="N243" s="76"/>
      <c r="O243" s="58">
        <f>-ROUND((_xll.HPVAL($G$1,"ACTUAL",$A243,$O$7,"YTD","gpg")/1000),0)</f>
        <v>39</v>
      </c>
      <c r="P243" s="76"/>
      <c r="Q243" s="58">
        <f>-ROUND((_xll.HPVAL($G$1,"ACTUAL",$A243,$Q$7,"YTD","gpg")/1000),0)</f>
        <v>41</v>
      </c>
      <c r="R243" s="76"/>
      <c r="S243" s="58">
        <f>-ROUND((_xll.HPVAL($G$1,"ACTUAL",$A243,$S$7,"YTD","gpg")/1000),0)</f>
        <v>0</v>
      </c>
      <c r="T243" s="76"/>
      <c r="U243" s="58">
        <f>-ROUND((_xll.HPVAL($G$1,"ACTUAL",$A243,$U$7,"YTD","gpg")/1000),0)</f>
        <v>0</v>
      </c>
      <c r="V243" s="76"/>
      <c r="W243" s="58">
        <f>-ROUND((_xll.HPVAL($G$1,"ACTUAL",$A243,$W$7,"YTD","gpg")/1000),0)</f>
        <v>0</v>
      </c>
      <c r="X243" s="76"/>
      <c r="Y243" s="58">
        <f>-ROUND((_xll.HPVAL($G$1,"ACTUAL",$A243,$Y$7,"YTD","gpg")/1000),0)</f>
        <v>0</v>
      </c>
      <c r="Z243" s="76"/>
      <c r="AA243" s="58">
        <f>-ROUND((_xll.HPVAL($G$1,"ACTUAL",$A243,$AA$7,"YTD","gpg")/1000),0)</f>
        <v>0</v>
      </c>
      <c r="AB243" s="76"/>
      <c r="AC243" s="58">
        <f t="shared" si="12"/>
        <v>-41</v>
      </c>
      <c r="AD243" s="70"/>
      <c r="AE243" s="58">
        <f t="shared" si="13"/>
        <v>-31</v>
      </c>
      <c r="AF243" s="60"/>
      <c r="AG243" s="5"/>
    </row>
    <row r="244" spans="1:33" s="13" customFormat="1" ht="11.25" customHeight="1">
      <c r="A244" s="84" t="s">
        <v>524</v>
      </c>
      <c r="B244" s="58" t="str">
        <f>_xll.HPHEA($A244,$G$2)</f>
        <v>0051_30013000 - Enron Pipeline Services</v>
      </c>
      <c r="C244" s="58">
        <f>-ROUND((_xll.HPVAL($G$1,"py1",$A244,$C$7,"YTD","gpg")/1000),0)</f>
        <v>2</v>
      </c>
      <c r="D244" s="70"/>
      <c r="E244" s="58">
        <f>-ROUND((_xll.HPVAL($G$1,"ACTUAL",$A244,$E$7,"YTD","gpg")/1000),0)</f>
        <v>3</v>
      </c>
      <c r="F244" s="76"/>
      <c r="G244" s="58">
        <f>-ROUND((_xll.HPVAL($G$1,"ACTUAL",$A244,$G$7,"YTD","gpg")/1000),0)</f>
        <v>7</v>
      </c>
      <c r="H244" s="76"/>
      <c r="I244" s="58">
        <f>-ROUND((_xll.HPVAL($G$1,"ACTUAL",$A244,$I$7,"YTD","gpg")/1000),0)</f>
        <v>0</v>
      </c>
      <c r="J244" s="76"/>
      <c r="K244" s="58">
        <f>-ROUND((_xll.HPVAL($G$1,"ACTUAL",$A244,$K$7,"YTD","gpg")/1000),0)</f>
        <v>0</v>
      </c>
      <c r="L244" s="76"/>
      <c r="M244" s="58">
        <f>-ROUND((_xll.HPVAL($G$1,"ACTUAL",$A244,$M$7,"YTD","gpg")/1000),0)</f>
        <v>0</v>
      </c>
      <c r="N244" s="76"/>
      <c r="O244" s="58">
        <f>-ROUND((_xll.HPVAL($G$1,"ACTUAL",$A244,$O$7,"YTD","gpg")/1000),0)</f>
        <v>2</v>
      </c>
      <c r="P244" s="76"/>
      <c r="Q244" s="58">
        <f>-ROUND((_xll.HPVAL($G$1,"ACTUAL",$A244,$Q$7,"YTD","gpg")/1000),0)</f>
        <v>0</v>
      </c>
      <c r="R244" s="76"/>
      <c r="S244" s="58">
        <f>-ROUND((_xll.HPVAL($G$1,"ACTUAL",$A244,$S$7,"YTD","gpg")/1000),0)</f>
        <v>0</v>
      </c>
      <c r="T244" s="76"/>
      <c r="U244" s="58">
        <f>-ROUND((_xll.HPVAL($G$1,"ACTUAL",$A244,$U$7,"YTD","gpg")/1000),0)</f>
        <v>0</v>
      </c>
      <c r="V244" s="76"/>
      <c r="W244" s="58">
        <f>-ROUND((_xll.HPVAL($G$1,"ACTUAL",$A244,$W$7,"YTD","gpg")/1000),0)</f>
        <v>0</v>
      </c>
      <c r="X244" s="76"/>
      <c r="Y244" s="58">
        <f>-ROUND((_xll.HPVAL($G$1,"ACTUAL",$A244,$Y$7,"YTD","gpg")/1000),0)</f>
        <v>0</v>
      </c>
      <c r="Z244" s="76"/>
      <c r="AA244" s="58">
        <f>-ROUND((_xll.HPVAL($G$1,"ACTUAL",$A244,$AA$7,"YTD","gpg")/1000),0)</f>
        <v>0</v>
      </c>
      <c r="AB244" s="76"/>
      <c r="AC244" s="58">
        <f>IF(mo=1,+E244-C244,CHOOSE(mo,E244,G244,I244,K244,M244,O244,Q244,S244,U244,W244,Y244,AA244)-CHOOSE(mo-1,E244,G244,I244,K244,M244,O244,Q244,S244,U244,W244,Y244,AA244))</f>
        <v>0</v>
      </c>
      <c r="AD244" s="70"/>
      <c r="AE244" s="58">
        <f>CHOOSE(mo,E244,G244,I244,K244,M244,O244,Q244,S244,U244,W244,Y244,AA244)-C244</f>
        <v>-2</v>
      </c>
      <c r="AF244" s="60"/>
      <c r="AG244" s="5"/>
    </row>
    <row r="245" spans="1:33" s="13" customFormat="1" ht="11.25" customHeight="1">
      <c r="A245" s="84" t="s">
        <v>466</v>
      </c>
      <c r="B245" s="58" t="str">
        <f>_xll.HPHEA($A245,$G$2)</f>
        <v>0051_30013000 - Enron Asset Management Re</v>
      </c>
      <c r="C245" s="58">
        <f>-ROUND((_xll.HPVAL($G$1,"py1",$A245,$C$7,"YTD","gpg")/1000),0)</f>
        <v>8</v>
      </c>
      <c r="D245" s="70"/>
      <c r="E245" s="58">
        <f>-ROUND((_xll.HPVAL($G$1,"ACTUAL",$A245,$E$7,"YTD","gpg")/1000),0)</f>
        <v>134</v>
      </c>
      <c r="F245" s="76"/>
      <c r="G245" s="58">
        <f>-ROUND((_xll.HPVAL($G$1,"ACTUAL",$A245,$G$7,"YTD","gpg")/1000),0)</f>
        <v>384</v>
      </c>
      <c r="H245" s="76"/>
      <c r="I245" s="58">
        <f>-ROUND((_xll.HPVAL($G$1,"ACTUAL",$A245,$I$7,"YTD","gpg")/1000),0)</f>
        <v>0</v>
      </c>
      <c r="J245" s="76"/>
      <c r="K245" s="58">
        <f>-ROUND((_xll.HPVAL($G$1,"ACTUAL",$A245,$K$7,"YTD","gpg")/1000),0)</f>
        <v>0</v>
      </c>
      <c r="L245" s="76"/>
      <c r="M245" s="58">
        <f>-ROUND((_xll.HPVAL($G$1,"ACTUAL",$A245,$M$7,"YTD","gpg")/1000),0)</f>
        <v>0</v>
      </c>
      <c r="N245" s="76"/>
      <c r="O245" s="58">
        <f>-ROUND((_xll.HPVAL($G$1,"ACTUAL",$A245,$O$7,"YTD","gpg")/1000),0)</f>
        <v>0</v>
      </c>
      <c r="P245" s="76"/>
      <c r="Q245" s="58">
        <f>-ROUND((_xll.HPVAL($G$1,"ACTUAL",$A245,$Q$7,"YTD","gpg")/1000),0)</f>
        <v>0</v>
      </c>
      <c r="R245" s="76"/>
      <c r="S245" s="58">
        <f>-ROUND((_xll.HPVAL($G$1,"ACTUAL",$A245,$S$7,"YTD","gpg")/1000),0)</f>
        <v>0</v>
      </c>
      <c r="T245" s="76"/>
      <c r="U245" s="58">
        <f>-ROUND((_xll.HPVAL($G$1,"ACTUAL",$A245,$U$7,"YTD","gpg")/1000),0)</f>
        <v>0</v>
      </c>
      <c r="V245" s="76"/>
      <c r="W245" s="58">
        <f>-ROUND((_xll.HPVAL($G$1,"ACTUAL",$A245,$W$7,"YTD","gpg")/1000),0)</f>
        <v>0</v>
      </c>
      <c r="X245" s="76"/>
      <c r="Y245" s="58">
        <f>-ROUND((_xll.HPVAL($G$1,"ACTUAL",$A245,$Y$7,"YTD","gpg")/1000),0)</f>
        <v>0</v>
      </c>
      <c r="Z245" s="76"/>
      <c r="AA245" s="58">
        <f>-ROUND((_xll.HPVAL($G$1,"ACTUAL",$A245,$AA$7,"YTD","gpg")/1000),0)</f>
        <v>0</v>
      </c>
      <c r="AB245" s="76"/>
      <c r="AC245" s="58">
        <f>IF(mo=1,+E245-C245,CHOOSE(mo,E245,G245,I245,K245,M245,O245,Q245,S245,U245,W245,Y245,AA245)-CHOOSE(mo-1,E245,G245,I245,K245,M245,O245,Q245,S245,U245,W245,Y245,AA245))</f>
        <v>0</v>
      </c>
      <c r="AD245" s="70"/>
      <c r="AE245" s="58">
        <f>CHOOSE(mo,E245,G245,I245,K245,M245,O245,Q245,S245,U245,W245,Y245,AA245)-C245</f>
        <v>-8</v>
      </c>
      <c r="AF245" s="60"/>
      <c r="AG245" s="5"/>
    </row>
    <row r="246" spans="1:33" s="13" customFormat="1" ht="11.25" customHeight="1">
      <c r="A246" s="84" t="s">
        <v>524</v>
      </c>
      <c r="B246" s="58" t="str">
        <f>_xll.HPHEA($A246,$G$2)</f>
        <v>0051_30013000 - Enron Pipeline Services</v>
      </c>
      <c r="C246" s="58">
        <f>-ROUND((_xll.HPVAL($G$1,"py1",$A246,$C$7,"YTD","gpg")/1000),0)</f>
        <v>2</v>
      </c>
      <c r="D246" s="70"/>
      <c r="E246" s="58">
        <f>-ROUND((_xll.HPVAL($G$1,"ACTUAL",$A246,$E$7,"YTD","gpg")/1000),0)</f>
        <v>3</v>
      </c>
      <c r="F246" s="76"/>
      <c r="G246" s="58">
        <f>-ROUND((_xll.HPVAL($G$1,"ACTUAL",$A246,$G$7,"YTD","gpg")/1000),0)</f>
        <v>7</v>
      </c>
      <c r="H246" s="76"/>
      <c r="I246" s="58">
        <f>-ROUND((_xll.HPVAL($G$1,"ACTUAL",$A246,$I$7,"YTD","gpg")/1000),0)</f>
        <v>0</v>
      </c>
      <c r="J246" s="76"/>
      <c r="K246" s="58">
        <f>-ROUND((_xll.HPVAL($G$1,"ACTUAL",$A246,$K$7,"YTD","gpg")/1000),0)</f>
        <v>0</v>
      </c>
      <c r="L246" s="76"/>
      <c r="M246" s="58">
        <f>-ROUND((_xll.HPVAL($G$1,"ACTUAL",$A246,$M$7,"YTD","gpg")/1000),0)</f>
        <v>0</v>
      </c>
      <c r="N246" s="76"/>
      <c r="O246" s="58">
        <f>-ROUND((_xll.HPVAL($G$1,"ACTUAL",$A246,$O$7,"YTD","gpg")/1000),0)</f>
        <v>2</v>
      </c>
      <c r="P246" s="76"/>
      <c r="Q246" s="58">
        <f>-ROUND((_xll.HPVAL($G$1,"ACTUAL",$A246,$Q$7,"YTD","gpg")/1000),0)</f>
        <v>0</v>
      </c>
      <c r="R246" s="76"/>
      <c r="S246" s="58">
        <f>-ROUND((_xll.HPVAL($G$1,"ACTUAL",$A246,$S$7,"YTD","gpg")/1000),0)</f>
        <v>0</v>
      </c>
      <c r="T246" s="76"/>
      <c r="U246" s="58">
        <f>-ROUND((_xll.HPVAL($G$1,"ACTUAL",$A246,$U$7,"YTD","gpg")/1000),0)</f>
        <v>0</v>
      </c>
      <c r="V246" s="76"/>
      <c r="W246" s="58">
        <f>-ROUND((_xll.HPVAL($G$1,"ACTUAL",$A246,$W$7,"YTD","gpg")/1000),0)</f>
        <v>0</v>
      </c>
      <c r="X246" s="76"/>
      <c r="Y246" s="58">
        <f>-ROUND((_xll.HPVAL($G$1,"ACTUAL",$A246,$Y$7,"YTD","gpg")/1000),0)</f>
        <v>0</v>
      </c>
      <c r="Z246" s="76"/>
      <c r="AA246" s="58">
        <f>-ROUND((_xll.HPVAL($G$1,"ACTUAL",$A246,$AA$7,"YTD","gpg")/1000),0)</f>
        <v>0</v>
      </c>
      <c r="AB246" s="76"/>
      <c r="AC246" s="58">
        <f>IF(mo=1,+E246-C246,CHOOSE(mo,E246,G246,I246,K246,M246,O246,Q246,S246,U246,W246,Y246,AA246)-CHOOSE(mo-1,E246,G246,I246,K246,M246,O246,Q246,S246,U246,W246,Y246,AA246))</f>
        <v>0</v>
      </c>
      <c r="AD246" s="70"/>
      <c r="AE246" s="58">
        <f>CHOOSE(mo,E246,G246,I246,K246,M246,O246,Q246,S246,U246,W246,Y246,AA246)-C246</f>
        <v>-2</v>
      </c>
      <c r="AF246" s="60"/>
      <c r="AG246" s="5"/>
    </row>
    <row r="247" spans="1:33" s="13" customFormat="1" ht="11.25" customHeight="1">
      <c r="A247" s="84" t="s">
        <v>411</v>
      </c>
      <c r="B247" s="58" t="str">
        <f>_xll.HPHEA($A247,$G$2)</f>
        <v>0051_30013000 - Enron Pipeline Company.</v>
      </c>
      <c r="C247" s="58">
        <f>-ROUND((_xll.HPVAL($G$1,"py1",$A247,$C$7,"YTD","gpg")/1000),0)</f>
        <v>0</v>
      </c>
      <c r="D247" s="70"/>
      <c r="E247" s="58">
        <f>-ROUND((_xll.HPVAL($G$1,"ACTUAL",$A247,$E$7,"YTD","gpg")/1000),0)</f>
        <v>0</v>
      </c>
      <c r="F247" s="76"/>
      <c r="G247" s="58">
        <f>-ROUND((_xll.HPVAL($G$1,"ACTUAL",$A247,$G$7,"YTD","gpg")/1000),0)</f>
        <v>15</v>
      </c>
      <c r="H247" s="76"/>
      <c r="I247" s="58">
        <f>-ROUND((_xll.HPVAL($G$1,"ACTUAL",$A247,$I$7,"YTD","gpg")/1000),0)</f>
        <v>15</v>
      </c>
      <c r="J247" s="76"/>
      <c r="K247" s="58">
        <f>-ROUND((_xll.HPVAL($G$1,"ACTUAL",$A247,$K$7,"YTD","gpg")/1000),0)</f>
        <v>30</v>
      </c>
      <c r="L247" s="76"/>
      <c r="M247" s="58">
        <f>-ROUND((_xll.HPVAL($G$1,"ACTUAL",$A247,$M$7,"YTD","gpg")/1000),0)</f>
        <v>30</v>
      </c>
      <c r="N247" s="76"/>
      <c r="O247" s="58">
        <f>-ROUND((_xll.HPVAL($G$1,"ACTUAL",$A247,$O$7,"YTD","gpg")/1000),0)</f>
        <v>52</v>
      </c>
      <c r="P247" s="76"/>
      <c r="Q247" s="58">
        <f>-ROUND((_xll.HPVAL($G$1,"ACTUAL",$A247,$Q$7,"YTD","gpg")/1000),0)</f>
        <v>0</v>
      </c>
      <c r="R247" s="76"/>
      <c r="S247" s="58">
        <f>-ROUND((_xll.HPVAL($G$1,"ACTUAL",$A247,$S$7,"YTD","gpg")/1000),0)</f>
        <v>0</v>
      </c>
      <c r="T247" s="76"/>
      <c r="U247" s="58">
        <f>-ROUND((_xll.HPVAL($G$1,"ACTUAL",$A247,$U$7,"YTD","gpg")/1000),0)</f>
        <v>0</v>
      </c>
      <c r="V247" s="76"/>
      <c r="W247" s="58">
        <f>-ROUND((_xll.HPVAL($G$1,"ACTUAL",$A247,$W$7,"YTD","gpg")/1000),0)</f>
        <v>0</v>
      </c>
      <c r="X247" s="76"/>
      <c r="Y247" s="58">
        <f>-ROUND((_xll.HPVAL($G$1,"ACTUAL",$A247,$Y$7,"YTD","gpg")/1000),0)</f>
        <v>0</v>
      </c>
      <c r="Z247" s="76"/>
      <c r="AA247" s="58">
        <f>-ROUND((_xll.HPVAL($G$1,"ACTUAL",$A247,$AA$7,"YTD","gpg")/1000),0)</f>
        <v>0</v>
      </c>
      <c r="AB247" s="76"/>
      <c r="AC247" s="58">
        <f t="shared" si="12"/>
        <v>0</v>
      </c>
      <c r="AD247" s="70"/>
      <c r="AE247" s="58">
        <f t="shared" si="13"/>
        <v>0</v>
      </c>
      <c r="AF247" s="60"/>
      <c r="AG247" s="5"/>
    </row>
    <row r="248" spans="1:33" s="13" customFormat="1" ht="11.25" customHeight="1">
      <c r="A248" s="84" t="s">
        <v>412</v>
      </c>
      <c r="B248" s="58" t="str">
        <f>_xll.HPHEA($A248,$G$2)</f>
        <v>0051_30013000 - Enron Compressor Services</v>
      </c>
      <c r="C248" s="85">
        <f>-ROUND((_xll.HPVAL($G$1,"py1",$A248,$C$7,"YTD","gpg")/1000),0)</f>
        <v>77</v>
      </c>
      <c r="D248" s="70"/>
      <c r="E248" s="85">
        <f>-ROUND((_xll.HPVAL($G$1,"ACTUAL",$A248,$E$7,"YTD","gpg")/1000),0)</f>
        <v>0</v>
      </c>
      <c r="F248" s="90"/>
      <c r="G248" s="85">
        <f>-ROUND((_xll.HPVAL($G$1,"ACTUAL",$A248,$G$7,"YTD","gpg")/1000),0)</f>
        <v>0</v>
      </c>
      <c r="H248" s="90"/>
      <c r="I248" s="85">
        <f>-ROUND((_xll.HPVAL($G$1,"ACTUAL",$A248,$I$7,"YTD","gpg")/1000),0)</f>
        <v>0</v>
      </c>
      <c r="J248" s="90"/>
      <c r="K248" s="85">
        <f>-ROUND((_xll.HPVAL($G$1,"ACTUAL",$A248,$K$7,"YTD","gpg")/1000),0)</f>
        <v>0</v>
      </c>
      <c r="L248" s="90"/>
      <c r="M248" s="85">
        <f>-ROUND((_xll.HPVAL($G$1,"ACTUAL",$A248,$M$7,"YTD","gpg")/1000),0)</f>
        <v>0</v>
      </c>
      <c r="N248" s="90"/>
      <c r="O248" s="85">
        <f>-ROUND((_xll.HPVAL($G$1,"ACTUAL",$A248,$O$7,"YTD","gpg")/1000),0)</f>
        <v>0</v>
      </c>
      <c r="P248" s="90"/>
      <c r="Q248" s="85">
        <f>-ROUND((_xll.HPVAL($G$1,"ACTUAL",$A248,$Q$7,"YTD","gpg")/1000),0)</f>
        <v>0</v>
      </c>
      <c r="R248" s="90"/>
      <c r="S248" s="85">
        <f>-ROUND((_xll.HPVAL($G$1,"ACTUAL",$A248,$S$7,"YTD","gpg")/1000),0)</f>
        <v>0</v>
      </c>
      <c r="T248" s="90"/>
      <c r="U248" s="85">
        <f>-ROUND((_xll.HPVAL($G$1,"ACTUAL",$A248,$U$7,"YTD","gpg")/1000),0)</f>
        <v>0</v>
      </c>
      <c r="V248" s="90"/>
      <c r="W248" s="85">
        <f>-ROUND((_xll.HPVAL($G$1,"ACTUAL",$A248,$W$7,"YTD","gpg")/1000),0)</f>
        <v>0</v>
      </c>
      <c r="X248" s="90"/>
      <c r="Y248" s="85">
        <f>-ROUND((_xll.HPVAL($G$1,"ACTUAL",$A248,$Y$7,"YTD","gpg")/1000),0)</f>
        <v>0</v>
      </c>
      <c r="Z248" s="90"/>
      <c r="AA248" s="85">
        <f>-ROUND((_xll.HPVAL($G$1,"ACTUAL",$A248,$AA$7,"YTD","gpg")/1000),0)</f>
        <v>0</v>
      </c>
      <c r="AB248" s="90"/>
      <c r="AC248" s="85">
        <f t="shared" si="12"/>
        <v>0</v>
      </c>
      <c r="AD248" s="70"/>
      <c r="AE248" s="85">
        <f t="shared" si="13"/>
        <v>-77</v>
      </c>
      <c r="AF248" s="60"/>
      <c r="AG248" s="5"/>
    </row>
    <row r="249" spans="1:33" s="17" customFormat="1" ht="11.25" customHeight="1">
      <c r="A249" s="315"/>
      <c r="B249" s="72"/>
      <c r="C249" s="72">
        <f>SUM(C223:C248)+C221</f>
        <v>1725</v>
      </c>
      <c r="D249" s="70" t="s">
        <v>246</v>
      </c>
      <c r="E249" s="72">
        <f>SUM(E223:E248)+E221</f>
        <v>4393</v>
      </c>
      <c r="F249" s="77"/>
      <c r="G249" s="72">
        <f>SUM(G223:G248)+G221</f>
        <v>3183</v>
      </c>
      <c r="H249" s="77"/>
      <c r="I249" s="72">
        <f>SUM(I223:I248)+I221</f>
        <v>14102</v>
      </c>
      <c r="J249" s="77"/>
      <c r="K249" s="72">
        <f>SUM(K223:K248)+K221</f>
        <v>1385</v>
      </c>
      <c r="L249" s="77"/>
      <c r="M249" s="72">
        <f>SUM(M223:M248)+M221</f>
        <v>1928</v>
      </c>
      <c r="N249" s="77"/>
      <c r="O249" s="72">
        <f>SUM(O223:O248)+O221</f>
        <v>1234</v>
      </c>
      <c r="P249" s="77"/>
      <c r="Q249" s="72">
        <f>SUM(Q223:Q248)+Q221</f>
        <v>1178</v>
      </c>
      <c r="R249" s="77"/>
      <c r="S249" s="72">
        <f>SUM(S223:S248)+S221</f>
        <v>183</v>
      </c>
      <c r="T249" s="77"/>
      <c r="U249" s="72">
        <f>SUM(U223:U248)+U221</f>
        <v>0</v>
      </c>
      <c r="V249" s="77"/>
      <c r="W249" s="72">
        <f>SUM(W223:W248)+W221</f>
        <v>0</v>
      </c>
      <c r="X249" s="77"/>
      <c r="Y249" s="72">
        <f>SUM(Y223:Y248)+Y221</f>
        <v>0</v>
      </c>
      <c r="Z249" s="77"/>
      <c r="AA249" s="72">
        <f>SUM(AA223:AA248)+AA221</f>
        <v>0</v>
      </c>
      <c r="AB249" s="77"/>
      <c r="AC249" s="72">
        <f>SUM(AC223:AC248)+AC221</f>
        <v>-995</v>
      </c>
      <c r="AD249" s="72">
        <f>SUM(AD223:AD248)+AD221</f>
        <v>0</v>
      </c>
      <c r="AE249" s="72">
        <f>SUM(AE223:AE248)+AE221</f>
        <v>-1542</v>
      </c>
      <c r="AF249" s="72"/>
      <c r="AG249" s="9"/>
    </row>
    <row r="250" spans="1:33" s="13" customFormat="1" ht="11.25" customHeight="1">
      <c r="A250" s="144"/>
      <c r="B250" s="60" t="s">
        <v>311</v>
      </c>
      <c r="C250" s="314">
        <v>0</v>
      </c>
      <c r="D250" s="70"/>
      <c r="E250" s="314">
        <v>0</v>
      </c>
      <c r="F250" s="77"/>
      <c r="G250" s="314">
        <v>0</v>
      </c>
      <c r="H250" s="77"/>
      <c r="I250" s="314">
        <v>0</v>
      </c>
      <c r="J250" s="77"/>
      <c r="K250" s="314">
        <v>0</v>
      </c>
      <c r="L250" s="77"/>
      <c r="M250" s="314">
        <v>0</v>
      </c>
      <c r="N250" s="77"/>
      <c r="O250" s="314">
        <v>0</v>
      </c>
      <c r="P250" s="77"/>
      <c r="Q250" s="314">
        <v>2</v>
      </c>
      <c r="R250" s="77"/>
      <c r="S250" s="314">
        <v>0</v>
      </c>
      <c r="T250" s="77"/>
      <c r="U250" s="314">
        <v>0</v>
      </c>
      <c r="V250" s="77"/>
      <c r="W250" s="314">
        <v>0</v>
      </c>
      <c r="X250" s="77"/>
      <c r="Y250" s="314">
        <v>0</v>
      </c>
      <c r="Z250" s="77"/>
      <c r="AA250" s="314">
        <v>0</v>
      </c>
      <c r="AB250" s="77"/>
      <c r="AC250" s="58">
        <f t="shared" si="12"/>
        <v>-2</v>
      </c>
      <c r="AD250" s="72"/>
      <c r="AE250" s="58">
        <f>CHOOSE(mo,E250,G250,I250,K250,M250,O250,Q250,S250,U250,W250,Y250,AA250)-C250</f>
        <v>0</v>
      </c>
      <c r="AF250" s="60"/>
      <c r="AG250" s="5"/>
    </row>
    <row r="251" spans="1:33" s="13" customFormat="1" ht="11.25" customHeight="1" thickBot="1">
      <c r="A251" s="144"/>
      <c r="B251" s="60"/>
      <c r="C251" s="88">
        <f>SUM(C249:C250)</f>
        <v>1725</v>
      </c>
      <c r="D251" s="70"/>
      <c r="E251" s="88">
        <f>SUM(E249:E250)</f>
        <v>4393</v>
      </c>
      <c r="F251" s="77"/>
      <c r="G251" s="88">
        <f>SUM(G249:G250)</f>
        <v>3183</v>
      </c>
      <c r="H251" s="77"/>
      <c r="I251" s="88">
        <f>SUM(I249:I250)</f>
        <v>14102</v>
      </c>
      <c r="J251" s="77"/>
      <c r="K251" s="88">
        <f>SUM(K249:K250)</f>
        <v>1385</v>
      </c>
      <c r="L251" s="77"/>
      <c r="M251" s="88">
        <f>SUM(M249:M250)</f>
        <v>1928</v>
      </c>
      <c r="N251" s="77"/>
      <c r="O251" s="88">
        <f>SUM(O249:O250)</f>
        <v>1234</v>
      </c>
      <c r="P251" s="77"/>
      <c r="Q251" s="88">
        <f>SUM(Q249:Q250)</f>
        <v>1180</v>
      </c>
      <c r="R251" s="77"/>
      <c r="S251" s="88">
        <f>SUM(S249:S250)</f>
        <v>183</v>
      </c>
      <c r="T251" s="77"/>
      <c r="U251" s="88">
        <f>SUM(U249:U250)</f>
        <v>0</v>
      </c>
      <c r="V251" s="77"/>
      <c r="W251" s="88">
        <f>SUM(W249:W250)</f>
        <v>0</v>
      </c>
      <c r="X251" s="77"/>
      <c r="Y251" s="88">
        <f>SUM(Y249:Y250)</f>
        <v>0</v>
      </c>
      <c r="Z251" s="77"/>
      <c r="AA251" s="88">
        <f>SUM(AA249:AA250)</f>
        <v>0</v>
      </c>
      <c r="AB251" s="77"/>
      <c r="AC251" s="88">
        <f>SUM(AC249:AC250)</f>
        <v>-997</v>
      </c>
      <c r="AD251" s="72"/>
      <c r="AE251" s="88">
        <f>SUM(AE249:AE250)</f>
        <v>-1542</v>
      </c>
      <c r="AF251" s="60"/>
      <c r="AG251" s="5"/>
    </row>
    <row r="252" spans="1:33" ht="10.8" thickTop="1">
      <c r="A252" s="58"/>
      <c r="B252" s="58"/>
      <c r="C252" s="58"/>
      <c r="D252" s="70"/>
      <c r="E252" s="58"/>
      <c r="F252" s="73"/>
      <c r="G252" s="58"/>
      <c r="H252" s="73"/>
      <c r="I252" s="58"/>
      <c r="J252" s="73"/>
      <c r="K252" s="58"/>
      <c r="L252" s="73"/>
      <c r="M252" s="58"/>
      <c r="N252" s="73"/>
      <c r="O252" s="58"/>
      <c r="P252" s="73"/>
      <c r="Q252" s="58"/>
      <c r="R252" s="73"/>
      <c r="S252" s="58"/>
      <c r="T252" s="73"/>
      <c r="U252" s="58"/>
      <c r="V252" s="73"/>
      <c r="W252" s="58"/>
      <c r="X252" s="73"/>
      <c r="Y252" s="58"/>
      <c r="Z252" s="73"/>
      <c r="AA252" s="58"/>
      <c r="AB252" s="73"/>
      <c r="AC252" s="58"/>
      <c r="AD252" s="70"/>
      <c r="AE252" s="58"/>
      <c r="AF252" s="58"/>
    </row>
    <row r="253" spans="1:33">
      <c r="A253" s="84" t="s">
        <v>346</v>
      </c>
      <c r="B253" s="58" t="str">
        <f>_xll.HPHEA($A253,$G$2)</f>
        <v>Citibank NY concentration acct</v>
      </c>
      <c r="C253" s="58">
        <f>ROUND((_xll.HPVAL($G$1,"py1",$A253,$C$7,"YTD","gpg")/1000),0)</f>
        <v>0</v>
      </c>
      <c r="D253" s="70"/>
      <c r="E253" s="58">
        <f>ROUND((_xll.HPVAL($G$1,"ACTUAL",$A253,$E$7,"YTD","gpg")/1000),0)</f>
        <v>0</v>
      </c>
      <c r="F253" s="73"/>
      <c r="G253" s="58">
        <f>ROUND((_xll.HPVAL($G$1,"ACTUAL",$A253,$G$7,"YTD","gpg")/1000),0)</f>
        <v>761</v>
      </c>
      <c r="H253" s="73"/>
      <c r="I253" s="58">
        <f>ROUND((_xll.HPVAL($G$1,"ACTUAL",$A253,$I$7,"YTD","gpg")/1000),0)</f>
        <v>776</v>
      </c>
      <c r="J253" s="73"/>
      <c r="K253" s="58">
        <f>ROUND((_xll.HPVAL($G$1,"ACTUAL",$A253,$K$7,"YTD","gpg")/1000),0)</f>
        <v>1622</v>
      </c>
      <c r="L253" s="73"/>
      <c r="M253" s="58">
        <f>ROUND((_xll.HPVAL($G$1,"ACTUAL",$A253,$M$7,"YTD","gpg")/1000),0)</f>
        <v>636</v>
      </c>
      <c r="N253" s="73"/>
      <c r="O253" s="58">
        <f>ROUND((_xll.HPVAL($G$1,"ACTUAL",$A253,$O$7,"YTD","gpg")/1000),0)</f>
        <v>3820</v>
      </c>
      <c r="P253" s="73"/>
      <c r="Q253" s="58">
        <f>ROUND((_xll.HPVAL($G$1,"ACTUAL",$A253,$Q$7,"YTD","gpg")/1000),0)</f>
        <v>778</v>
      </c>
      <c r="R253" s="73"/>
      <c r="S253" s="58">
        <f>ROUND((_xll.HPVAL($G$1,"ACTUAL",$A253,$S$7,"YTD","gpg")/1000),0)</f>
        <v>4092</v>
      </c>
      <c r="T253" s="73"/>
      <c r="U253" s="58">
        <f>ROUND((_xll.HPVAL($G$1,"ACTUAL",$A253,$U$7,"YTD","gpg")/1000),0)</f>
        <v>0</v>
      </c>
      <c r="V253" s="73"/>
      <c r="W253" s="58">
        <f>ROUND((_xll.HPVAL($G$1,"ACTUAL",$A253,$W$7,"YTD","gpg")/1000),0)</f>
        <v>0</v>
      </c>
      <c r="X253" s="73"/>
      <c r="Y253" s="58">
        <f>ROUND((_xll.HPVAL($G$1,"ACTUAL",$A253,$Y$7,"YTD","gpg")/1000),0)</f>
        <v>0</v>
      </c>
      <c r="Z253" s="73"/>
      <c r="AA253" s="58">
        <f>ROUND((_xll.HPVAL($G$1,"ACTUAL",$A253,$AA$7,"YTD","gpg")/1000),0)</f>
        <v>0</v>
      </c>
      <c r="AB253" s="73"/>
      <c r="AC253" s="58">
        <f t="shared" ref="AC253:AC260" si="14">IF(mo=1,+E253-C253,CHOOSE(mo,E253,G253,I253,K253,M253,O253,Q253,S253,U253,W253,Y253,AA253)-CHOOSE(mo-1,E253,G253,I253,K253,M253,O253,Q253,S253,U253,W253,Y253,AA253))</f>
        <v>3314</v>
      </c>
      <c r="AD253" s="70"/>
      <c r="AE253" s="58">
        <f t="shared" ref="AE253:AE260" si="15">CHOOSE(mo,E253,G253,I253,K253,M253,O253,Q253,S253,U253,W253,Y253,AA253)-C253</f>
        <v>4092</v>
      </c>
      <c r="AF253" s="58"/>
    </row>
    <row r="254" spans="1:33">
      <c r="A254" s="84" t="s">
        <v>347</v>
      </c>
      <c r="B254" s="58" t="str">
        <f>_xll.HPHEA($A254,$G$2)</f>
        <v>Accounts payable - trade (DP)</v>
      </c>
      <c r="C254" s="58">
        <f>ROUND((_xll.HPVAL($G$1,"py1",$A254,$C$7,"YTD","gpg")/1000),0)</f>
        <v>1137</v>
      </c>
      <c r="D254" s="70" t="s">
        <v>251</v>
      </c>
      <c r="E254" s="58">
        <f>ROUND((_xll.HPVAL($G$1,"ACTUAL",$A254,$E$7,"YTD","gpg")/1000),0)</f>
        <v>771</v>
      </c>
      <c r="F254" s="73"/>
      <c r="G254" s="58">
        <f>ROUND((_xll.HPVAL($G$1,"ACTUAL",$A254,$G$7,"YTD","gpg")/1000),0)</f>
        <v>515</v>
      </c>
      <c r="H254" s="73"/>
      <c r="I254" s="58">
        <f>ROUND((_xll.HPVAL($G$1,"ACTUAL",$A254,$I$7,"YTD","gpg")/1000),0)</f>
        <v>1011</v>
      </c>
      <c r="J254" s="73"/>
      <c r="K254" s="58">
        <f>ROUND((_xll.HPVAL($G$1,"ACTUAL",$A254,$K$7,"YTD","gpg")/1000),0)</f>
        <v>731</v>
      </c>
      <c r="L254" s="73"/>
      <c r="M254" s="58">
        <f>ROUND((_xll.HPVAL($G$1,"ACTUAL",$A254,$M$7,"YTD","gpg")/1000),0)</f>
        <v>893</v>
      </c>
      <c r="N254" s="73"/>
      <c r="O254" s="58">
        <f>ROUND((_xll.HPVAL($G$1,"ACTUAL",$A254,$O$7,"YTD","gpg")/1000),0)</f>
        <v>647</v>
      </c>
      <c r="P254" s="73"/>
      <c r="Q254" s="58">
        <f>ROUND((_xll.HPVAL($G$1,"ACTUAL",$A254,$Q$7,"YTD","gpg")/1000),0)</f>
        <v>730</v>
      </c>
      <c r="R254" s="73"/>
      <c r="S254" s="58">
        <f>ROUND((_xll.HPVAL($G$1,"ACTUAL",$A254,$S$7,"YTD","gpg")/1000),0)</f>
        <v>-257</v>
      </c>
      <c r="T254" s="73"/>
      <c r="U254" s="58">
        <f>ROUND((_xll.HPVAL($G$1,"ACTUAL",$A254,$U$7,"YTD","gpg")/1000),0)</f>
        <v>0</v>
      </c>
      <c r="V254" s="73"/>
      <c r="W254" s="58">
        <f>ROUND((_xll.HPVAL($G$1,"ACTUAL",$A254,$W$7,"YTD","gpg")/1000),0)</f>
        <v>0</v>
      </c>
      <c r="X254" s="73"/>
      <c r="Y254" s="58">
        <f>ROUND((_xll.HPVAL($G$1,"ACTUAL",$A254,$Y$7,"YTD","gpg")/1000),0)</f>
        <v>0</v>
      </c>
      <c r="Z254" s="73"/>
      <c r="AA254" s="58">
        <f>ROUND((_xll.HPVAL($G$1,"ACTUAL",$A254,$AA$7,"YTD","gpg")/1000),0)</f>
        <v>0</v>
      </c>
      <c r="AB254" s="73"/>
      <c r="AC254" s="58">
        <f t="shared" si="14"/>
        <v>-987</v>
      </c>
      <c r="AD254" s="70"/>
      <c r="AE254" s="58">
        <f t="shared" si="15"/>
        <v>-1394</v>
      </c>
      <c r="AF254" s="58"/>
    </row>
    <row r="255" spans="1:33">
      <c r="A255" s="84" t="s">
        <v>431</v>
      </c>
      <c r="B255" s="58" t="str">
        <f>_xll.HPHEA($A255,$G$2)</f>
        <v>Accounts payable - trade - 3rd party</v>
      </c>
      <c r="C255" s="58">
        <f>ROUND((_xll.HPVAL($G$1,"py1",$A255,$C$7,"YTD","gpg")/1000),0)</f>
        <v>0</v>
      </c>
      <c r="D255" s="70"/>
      <c r="E255" s="58">
        <f>ROUND((_xll.HPVAL($G$1,"ACTUAL",$A255,$E$7,"YTD","gpg")/1000),0)</f>
        <v>0</v>
      </c>
      <c r="F255" s="73"/>
      <c r="G255" s="58">
        <f>ROUND((_xll.HPVAL($G$1,"ACTUAL",$A255,$G$7,"YTD","gpg")/1000),0)</f>
        <v>0</v>
      </c>
      <c r="H255" s="73"/>
      <c r="I255" s="58">
        <f>ROUND((_xll.HPVAL($G$1,"ACTUAL",$A255,$I$7,"YTD","gpg")/1000),0)</f>
        <v>0</v>
      </c>
      <c r="J255" s="73"/>
      <c r="K255" s="58">
        <f>ROUND((_xll.HPVAL($G$1,"ACTUAL",$A255,$K$7,"YTD","gpg")/1000),0)</f>
        <v>0</v>
      </c>
      <c r="L255" s="73"/>
      <c r="M255" s="58">
        <f>ROUND((_xll.HPVAL($G$1,"ACTUAL",$A255,$M$7,"YTD","gpg")/1000),0)</f>
        <v>0</v>
      </c>
      <c r="N255" s="73"/>
      <c r="O255" s="58">
        <f>ROUND((_xll.HPVAL($G$1,"ACTUAL",$A255,$O$7,"YTD","gpg")/1000),0)</f>
        <v>38</v>
      </c>
      <c r="P255" s="73"/>
      <c r="Q255" s="58">
        <f>ROUND((_xll.HPVAL($G$1,"ACTUAL",$A255,$Q$7,"YTD","gpg")/1000),0)</f>
        <v>7</v>
      </c>
      <c r="R255" s="73"/>
      <c r="S255" s="58">
        <f>ROUND((_xll.HPVAL($G$1,"ACTUAL",$A255,$S$7,"YTD","gpg")/1000),0)</f>
        <v>7</v>
      </c>
      <c r="T255" s="73"/>
      <c r="U255" s="58">
        <f>ROUND((_xll.HPVAL($G$1,"ACTUAL",$A255,$U$7,"YTD","gpg")/1000),0)</f>
        <v>0</v>
      </c>
      <c r="V255" s="73"/>
      <c r="W255" s="58">
        <f>ROUND((_xll.HPVAL($G$1,"ACTUAL",$A255,$W$7,"YTD","gpg")/1000),0)</f>
        <v>0</v>
      </c>
      <c r="X255" s="73"/>
      <c r="Y255" s="58">
        <f>ROUND((_xll.HPVAL($G$1,"ACTUAL",$A255,$Y$7,"YTD","gpg")/1000),0)</f>
        <v>0</v>
      </c>
      <c r="Z255" s="73"/>
      <c r="AA255" s="58">
        <f>ROUND((_xll.HPVAL($G$1,"ACTUAL",$A255,$AA$7,"YTD","gpg")/1000),0)</f>
        <v>0</v>
      </c>
      <c r="AB255" s="73"/>
      <c r="AC255" s="58">
        <f t="shared" si="14"/>
        <v>0</v>
      </c>
      <c r="AD255" s="70"/>
      <c r="AE255" s="58">
        <f t="shared" si="15"/>
        <v>7</v>
      </c>
      <c r="AF255" s="58"/>
    </row>
    <row r="256" spans="1:33">
      <c r="A256" s="84" t="s">
        <v>348</v>
      </c>
      <c r="B256" s="58" t="str">
        <f>_xll.HPHEA($A256,$G$2)</f>
        <v>Goods rec/invoice recpt (GR/IR)-clearing</v>
      </c>
      <c r="C256" s="58">
        <f>ROUND((_xll.HPVAL($G$1,"py1",$A256,$C$7,"YTD","gpg")/1000),0)</f>
        <v>336</v>
      </c>
      <c r="D256" s="70"/>
      <c r="E256" s="58">
        <f>ROUND((_xll.HPVAL($G$1,"ACTUAL",$A256,$E$7,"YTD","gpg")/1000),0)</f>
        <v>327</v>
      </c>
      <c r="F256" s="73"/>
      <c r="G256" s="58">
        <f>ROUND((_xll.HPVAL($G$1,"ACTUAL",$A256,$G$7,"YTD","gpg")/1000),0)</f>
        <v>393</v>
      </c>
      <c r="H256" s="73"/>
      <c r="I256" s="58">
        <f>ROUND((_xll.HPVAL($G$1,"ACTUAL",$A256,$I$7,"YTD","gpg")/1000),0)</f>
        <v>291</v>
      </c>
      <c r="J256" s="73"/>
      <c r="K256" s="58">
        <f>ROUND((_xll.HPVAL($G$1,"ACTUAL",$A256,$K$7,"YTD","gpg")/1000),0)</f>
        <v>575</v>
      </c>
      <c r="L256" s="73"/>
      <c r="M256" s="58">
        <f>ROUND((_xll.HPVAL($G$1,"ACTUAL",$A256,$M$7,"YTD","gpg")/1000),0)</f>
        <v>592</v>
      </c>
      <c r="N256" s="73"/>
      <c r="O256" s="58">
        <f>ROUND((_xll.HPVAL($G$1,"ACTUAL",$A256,$O$7,"YTD","gpg")/1000),0)</f>
        <v>395</v>
      </c>
      <c r="P256" s="73"/>
      <c r="Q256" s="58">
        <f>ROUND((_xll.HPVAL($G$1,"ACTUAL",$A256,$Q$7,"YTD","gpg")/1000),0)</f>
        <v>320</v>
      </c>
      <c r="R256" s="73"/>
      <c r="S256" s="58">
        <f>ROUND((_xll.HPVAL($G$1,"ACTUAL",$A256,$S$7,"YTD","gpg")/1000),0)</f>
        <v>199</v>
      </c>
      <c r="T256" s="73"/>
      <c r="U256" s="58">
        <f>ROUND((_xll.HPVAL($G$1,"ACTUAL",$A256,$U$7,"YTD","gpg")/1000),0)</f>
        <v>0</v>
      </c>
      <c r="V256" s="73"/>
      <c r="W256" s="58">
        <f>ROUND((_xll.HPVAL($G$1,"ACTUAL",$A256,$W$7,"YTD","gpg")/1000),0)</f>
        <v>0</v>
      </c>
      <c r="X256" s="73"/>
      <c r="Y256" s="58">
        <f>ROUND((_xll.HPVAL($G$1,"ACTUAL",$A256,$Y$7,"YTD","gpg")/1000),0)</f>
        <v>0</v>
      </c>
      <c r="Z256" s="73"/>
      <c r="AA256" s="58">
        <f>ROUND((_xll.HPVAL($G$1,"ACTUAL",$A256,$AA$7,"YTD","gpg")/1000),0)</f>
        <v>0</v>
      </c>
      <c r="AB256" s="73"/>
      <c r="AC256" s="58">
        <f t="shared" si="14"/>
        <v>-121</v>
      </c>
      <c r="AD256" s="70"/>
      <c r="AE256" s="58">
        <f t="shared" si="15"/>
        <v>-137</v>
      </c>
      <c r="AF256" s="58"/>
    </row>
    <row r="257" spans="1:33">
      <c r="A257" s="84" t="s">
        <v>349</v>
      </c>
      <c r="B257" s="58" t="str">
        <f>_xll.HPHEA($A257,$G$2)</f>
        <v>Accounts payable-non trade-3rd party</v>
      </c>
      <c r="C257" s="58">
        <f>ROUND((_xll.HPVAL($G$1,"py1",$A257,$C$7,"YTD","gpg")/1000),0)</f>
        <v>672</v>
      </c>
      <c r="D257" s="70"/>
      <c r="E257" s="58">
        <f>ROUND((_xll.HPVAL($G$1,"ACTUAL",$A257,$E$7,"YTD","gpg")/1000),0)</f>
        <v>812</v>
      </c>
      <c r="F257" s="73"/>
      <c r="G257" s="58">
        <f>ROUND((_xll.HPVAL($G$1,"ACTUAL",$A257,$G$7,"YTD","gpg")/1000),0)</f>
        <v>496</v>
      </c>
      <c r="H257" s="73"/>
      <c r="I257" s="58">
        <f>ROUND((_xll.HPVAL($G$1,"ACTUAL",$A257,$I$7,"YTD","gpg")/1000),0)</f>
        <v>491</v>
      </c>
      <c r="J257" s="73"/>
      <c r="K257" s="58">
        <f>ROUND((_xll.HPVAL($G$1,"ACTUAL",$A257,$K$7,"YTD","gpg")/1000),0)</f>
        <v>606</v>
      </c>
      <c r="L257" s="73"/>
      <c r="M257" s="58">
        <f>ROUND((_xll.HPVAL($G$1,"ACTUAL",$A257,$M$7,"YTD","gpg")/1000),0)</f>
        <v>516</v>
      </c>
      <c r="N257" s="73"/>
      <c r="O257" s="58">
        <f>ROUND((_xll.HPVAL($G$1,"ACTUAL",$A257,$O$7,"YTD","gpg")/1000),0)</f>
        <v>261</v>
      </c>
      <c r="P257" s="73"/>
      <c r="Q257" s="58">
        <f>ROUND((_xll.HPVAL($G$1,"ACTUAL",$A257,$Q$7,"YTD","gpg")/1000),0)</f>
        <v>446</v>
      </c>
      <c r="R257" s="73"/>
      <c r="S257" s="58">
        <f>ROUND((_xll.HPVAL($G$1,"ACTUAL",$A257,$S$7,"YTD","gpg")/1000),0)</f>
        <v>236</v>
      </c>
      <c r="T257" s="73"/>
      <c r="U257" s="58">
        <f>ROUND((_xll.HPVAL($G$1,"ACTUAL",$A257,$U$7,"YTD","gpg")/1000),0)</f>
        <v>0</v>
      </c>
      <c r="V257" s="73"/>
      <c r="W257" s="58">
        <f>ROUND((_xll.HPVAL($G$1,"ACTUAL",$A257,$W$7,"YTD","gpg")/1000),0)</f>
        <v>0</v>
      </c>
      <c r="X257" s="73"/>
      <c r="Y257" s="58">
        <f>ROUND((_xll.HPVAL($G$1,"ACTUAL",$A257,$Y$7,"YTD","gpg")/1000),0)</f>
        <v>0</v>
      </c>
      <c r="Z257" s="73"/>
      <c r="AA257" s="58">
        <f>ROUND((_xll.HPVAL($G$1,"ACTUAL",$A257,$AA$7,"YTD","gpg")/1000),0)</f>
        <v>0</v>
      </c>
      <c r="AB257" s="73"/>
      <c r="AC257" s="58">
        <f t="shared" si="14"/>
        <v>-210</v>
      </c>
      <c r="AD257" s="70"/>
      <c r="AE257" s="58">
        <f t="shared" si="15"/>
        <v>-436</v>
      </c>
      <c r="AF257" s="58"/>
    </row>
    <row r="258" spans="1:33">
      <c r="A258" s="84" t="s">
        <v>350</v>
      </c>
      <c r="B258" s="58" t="str">
        <f>_xll.HPHEA($A258,$G$2)</f>
        <v>Cash discounts-clearing</v>
      </c>
      <c r="C258" s="58">
        <f>ROUND((_xll.HPVAL($G$1,"py1",$A258,$C$7,"YTD","gpg")/1000),0)</f>
        <v>0</v>
      </c>
      <c r="D258" s="70"/>
      <c r="E258" s="58">
        <f>ROUND((_xll.HPVAL($G$1,"ACTUAL",$A258,$E$7,"YTD","gpg")/1000),0)</f>
        <v>0</v>
      </c>
      <c r="F258" s="73"/>
      <c r="G258" s="58">
        <f>ROUND((_xll.HPVAL($G$1,"ACTUAL",$A258,$G$7,"YTD","gpg")/1000),0)</f>
        <v>0</v>
      </c>
      <c r="H258" s="73"/>
      <c r="I258" s="58">
        <f>ROUND((_xll.HPVAL($G$1,"ACTUAL",$A258,$I$7,"YTD","gpg")/1000),0)</f>
        <v>0</v>
      </c>
      <c r="J258" s="73"/>
      <c r="K258" s="58">
        <f>ROUND((_xll.HPVAL($G$1,"ACTUAL",$A258,$K$7,"YTD","gpg")/1000),0)</f>
        <v>0</v>
      </c>
      <c r="L258" s="73"/>
      <c r="M258" s="58">
        <f>ROUND((_xll.HPVAL($G$1,"ACTUAL",$A258,$M$7,"YTD","gpg")/1000),0)</f>
        <v>0</v>
      </c>
      <c r="N258" s="73"/>
      <c r="O258" s="58">
        <f>ROUND((_xll.HPVAL($G$1,"ACTUAL",$A258,$O$7,"YTD","gpg")/1000),0)</f>
        <v>0</v>
      </c>
      <c r="P258" s="73"/>
      <c r="Q258" s="58">
        <f>ROUND((_xll.HPVAL($G$1,"ACTUAL",$A258,$Q$7,"YTD","gpg")/1000),0)</f>
        <v>0</v>
      </c>
      <c r="R258" s="73"/>
      <c r="S258" s="58">
        <f>ROUND((_xll.HPVAL($G$1,"ACTUAL",$A258,$S$7,"YTD","gpg")/1000),0)</f>
        <v>0</v>
      </c>
      <c r="T258" s="73"/>
      <c r="U258" s="58">
        <f>ROUND((_xll.HPVAL($G$1,"ACTUAL",$A258,$U$7,"YTD","gpg")/1000),0)</f>
        <v>0</v>
      </c>
      <c r="V258" s="73"/>
      <c r="W258" s="58">
        <f>ROUND((_xll.HPVAL($G$1,"ACTUAL",$A258,$W$7,"YTD","gpg")/1000),0)</f>
        <v>0</v>
      </c>
      <c r="X258" s="73"/>
      <c r="Y258" s="58">
        <f>ROUND((_xll.HPVAL($G$1,"ACTUAL",$A258,$Y$7,"YTD","gpg")/1000),0)</f>
        <v>0</v>
      </c>
      <c r="Z258" s="73"/>
      <c r="AA258" s="58">
        <f>ROUND((_xll.HPVAL($G$1,"ACTUAL",$A258,$AA$7,"YTD","gpg")/1000),0)</f>
        <v>0</v>
      </c>
      <c r="AB258" s="73"/>
      <c r="AC258" s="58">
        <f t="shared" si="14"/>
        <v>0</v>
      </c>
      <c r="AD258" s="70"/>
      <c r="AE258" s="58">
        <f t="shared" si="15"/>
        <v>0</v>
      </c>
      <c r="AF258" s="58"/>
    </row>
    <row r="259" spans="1:33">
      <c r="A259" s="84" t="s">
        <v>468</v>
      </c>
      <c r="B259" s="58" t="str">
        <f>_xll.HPHEA($A259,$G$2)</f>
        <v>Escheatment</v>
      </c>
      <c r="C259" s="58">
        <f>ROUND((_xll.HPVAL($G$1,"py1",$A259,$C$7,"YTD","gpg")/1000),0)</f>
        <v>16</v>
      </c>
      <c r="D259" s="70"/>
      <c r="E259" s="58">
        <f>ROUND((_xll.HPVAL($G$1,"ACTUAL",$A259,$E$7,"YTD","gpg")/1000),0)</f>
        <v>16</v>
      </c>
      <c r="F259" s="73"/>
      <c r="G259" s="58">
        <f>ROUND((_xll.HPVAL($G$1,"ACTUAL",$A259,$G$7,"YTD","gpg")/1000),0)</f>
        <v>16</v>
      </c>
      <c r="H259" s="73"/>
      <c r="I259" s="58">
        <f>ROUND((_xll.HPVAL($G$1,"ACTUAL",$A259,$I$7,"YTD","gpg")/1000),0)</f>
        <v>16</v>
      </c>
      <c r="J259" s="73"/>
      <c r="K259" s="58">
        <f>ROUND((_xll.HPVAL($G$1,"ACTUAL",$A259,$K$7,"YTD","gpg")/1000),0)</f>
        <v>16</v>
      </c>
      <c r="L259" s="73"/>
      <c r="M259" s="58">
        <f>ROUND((_xll.HPVAL($G$1,"ACTUAL",$A259,$M$7,"YTD","gpg")/1000),0)</f>
        <v>16</v>
      </c>
      <c r="N259" s="73"/>
      <c r="O259" s="58">
        <f>ROUND((_xll.HPVAL($G$1,"ACTUAL",$A259,$O$7,"YTD","gpg")/1000),0)</f>
        <v>16</v>
      </c>
      <c r="P259" s="73"/>
      <c r="Q259" s="58">
        <f>ROUND((_xll.HPVAL($G$1,"ACTUAL",$A259,$Q$7,"YTD","gpg")/1000),0)</f>
        <v>16</v>
      </c>
      <c r="R259" s="73"/>
      <c r="S259" s="58">
        <f>ROUND((_xll.HPVAL($G$1,"ACTUAL",$A259,$S$7,"YTD","gpg")/1000),0)</f>
        <v>16</v>
      </c>
      <c r="T259" s="73"/>
      <c r="U259" s="58">
        <f>ROUND((_xll.HPVAL($G$1,"ACTUAL",$A259,$U$7,"YTD","gpg")/1000),0)</f>
        <v>0</v>
      </c>
      <c r="V259" s="73"/>
      <c r="W259" s="58">
        <f>ROUND((_xll.HPVAL($G$1,"ACTUAL",$A259,$W$7,"YTD","gpg")/1000),0)</f>
        <v>0</v>
      </c>
      <c r="X259" s="73"/>
      <c r="Y259" s="58">
        <f>ROUND((_xll.HPVAL($G$1,"ACTUAL",$A259,$Y$7,"YTD","gpg")/1000),0)</f>
        <v>0</v>
      </c>
      <c r="Z259" s="73"/>
      <c r="AA259" s="58">
        <f>ROUND((_xll.HPVAL($G$1,"ACTUAL",$A259,$AA$7,"YTD","gpg")/1000),0)</f>
        <v>0</v>
      </c>
      <c r="AB259" s="73"/>
      <c r="AC259" s="58">
        <f t="shared" si="14"/>
        <v>0</v>
      </c>
      <c r="AD259" s="70"/>
      <c r="AE259" s="58">
        <f t="shared" si="15"/>
        <v>0</v>
      </c>
      <c r="AF259" s="58"/>
    </row>
    <row r="260" spans="1:33">
      <c r="A260" s="58"/>
      <c r="B260" s="58" t="s">
        <v>214</v>
      </c>
      <c r="C260" s="85">
        <f>+C261-SUM(C253:C259)</f>
        <v>0</v>
      </c>
      <c r="D260" s="70"/>
      <c r="E260" s="85">
        <f>+E261-SUM(E253:E259)</f>
        <v>0</v>
      </c>
      <c r="F260" s="77"/>
      <c r="G260" s="85">
        <f>+G261-SUM(G253:G259)</f>
        <v>0</v>
      </c>
      <c r="H260" s="77"/>
      <c r="I260" s="85">
        <f>+I261-SUM(I253:I259)</f>
        <v>1</v>
      </c>
      <c r="J260" s="77"/>
      <c r="K260" s="85">
        <f>+K261-SUM(K253:K259)</f>
        <v>0</v>
      </c>
      <c r="L260" s="77"/>
      <c r="M260" s="85">
        <f>+M261-SUM(M253:M259)</f>
        <v>1</v>
      </c>
      <c r="N260" s="77"/>
      <c r="O260" s="85">
        <f>+O261-SUM(O253:O259)</f>
        <v>0</v>
      </c>
      <c r="P260" s="77"/>
      <c r="Q260" s="85">
        <f>+Q261-SUM(Q253:Q259)</f>
        <v>0</v>
      </c>
      <c r="R260" s="77"/>
      <c r="S260" s="85">
        <f>+S261-SUM(S253:S259)</f>
        <v>-1</v>
      </c>
      <c r="T260" s="77"/>
      <c r="U260" s="85">
        <f>+U261-SUM(U253:U259)</f>
        <v>0</v>
      </c>
      <c r="V260" s="77"/>
      <c r="W260" s="85">
        <f>+W261-SUM(W253:W259)</f>
        <v>0</v>
      </c>
      <c r="X260" s="77"/>
      <c r="Y260" s="85">
        <f>+Y261-SUM(Y253:Y259)</f>
        <v>0</v>
      </c>
      <c r="Z260" s="77"/>
      <c r="AA260" s="85">
        <f>+AA261-SUM(AA253:AA259)</f>
        <v>0</v>
      </c>
      <c r="AB260" s="77"/>
      <c r="AC260" s="58">
        <f t="shared" si="14"/>
        <v>-1</v>
      </c>
      <c r="AD260" s="70"/>
      <c r="AE260" s="58">
        <f t="shared" si="15"/>
        <v>-1</v>
      </c>
      <c r="AF260" s="58"/>
    </row>
    <row r="261" spans="1:33" s="13" customFormat="1" ht="15" customHeight="1" thickBot="1">
      <c r="A261" s="144" t="s">
        <v>173</v>
      </c>
      <c r="B261" s="60" t="s">
        <v>247</v>
      </c>
      <c r="C261" s="86">
        <f>ROUND((_xll.HPVAL($G$1,"py1",$A261,$C$7,"YTD","gpg")/1000),0)</f>
        <v>2161</v>
      </c>
      <c r="D261" s="70"/>
      <c r="E261" s="86">
        <f>ROUND((_xll.HPVAL($G$1,"ACTUAL",$A261,$E$7,"YTD","gpg")/1000),0)</f>
        <v>1926</v>
      </c>
      <c r="F261" s="77"/>
      <c r="G261" s="86">
        <f>ROUND((_xll.HPVAL($G$1,"ACTUAL",$A261,$G$7,"YTD","gpg")/1000),0)</f>
        <v>2181</v>
      </c>
      <c r="H261" s="77"/>
      <c r="I261" s="86">
        <f>ROUND((_xll.HPVAL($G$1,"ACTUAL",$A261,$I$7,"YTD","gpg")/1000),0)</f>
        <v>2586</v>
      </c>
      <c r="J261" s="77"/>
      <c r="K261" s="86">
        <f>ROUND((_xll.HPVAL($G$1,"ACTUAL",$A261,$K$7,"YTD","gpg")/1000),0)</f>
        <v>3550</v>
      </c>
      <c r="L261" s="77"/>
      <c r="M261" s="86">
        <f>ROUND((_xll.HPVAL($G$1,"ACTUAL",$A261,$M$7,"YTD","gpg")/1000),0)</f>
        <v>2654</v>
      </c>
      <c r="N261" s="77"/>
      <c r="O261" s="86">
        <f>ROUND((_xll.HPVAL($G$1,"ACTUAL",$A261,$O$7,"YTD","gpg")/1000),0)</f>
        <v>5177</v>
      </c>
      <c r="P261" s="77"/>
      <c r="Q261" s="86">
        <f>ROUND((_xll.HPVAL($G$1,"ACTUAL",$A261,$Q$7,"YTD","gpg")/1000),0)</f>
        <v>2297</v>
      </c>
      <c r="R261" s="77"/>
      <c r="S261" s="86">
        <f>ROUND((_xll.HPVAL($G$1,"ACTUAL",$A261,$S$7,"YTD","gpg")/1000),0)</f>
        <v>4292</v>
      </c>
      <c r="T261" s="77"/>
      <c r="U261" s="86">
        <f>ROUND((_xll.HPVAL($G$1,"ACTUAL",$A261,$U$7,"YTD","gpg")/1000),0)</f>
        <v>0</v>
      </c>
      <c r="V261" s="77"/>
      <c r="W261" s="86">
        <f>ROUND((_xll.HPVAL($G$1,"ACTUAL",$A261,$W$7,"YTD","gpg")/1000),0)</f>
        <v>0</v>
      </c>
      <c r="X261" s="77"/>
      <c r="Y261" s="86">
        <f>ROUND((_xll.HPVAL($G$1,"ACTUAL",$A261,$Y$7,"YTD","gpg")/1000),0)</f>
        <v>0</v>
      </c>
      <c r="Z261" s="77"/>
      <c r="AA261" s="86">
        <f>ROUND((_xll.HPVAL($G$1,"ACTUAL",$A261,$AA$7,"YTD","gpg")/1000),0)</f>
        <v>0</v>
      </c>
      <c r="AB261" s="77"/>
      <c r="AC261" s="88">
        <f>SUM(AC253:AC260)</f>
        <v>1995</v>
      </c>
      <c r="AD261" s="70"/>
      <c r="AE261" s="88">
        <f>SUM(AE253:AE260)</f>
        <v>2131</v>
      </c>
      <c r="AF261" s="60"/>
      <c r="AG261" s="5"/>
    </row>
    <row r="262" spans="1:33" s="13" customFormat="1" ht="11.25" customHeight="1" thickTop="1">
      <c r="A262" s="144"/>
      <c r="B262" s="60"/>
      <c r="C262" s="72"/>
      <c r="D262" s="70"/>
      <c r="E262" s="72"/>
      <c r="F262" s="77"/>
      <c r="G262" s="72"/>
      <c r="H262" s="77"/>
      <c r="I262" s="72"/>
      <c r="J262" s="77"/>
      <c r="K262" s="72"/>
      <c r="L262" s="77"/>
      <c r="M262" s="72"/>
      <c r="N262" s="77"/>
      <c r="O262" s="72"/>
      <c r="P262" s="77"/>
      <c r="Q262" s="72"/>
      <c r="R262" s="77"/>
      <c r="S262" s="72"/>
      <c r="T262" s="77"/>
      <c r="U262" s="72"/>
      <c r="V262" s="77"/>
      <c r="W262" s="72"/>
      <c r="X262" s="77"/>
      <c r="Y262" s="72"/>
      <c r="Z262" s="77"/>
      <c r="AA262" s="72"/>
      <c r="AB262" s="77"/>
      <c r="AC262" s="72"/>
      <c r="AD262" s="70"/>
      <c r="AE262" s="72"/>
      <c r="AF262" s="60"/>
      <c r="AG262" s="5"/>
    </row>
    <row r="263" spans="1:33">
      <c r="A263" s="84" t="s">
        <v>573</v>
      </c>
      <c r="B263" s="58" t="str">
        <f>_xll.HPHEA($A263,$G$2)</f>
        <v>Price risk management liab-current</v>
      </c>
      <c r="C263" s="58">
        <f>ROUND((_xll.HPVAL($G$1,"py1",$A263,$C$7,"YTD","gpg")/1000),0)</f>
        <v>0</v>
      </c>
      <c r="D263" s="70"/>
      <c r="E263" s="58">
        <f>ROUND((_xll.HPVAL($G$1,"ACTUAL",$A263,$E$7,"YTD","gpg")/1000),0)</f>
        <v>0</v>
      </c>
      <c r="F263" s="73"/>
      <c r="G263" s="58">
        <f>ROUND((_xll.HPVAL($G$1,"ACTUAL",$A263,$G$7,"YTD","gpg")/1000),0)</f>
        <v>0</v>
      </c>
      <c r="H263" s="73"/>
      <c r="I263" s="58">
        <f>ROUND((_xll.HPVAL($G$1,"ACTUAL",$A263,$I$7,"YTD","gpg")/1000),0)</f>
        <v>0</v>
      </c>
      <c r="J263" s="73"/>
      <c r="K263" s="58">
        <f>ROUND((_xll.HPVAL($G$1,"ACTUAL",$A263,$K$7,"YTD","gpg")/1000),0)</f>
        <v>22967</v>
      </c>
      <c r="L263" s="73" t="s">
        <v>246</v>
      </c>
      <c r="M263" s="58">
        <f>ROUND((_xll.HPVAL($G$1,"ACTUAL",$A263,$M$7,"YTD","gpg")/1000),0)</f>
        <v>5940</v>
      </c>
      <c r="N263" s="73" t="s">
        <v>249</v>
      </c>
      <c r="O263" s="58">
        <f>ROUND((_xll.HPVAL($G$1,"ACTUAL",$A263,$O$7,"YTD","gpg")/1000),0)</f>
        <v>0</v>
      </c>
      <c r="P263" s="73" t="s">
        <v>246</v>
      </c>
      <c r="Q263" s="58">
        <f>ROUND((_xll.HPVAL($G$1,"ACTUAL",$A263,$Q$7,"YTD","gpg")/1000),0)</f>
        <v>-10</v>
      </c>
      <c r="R263" s="73"/>
      <c r="S263" s="58">
        <f>ROUND((_xll.HPVAL($G$1,"ACTUAL",$A263,$S$7,"YTD","gpg")/1000),0)</f>
        <v>-10</v>
      </c>
      <c r="T263" s="73"/>
      <c r="U263" s="58">
        <f>ROUND((_xll.HPVAL($G$1,"ACTUAL",$A263,$U$7,"YTD","gpg")/1000),0)</f>
        <v>0</v>
      </c>
      <c r="V263" s="73"/>
      <c r="W263" s="58">
        <f>ROUND((_xll.HPVAL($G$1,"ACTUAL",$A263,$W$7,"YTD","gpg")/1000),0)</f>
        <v>0</v>
      </c>
      <c r="X263" s="73"/>
      <c r="Y263" s="58">
        <f>ROUND((_xll.HPVAL($G$1,"ACTUAL",$A263,$Y$7,"YTD","gpg")/1000),0)</f>
        <v>0</v>
      </c>
      <c r="Z263" s="73"/>
      <c r="AA263" s="58">
        <f>ROUND((_xll.HPVAL($G$1,"ACTUAL",$A263,$AA$7,"YTD","gpg")/1000),0)</f>
        <v>0</v>
      </c>
      <c r="AB263" s="73"/>
      <c r="AC263" s="58">
        <f>IF(mo=1,+E263-C263,CHOOSE(mo,E263,G263,I263,K263,M263,O263,Q263,S263,U263,W263,Y263,AA263)-CHOOSE(mo-1,E263,G263,I263,K263,M263,O263,Q263,S263,U263,W263,Y263,AA263))</f>
        <v>0</v>
      </c>
      <c r="AD263" s="70"/>
      <c r="AE263" s="58">
        <f>CHOOSE(mo,E263,G263,I263,K263,M263,O263,Q263,S263,U263,W263,Y263,AA263)-C263</f>
        <v>-10</v>
      </c>
      <c r="AF263" s="58"/>
    </row>
    <row r="264" spans="1:33">
      <c r="A264" s="84"/>
      <c r="B264" s="58" t="s">
        <v>216</v>
      </c>
      <c r="C264" s="85">
        <f>+C265-SUM(C263:C263)</f>
        <v>0</v>
      </c>
      <c r="D264" s="70"/>
      <c r="E264" s="85">
        <f>+E265-SUM(E263:E263)</f>
        <v>0</v>
      </c>
      <c r="F264" s="77"/>
      <c r="G264" s="85">
        <f>+G265-SUM(G263:G263)</f>
        <v>0</v>
      </c>
      <c r="H264" s="77"/>
      <c r="I264" s="85">
        <f>+I265-SUM(I263:I263)</f>
        <v>0</v>
      </c>
      <c r="J264" s="77"/>
      <c r="K264" s="85">
        <f>+K265-SUM(K263:K263)</f>
        <v>0</v>
      </c>
      <c r="L264" s="77"/>
      <c r="M264" s="85">
        <f>+M265-SUM(M263:M263)</f>
        <v>0</v>
      </c>
      <c r="N264" s="77"/>
      <c r="O264" s="85">
        <f>+O265-SUM(O263:O263)</f>
        <v>0</v>
      </c>
      <c r="P264" s="77"/>
      <c r="Q264" s="85">
        <f>+Q265-SUM(Q263:Q263)</f>
        <v>0</v>
      </c>
      <c r="R264" s="77"/>
      <c r="S264" s="85">
        <f>+S265-SUM(S263:S263)</f>
        <v>0</v>
      </c>
      <c r="T264" s="77"/>
      <c r="U264" s="85">
        <f>+U265-SUM(U263:U263)</f>
        <v>0</v>
      </c>
      <c r="V264" s="77"/>
      <c r="W264" s="85">
        <f>+W265-SUM(W263:W263)</f>
        <v>0</v>
      </c>
      <c r="X264" s="77"/>
      <c r="Y264" s="85">
        <f>+Y265-SUM(Y263:Y263)</f>
        <v>0</v>
      </c>
      <c r="Z264" s="77"/>
      <c r="AA264" s="85">
        <f>+AA265-SUM(AA263:AA263)</f>
        <v>0</v>
      </c>
      <c r="AB264" s="77"/>
      <c r="AC264" s="58">
        <f>IF(mo=1,+E264-C264,CHOOSE(mo,E264,G264,I264,K264,M264,O264,Q264,S264,U264,W264,Y264,AA264)-CHOOSE(mo-1,E264,G264,I264,K264,M264,O264,Q264,S264,U264,W264,Y264,AA264))</f>
        <v>0</v>
      </c>
      <c r="AD264" s="70"/>
      <c r="AE264" s="58">
        <f>CHOOSE(mo,E264,G264,I264,K264,M264,O264,Q264,S264,U264,W264,Y264,AA264)-C264</f>
        <v>0</v>
      </c>
      <c r="AF264" s="58"/>
    </row>
    <row r="265" spans="1:33" s="13" customFormat="1" ht="15" customHeight="1" thickBot="1">
      <c r="A265" s="144" t="s">
        <v>570</v>
      </c>
      <c r="B265" s="60" t="s">
        <v>574</v>
      </c>
      <c r="C265" s="86">
        <f>ROUND((_xll.HPVAL($G$1,"py1",$A265,$C$7,"YTD","gpg")/1000),0)</f>
        <v>0</v>
      </c>
      <c r="D265" s="70"/>
      <c r="E265" s="86">
        <f>ROUND((_xll.HPVAL($G$1,"ACTUAL",$A265,$E$7,"YTD","gpg")/1000),0)</f>
        <v>0</v>
      </c>
      <c r="F265" s="77"/>
      <c r="G265" s="86">
        <f>ROUND((_xll.HPVAL($G$1,"ACTUAL",$A265,$G$7,"YTD","gpg")/1000),0)</f>
        <v>0</v>
      </c>
      <c r="H265" s="77"/>
      <c r="I265" s="86">
        <f>ROUND((_xll.HPVAL($G$1,"ACTUAL",$A265,$I$7,"YTD","gpg")/1000),0)</f>
        <v>0</v>
      </c>
      <c r="J265" s="77"/>
      <c r="K265" s="86">
        <f>ROUND((_xll.HPVAL($G$1,"ACTUAL",$A265,$K$7,"YTD","gpg")/1000),0)</f>
        <v>22967</v>
      </c>
      <c r="L265" s="77"/>
      <c r="M265" s="86">
        <f>ROUND((_xll.HPVAL($G$1,"ACTUAL",$A265,$M$7,"YTD","gpg")/1000),0)</f>
        <v>5940</v>
      </c>
      <c r="N265" s="77"/>
      <c r="O265" s="86">
        <f>ROUND((_xll.HPVAL($G$1,"ACTUAL",$A265,$O$7,"YTD","gpg")/1000),0)</f>
        <v>0</v>
      </c>
      <c r="P265" s="77"/>
      <c r="Q265" s="86">
        <f>ROUND((_xll.HPVAL($G$1,"ACTUAL",$A265,$Q$7,"YTD","gpg")/1000),0)</f>
        <v>-10</v>
      </c>
      <c r="R265" s="77" t="s">
        <v>226</v>
      </c>
      <c r="S265" s="86">
        <f>ROUND((_xll.HPVAL($G$1,"ACTUAL",$A265,$S$7,"YTD","gpg")/1000),0)</f>
        <v>-10</v>
      </c>
      <c r="T265" s="77"/>
      <c r="U265" s="86">
        <f>ROUND((_xll.HPVAL($G$1,"ACTUAL",$A265,$U$7,"YTD","gpg")/1000),0)</f>
        <v>0</v>
      </c>
      <c r="V265" s="77"/>
      <c r="W265" s="86">
        <f>ROUND((_xll.HPVAL($G$1,"ACTUAL",$A265,$W$7,"YTD","gpg")/1000),0)</f>
        <v>0</v>
      </c>
      <c r="X265" s="77"/>
      <c r="Y265" s="86">
        <f>ROUND((_xll.HPVAL($G$1,"ACTUAL",$A265,$Y$7,"YTD","gpg")/1000),0)</f>
        <v>0</v>
      </c>
      <c r="Z265" s="77"/>
      <c r="AA265" s="86">
        <f>ROUND((_xll.HPVAL($G$1,"ACTUAL",$A265,$AA$7,"YTD","gpg")/1000),0)</f>
        <v>0</v>
      </c>
      <c r="AB265" s="77"/>
      <c r="AC265" s="88">
        <f>SUM(AC263:AC264)</f>
        <v>0</v>
      </c>
      <c r="AD265" s="70"/>
      <c r="AE265" s="88">
        <f>SUM(AE263:AE264)</f>
        <v>-10</v>
      </c>
      <c r="AF265" s="60"/>
      <c r="AG265" s="5"/>
    </row>
    <row r="266" spans="1:33" ht="10.8" thickTop="1">
      <c r="A266" s="58"/>
      <c r="B266" s="58"/>
      <c r="C266" s="58"/>
      <c r="D266" s="70"/>
      <c r="E266" s="58"/>
      <c r="F266" s="73"/>
      <c r="G266" s="58"/>
      <c r="H266" s="73"/>
      <c r="I266" s="58"/>
      <c r="J266" s="73"/>
      <c r="K266" s="58"/>
      <c r="L266" s="73"/>
      <c r="M266" s="58"/>
      <c r="N266" s="73"/>
      <c r="O266" s="58"/>
      <c r="P266" s="73"/>
      <c r="Q266" s="58"/>
      <c r="R266" s="73"/>
      <c r="S266" s="58"/>
      <c r="T266" s="73"/>
      <c r="U266" s="58"/>
      <c r="V266" s="73"/>
      <c r="W266" s="58"/>
      <c r="X266" s="73"/>
      <c r="Y266" s="58"/>
      <c r="Z266" s="73"/>
      <c r="AA266" s="58"/>
      <c r="AB266" s="73"/>
      <c r="AC266" s="58"/>
      <c r="AD266" s="70"/>
      <c r="AE266" s="58"/>
      <c r="AF266" s="58"/>
    </row>
    <row r="267" spans="1:33">
      <c r="A267" s="84" t="s">
        <v>351</v>
      </c>
      <c r="B267" s="58" t="str">
        <f>_xll.HPHEA($A267,$G$2)</f>
        <v>Transport &amp; exch pay-third party (DP)</v>
      </c>
      <c r="C267" s="58">
        <f>ROUND((_xll.HPVAL($G$1,"py1",$A267,$C$7,"YTD","gpg")/1000),0)</f>
        <v>7331</v>
      </c>
      <c r="D267" s="70" t="s">
        <v>477</v>
      </c>
      <c r="E267" s="58">
        <f>ROUND((_xll.HPVAL($G$1,"ACTUAL",$A267,$E$7,"YTD","gpg")/1000),0)</f>
        <v>8570</v>
      </c>
      <c r="F267" s="73" t="s">
        <v>226</v>
      </c>
      <c r="G267" s="58">
        <f>ROUND((_xll.HPVAL($G$1,"ACTUAL",$A267,$G$7,"YTD","gpg")/1000),0)</f>
        <v>6683</v>
      </c>
      <c r="H267" s="73" t="s">
        <v>246</v>
      </c>
      <c r="I267" s="58">
        <f>ROUND((_xll.HPVAL($G$1,"ACTUAL",$A267,$I$7,"YTD","gpg")/1000),0)</f>
        <v>8636</v>
      </c>
      <c r="J267" s="73"/>
      <c r="K267" s="58">
        <f>ROUND((_xll.HPVAL($G$1,"ACTUAL",$A267,$K$7,"YTD","gpg")/1000),0)</f>
        <v>10593</v>
      </c>
      <c r="L267" s="73" t="s">
        <v>251</v>
      </c>
      <c r="M267" s="58">
        <f>ROUND((_xll.HPVAL($G$1,"ACTUAL",$A267,$M$7,"YTD","gpg")/1000),0)</f>
        <v>11431</v>
      </c>
      <c r="N267" s="73" t="s">
        <v>226</v>
      </c>
      <c r="O267" s="58">
        <f>ROUND((_xll.HPVAL($G$1,"ACTUAL",$A267,$O$7,"YTD","gpg")/1000),0)</f>
        <v>12007</v>
      </c>
      <c r="P267" s="73" t="s">
        <v>226</v>
      </c>
      <c r="Q267" s="58">
        <f>ROUND((_xll.HPVAL($G$1,"ACTUAL",$A267,$Q$7,"YTD","gpg")/1000),0)</f>
        <v>13191</v>
      </c>
      <c r="R267" s="73"/>
      <c r="S267" s="58">
        <f>ROUND((_xll.HPVAL($G$1,"ACTUAL",$A267,$S$7,"YTD","gpg")/1000),0)</f>
        <v>15142</v>
      </c>
      <c r="T267" s="73"/>
      <c r="U267" s="58">
        <f>ROUND((_xll.HPVAL($G$1,"ACTUAL",$A267,$U$7,"YTD","gpg")/1000),0)</f>
        <v>0</v>
      </c>
      <c r="V267" s="73"/>
      <c r="W267" s="58">
        <f>ROUND((_xll.HPVAL($G$1,"ACTUAL",$A267,$W$7,"YTD","gpg")/1000),0)</f>
        <v>0</v>
      </c>
      <c r="X267" s="73"/>
      <c r="Y267" s="58">
        <f>ROUND((_xll.HPVAL($G$1,"ACTUAL",$A267,$Y$7,"YTD","gpg")/1000),0)</f>
        <v>0</v>
      </c>
      <c r="Z267" s="73"/>
      <c r="AA267" s="58">
        <f>ROUND((_xll.HPVAL($G$1,"ACTUAL",$A267,$AA$7,"YTD","gpg")/1000),0)</f>
        <v>0</v>
      </c>
      <c r="AB267" s="73"/>
      <c r="AC267" s="58">
        <f>IF(mo=1,+E267-C267,CHOOSE(mo,E267,G267,I267,K267,M267,O267,Q267,S267,U267,W267,Y267,AA267)-CHOOSE(mo-1,E267,G267,I267,K267,M267,O267,Q267,S267,U267,W267,Y267,AA267))</f>
        <v>1951</v>
      </c>
      <c r="AD267" s="70"/>
      <c r="AE267" s="58">
        <f>CHOOSE(mo,E267,G267,I267,K267,M267,O267,Q267,S267,U267,W267,Y267,AA267)-C267</f>
        <v>7811</v>
      </c>
      <c r="AF267" s="58"/>
    </row>
    <row r="268" spans="1:33">
      <c r="A268" s="84"/>
      <c r="B268" s="58" t="s">
        <v>216</v>
      </c>
      <c r="C268" s="85">
        <f>+C269-SUM(C267:C267)</f>
        <v>0</v>
      </c>
      <c r="D268" s="70"/>
      <c r="E268" s="85">
        <f>+E269-SUM(E267:E267)</f>
        <v>0</v>
      </c>
      <c r="F268" s="77"/>
      <c r="G268" s="85">
        <f>+G269-SUM(G267:G267)</f>
        <v>0</v>
      </c>
      <c r="H268" s="77"/>
      <c r="I268" s="85">
        <f>+I269-SUM(I267:I267)</f>
        <v>0</v>
      </c>
      <c r="J268" s="77"/>
      <c r="K268" s="85">
        <f>+K269-SUM(K267:K267)</f>
        <v>0</v>
      </c>
      <c r="L268" s="77"/>
      <c r="M268" s="85">
        <f>+M269-SUM(M267:M267)</f>
        <v>0</v>
      </c>
      <c r="N268" s="77"/>
      <c r="O268" s="85">
        <f>+O269-SUM(O267:O267)</f>
        <v>0</v>
      </c>
      <c r="P268" s="77"/>
      <c r="Q268" s="85">
        <f>+Q269-SUM(Q267:Q267)</f>
        <v>0</v>
      </c>
      <c r="R268" s="77"/>
      <c r="S268" s="85">
        <f>+S269-SUM(S267:S267)</f>
        <v>0</v>
      </c>
      <c r="T268" s="77"/>
      <c r="U268" s="85">
        <f>+U269-SUM(U267:U267)</f>
        <v>0</v>
      </c>
      <c r="V268" s="77"/>
      <c r="W268" s="85">
        <f>+W269-SUM(W267:W267)</f>
        <v>0</v>
      </c>
      <c r="X268" s="77"/>
      <c r="Y268" s="85">
        <f>+Y269-SUM(Y267:Y267)</f>
        <v>0</v>
      </c>
      <c r="Z268" s="77"/>
      <c r="AA268" s="85">
        <f>+AA269-SUM(AA267:AA267)</f>
        <v>0</v>
      </c>
      <c r="AB268" s="77"/>
      <c r="AC268" s="58">
        <f>IF(mo=1,+E268-C268,CHOOSE(mo,E268,G268,I268,K268,M268,O268,Q268,S268,U268,W268,Y268,AA268)-CHOOSE(mo-1,E268,G268,I268,K268,M268,O268,Q268,S268,U268,W268,Y268,AA268))</f>
        <v>0</v>
      </c>
      <c r="AD268" s="70"/>
      <c r="AE268" s="58">
        <f>CHOOSE(mo,E268,G268,I268,K268,M268,O268,Q268,S268,U268,W268,Y268,AA268)-C268</f>
        <v>0</v>
      </c>
      <c r="AF268" s="58"/>
    </row>
    <row r="269" spans="1:33" s="13" customFormat="1" ht="15" customHeight="1" thickBot="1">
      <c r="A269" s="144" t="s">
        <v>174</v>
      </c>
      <c r="B269" s="60" t="s">
        <v>248</v>
      </c>
      <c r="C269" s="86">
        <f>ROUND((_xll.HPVAL($G$1,"py1","0632",$C$7,"YTD","gpg")/1000),0)+ROUND((_xll.HPVAL($G$1,"py1","0633",$C$7,"YTD","gpg")/1000),0)</f>
        <v>7331</v>
      </c>
      <c r="D269" s="70"/>
      <c r="E269" s="86">
        <f>ROUND((_xll.HPVAL($G$1,"ACTUAL","0632",E7,"YTD","gpg")/1000),0)+ROUND((_xll.HPVAL($G$1,"ACTUAL","0633",E7,"YTD","gpg")/1000),0)</f>
        <v>8570</v>
      </c>
      <c r="F269" s="77"/>
      <c r="G269" s="86">
        <f>ROUND((_xll.HPVAL($G$1,"ACTUAL","0632",G7,"YTD","gpg")/1000),0)+ROUND((_xll.HPVAL($G$1,"ACTUAL","0633",G7,"YTD","gpg")/1000),0)</f>
        <v>6683</v>
      </c>
      <c r="H269" s="77"/>
      <c r="I269" s="86">
        <f>ROUND((_xll.HPVAL($G$1,"ACTUAL","0632",I7,"YTD","gpg")/1000),0)+ROUND((_xll.HPVAL($G$1,"ACTUAL","0633",I7,"YTD","gpg")/1000),0)</f>
        <v>8636</v>
      </c>
      <c r="J269" s="77"/>
      <c r="K269" s="86">
        <f>ROUND((_xll.HPVAL($G$1,"ACTUAL","0632",K7,"YTD","gpg")/1000),0)+ROUND((_xll.HPVAL($G$1,"ACTUAL","0633",K7,"YTD","gpg")/1000),0)</f>
        <v>10593</v>
      </c>
      <c r="L269" s="77"/>
      <c r="M269" s="86">
        <f>ROUND((_xll.HPVAL($G$1,"ACTUAL","0632",M7,"YTD","gpg")/1000),0)+ROUND((_xll.HPVAL($G$1,"ACTUAL","0633",M7,"YTD","gpg")/1000),0)</f>
        <v>11431</v>
      </c>
      <c r="N269" s="77"/>
      <c r="O269" s="86">
        <f>ROUND((_xll.HPVAL($G$1,"ACTUAL","0632",O7,"YTD","gpg")/1000),0)+ROUND((_xll.HPVAL($G$1,"ACTUAL","0633",O7,"YTD","gpg")/1000),0)</f>
        <v>12007</v>
      </c>
      <c r="P269" s="77"/>
      <c r="Q269" s="86">
        <f>ROUND((_xll.HPVAL($G$1,"ACTUAL","0632",Q7,"YTD","gpg")/1000),0)+ROUND((_xll.HPVAL($G$1,"ACTUAL","0633",Q7,"YTD","gpg")/1000),0)</f>
        <v>13191</v>
      </c>
      <c r="R269" s="77"/>
      <c r="S269" s="86">
        <f>ROUND((_xll.HPVAL($G$1,"ACTUAL","0632",S7,"YTD","gpg")/1000),0)+ROUND((_xll.HPVAL($G$1,"ACTUAL","0633",S7,"YTD","gpg")/1000),0)</f>
        <v>15142</v>
      </c>
      <c r="T269" s="77"/>
      <c r="U269" s="86">
        <f>ROUND((_xll.HPVAL($G$1,"ACTUAL","0632",U7,"YTD","gpg")/1000),0)+ROUND((_xll.HPVAL($G$1,"ACTUAL","0633",U7,"YTD","gpg")/1000),0)</f>
        <v>0</v>
      </c>
      <c r="V269" s="77"/>
      <c r="W269" s="86">
        <f>ROUND((_xll.HPVAL($G$1,"ACTUAL","0632",W7,"YTD","gpg")/1000),0)+ROUND((_xll.HPVAL($G$1,"ACTUAL","0633",W7,"YTD","gpg")/1000),0)</f>
        <v>0</v>
      </c>
      <c r="X269" s="77"/>
      <c r="Y269" s="86">
        <f>ROUND((_xll.HPVAL($G$1,"ACTUAL","0632",Y7,"YTD","gpg")/1000),0)+ROUND((_xll.HPVAL($G$1,"ACTUAL","0633",Y7,"YTD","gpg")/1000),0)</f>
        <v>0</v>
      </c>
      <c r="Z269" s="77"/>
      <c r="AA269" s="86">
        <f>ROUND((_xll.HPVAL($G$1,"ACTUAL","0632",AA7,"YTD","gpg")/1000),0)+ROUND((_xll.HPVAL($G$1,"ACTUAL","0633",AA7,"YTD","gpg")/1000),0)</f>
        <v>0</v>
      </c>
      <c r="AB269" s="77"/>
      <c r="AC269" s="88">
        <f>SUM(AC267:AC268)</f>
        <v>1951</v>
      </c>
      <c r="AD269" s="70"/>
      <c r="AE269" s="88">
        <f>SUM(AE267:AE268)</f>
        <v>7811</v>
      </c>
      <c r="AF269" s="60"/>
      <c r="AG269" s="5"/>
    </row>
    <row r="270" spans="1:33" ht="12.75" customHeight="1" thickTop="1">
      <c r="A270" s="58"/>
      <c r="B270" s="58"/>
      <c r="C270" s="58"/>
      <c r="D270" s="70"/>
      <c r="E270" s="58"/>
      <c r="F270" s="73"/>
      <c r="G270" s="58"/>
      <c r="H270" s="73"/>
      <c r="I270" s="58"/>
      <c r="J270" s="73"/>
      <c r="K270" s="58"/>
      <c r="L270" s="73"/>
      <c r="M270" s="58"/>
      <c r="N270" s="73"/>
      <c r="O270" s="58"/>
      <c r="P270" s="73"/>
      <c r="Q270" s="58"/>
      <c r="R270" s="73"/>
      <c r="S270" s="58"/>
      <c r="T270" s="73"/>
      <c r="U270" s="58"/>
      <c r="V270" s="73"/>
      <c r="W270" s="58"/>
      <c r="X270" s="73"/>
      <c r="Y270" s="58"/>
      <c r="Z270" s="73"/>
      <c r="AA270" s="58"/>
      <c r="AB270" s="73"/>
      <c r="AC270" s="58"/>
      <c r="AD270" s="70"/>
      <c r="AE270" s="58"/>
      <c r="AF270" s="58"/>
    </row>
    <row r="271" spans="1:33" ht="11.25" customHeight="1">
      <c r="A271" s="84" t="s">
        <v>352</v>
      </c>
      <c r="B271" s="58" t="str">
        <f>_xll.HPHEA($A271,$G$2)</f>
        <v>SIT liability - current</v>
      </c>
      <c r="C271" s="58">
        <f>ROUND((_xll.HPVAL($G$1,"py1",$A271,$C$7,"YTD","gpg")/1000),0)</f>
        <v>464</v>
      </c>
      <c r="D271" s="70"/>
      <c r="E271" s="58">
        <f>ROUND((_xll.HPVAL($G$1,"ACTUAL",$A271,$E$7,"YTD","gpg")/1000),0)</f>
        <v>487</v>
      </c>
      <c r="F271" s="73"/>
      <c r="G271" s="58">
        <f>ROUND((_xll.HPVAL($G$1,"ACTUAL",$A271,$G$7,"YTD","gpg")/1000),0)</f>
        <v>510</v>
      </c>
      <c r="H271" s="73"/>
      <c r="I271" s="58">
        <f>ROUND((_xll.HPVAL($G$1,"ACTUAL",$A271,$I$7,"YTD","gpg")/1000),0)</f>
        <v>538</v>
      </c>
      <c r="J271" s="73"/>
      <c r="K271" s="58">
        <f>ROUND((_xll.HPVAL($G$1,"ACTUAL",$A271,$K$7,"YTD","gpg")/1000),0)</f>
        <v>557</v>
      </c>
      <c r="L271" s="73"/>
      <c r="M271" s="58">
        <f>ROUND((_xll.HPVAL($G$1,"ACTUAL",$A271,$M$7,"YTD","gpg")/1000),0)</f>
        <v>548</v>
      </c>
      <c r="N271" s="73"/>
      <c r="O271" s="58">
        <f>ROUND((_xll.HPVAL($G$1,"ACTUAL",$A271,$O$7,"YTD","gpg")/1000),0)</f>
        <v>564</v>
      </c>
      <c r="P271" s="73"/>
      <c r="Q271" s="58">
        <f>ROUND((_xll.HPVAL($G$1,"ACTUAL",$A271,$Q$7,"YTD","gpg")/1000),0)</f>
        <v>480</v>
      </c>
      <c r="R271" s="73"/>
      <c r="S271" s="58">
        <f>ROUND((_xll.HPVAL($G$1,"ACTUAL",$A271,$S$7,"YTD","gpg")/1000),0)</f>
        <v>480</v>
      </c>
      <c r="T271" s="73"/>
      <c r="U271" s="58">
        <f>ROUND((_xll.HPVAL($G$1,"ACTUAL",$A271,$U$7,"YTD","gpg")/1000),0)</f>
        <v>0</v>
      </c>
      <c r="V271" s="73"/>
      <c r="W271" s="58">
        <f>ROUND((_xll.HPVAL($G$1,"ACTUAL",$A271,$W$7,"YTD","gpg")/1000),0)</f>
        <v>0</v>
      </c>
      <c r="X271" s="73"/>
      <c r="Y271" s="58">
        <f>ROUND((_xll.HPVAL($G$1,"ACTUAL",$A271,$Y$7,"YTD","gpg")/1000),0)</f>
        <v>0</v>
      </c>
      <c r="Z271" s="73"/>
      <c r="AA271" s="58">
        <f>ROUND((_xll.HPVAL($G$1,"ACTUAL",$A271,$AA$7,"YTD","gpg")/1000),0)</f>
        <v>0</v>
      </c>
      <c r="AB271" s="73"/>
      <c r="AC271" s="58">
        <f>IF(mo=1,+E271-C271,CHOOSE(mo,E271,G271,I271,K271,M271,O271,Q271,S271,U271,W271,Y271,AA271)-CHOOSE(mo-1,E271,G271,I271,K271,M271,O271,Q271,S271,U271,W271,Y271,AA271))</f>
        <v>0</v>
      </c>
      <c r="AD271" s="70"/>
      <c r="AE271" s="58">
        <f>CHOOSE(mo,E271,G271,I271,K271,M271,O271,Q271,S271,U271,W271,Y271,AA271)-C271</f>
        <v>16</v>
      </c>
      <c r="AF271" s="58"/>
    </row>
    <row r="272" spans="1:33">
      <c r="A272" s="84" t="s">
        <v>353</v>
      </c>
      <c r="B272" s="58" t="str">
        <f>_xll.HPHEA($A272,$G$2)</f>
        <v>Taxes payable - sales tax</v>
      </c>
      <c r="C272" s="58">
        <f>ROUND((_xll.HPVAL($G$1,"py1",$A272,$C$7,"YTD","gpg")/1000),0)</f>
        <v>0</v>
      </c>
      <c r="D272" s="70"/>
      <c r="E272" s="58">
        <f>ROUND((_xll.HPVAL($G$1,"ACTUAL",$A272,$E$7,"YTD","gpg")/1000),0)</f>
        <v>0</v>
      </c>
      <c r="F272" s="73"/>
      <c r="G272" s="58">
        <f>ROUND((_xll.HPVAL($G$1,"ACTUAL",$A272,$G$7,"YTD","gpg")/1000),0)</f>
        <v>0</v>
      </c>
      <c r="H272" s="73"/>
      <c r="I272" s="58">
        <f>ROUND((_xll.HPVAL($G$1,"ACTUAL",$A272,$I$7,"YTD","gpg")/1000),0)</f>
        <v>0</v>
      </c>
      <c r="J272" s="73"/>
      <c r="K272" s="58">
        <f>ROUND((_xll.HPVAL($G$1,"ACTUAL",$A272,$K$7,"YTD","gpg")/1000),0)</f>
        <v>1</v>
      </c>
      <c r="L272" s="73"/>
      <c r="M272" s="58">
        <f>ROUND((_xll.HPVAL($G$1,"ACTUAL",$A272,$M$7,"YTD","gpg")/1000),0)</f>
        <v>1</v>
      </c>
      <c r="N272" s="73"/>
      <c r="O272" s="58">
        <f>ROUND((_xll.HPVAL($G$1,"ACTUAL",$A272,$O$7,"YTD","gpg")/1000),0)</f>
        <v>1</v>
      </c>
      <c r="P272" s="73"/>
      <c r="Q272" s="58">
        <f>ROUND((_xll.HPVAL($G$1,"ACTUAL",$A272,$Q$7,"YTD","gpg")/1000),0)</f>
        <v>1</v>
      </c>
      <c r="R272" s="73"/>
      <c r="S272" s="58">
        <f>ROUND((_xll.HPVAL($G$1,"ACTUAL",$A272,$S$7,"YTD","gpg")/1000),0)</f>
        <v>1</v>
      </c>
      <c r="T272" s="73"/>
      <c r="U272" s="58">
        <f>ROUND((_xll.HPVAL($G$1,"ACTUAL",$A272,$U$7,"YTD","gpg")/1000),0)</f>
        <v>0</v>
      </c>
      <c r="V272" s="73"/>
      <c r="W272" s="58">
        <f>ROUND((_xll.HPVAL($G$1,"ACTUAL",$A272,$W$7,"YTD","gpg")/1000),0)</f>
        <v>0</v>
      </c>
      <c r="X272" s="73"/>
      <c r="Y272" s="58">
        <f>ROUND((_xll.HPVAL($G$1,"ACTUAL",$A272,$Y$7,"YTD","gpg")/1000),0)</f>
        <v>0</v>
      </c>
      <c r="Z272" s="73"/>
      <c r="AA272" s="58">
        <f>ROUND((_xll.HPVAL($G$1,"ACTUAL",$A272,$AA$7,"YTD","gpg")/1000),0)</f>
        <v>0</v>
      </c>
      <c r="AB272" s="73"/>
      <c r="AC272" s="58">
        <f>IF(mo=1,+E272-C272,CHOOSE(mo,E272,G272,I272,K272,M272,O272,Q272,S272,U272,W272,Y272,AA272)-CHOOSE(mo-1,E272,G272,I272,K272,M272,O272,Q272,S272,U272,W272,Y272,AA272))</f>
        <v>0</v>
      </c>
      <c r="AD272" s="70"/>
      <c r="AE272" s="58">
        <f>CHOOSE(mo,E272,G272,I272,K272,M272,O272,Q272,S272,U272,W272,Y272,AA272)-C272</f>
        <v>1</v>
      </c>
      <c r="AF272" s="58"/>
    </row>
    <row r="273" spans="1:33">
      <c r="A273" s="84" t="s">
        <v>354</v>
      </c>
      <c r="B273" s="58" t="str">
        <f>_xll.HPHEA($A273,$G$2)</f>
        <v>Taxes payable - use tax</v>
      </c>
      <c r="C273" s="58">
        <f>ROUND((_xll.HPVAL($G$1,"py1",$A273,$C$7,"YTD","gpg")/1000),0)</f>
        <v>129</v>
      </c>
      <c r="D273" s="70"/>
      <c r="E273" s="58">
        <f>ROUND((_xll.HPVAL($G$1,"ACTUAL",$A273,$E$7,"YTD","gpg")/1000),0)</f>
        <v>120</v>
      </c>
      <c r="F273" s="73"/>
      <c r="G273" s="58">
        <f>ROUND((_xll.HPVAL($G$1,"ACTUAL",$A273,$G$7,"YTD","gpg")/1000),0)</f>
        <v>116</v>
      </c>
      <c r="H273" s="73"/>
      <c r="I273" s="58">
        <f>ROUND((_xll.HPVAL($G$1,"ACTUAL",$A273,$I$7,"YTD","gpg")/1000),0)</f>
        <v>119</v>
      </c>
      <c r="J273" s="73"/>
      <c r="K273" s="58">
        <f>ROUND((_xll.HPVAL($G$1,"ACTUAL",$A273,$K$7,"YTD","gpg")/1000),0)</f>
        <v>120</v>
      </c>
      <c r="L273" s="73"/>
      <c r="M273" s="58">
        <f>ROUND((_xll.HPVAL($G$1,"ACTUAL",$A273,$M$7,"YTD","gpg")/1000),0)</f>
        <v>141</v>
      </c>
      <c r="N273" s="73"/>
      <c r="O273" s="58">
        <f>ROUND((_xll.HPVAL($G$1,"ACTUAL",$A273,$O$7,"YTD","gpg")/1000),0)</f>
        <v>170</v>
      </c>
      <c r="P273" s="73"/>
      <c r="Q273" s="58">
        <f>ROUND((_xll.HPVAL($G$1,"ACTUAL",$A273,$Q$7,"YTD","gpg")/1000),0)</f>
        <v>199</v>
      </c>
      <c r="R273" s="73"/>
      <c r="S273" s="58">
        <f>ROUND((_xll.HPVAL($G$1,"ACTUAL",$A273,$S$7,"YTD","gpg")/1000),0)</f>
        <v>180</v>
      </c>
      <c r="T273" s="73"/>
      <c r="U273" s="58">
        <f>ROUND((_xll.HPVAL($G$1,"ACTUAL",$A273,$U$7,"YTD","gpg")/1000),0)</f>
        <v>0</v>
      </c>
      <c r="V273" s="73"/>
      <c r="W273" s="58">
        <f>ROUND((_xll.HPVAL($G$1,"ACTUAL",$A273,$W$7,"YTD","gpg")/1000),0)</f>
        <v>0</v>
      </c>
      <c r="X273" s="73"/>
      <c r="Y273" s="58">
        <f>ROUND((_xll.HPVAL($G$1,"ACTUAL",$A273,$Y$7,"YTD","gpg")/1000),0)</f>
        <v>0</v>
      </c>
      <c r="Z273" s="73"/>
      <c r="AA273" s="58">
        <f>ROUND((_xll.HPVAL($G$1,"ACTUAL",$A273,$AA$7,"YTD","gpg")/1000),0)</f>
        <v>0</v>
      </c>
      <c r="AB273" s="73"/>
      <c r="AC273" s="58">
        <f t="shared" ref="AC273:AC281" si="16">IF(mo=1,+E273-C273,CHOOSE(mo,E273,G273,I273,K273,M273,O273,Q273,S273,U273,W273,Y273,AA273)-CHOOSE(mo-1,E273,G273,I273,K273,M273,O273,Q273,S273,U273,W273,Y273,AA273))</f>
        <v>-19</v>
      </c>
      <c r="AD273" s="70"/>
      <c r="AE273" s="58">
        <f t="shared" ref="AE273:AE281" si="17">CHOOSE(mo,E273,G273,I273,K273,M273,O273,Q273,S273,U273,W273,Y273,AA273)-C273</f>
        <v>51</v>
      </c>
      <c r="AF273" s="58"/>
    </row>
    <row r="274" spans="1:33">
      <c r="A274" s="84" t="s">
        <v>355</v>
      </c>
      <c r="B274" s="58" t="str">
        <f>_xll.HPHEA($A274,$G$2)</f>
        <v>Taxes pay-franch/annual rpt tax</v>
      </c>
      <c r="C274" s="58">
        <f>ROUND((_xll.HPVAL($G$1,"py1",$A274,$C$7,"YTD","gpg")/1000),0)</f>
        <v>226</v>
      </c>
      <c r="D274" s="70"/>
      <c r="E274" s="58">
        <f>ROUND((_xll.HPVAL($G$1,"ACTUAL",$A274,$E$7,"YTD","gpg")/1000),0)</f>
        <v>233</v>
      </c>
      <c r="F274" s="73"/>
      <c r="G274" s="58">
        <f>ROUND((_xll.HPVAL($G$1,"ACTUAL",$A274,$G$7,"YTD","gpg")/1000),0)</f>
        <v>239</v>
      </c>
      <c r="H274" s="73"/>
      <c r="I274" s="58">
        <f>ROUND((_xll.HPVAL($G$1,"ACTUAL",$A274,$I$7,"YTD","gpg")/1000),0)</f>
        <v>246</v>
      </c>
      <c r="J274" s="73"/>
      <c r="K274" s="58">
        <f>ROUND((_xll.HPVAL($G$1,"ACTUAL",$A274,$K$7,"YTD","gpg")/1000),0)</f>
        <v>252</v>
      </c>
      <c r="L274" s="73"/>
      <c r="M274" s="58">
        <f>ROUND((_xll.HPVAL($G$1,"ACTUAL",$A274,$M$7,"YTD","gpg")/1000),0)</f>
        <v>223</v>
      </c>
      <c r="N274" s="73"/>
      <c r="O274" s="58">
        <f>ROUND((_xll.HPVAL($G$1,"ACTUAL",$A274,$O$7,"YTD","gpg")/1000),0)</f>
        <v>230</v>
      </c>
      <c r="P274" s="73"/>
      <c r="Q274" s="58">
        <f>ROUND((_xll.HPVAL($G$1,"ACTUAL",$A274,$Q$7,"YTD","gpg")/1000),0)</f>
        <v>236</v>
      </c>
      <c r="R274" s="73"/>
      <c r="S274" s="58">
        <f>ROUND((_xll.HPVAL($G$1,"ACTUAL",$A274,$S$7,"YTD","gpg")/1000),0)</f>
        <v>243</v>
      </c>
      <c r="T274" s="73"/>
      <c r="U274" s="58">
        <f>ROUND((_xll.HPVAL($G$1,"ACTUAL",$A274,$U$7,"YTD","gpg")/1000),0)</f>
        <v>0</v>
      </c>
      <c r="V274" s="73"/>
      <c r="W274" s="58">
        <f>ROUND((_xll.HPVAL($G$1,"ACTUAL",$A274,$W$7,"YTD","gpg")/1000),0)</f>
        <v>0</v>
      </c>
      <c r="X274" s="73"/>
      <c r="Y274" s="58">
        <f>ROUND((_xll.HPVAL($G$1,"ACTUAL",$A274,$Y$7,"YTD","gpg")/1000),0)</f>
        <v>0</v>
      </c>
      <c r="Z274" s="73"/>
      <c r="AA274" s="58">
        <f>ROUND((_xll.HPVAL($G$1,"ACTUAL",$A274,$AA$7,"YTD","gpg")/1000),0)</f>
        <v>0</v>
      </c>
      <c r="AB274" s="73"/>
      <c r="AC274" s="58">
        <f t="shared" si="16"/>
        <v>7</v>
      </c>
      <c r="AD274" s="70"/>
      <c r="AE274" s="58">
        <f t="shared" si="17"/>
        <v>17</v>
      </c>
      <c r="AF274" s="58"/>
    </row>
    <row r="275" spans="1:33">
      <c r="A275" s="84" t="s">
        <v>356</v>
      </c>
      <c r="B275" s="58" t="str">
        <f>_xll.HPHEA($A275,$G$2)</f>
        <v>Taxes payable-payroll-employee-FIT</v>
      </c>
      <c r="C275" s="58">
        <f>ROUND((_xll.HPVAL($G$1,"py1",$A275,$C$7,"YTD","gpg")/1000),0)</f>
        <v>0</v>
      </c>
      <c r="D275" s="70"/>
      <c r="E275" s="58">
        <f>ROUND((_xll.HPVAL($G$1,"ACTUAL",$A275,$E$7,"YTD","gpg")/1000),0)</f>
        <v>-295</v>
      </c>
      <c r="F275" s="73"/>
      <c r="G275" s="58">
        <f>ROUND((_xll.HPVAL($G$1,"ACTUAL",$A275,$G$7,"YTD","gpg")/1000),0)</f>
        <v>2</v>
      </c>
      <c r="H275" s="73"/>
      <c r="I275" s="58">
        <f>ROUND((_xll.HPVAL($G$1,"ACTUAL",$A275,$I$7,"YTD","gpg")/1000),0)</f>
        <v>0</v>
      </c>
      <c r="J275" s="73"/>
      <c r="K275" s="58">
        <f>ROUND((_xll.HPVAL($G$1,"ACTUAL",$A275,$K$7,"YTD","gpg")/1000),0)</f>
        <v>0</v>
      </c>
      <c r="L275" s="73"/>
      <c r="M275" s="58">
        <f>ROUND((_xll.HPVAL($G$1,"ACTUAL",$A275,$M$7,"YTD","gpg")/1000),0)</f>
        <v>0</v>
      </c>
      <c r="N275" s="73"/>
      <c r="O275" s="58">
        <f>ROUND((_xll.HPVAL($G$1,"ACTUAL",$A275,$O$7,"YTD","gpg")/1000),0)</f>
        <v>0</v>
      </c>
      <c r="P275" s="73"/>
      <c r="Q275" s="58">
        <f>ROUND((_xll.HPVAL($G$1,"ACTUAL",$A275,$Q$7,"YTD","gpg")/1000),0)</f>
        <v>-3</v>
      </c>
      <c r="R275" s="73"/>
      <c r="S275" s="58">
        <f>ROUND((_xll.HPVAL($G$1,"ACTUAL",$A275,$S$7,"YTD","gpg")/1000),0)</f>
        <v>0</v>
      </c>
      <c r="T275" s="73"/>
      <c r="U275" s="58">
        <f>ROUND((_xll.HPVAL($G$1,"ACTUAL",$A275,$U$7,"YTD","gpg")/1000),0)</f>
        <v>0</v>
      </c>
      <c r="V275" s="73"/>
      <c r="W275" s="58">
        <f>ROUND((_xll.HPVAL($G$1,"ACTUAL",$A275,$W$7,"YTD","gpg")/1000),0)</f>
        <v>0</v>
      </c>
      <c r="X275" s="73"/>
      <c r="Y275" s="58">
        <f>ROUND((_xll.HPVAL($G$1,"ACTUAL",$A275,$Y$7,"YTD","gpg")/1000),0)</f>
        <v>0</v>
      </c>
      <c r="Z275" s="73"/>
      <c r="AA275" s="58">
        <f>ROUND((_xll.HPVAL($G$1,"ACTUAL",$A275,$AA$7,"YTD","gpg")/1000),0)</f>
        <v>0</v>
      </c>
      <c r="AB275" s="73"/>
      <c r="AC275" s="58">
        <f t="shared" si="16"/>
        <v>3</v>
      </c>
      <c r="AD275" s="70"/>
      <c r="AE275" s="58">
        <f t="shared" si="17"/>
        <v>0</v>
      </c>
      <c r="AF275" s="58"/>
    </row>
    <row r="276" spans="1:33">
      <c r="A276" s="84" t="s">
        <v>357</v>
      </c>
      <c r="B276" s="58" t="str">
        <f>_xll.HPHEA($A276,$G$2)</f>
        <v>Taxes payable-payroll-employee-FICA</v>
      </c>
      <c r="C276" s="58">
        <f>ROUND((_xll.HPVAL($G$1,"py1",$A276,$C$7,"YTD","gpg")/1000),0)</f>
        <v>0</v>
      </c>
      <c r="D276" s="70"/>
      <c r="E276" s="58">
        <f>ROUND((_xll.HPVAL($G$1,"ACTUAL",$A276,$E$7,"YTD","gpg")/1000),0)</f>
        <v>-62</v>
      </c>
      <c r="F276" s="73"/>
      <c r="G276" s="58">
        <f>ROUND((_xll.HPVAL($G$1,"ACTUAL",$A276,$G$7,"YTD","gpg")/1000),0)</f>
        <v>-2</v>
      </c>
      <c r="H276" s="73"/>
      <c r="I276" s="58">
        <f>ROUND((_xll.HPVAL($G$1,"ACTUAL",$A276,$I$7,"YTD","gpg")/1000),0)</f>
        <v>0</v>
      </c>
      <c r="J276" s="73"/>
      <c r="K276" s="58">
        <f>ROUND((_xll.HPVAL($G$1,"ACTUAL",$A276,$K$7,"YTD","gpg")/1000),0)</f>
        <v>0</v>
      </c>
      <c r="L276" s="73"/>
      <c r="M276" s="58">
        <f>ROUND((_xll.HPVAL($G$1,"ACTUAL",$A276,$M$7,"YTD","gpg")/1000),0)</f>
        <v>0</v>
      </c>
      <c r="N276" s="73"/>
      <c r="O276" s="58">
        <f>ROUND((_xll.HPVAL($G$1,"ACTUAL",$A276,$O$7,"YTD","gpg")/1000),0)</f>
        <v>0</v>
      </c>
      <c r="P276" s="73"/>
      <c r="Q276" s="58">
        <f>ROUND((_xll.HPVAL($G$1,"ACTUAL",$A276,$Q$7,"YTD","gpg")/1000),0)</f>
        <v>-1</v>
      </c>
      <c r="R276" s="73"/>
      <c r="S276" s="58">
        <f>ROUND((_xll.HPVAL($G$1,"ACTUAL",$A276,$S$7,"YTD","gpg")/1000),0)</f>
        <v>0</v>
      </c>
      <c r="T276" s="73"/>
      <c r="U276" s="58">
        <f>ROUND((_xll.HPVAL($G$1,"ACTUAL",$A276,$U$7,"YTD","gpg")/1000),0)</f>
        <v>0</v>
      </c>
      <c r="V276" s="73"/>
      <c r="W276" s="58">
        <f>ROUND((_xll.HPVAL($G$1,"ACTUAL",$A276,$W$7,"YTD","gpg")/1000),0)</f>
        <v>0</v>
      </c>
      <c r="X276" s="73"/>
      <c r="Y276" s="58">
        <f>ROUND((_xll.HPVAL($G$1,"ACTUAL",$A276,$Y$7,"YTD","gpg")/1000),0)</f>
        <v>0</v>
      </c>
      <c r="Z276" s="73"/>
      <c r="AA276" s="58">
        <f>ROUND((_xll.HPVAL($G$1,"ACTUAL",$A276,$AA$7,"YTD","gpg")/1000),0)</f>
        <v>0</v>
      </c>
      <c r="AB276" s="73"/>
      <c r="AC276" s="58">
        <f t="shared" si="16"/>
        <v>1</v>
      </c>
      <c r="AD276" s="70"/>
      <c r="AE276" s="58">
        <f t="shared" si="17"/>
        <v>0</v>
      </c>
      <c r="AF276" s="58"/>
    </row>
    <row r="277" spans="1:33">
      <c r="A277" s="84" t="s">
        <v>358</v>
      </c>
      <c r="B277" s="58" t="str">
        <f>_xll.HPHEA($A277,$G$2)</f>
        <v>Taxes payable-payroll-employee-Medicare</v>
      </c>
      <c r="C277" s="58">
        <f>ROUND((_xll.HPVAL($G$1,"py1",$A277,$C$7,"YTD","gpg")/1000),0)</f>
        <v>0</v>
      </c>
      <c r="D277" s="70"/>
      <c r="E277" s="58">
        <f>ROUND((_xll.HPVAL($G$1,"ACTUAL",$A277,$E$7,"YTD","gpg")/1000),0)</f>
        <v>-15</v>
      </c>
      <c r="F277" s="73"/>
      <c r="G277" s="58">
        <f>ROUND((_xll.HPVAL($G$1,"ACTUAL",$A277,$G$7,"YTD","gpg")/1000),0)</f>
        <v>0</v>
      </c>
      <c r="H277" s="73"/>
      <c r="I277" s="58">
        <f>ROUND((_xll.HPVAL($G$1,"ACTUAL",$A277,$I$7,"YTD","gpg")/1000),0)</f>
        <v>0</v>
      </c>
      <c r="J277" s="73"/>
      <c r="K277" s="58">
        <f>ROUND((_xll.HPVAL($G$1,"ACTUAL",$A277,$K$7,"YTD","gpg")/1000),0)</f>
        <v>0</v>
      </c>
      <c r="L277" s="73"/>
      <c r="M277" s="58">
        <f>ROUND((_xll.HPVAL($G$1,"ACTUAL",$A277,$M$7,"YTD","gpg")/1000),0)</f>
        <v>0</v>
      </c>
      <c r="N277" s="73"/>
      <c r="O277" s="58">
        <f>ROUND((_xll.HPVAL($G$1,"ACTUAL",$A277,$O$7,"YTD","gpg")/1000),0)</f>
        <v>0</v>
      </c>
      <c r="P277" s="73"/>
      <c r="Q277" s="58">
        <f>ROUND((_xll.HPVAL($G$1,"ACTUAL",$A277,$Q$7,"YTD","gpg")/1000),0)</f>
        <v>0</v>
      </c>
      <c r="R277" s="73"/>
      <c r="S277" s="58">
        <f>ROUND((_xll.HPVAL($G$1,"ACTUAL",$A277,$S$7,"YTD","gpg")/1000),0)</f>
        <v>0</v>
      </c>
      <c r="T277" s="73"/>
      <c r="U277" s="58">
        <f>ROUND((_xll.HPVAL($G$1,"ACTUAL",$A277,$U$7,"YTD","gpg")/1000),0)</f>
        <v>0</v>
      </c>
      <c r="V277" s="73"/>
      <c r="W277" s="58">
        <f>ROUND((_xll.HPVAL($G$1,"ACTUAL",$A277,$W$7,"YTD","gpg")/1000),0)</f>
        <v>0</v>
      </c>
      <c r="X277" s="73"/>
      <c r="Y277" s="58">
        <f>ROUND((_xll.HPVAL($G$1,"ACTUAL",$A277,$Y$7,"YTD","gpg")/1000),0)</f>
        <v>0</v>
      </c>
      <c r="Z277" s="73"/>
      <c r="AA277" s="58">
        <f>ROUND((_xll.HPVAL($G$1,"ACTUAL",$A277,$AA$7,"YTD","gpg")/1000),0)</f>
        <v>0</v>
      </c>
      <c r="AB277" s="73"/>
      <c r="AC277" s="58">
        <f t="shared" si="16"/>
        <v>0</v>
      </c>
      <c r="AD277" s="70"/>
      <c r="AE277" s="58">
        <f t="shared" si="17"/>
        <v>0</v>
      </c>
      <c r="AF277" s="58"/>
    </row>
    <row r="278" spans="1:33">
      <c r="A278" s="84" t="s">
        <v>359</v>
      </c>
      <c r="B278" s="58" t="str">
        <f>_xll.HPHEA($A278,$G$2)</f>
        <v>Taxes payable-payroll-employee-SIT</v>
      </c>
      <c r="C278" s="58">
        <f>ROUND((_xll.HPVAL($G$1,"py1",$A278,$C$7,"YTD","gpg")/1000),0)</f>
        <v>0</v>
      </c>
      <c r="D278" s="70"/>
      <c r="E278" s="58">
        <f>ROUND((_xll.HPVAL($G$1,"ACTUAL",$A278,$E$7,"YTD","gpg")/1000),0)</f>
        <v>-29</v>
      </c>
      <c r="F278" s="73"/>
      <c r="G278" s="58">
        <f>ROUND((_xll.HPVAL($G$1,"ACTUAL",$A278,$G$7,"YTD","gpg")/1000),0)</f>
        <v>2</v>
      </c>
      <c r="H278" s="73"/>
      <c r="I278" s="58">
        <f>ROUND((_xll.HPVAL($G$1,"ACTUAL",$A278,$I$7,"YTD","gpg")/1000),0)</f>
        <v>0</v>
      </c>
      <c r="J278" s="73"/>
      <c r="K278" s="58">
        <f>ROUND((_xll.HPVAL($G$1,"ACTUAL",$A278,$K$7,"YTD","gpg")/1000),0)</f>
        <v>0</v>
      </c>
      <c r="L278" s="73"/>
      <c r="M278" s="58">
        <f>ROUND((_xll.HPVAL($G$1,"ACTUAL",$A278,$M$7,"YTD","gpg")/1000),0)</f>
        <v>0</v>
      </c>
      <c r="N278" s="73"/>
      <c r="O278" s="58">
        <f>ROUND((_xll.HPVAL($G$1,"ACTUAL",$A278,$O$7,"YTD","gpg")/1000),0)</f>
        <v>0</v>
      </c>
      <c r="P278" s="73"/>
      <c r="Q278" s="58">
        <f>ROUND((_xll.HPVAL($G$1,"ACTUAL",$A278,$Q$7,"YTD","gpg")/1000),0)</f>
        <v>0</v>
      </c>
      <c r="R278" s="73"/>
      <c r="S278" s="58">
        <f>ROUND((_xll.HPVAL($G$1,"ACTUAL",$A278,$S$7,"YTD","gpg")/1000),0)</f>
        <v>0</v>
      </c>
      <c r="T278" s="73"/>
      <c r="U278" s="58">
        <f>ROUND((_xll.HPVAL($G$1,"ACTUAL",$A278,$U$7,"YTD","gpg")/1000),0)</f>
        <v>0</v>
      </c>
      <c r="V278" s="73"/>
      <c r="W278" s="58">
        <f>ROUND((_xll.HPVAL($G$1,"ACTUAL",$A278,$W$7,"YTD","gpg")/1000),0)</f>
        <v>0</v>
      </c>
      <c r="X278" s="73"/>
      <c r="Y278" s="58">
        <f>ROUND((_xll.HPVAL($G$1,"ACTUAL",$A278,$Y$7,"YTD","gpg")/1000),0)</f>
        <v>0</v>
      </c>
      <c r="Z278" s="73"/>
      <c r="AA278" s="58">
        <f>ROUND((_xll.HPVAL($G$1,"ACTUAL",$A278,$AA$7,"YTD","gpg")/1000),0)</f>
        <v>0</v>
      </c>
      <c r="AB278" s="73"/>
      <c r="AC278" s="58">
        <f t="shared" si="16"/>
        <v>0</v>
      </c>
      <c r="AD278" s="70"/>
      <c r="AE278" s="58">
        <f t="shared" si="17"/>
        <v>0</v>
      </c>
      <c r="AF278" s="58"/>
    </row>
    <row r="279" spans="1:33">
      <c r="A279" s="84" t="s">
        <v>360</v>
      </c>
      <c r="B279" s="58" t="str">
        <f>_xll.HPHEA($A279,$G$2)</f>
        <v>Taxes payable-payroll-employer-FICA</v>
      </c>
      <c r="C279" s="58">
        <f>ROUND((_xll.HPVAL($G$1,"py1",$A279,$C$7,"YTD","gpg")/1000),0)</f>
        <v>0</v>
      </c>
      <c r="D279" s="70"/>
      <c r="E279" s="58">
        <f>ROUND((_xll.HPVAL($G$1,"ACTUAL",$A279,$E$7,"YTD","gpg")/1000),0)</f>
        <v>-62</v>
      </c>
      <c r="F279" s="73"/>
      <c r="G279" s="58">
        <f>ROUND((_xll.HPVAL($G$1,"ACTUAL",$A279,$G$7,"YTD","gpg")/1000),0)</f>
        <v>-2</v>
      </c>
      <c r="H279" s="73"/>
      <c r="I279" s="58">
        <f>ROUND((_xll.HPVAL($G$1,"ACTUAL",$A279,$I$7,"YTD","gpg")/1000),0)</f>
        <v>0</v>
      </c>
      <c r="J279" s="73"/>
      <c r="K279" s="58">
        <f>ROUND((_xll.HPVAL($G$1,"ACTUAL",$A279,$K$7,"YTD","gpg")/1000),0)</f>
        <v>0</v>
      </c>
      <c r="L279" s="73"/>
      <c r="M279" s="58">
        <f>ROUND((_xll.HPVAL($G$1,"ACTUAL",$A279,$M$7,"YTD","gpg")/1000),0)</f>
        <v>0</v>
      </c>
      <c r="N279" s="73"/>
      <c r="O279" s="58">
        <f>ROUND((_xll.HPVAL($G$1,"ACTUAL",$A279,$O$7,"YTD","gpg")/1000),0)</f>
        <v>0</v>
      </c>
      <c r="P279" s="73"/>
      <c r="Q279" s="58">
        <f>ROUND((_xll.HPVAL($G$1,"ACTUAL",$A279,$Q$7,"YTD","gpg")/1000),0)</f>
        <v>-1</v>
      </c>
      <c r="R279" s="73"/>
      <c r="S279" s="58">
        <f>ROUND((_xll.HPVAL($G$1,"ACTUAL",$A279,$S$7,"YTD","gpg")/1000),0)</f>
        <v>0</v>
      </c>
      <c r="T279" s="73"/>
      <c r="U279" s="58">
        <f>ROUND((_xll.HPVAL($G$1,"ACTUAL",$A279,$U$7,"YTD","gpg")/1000),0)</f>
        <v>0</v>
      </c>
      <c r="V279" s="73"/>
      <c r="W279" s="58">
        <f>ROUND((_xll.HPVAL($G$1,"ACTUAL",$A279,$W$7,"YTD","gpg")/1000),0)</f>
        <v>0</v>
      </c>
      <c r="X279" s="73"/>
      <c r="Y279" s="58">
        <f>ROUND((_xll.HPVAL($G$1,"ACTUAL",$A279,$Y$7,"YTD","gpg")/1000),0)</f>
        <v>0</v>
      </c>
      <c r="Z279" s="73"/>
      <c r="AA279" s="58">
        <f>ROUND((_xll.HPVAL($G$1,"ACTUAL",$A279,$AA$7,"YTD","gpg")/1000),0)</f>
        <v>0</v>
      </c>
      <c r="AB279" s="73"/>
      <c r="AC279" s="58">
        <f t="shared" si="16"/>
        <v>1</v>
      </c>
      <c r="AD279" s="70"/>
      <c r="AE279" s="58">
        <f t="shared" si="17"/>
        <v>0</v>
      </c>
      <c r="AF279" s="58"/>
    </row>
    <row r="280" spans="1:33">
      <c r="A280" s="84" t="s">
        <v>361</v>
      </c>
      <c r="B280" s="58" t="str">
        <f>_xll.HPHEA($A280,$G$2)</f>
        <v>Taxes payable-payroll-employer-Medicare</v>
      </c>
      <c r="C280" s="58">
        <f>ROUND((_xll.HPVAL($G$1,"py1",$A280,$C$7,"YTD","gpg")/1000),0)</f>
        <v>0</v>
      </c>
      <c r="D280" s="70"/>
      <c r="E280" s="58">
        <f>ROUND((_xll.HPVAL($G$1,"ACTUAL",$A280,$E$7,"YTD","gpg")/1000),0)</f>
        <v>-16</v>
      </c>
      <c r="F280" s="73"/>
      <c r="G280" s="58">
        <f>ROUND((_xll.HPVAL($G$1,"ACTUAL",$A280,$G$7,"YTD","gpg")/1000),0)</f>
        <v>0</v>
      </c>
      <c r="H280" s="73"/>
      <c r="I280" s="58">
        <f>ROUND((_xll.HPVAL($G$1,"ACTUAL",$A280,$I$7,"YTD","gpg")/1000),0)</f>
        <v>0</v>
      </c>
      <c r="J280" s="73"/>
      <c r="K280" s="58">
        <f>ROUND((_xll.HPVAL($G$1,"ACTUAL",$A280,$K$7,"YTD","gpg")/1000),0)</f>
        <v>0</v>
      </c>
      <c r="L280" s="73"/>
      <c r="M280" s="58">
        <f>ROUND((_xll.HPVAL($G$1,"ACTUAL",$A280,$M$7,"YTD","gpg")/1000),0)</f>
        <v>0</v>
      </c>
      <c r="N280" s="73"/>
      <c r="O280" s="58">
        <f>ROUND((_xll.HPVAL($G$1,"ACTUAL",$A280,$O$7,"YTD","gpg")/1000),0)</f>
        <v>0</v>
      </c>
      <c r="P280" s="73"/>
      <c r="Q280" s="58">
        <f>ROUND((_xll.HPVAL($G$1,"ACTUAL",$A280,$Q$7,"YTD","gpg")/1000),0)</f>
        <v>0</v>
      </c>
      <c r="R280" s="73"/>
      <c r="S280" s="58">
        <f>ROUND((_xll.HPVAL($G$1,"ACTUAL",$A280,$S$7,"YTD","gpg")/1000),0)</f>
        <v>0</v>
      </c>
      <c r="T280" s="73"/>
      <c r="U280" s="58">
        <f>ROUND((_xll.HPVAL($G$1,"ACTUAL",$A280,$U$7,"YTD","gpg")/1000),0)</f>
        <v>0</v>
      </c>
      <c r="V280" s="73"/>
      <c r="W280" s="58">
        <f>ROUND((_xll.HPVAL($G$1,"ACTUAL",$A280,$W$7,"YTD","gpg")/1000),0)</f>
        <v>0</v>
      </c>
      <c r="X280" s="73"/>
      <c r="Y280" s="58">
        <f>ROUND((_xll.HPVAL($G$1,"ACTUAL",$A280,$Y$7,"YTD","gpg")/1000),0)</f>
        <v>0</v>
      </c>
      <c r="Z280" s="73"/>
      <c r="AA280" s="58">
        <f>ROUND((_xll.HPVAL($G$1,"ACTUAL",$A280,$AA$7,"YTD","gpg")/1000),0)</f>
        <v>0</v>
      </c>
      <c r="AB280" s="73"/>
      <c r="AC280" s="58">
        <f t="shared" si="16"/>
        <v>0</v>
      </c>
      <c r="AD280" s="70"/>
      <c r="AE280" s="58">
        <f t="shared" si="17"/>
        <v>0</v>
      </c>
      <c r="AF280" s="58"/>
    </row>
    <row r="281" spans="1:33">
      <c r="A281" s="84" t="s">
        <v>362</v>
      </c>
      <c r="B281" s="58" t="str">
        <f>_xll.HPHEA($A281,$G$2)</f>
        <v>Taxes payable-payroll-employer-FUTA</v>
      </c>
      <c r="C281" s="58">
        <f>ROUND((_xll.HPVAL($G$1,"py1",$A281,$C$7,"YTD","gpg")/1000),0)</f>
        <v>0</v>
      </c>
      <c r="D281" s="70"/>
      <c r="E281" s="58">
        <f>ROUND((_xll.HPVAL($G$1,"ACTUAL",$A281,$E$7,"YTD","gpg")/1000),0)</f>
        <v>-2</v>
      </c>
      <c r="F281" s="73"/>
      <c r="G281" s="58">
        <f>ROUND((_xll.HPVAL($G$1,"ACTUAL",$A281,$G$7,"YTD","gpg")/1000),0)</f>
        <v>0</v>
      </c>
      <c r="H281" s="73"/>
      <c r="I281" s="58">
        <f>ROUND((_xll.HPVAL($G$1,"ACTUAL",$A281,$I$7,"YTD","gpg")/1000),0)</f>
        <v>0</v>
      </c>
      <c r="J281" s="73"/>
      <c r="K281" s="58">
        <f>ROUND((_xll.HPVAL($G$1,"ACTUAL",$A281,$K$7,"YTD","gpg")/1000),0)</f>
        <v>0</v>
      </c>
      <c r="L281" s="73"/>
      <c r="M281" s="58">
        <f>ROUND((_xll.HPVAL($G$1,"ACTUAL",$A281,$M$7,"YTD","gpg")/1000),0)</f>
        <v>0</v>
      </c>
      <c r="N281" s="73"/>
      <c r="O281" s="58">
        <f>ROUND((_xll.HPVAL($G$1,"ACTUAL",$A281,$O$7,"YTD","gpg")/1000),0)</f>
        <v>0</v>
      </c>
      <c r="P281" s="73"/>
      <c r="Q281" s="58">
        <f>ROUND((_xll.HPVAL($G$1,"ACTUAL",$A281,$Q$7,"YTD","gpg")/1000),0)</f>
        <v>0</v>
      </c>
      <c r="R281" s="73"/>
      <c r="S281" s="58">
        <f>ROUND((_xll.HPVAL($G$1,"ACTUAL",$A281,$S$7,"YTD","gpg")/1000),0)</f>
        <v>0</v>
      </c>
      <c r="T281" s="73"/>
      <c r="U281" s="58">
        <f>ROUND((_xll.HPVAL($G$1,"ACTUAL",$A281,$U$7,"YTD","gpg")/1000),0)</f>
        <v>0</v>
      </c>
      <c r="V281" s="73"/>
      <c r="W281" s="58">
        <f>ROUND((_xll.HPVAL($G$1,"ACTUAL",$A281,$W$7,"YTD","gpg")/1000),0)</f>
        <v>0</v>
      </c>
      <c r="X281" s="73"/>
      <c r="Y281" s="58">
        <f>ROUND((_xll.HPVAL($G$1,"ACTUAL",$A281,$Y$7,"YTD","gpg")/1000),0)</f>
        <v>0</v>
      </c>
      <c r="Z281" s="73"/>
      <c r="AA281" s="58">
        <f>ROUND((_xll.HPVAL($G$1,"ACTUAL",$A281,$AA$7,"YTD","gpg")/1000),0)</f>
        <v>0</v>
      </c>
      <c r="AB281" s="73"/>
      <c r="AC281" s="58">
        <f t="shared" si="16"/>
        <v>0</v>
      </c>
      <c r="AD281" s="70"/>
      <c r="AE281" s="58">
        <f t="shared" si="17"/>
        <v>0</v>
      </c>
      <c r="AF281" s="58"/>
    </row>
    <row r="282" spans="1:33">
      <c r="A282" s="84" t="s">
        <v>363</v>
      </c>
      <c r="B282" s="58" t="str">
        <f>_xll.HPHEA($A282,$G$2)</f>
        <v>Taxes payable-payroll-employer-SUTA</v>
      </c>
      <c r="C282" s="58">
        <f>ROUND((_xll.HPVAL($G$1,"py1",$A282,$C$7,"YTD","gpg")/1000),0)</f>
        <v>0</v>
      </c>
      <c r="D282" s="70"/>
      <c r="E282" s="58">
        <f>ROUND((_xll.HPVAL($G$1,"ACTUAL",$A282,$E$7,"YTD","gpg")/1000),0)</f>
        <v>-3</v>
      </c>
      <c r="F282" s="73"/>
      <c r="G282" s="58">
        <f>ROUND((_xll.HPVAL($G$1,"ACTUAL",$A282,$G$7,"YTD","gpg")/1000),0)</f>
        <v>0</v>
      </c>
      <c r="H282" s="73"/>
      <c r="I282" s="58">
        <f>ROUND((_xll.HPVAL($G$1,"ACTUAL",$A282,$I$7,"YTD","gpg")/1000),0)</f>
        <v>0</v>
      </c>
      <c r="J282" s="73"/>
      <c r="K282" s="58">
        <f>ROUND((_xll.HPVAL($G$1,"ACTUAL",$A282,$K$7,"YTD","gpg")/1000),0)</f>
        <v>0</v>
      </c>
      <c r="L282" s="73"/>
      <c r="M282" s="58">
        <f>ROUND((_xll.HPVAL($G$1,"ACTUAL",$A282,$M$7,"YTD","gpg")/1000),0)</f>
        <v>0</v>
      </c>
      <c r="N282" s="73"/>
      <c r="O282" s="58">
        <f>ROUND((_xll.HPVAL($G$1,"ACTUAL",$A282,$O$7,"YTD","gpg")/1000),0)</f>
        <v>0</v>
      </c>
      <c r="P282" s="73"/>
      <c r="Q282" s="58">
        <f>ROUND((_xll.HPVAL($G$1,"ACTUAL",$A282,$Q$7,"YTD","gpg")/1000),0)</f>
        <v>0</v>
      </c>
      <c r="R282" s="73"/>
      <c r="S282" s="58">
        <f>ROUND((_xll.HPVAL($G$1,"ACTUAL",$A282,$S$7,"YTD","gpg")/1000),0)</f>
        <v>0</v>
      </c>
      <c r="T282" s="73"/>
      <c r="U282" s="58">
        <f>ROUND((_xll.HPVAL($G$1,"ACTUAL",$A282,$U$7,"YTD","gpg")/1000),0)</f>
        <v>0</v>
      </c>
      <c r="V282" s="73"/>
      <c r="W282" s="58">
        <f>ROUND((_xll.HPVAL($G$1,"ACTUAL",$A282,$W$7,"YTD","gpg")/1000),0)</f>
        <v>0</v>
      </c>
      <c r="X282" s="73"/>
      <c r="Y282" s="58">
        <f>ROUND((_xll.HPVAL($G$1,"ACTUAL",$A282,$Y$7,"YTD","gpg")/1000),0)</f>
        <v>0</v>
      </c>
      <c r="Z282" s="73"/>
      <c r="AA282" s="58">
        <f>ROUND((_xll.HPVAL($G$1,"ACTUAL",$A282,$AA$7,"YTD","gpg")/1000),0)</f>
        <v>0</v>
      </c>
      <c r="AB282" s="73"/>
      <c r="AC282" s="58">
        <f>IF(mo=1,+E282-C282,CHOOSE(mo,E282,G282,I282,K282,M282,O282,Q282,S282,U282,W282,Y282,AA282)-CHOOSE(mo-1,E282,G282,I282,K282,M282,O282,Q282,S282,U282,W282,Y282,AA282))</f>
        <v>0</v>
      </c>
      <c r="AD282" s="70"/>
      <c r="AE282" s="58">
        <f>CHOOSE(mo,E282,G282,I282,K282,M282,O282,Q282,S282,U282,W282,Y282,AA282)-C282</f>
        <v>0</v>
      </c>
      <c r="AF282" s="58"/>
    </row>
    <row r="283" spans="1:33">
      <c r="A283" s="84" t="s">
        <v>364</v>
      </c>
      <c r="B283" s="58" t="str">
        <f>_xll.HPHEA($A283,$G$2)</f>
        <v>Taxes pay-ad valorem tax</v>
      </c>
      <c r="C283" s="58">
        <f>ROUND((_xll.HPVAL($G$1,"py1",$A283,$C$7,"YTD","gpg")/1000),0)</f>
        <v>4491</v>
      </c>
      <c r="D283" s="70"/>
      <c r="E283" s="58">
        <f>ROUND((_xll.HPVAL($G$1,"ACTUAL",$A283,$E$7,"YTD","gpg")/1000),0)</f>
        <v>4372</v>
      </c>
      <c r="F283" s="73"/>
      <c r="G283" s="58">
        <f>ROUND((_xll.HPVAL($G$1,"ACTUAL",$A283,$G$7,"YTD","gpg")/1000),0)</f>
        <v>5026</v>
      </c>
      <c r="H283" s="73"/>
      <c r="I283" s="58">
        <f>ROUND((_xll.HPVAL($G$1,"ACTUAL",$A283,$I$7,"YTD","gpg")/1000),0)</f>
        <v>5940</v>
      </c>
      <c r="J283" s="73"/>
      <c r="K283" s="58">
        <f>ROUND((_xll.HPVAL($G$1,"ACTUAL",$A283,$K$7,"YTD","gpg")/1000),0)</f>
        <v>3372</v>
      </c>
      <c r="L283" s="73"/>
      <c r="M283" s="58">
        <f>ROUND((_xll.HPVAL($G$1,"ACTUAL",$A283,$M$7,"YTD","gpg")/1000),0)</f>
        <v>3367</v>
      </c>
      <c r="N283" s="73"/>
      <c r="O283" s="58">
        <f>ROUND((_xll.HPVAL($G$1,"ACTUAL",$A283,$O$7,"YTD","gpg")/1000),0)</f>
        <v>3989</v>
      </c>
      <c r="P283" s="73"/>
      <c r="Q283" s="58">
        <f>ROUND((_xll.HPVAL($G$1,"ACTUAL",$A283,$Q$7,"YTD","gpg")/1000),0)</f>
        <v>4710</v>
      </c>
      <c r="R283" s="73"/>
      <c r="S283" s="58">
        <f>ROUND((_xll.HPVAL($G$1,"ACTUAL",$A283,$S$7,"YTD","gpg")/1000),0)</f>
        <v>5432</v>
      </c>
      <c r="T283" s="73"/>
      <c r="U283" s="58">
        <f>ROUND((_xll.HPVAL($G$1,"ACTUAL",$A283,$U$7,"YTD","gpg")/1000),0)</f>
        <v>0</v>
      </c>
      <c r="V283" s="73"/>
      <c r="W283" s="58">
        <f>ROUND((_xll.HPVAL($G$1,"ACTUAL",$A283,$W$7,"YTD","gpg")/1000),0)</f>
        <v>0</v>
      </c>
      <c r="X283" s="73"/>
      <c r="Y283" s="58">
        <f>ROUND((_xll.HPVAL($G$1,"ACTUAL",$A283,$Y$7,"YTD","gpg")/1000),0)</f>
        <v>0</v>
      </c>
      <c r="Z283" s="73"/>
      <c r="AA283" s="58">
        <f>ROUND((_xll.HPVAL($G$1,"ACTUAL",$A283,$AA$7,"YTD","gpg")/1000),0)</f>
        <v>0</v>
      </c>
      <c r="AB283" s="73"/>
      <c r="AC283" s="58">
        <f>IF(mo=1,+E283-C283,CHOOSE(mo,E283,G283,I283,K283,M283,O283,Q283,S283,U283,W283,Y283,AA283)-CHOOSE(mo-1,E283,G283,I283,K283,M283,O283,Q283,S283,U283,W283,Y283,AA283))</f>
        <v>722</v>
      </c>
      <c r="AD283" s="70"/>
      <c r="AE283" s="58">
        <f>CHOOSE(mo,E283,G283,I283,K283,M283,O283,Q283,S283,U283,W283,Y283,AA283)-C283</f>
        <v>941</v>
      </c>
      <c r="AF283" s="58"/>
    </row>
    <row r="284" spans="1:33">
      <c r="A284" s="84" t="s">
        <v>365</v>
      </c>
      <c r="B284" s="58" t="str">
        <f>_xll.HPHEA($A284,$G$2)</f>
        <v>Taxes payable - tax collections</v>
      </c>
      <c r="C284" s="58">
        <f>ROUND((_xll.HPVAL($G$1,"py1",$A284,$C$7,"YTD","gpg")/1000),0)</f>
        <v>0</v>
      </c>
      <c r="D284" s="70"/>
      <c r="E284" s="58">
        <f>ROUND((_xll.HPVAL($G$1,"ACTUAL",$A284,$E$7,"YTD","gpg")/1000),0)</f>
        <v>0</v>
      </c>
      <c r="F284" s="73"/>
      <c r="G284" s="58">
        <f>ROUND((_xll.HPVAL($G$1,"ACTUAL",$A284,$G$7,"YTD","gpg")/1000),0)</f>
        <v>0</v>
      </c>
      <c r="H284" s="73"/>
      <c r="I284" s="58">
        <f>ROUND((_xll.HPVAL($G$1,"ACTUAL",$A284,$I$7,"YTD","gpg")/1000),0)</f>
        <v>0</v>
      </c>
      <c r="J284" s="73"/>
      <c r="K284" s="58">
        <f>ROUND((_xll.HPVAL($G$1,"ACTUAL",$A284,$K$7,"YTD","gpg")/1000),0)</f>
        <v>0</v>
      </c>
      <c r="L284" s="73"/>
      <c r="M284" s="58">
        <f>ROUND((_xll.HPVAL($G$1,"ACTUAL",$A284,$M$7,"YTD","gpg")/1000),0)</f>
        <v>0</v>
      </c>
      <c r="N284" s="73"/>
      <c r="O284" s="58">
        <f>ROUND((_xll.HPVAL($G$1,"ACTUAL",$A284,$O$7,"YTD","gpg")/1000),0)</f>
        <v>0</v>
      </c>
      <c r="P284" s="73"/>
      <c r="Q284" s="58">
        <f>ROUND((_xll.HPVAL($G$1,"ACTUAL",$A284,$Q$7,"YTD","gpg")/1000),0)</f>
        <v>0</v>
      </c>
      <c r="R284" s="73"/>
      <c r="S284" s="58">
        <f>ROUND((_xll.HPVAL($G$1,"ACTUAL",$A284,$S$7,"YTD","gpg")/1000),0)</f>
        <v>0</v>
      </c>
      <c r="T284" s="73"/>
      <c r="U284" s="58">
        <f>ROUND((_xll.HPVAL($G$1,"ACTUAL",$A284,$U$7,"YTD","gpg")/1000),0)</f>
        <v>0</v>
      </c>
      <c r="V284" s="73"/>
      <c r="W284" s="58">
        <f>ROUND((_xll.HPVAL($G$1,"ACTUAL",$A284,$W$7,"YTD","gpg")/1000),0)</f>
        <v>0</v>
      </c>
      <c r="X284" s="73"/>
      <c r="Y284" s="58">
        <f>ROUND((_xll.HPVAL($G$1,"ACTUAL",$A284,$Y$7,"YTD","gpg")/1000),0)</f>
        <v>0</v>
      </c>
      <c r="Z284" s="73"/>
      <c r="AA284" s="58">
        <f>ROUND((_xll.HPVAL($G$1,"ACTUAL",$A284,$AA$7,"YTD","gpg")/1000),0)</f>
        <v>0</v>
      </c>
      <c r="AB284" s="73"/>
      <c r="AC284" s="58">
        <f>IF(mo=1,+E284-C284,CHOOSE(mo,E284,G284,I284,K284,M284,O284,Q284,S284,U284,W284,Y284,AA284)-CHOOSE(mo-1,E284,G284,I284,K284,M284,O284,Q284,S284,U284,W284,Y284,AA284))</f>
        <v>0</v>
      </c>
      <c r="AD284" s="70"/>
      <c r="AE284" s="58">
        <f>CHOOSE(mo,E284,G284,I284,K284,M284,O284,Q284,S284,U284,W284,Y284,AA284)-C284</f>
        <v>0</v>
      </c>
      <c r="AF284" s="58"/>
    </row>
    <row r="285" spans="1:33">
      <c r="A285" s="84" t="s">
        <v>366</v>
      </c>
      <c r="B285" s="58" t="str">
        <f>_xll.HPHEA($A285,$G$2)</f>
        <v>Taxes payable - other</v>
      </c>
      <c r="C285" s="58">
        <f>ROUND((_xll.HPVAL($G$1,"py1",$A285,$C$7,"YTD","gpg")/1000),0)</f>
        <v>815</v>
      </c>
      <c r="D285" s="70"/>
      <c r="E285" s="58">
        <f>ROUND((_xll.HPVAL($G$1,"ACTUAL",$A285,$E$7,"YTD","gpg")/1000),0)</f>
        <v>667</v>
      </c>
      <c r="F285" s="73"/>
      <c r="G285" s="58">
        <f>ROUND((_xll.HPVAL($G$1,"ACTUAL",$A285,$G$7,"YTD","gpg")/1000),0)</f>
        <v>564</v>
      </c>
      <c r="H285" s="73"/>
      <c r="I285" s="58">
        <f>ROUND((_xll.HPVAL($G$1,"ACTUAL",$A285,$I$7,"YTD","gpg")/1000),0)</f>
        <v>660</v>
      </c>
      <c r="J285" s="73"/>
      <c r="K285" s="58">
        <f>ROUND((_xll.HPVAL($G$1,"ACTUAL",$A285,$K$7,"YTD","gpg")/1000),0)</f>
        <v>719</v>
      </c>
      <c r="L285" s="73"/>
      <c r="M285" s="58">
        <f>ROUND((_xll.HPVAL($G$1,"ACTUAL",$A285,$M$7,"YTD","gpg")/1000),0)</f>
        <v>815</v>
      </c>
      <c r="N285" s="73"/>
      <c r="O285" s="58">
        <f>ROUND((_xll.HPVAL($G$1,"ACTUAL",$A285,$O$7,"YTD","gpg")/1000),0)</f>
        <v>714</v>
      </c>
      <c r="P285" s="73"/>
      <c r="Q285" s="58">
        <f>ROUND((_xll.HPVAL($G$1,"ACTUAL",$A285,$Q$7,"YTD","gpg")/1000),0)</f>
        <v>810</v>
      </c>
      <c r="R285" s="73"/>
      <c r="S285" s="58">
        <f>ROUND((_xll.HPVAL($G$1,"ACTUAL",$A285,$S$7,"YTD","gpg")/1000),0)</f>
        <v>691</v>
      </c>
      <c r="T285" s="73"/>
      <c r="U285" s="58">
        <f>ROUND((_xll.HPVAL($G$1,"ACTUAL",$A285,$U$7,"YTD","gpg")/1000),0)</f>
        <v>0</v>
      </c>
      <c r="V285" s="73"/>
      <c r="W285" s="58">
        <f>ROUND((_xll.HPVAL($G$1,"ACTUAL",$A285,$W$7,"YTD","gpg")/1000),0)</f>
        <v>0</v>
      </c>
      <c r="X285" s="73"/>
      <c r="Y285" s="58">
        <f>ROUND((_xll.HPVAL($G$1,"ACTUAL",$A285,$Y$7,"YTD","gpg")/1000),0)</f>
        <v>0</v>
      </c>
      <c r="Z285" s="73"/>
      <c r="AA285" s="58">
        <f>ROUND((_xll.HPVAL($G$1,"ACTUAL",$A285,$AA$7,"YTD","gpg")/1000),0)</f>
        <v>0</v>
      </c>
      <c r="AB285" s="73"/>
      <c r="AC285" s="58">
        <f>IF(mo=1,+E285-C285,CHOOSE(mo,E285,G285,I285,K285,M285,O285,Q285,S285,U285,W285,Y285,AA285)-CHOOSE(mo-1,E285,G285,I285,K285,M285,O285,Q285,S285,U285,W285,Y285,AA285))</f>
        <v>-119</v>
      </c>
      <c r="AD285" s="70"/>
      <c r="AE285" s="58">
        <f>CHOOSE(mo,E285,G285,I285,K285,M285,O285,Q285,S285,U285,W285,Y285,AA285)-C285</f>
        <v>-124</v>
      </c>
      <c r="AF285" s="58"/>
    </row>
    <row r="286" spans="1:33">
      <c r="A286" s="84"/>
      <c r="B286" s="58" t="s">
        <v>214</v>
      </c>
      <c r="C286" s="85">
        <f>+C287-SUM(C271:C285)</f>
        <v>1</v>
      </c>
      <c r="D286" s="70"/>
      <c r="E286" s="85">
        <f>+E287-SUM(E271:E285)</f>
        <v>-2</v>
      </c>
      <c r="F286" s="77"/>
      <c r="G286" s="85">
        <f>+G287-SUM(G271:G285)</f>
        <v>-1</v>
      </c>
      <c r="H286" s="77"/>
      <c r="I286" s="85">
        <f>+I287-SUM(I271:I285)</f>
        <v>0</v>
      </c>
      <c r="J286" s="77"/>
      <c r="K286" s="85">
        <f>+K287-SUM(K271:K285)</f>
        <v>0</v>
      </c>
      <c r="L286" s="77"/>
      <c r="M286" s="85">
        <f>+M287-SUM(M271:M285)</f>
        <v>0</v>
      </c>
      <c r="N286" s="77"/>
      <c r="O286" s="85">
        <f>+O287-SUM(O271:O285)</f>
        <v>0</v>
      </c>
      <c r="P286" s="77"/>
      <c r="Q286" s="85">
        <f>+Q287-SUM(Q271:Q285)</f>
        <v>-1</v>
      </c>
      <c r="R286" s="77"/>
      <c r="S286" s="85">
        <f>+S287-SUM(S271:S285)</f>
        <v>-1</v>
      </c>
      <c r="T286" s="77"/>
      <c r="U286" s="85">
        <f>+U287-SUM(U271:U285)</f>
        <v>0</v>
      </c>
      <c r="V286" s="77"/>
      <c r="W286" s="85">
        <f>+W287-SUM(W271:W285)</f>
        <v>0</v>
      </c>
      <c r="X286" s="77"/>
      <c r="Y286" s="85">
        <f>+Y287-SUM(Y271:Y285)</f>
        <v>0</v>
      </c>
      <c r="Z286" s="77"/>
      <c r="AA286" s="85">
        <f>+AA287-SUM(AA271:AA285)</f>
        <v>0</v>
      </c>
      <c r="AB286" s="77"/>
      <c r="AC286" s="58">
        <f>IF(mo=1,+E286-C286,CHOOSE(mo,E286,G286,I286,K286,M286,O286,Q286,S286,U286,W286,Y286,AA286)-CHOOSE(mo-1,E286,G286,I286,K286,M286,O286,Q286,S286,U286,W286,Y286,AA286))</f>
        <v>0</v>
      </c>
      <c r="AD286" s="70"/>
      <c r="AE286" s="58">
        <f>CHOOSE(mo,E286,G286,I286,K286,M286,O286,Q286,S286,U286,W286,Y286,AA286)-C286</f>
        <v>-2</v>
      </c>
      <c r="AF286" s="58"/>
    </row>
    <row r="287" spans="1:33" s="13" customFormat="1" ht="15" customHeight="1" thickBot="1">
      <c r="A287" s="144" t="s">
        <v>176</v>
      </c>
      <c r="B287" s="60" t="s">
        <v>252</v>
      </c>
      <c r="C287" s="86">
        <f>ROUND((_xll.HPVAL($G$1,"py1","0560",$C$7,"YTD","gpg")/1000),0)+ROUND((_xll.HPVAL($G$1,"py1","0540",$C$7,"YTD","gpg")/1000),0)</f>
        <v>6126</v>
      </c>
      <c r="D287" s="70"/>
      <c r="E287" s="86">
        <f>ROUND((_xll.HPVAL($G$1,"ACTUAL","0560",$E$7,"YTD","gpg")/1000),0)+ROUND((_xll.HPVAL($G$1,"ACTUAL","0540",$E$7,"YTD","gpg")/1000),0)</f>
        <v>5393</v>
      </c>
      <c r="F287" s="77" t="s">
        <v>480</v>
      </c>
      <c r="G287" s="86">
        <f>ROUND((_xll.HPVAL($G$1,"ACTUAL","0560",$G$7,"YTD","gpg")/1000),0)+ROUND((_xll.HPVAL($G$1,"ACTUAL","0540",$G$7,"YTD","gpg")/1000),0)</f>
        <v>6454</v>
      </c>
      <c r="H287" s="77"/>
      <c r="I287" s="86">
        <f>ROUND((_xll.HPVAL($G$1,"ACTUAL","0560",$I$7,"YTD","gpg")/1000),0)+ROUND((_xll.HPVAL($G$1,"ACTUAL","0540",$I$7,"YTD","gpg")/1000),0)</f>
        <v>7503</v>
      </c>
      <c r="J287" s="77"/>
      <c r="K287" s="86">
        <f>ROUND((_xll.HPVAL($G$1,"ACTUAL","0560",$K$7,"YTD","gpg")/1000),0)+ROUND((_xll.HPVAL($G$1,"ACTUAL","0540",$K$7,"YTD","gpg")/1000),0)</f>
        <v>5021</v>
      </c>
      <c r="L287" s="77"/>
      <c r="M287" s="86">
        <f>ROUND((_xll.HPVAL($G$1,"ACTUAL","0560",$M$7,"YTD","gpg")/1000),0)+ROUND((_xll.HPVAL($G$1,"ACTUAL","0540",$M$7,"YTD","gpg")/1000),0)</f>
        <v>5095</v>
      </c>
      <c r="N287" s="77"/>
      <c r="O287" s="86">
        <f>ROUND((_xll.HPVAL($G$1,"ACTUAL","0560",$O$7,"YTD","gpg")/1000),0)+ROUND((_xll.HPVAL($G$1,"ACTUAL","0540",$O$7,"YTD","gpg")/1000),0)</f>
        <v>5668</v>
      </c>
      <c r="P287" s="77"/>
      <c r="Q287" s="86">
        <f>ROUND((_xll.HPVAL($G$1,"ACTUAL","0560",$Q$7,"YTD","gpg")/1000),0)+ROUND((_xll.HPVAL($G$1,"ACTUAL","0540",$Q$7,"YTD","gpg")/1000),0)</f>
        <v>6430</v>
      </c>
      <c r="R287" s="77"/>
      <c r="S287" s="86">
        <f>ROUND((_xll.HPVAL($G$1,"ACTUAL","0560",$S$7,"YTD","gpg")/1000),0)+ROUND((_xll.HPVAL($G$1,"ACTUAL","0540",$S$7,"YTD","gpg")/1000),0)</f>
        <v>7026</v>
      </c>
      <c r="T287" s="77"/>
      <c r="U287" s="86">
        <f>ROUND((_xll.HPVAL($G$1,"ACTUAL","0560",$U$7,"YTD","gpg")/1000),0)+ROUND((_xll.HPVAL($G$1,"ACTUAL","0540",$U$7,"YTD","gpg")/1000),0)</f>
        <v>0</v>
      </c>
      <c r="V287" s="77"/>
      <c r="W287" s="86">
        <f>ROUND((_xll.HPVAL($G$1,"ACTUAL","0560",$W$7,"YTD","gpg")/1000),0)+ROUND((_xll.HPVAL($G$1,"ACTUAL","0540",$W$7,"YTD","gpg")/1000),0)</f>
        <v>0</v>
      </c>
      <c r="X287" s="77"/>
      <c r="Y287" s="86">
        <f>ROUND((_xll.HPVAL($G$1,"ACTUAL","0560",$Y$7,"YTD","gpg")/1000),0)+ROUND((_xll.HPVAL($G$1,"ACTUAL","0540",$Y$7,"YTD","gpg")/1000),0)</f>
        <v>0</v>
      </c>
      <c r="Z287" s="77"/>
      <c r="AA287" s="86">
        <f>ROUND((_xll.HPVAL($G$1,"ACTUAL","0560",$AA$7,"YTD","gpg")/1000),0)+ROUND((_xll.HPVAL($G$1,"ACTUAL","0540",$AA$7,"YTD","gpg")/1000),0)</f>
        <v>0</v>
      </c>
      <c r="AB287" s="77"/>
      <c r="AC287" s="88">
        <f>SUM(AC271:AC286)</f>
        <v>596</v>
      </c>
      <c r="AD287" s="70"/>
      <c r="AE287" s="88">
        <f>SUM(AE271:AE286)</f>
        <v>900</v>
      </c>
      <c r="AF287" s="60"/>
      <c r="AG287" s="5"/>
    </row>
    <row r="288" spans="1:33" ht="10.8" thickTop="1">
      <c r="A288" s="84"/>
      <c r="B288" s="58"/>
      <c r="C288" s="58"/>
      <c r="D288" s="70"/>
      <c r="E288" s="58"/>
      <c r="F288" s="73"/>
      <c r="G288" s="58"/>
      <c r="H288" s="73"/>
      <c r="I288" s="58"/>
      <c r="J288" s="73"/>
      <c r="K288" s="58"/>
      <c r="L288" s="73"/>
      <c r="M288" s="58"/>
      <c r="N288" s="73"/>
      <c r="O288" s="58"/>
      <c r="P288" s="73"/>
      <c r="Q288" s="58"/>
      <c r="R288" s="73"/>
      <c r="S288" s="58"/>
      <c r="T288" s="73"/>
      <c r="U288" s="58"/>
      <c r="V288" s="73"/>
      <c r="W288" s="58"/>
      <c r="X288" s="73"/>
      <c r="Y288" s="58"/>
      <c r="Z288" s="73"/>
      <c r="AA288" s="58"/>
      <c r="AB288" s="73"/>
      <c r="AC288" s="58"/>
      <c r="AD288" s="70"/>
      <c r="AE288" s="58"/>
      <c r="AF288" s="58"/>
    </row>
    <row r="289" spans="1:39">
      <c r="A289" s="84" t="s">
        <v>393</v>
      </c>
      <c r="B289" s="58" t="str">
        <f>_xll.HPHEA($A289,$G$2)</f>
        <v>Def FIT tax liab - non utility - curr</v>
      </c>
      <c r="C289" s="58">
        <f>ROUND((_xll.HPVAL($G$1,"py1",$A289,$C$7,"YTD","gpg")/1000),0)</f>
        <v>1802</v>
      </c>
      <c r="D289" s="70"/>
      <c r="E289" s="58">
        <f>ROUND((_xll.HPVAL($G$1,"ACTUAL",$A289,$E$7,"YTD","gpg")/1000),0)</f>
        <v>1802</v>
      </c>
      <c r="F289" s="73"/>
      <c r="G289" s="58">
        <f>ROUND((_xll.HPVAL($G$1,"ACTUAL",$A289,$G$7,"YTD","gpg")/1000),0)</f>
        <v>1802</v>
      </c>
      <c r="H289" s="73"/>
      <c r="I289" s="58">
        <f>ROUND((_xll.HPVAL($G$1,"ACTUAL",$A289,$I$7,"YTD","gpg")/1000),0)</f>
        <v>1802</v>
      </c>
      <c r="J289" s="73"/>
      <c r="K289" s="58">
        <f>ROUND((_xll.HPVAL($G$1,"ACTUAL",$A289,$K$7,"YTD","gpg")/1000),0)</f>
        <v>2053</v>
      </c>
      <c r="L289" s="73"/>
      <c r="M289" s="58">
        <f>ROUND((_xll.HPVAL($G$1,"ACTUAL",$A289,$M$7,"YTD","gpg")/1000),0)</f>
        <v>1802</v>
      </c>
      <c r="N289" s="73"/>
      <c r="O289" s="58">
        <f>ROUND((_xll.HPVAL($G$1,"ACTUAL",$A289,$O$7,"YTD","gpg")/1000),0)</f>
        <v>1802</v>
      </c>
      <c r="P289" s="73"/>
      <c r="Q289" s="58">
        <f>ROUND((_xll.HPVAL($G$1,"ACTUAL",$A289,$Q$7,"YTD","gpg")/1000),0)</f>
        <v>1794</v>
      </c>
      <c r="R289" s="73"/>
      <c r="S289" s="58">
        <f>ROUND((_xll.HPVAL($G$1,"ACTUAL",$A289,$S$7,"YTD","gpg")/1000),0)</f>
        <v>1794</v>
      </c>
      <c r="T289" s="73"/>
      <c r="U289" s="58">
        <f>ROUND((_xll.HPVAL($G$1,"ACTUAL",$A289,$U$7,"YTD","gpg")/1000),0)</f>
        <v>0</v>
      </c>
      <c r="V289" s="73"/>
      <c r="W289" s="58">
        <f>ROUND((_xll.HPVAL($G$1,"ACTUAL",$A289,$W$7,"YTD","gpg")/1000),0)</f>
        <v>0</v>
      </c>
      <c r="X289" s="73"/>
      <c r="Y289" s="58">
        <f>ROUND((_xll.HPVAL($G$1,"ACTUAL",$A289,$Y$7,"YTD","gpg")/1000),0)</f>
        <v>0</v>
      </c>
      <c r="Z289" s="73"/>
      <c r="AA289" s="58">
        <f>ROUND((_xll.HPVAL($G$1,"ACTUAL",$A289,$AA$7,"YTD","gpg")/1000),0)</f>
        <v>0</v>
      </c>
      <c r="AB289" s="73"/>
      <c r="AC289" s="58">
        <f t="shared" ref="AC289:AC296" si="18">IF(mo=1,+E289-C289,CHOOSE(mo,E289,G289,I289,K289,M289,O289,Q289,S289,U289,W289,Y289,AA289)-CHOOSE(mo-1,E289,G289,I289,K289,M289,O289,Q289,S289,U289,W289,Y289,AA289))</f>
        <v>0</v>
      </c>
      <c r="AD289" s="70"/>
      <c r="AE289" s="58">
        <f t="shared" ref="AE289:AE296" si="19">CHOOSE(mo,E289,G289,I289,K289,M289,O289,Q289,S289,U289,W289,Y289,AA289)-C289</f>
        <v>-8</v>
      </c>
      <c r="AF289" s="58"/>
    </row>
    <row r="290" spans="1:39">
      <c r="A290" s="84" t="s">
        <v>253</v>
      </c>
      <c r="B290" s="58" t="str">
        <f>_xll.HPHEA($A290,$G$2)</f>
        <v>ADFIT other</v>
      </c>
      <c r="C290" s="58">
        <f>ROUND((_xll.HPVAL($G$1,"py1",$A290,$C$7,"YTD","gpg")/1000),0)</f>
        <v>0</v>
      </c>
      <c r="D290" s="70"/>
      <c r="E290" s="58">
        <f>ROUND((_xll.HPVAL($G$1,"ACTUAL",$A290,$E$7,"YTD","gpg")/1000),0)</f>
        <v>0</v>
      </c>
      <c r="F290" s="73"/>
      <c r="G290" s="58">
        <f>ROUND((_xll.HPVAL($G$1,"ACTUAL",$A290,$G$7,"YTD","gpg")/1000),0)</f>
        <v>0</v>
      </c>
      <c r="H290" s="73"/>
      <c r="I290" s="58">
        <f>ROUND((_xll.HPVAL($G$1,"ACTUAL",$A290,$I$7,"YTD","gpg")/1000),0)</f>
        <v>0</v>
      </c>
      <c r="J290" s="73"/>
      <c r="K290" s="58">
        <f>ROUND((_xll.HPVAL($G$1,"ACTUAL",$A290,$K$7,"YTD","gpg")/1000),0)</f>
        <v>0</v>
      </c>
      <c r="L290" s="73"/>
      <c r="M290" s="58">
        <f>ROUND((_xll.HPVAL($G$1,"ACTUAL",$A290,$M$7,"YTD","gpg")/1000),0)</f>
        <v>0</v>
      </c>
      <c r="N290" s="73"/>
      <c r="O290" s="58">
        <f>ROUND((_xll.HPVAL($G$1,"ACTUAL",$A290,$O$7,"YTD","gpg")/1000),0)</f>
        <v>0</v>
      </c>
      <c r="P290" s="73"/>
      <c r="Q290" s="58">
        <f>ROUND((_xll.HPVAL($G$1,"ACTUAL",$A290,$Q$7,"YTD","gpg")/1000),0)</f>
        <v>0</v>
      </c>
      <c r="R290" s="73"/>
      <c r="S290" s="58">
        <f>ROUND((_xll.HPVAL($G$1,"ACTUAL",$A290,$S$7,"YTD","gpg")/1000),0)</f>
        <v>0</v>
      </c>
      <c r="T290" s="73"/>
      <c r="U290" s="58">
        <f>ROUND((_xll.HPVAL($G$1,"ACTUAL",$A290,$U$7,"YTD","gpg")/1000),0)</f>
        <v>0</v>
      </c>
      <c r="V290" s="73"/>
      <c r="W290" s="58">
        <f>ROUND((_xll.HPVAL($G$1,"ACTUAL",$A290,$W$7,"YTD","gpg")/1000),0)</f>
        <v>0</v>
      </c>
      <c r="X290" s="73"/>
      <c r="Y290" s="58">
        <f>ROUND((_xll.HPVAL($G$1,"ACTUAL",$A290,$Y$7,"YTD","gpg")/1000),0)</f>
        <v>0</v>
      </c>
      <c r="Z290" s="73"/>
      <c r="AA290" s="58">
        <f>ROUND((_xll.HPVAL($G$1,"ACTUAL",$A290,$AA$7,"YTD","gpg")/1000),0)</f>
        <v>0</v>
      </c>
      <c r="AB290" s="73"/>
      <c r="AC290" s="58">
        <f t="shared" si="18"/>
        <v>0</v>
      </c>
      <c r="AD290" s="70"/>
      <c r="AE290" s="58">
        <f t="shared" si="19"/>
        <v>0</v>
      </c>
      <c r="AF290" s="58"/>
    </row>
    <row r="291" spans="1:39">
      <c r="A291" s="84" t="s">
        <v>577</v>
      </c>
      <c r="B291" s="58" t="str">
        <f>_xll.HPHEA($A291,$G$2)</f>
        <v>Def FIT tax liability - utility-curr</v>
      </c>
      <c r="C291" s="58">
        <f>ROUND((_xll.HPVAL($G$1,"py1",$A291,$C$7,"YTD","gpg")/1000),0)</f>
        <v>0</v>
      </c>
      <c r="D291" s="70"/>
      <c r="E291" s="58">
        <f>ROUND((_xll.HPVAL($G$1,"ACTUAL",$A291,$E$7,"YTD","gpg")/1000),0)</f>
        <v>0</v>
      </c>
      <c r="F291" s="73"/>
      <c r="G291" s="58">
        <f>ROUND((_xll.HPVAL($G$1,"ACTUAL",$A291,$G$7,"YTD","gpg")/1000),0)</f>
        <v>0</v>
      </c>
      <c r="H291" s="73"/>
      <c r="I291" s="58">
        <f>ROUND((_xll.HPVAL($G$1,"ACTUAL",$A291,$I$7,"YTD","gpg")/1000),0)</f>
        <v>0</v>
      </c>
      <c r="J291" s="73"/>
      <c r="K291" s="58">
        <f>ROUND((_xll.HPVAL($G$1,"ACTUAL",$A291,$K$7,"YTD","gpg")/1000),0)</f>
        <v>3062</v>
      </c>
      <c r="L291" s="73"/>
      <c r="M291" s="58">
        <f>ROUND((_xll.HPVAL($G$1,"ACTUAL",$A291,$M$7,"YTD","gpg")/1000),0)</f>
        <v>3828</v>
      </c>
      <c r="N291" s="73"/>
      <c r="O291" s="58">
        <f>ROUND((_xll.HPVAL($G$1,"ACTUAL",$A291,$O$7,"YTD","gpg")/1000),0)</f>
        <v>0</v>
      </c>
      <c r="P291" s="73"/>
      <c r="Q291" s="58">
        <f>ROUND((_xll.HPVAL($G$1,"ACTUAL",$A291,$Q$7,"YTD","gpg")/1000),0)</f>
        <v>0</v>
      </c>
      <c r="R291" s="73"/>
      <c r="S291" s="58">
        <f>ROUND((_xll.HPVAL($G$1,"ACTUAL",$A291,$S$7,"YTD","gpg")/1000),0)</f>
        <v>0</v>
      </c>
      <c r="T291" s="73"/>
      <c r="U291" s="58">
        <f>ROUND((_xll.HPVAL($G$1,"ACTUAL",$A291,$U$7,"YTD","gpg")/1000),0)</f>
        <v>0</v>
      </c>
      <c r="V291" s="73"/>
      <c r="W291" s="58">
        <f>ROUND((_xll.HPVAL($G$1,"ACTUAL",$A291,$W$7,"YTD","gpg")/1000),0)</f>
        <v>0</v>
      </c>
      <c r="X291" s="73"/>
      <c r="Y291" s="58">
        <f>ROUND((_xll.HPVAL($G$1,"ACTUAL",$A291,$Y$7,"YTD","gpg")/1000),0)</f>
        <v>0</v>
      </c>
      <c r="Z291" s="73"/>
      <c r="AA291" s="58">
        <f>ROUND((_xll.HPVAL($G$1,"ACTUAL",$A291,$AA$7,"YTD","gpg")/1000),0)</f>
        <v>0</v>
      </c>
      <c r="AB291" s="73"/>
      <c r="AC291" s="58">
        <f t="shared" si="18"/>
        <v>0</v>
      </c>
      <c r="AD291" s="70"/>
      <c r="AE291" s="58">
        <f t="shared" si="19"/>
        <v>0</v>
      </c>
      <c r="AF291" s="58"/>
    </row>
    <row r="292" spans="1:39" s="9" customFormat="1" ht="9.75" customHeight="1">
      <c r="A292" s="149" t="s">
        <v>578</v>
      </c>
      <c r="B292" s="75" t="str">
        <f>_xll.HPHEA($A292,$G$2)</f>
        <v>Deferred SIT tax liability - utility-cur</v>
      </c>
      <c r="C292" s="75">
        <f>ROUND((_xll.HPVAL($G$1,"py1",$A292,$C$7,"YTD","gpg")/1000),0)</f>
        <v>0</v>
      </c>
      <c r="D292" s="70"/>
      <c r="E292" s="75">
        <f>ROUND((_xll.HPVAL($G$1,"ACTUAL",$A292,$E$7,"YTD","gpg")/1000),0)</f>
        <v>0</v>
      </c>
      <c r="F292" s="77"/>
      <c r="G292" s="75">
        <f>ROUND((_xll.HPVAL($G$1,"ACTUAL",$A292,$G$7,"YTD","gpg")/1000),0)</f>
        <v>0</v>
      </c>
      <c r="H292" s="77"/>
      <c r="I292" s="75">
        <f>ROUND((_xll.HPVAL($G$1,"ACTUAL",$A292,$I$7,"YTD","gpg")/1000),0)</f>
        <v>0</v>
      </c>
      <c r="J292" s="77"/>
      <c r="K292" s="75">
        <f>ROUND((_xll.HPVAL($G$1,"ACTUAL",$A292,$K$7,"YTD","gpg")/1000),0)</f>
        <v>555</v>
      </c>
      <c r="L292" s="77"/>
      <c r="M292" s="75">
        <f>ROUND((_xll.HPVAL($G$1,"ACTUAL",$A292,$M$7,"YTD","gpg")/1000),0)</f>
        <v>694</v>
      </c>
      <c r="N292" s="77"/>
      <c r="O292" s="75">
        <f>ROUND((_xll.HPVAL($G$1,"ACTUAL",$A292,O$7,"YTD","gpg")/1000),0)</f>
        <v>0</v>
      </c>
      <c r="P292" s="77"/>
      <c r="Q292" s="75">
        <f>ROUND((_xll.HPVAL($G$1,"ACTUAL",$A292,Q$7,"YTD","gpg")/1000),0)</f>
        <v>0</v>
      </c>
      <c r="R292" s="77"/>
      <c r="S292" s="75">
        <f>ROUND((_xll.HPVAL($G$1,"ACTUAL",$A292,S$7,"YTD","gpg")/1000),0)</f>
        <v>0</v>
      </c>
      <c r="T292" s="77"/>
      <c r="U292" s="75">
        <f>ROUND((_xll.HPVAL($G$1,"ACTUAL",$A292,U$7,"YTD","gpg")/1000),0)</f>
        <v>0</v>
      </c>
      <c r="V292" s="77"/>
      <c r="W292" s="75">
        <f>ROUND((_xll.HPVAL($G$1,"ACTUAL",$A292,W$7,"YTD","gpg")/1000),0)</f>
        <v>0</v>
      </c>
      <c r="X292" s="77"/>
      <c r="Y292" s="75">
        <f>ROUND((_xll.HPVAL($G$1,"ACTUAL",$A292,Y$7,"YTD","gpg")/1000),0)</f>
        <v>0</v>
      </c>
      <c r="Z292" s="77"/>
      <c r="AA292" s="75">
        <f>ROUND((_xll.HPVAL($G$1,"ACTUAL",$A292,AA$7,"YTD","gpg")/1000),0)</f>
        <v>0</v>
      </c>
      <c r="AB292" s="77"/>
      <c r="AC292" s="75">
        <f t="shared" si="18"/>
        <v>0</v>
      </c>
      <c r="AD292" s="70"/>
      <c r="AE292" s="75">
        <f t="shared" si="19"/>
        <v>0</v>
      </c>
      <c r="AF292" s="75"/>
      <c r="AG292" s="5"/>
    </row>
    <row r="293" spans="1:39" s="9" customFormat="1" ht="9.75" customHeight="1">
      <c r="A293" s="149" t="s">
        <v>254</v>
      </c>
      <c r="B293" s="75" t="str">
        <f>_xll.HPHEA($A293,$G$2)</f>
        <v>ADSIT other</v>
      </c>
      <c r="C293" s="75">
        <f>ROUND((_xll.HPVAL($G$1,"py1",$A293,$C$7,"YTD","gpg")/1000),0)</f>
        <v>0</v>
      </c>
      <c r="D293" s="70"/>
      <c r="E293" s="75">
        <f>ROUND((_xll.HPVAL($G$1,"ACTUAL",$A293,$E$7,"YTD","gpg")/1000),0)</f>
        <v>0</v>
      </c>
      <c r="F293" s="77"/>
      <c r="G293" s="75">
        <f>ROUND((_xll.HPVAL($G$1,"ACTUAL",$A293,$G$7,"YTD","gpg")/1000),0)</f>
        <v>0</v>
      </c>
      <c r="H293" s="77"/>
      <c r="I293" s="75">
        <f>ROUND((_xll.HPVAL($G$1,"ACTUAL",$A293,$I$7,"YTD","gpg")/1000),0)</f>
        <v>0</v>
      </c>
      <c r="J293" s="77"/>
      <c r="K293" s="75">
        <f>ROUND((_xll.HPVAL($G$1,"ACTUAL",$A293,$K$7,"YTD","gpg")/1000),0)</f>
        <v>0</v>
      </c>
      <c r="L293" s="77"/>
      <c r="M293" s="75">
        <f>ROUND((_xll.HPVAL($G$1,"ACTUAL",$A293,$M$7,"YTD","gpg")/1000),0)</f>
        <v>0</v>
      </c>
      <c r="N293" s="77"/>
      <c r="O293" s="75">
        <f>ROUND((_xll.HPVAL($G$1,"ACTUAL",$A293,O$7,"YTD","gpg")/1000),0)</f>
        <v>0</v>
      </c>
      <c r="P293" s="77"/>
      <c r="Q293" s="75">
        <f>ROUND((_xll.HPVAL($G$1,"ACTUAL",$A293,Q$7,"YTD","gpg")/1000),0)</f>
        <v>0</v>
      </c>
      <c r="R293" s="77"/>
      <c r="S293" s="75">
        <f>ROUND((_xll.HPVAL($G$1,"ACTUAL",$A293,S$7,"YTD","gpg")/1000),0)</f>
        <v>0</v>
      </c>
      <c r="T293" s="77"/>
      <c r="U293" s="75">
        <f>ROUND((_xll.HPVAL($G$1,"ACTUAL",$A293,U$7,"YTD","gpg")/1000),0)</f>
        <v>0</v>
      </c>
      <c r="V293" s="77"/>
      <c r="W293" s="75">
        <f>ROUND((_xll.HPVAL($G$1,"ACTUAL",$A293,W$7,"YTD","gpg")/1000),0)</f>
        <v>0</v>
      </c>
      <c r="X293" s="77"/>
      <c r="Y293" s="75">
        <f>ROUND((_xll.HPVAL($G$1,"ACTUAL",$A293,Y$7,"YTD","gpg")/1000),0)</f>
        <v>0</v>
      </c>
      <c r="Z293" s="77"/>
      <c r="AA293" s="75">
        <f>ROUND((_xll.HPVAL($G$1,"ACTUAL",$A293,AA$7,"YTD","gpg")/1000),0)</f>
        <v>0</v>
      </c>
      <c r="AB293" s="77"/>
      <c r="AC293" s="75">
        <f t="shared" si="18"/>
        <v>0</v>
      </c>
      <c r="AD293" s="70"/>
      <c r="AE293" s="75">
        <f t="shared" si="19"/>
        <v>0</v>
      </c>
      <c r="AF293" s="75"/>
      <c r="AG293" s="5"/>
    </row>
    <row r="294" spans="1:39">
      <c r="A294" s="84" t="s">
        <v>394</v>
      </c>
      <c r="B294" s="58" t="str">
        <f>_xll.HPHEA($A294,$G$2)</f>
        <v>Def SIT tax liab-non utility - curr</v>
      </c>
      <c r="C294" s="75">
        <f>ROUND((_xll.HPVAL($G$1,"py1",$A294,$C$7,"YTD","gpg")/1000),0)</f>
        <v>327</v>
      </c>
      <c r="D294" s="70"/>
      <c r="E294" s="75">
        <f>ROUND((_xll.HPVAL($G$1,"ACTUAL",$A294,$E$7,"YTD","gpg")/1000),0)</f>
        <v>327</v>
      </c>
      <c r="F294" s="77"/>
      <c r="G294" s="75">
        <f>ROUND((_xll.HPVAL($G$1,"ACTUAL",$A294,$G$7,"YTD","gpg")/1000),0)</f>
        <v>327</v>
      </c>
      <c r="H294" s="77"/>
      <c r="I294" s="75">
        <f>ROUND((_xll.HPVAL($G$1,"ACTUAL",$A294,$I$7,"YTD","gpg")/1000),0)</f>
        <v>327</v>
      </c>
      <c r="J294" s="77"/>
      <c r="K294" s="75">
        <f>ROUND((_xll.HPVAL($G$1,"ACTUAL",$A294,$K$7,"YTD","gpg")/1000),0)</f>
        <v>-420</v>
      </c>
      <c r="L294" s="77"/>
      <c r="M294" s="75">
        <f>ROUND((_xll.HPVAL($G$1,"ACTUAL",$A294,$M$7,"YTD","gpg")/1000),0)</f>
        <v>324</v>
      </c>
      <c r="N294" s="77"/>
      <c r="O294" s="75">
        <f>ROUND((_xll.HPVAL($G$1,"ACTUAL",$A294,O$7,"YTD","gpg")/1000),0)</f>
        <v>327</v>
      </c>
      <c r="P294" s="77"/>
      <c r="Q294" s="75">
        <f>ROUND((_xll.HPVAL($G$1,"ACTUAL",$A294,Q$7,"YTD","gpg")/1000),0)</f>
        <v>325</v>
      </c>
      <c r="R294" s="77"/>
      <c r="S294" s="75">
        <f>ROUND((_xll.HPVAL($G$1,"ACTUAL",$A294,S$7,"YTD","gpg")/1000),0)</f>
        <v>325</v>
      </c>
      <c r="T294" s="77"/>
      <c r="U294" s="75">
        <f>ROUND((_xll.HPVAL($G$1,"ACTUAL",$A294,U$7,"YTD","gpg")/1000),0)</f>
        <v>0</v>
      </c>
      <c r="V294" s="77"/>
      <c r="W294" s="75">
        <f>ROUND((_xll.HPVAL($G$1,"ACTUAL",$A294,W$7,"YTD","gpg")/1000),0)</f>
        <v>0</v>
      </c>
      <c r="X294" s="77"/>
      <c r="Y294" s="75">
        <f>ROUND((_xll.HPVAL($G$1,"ACTUAL",$A294,Y$7,"YTD","gpg")/1000),0)</f>
        <v>0</v>
      </c>
      <c r="Z294" s="77"/>
      <c r="AA294" s="75">
        <f>ROUND((_xll.HPVAL($G$1,"ACTUAL",$A294,AA$7,"YTD","gpg")/1000),0)</f>
        <v>0</v>
      </c>
      <c r="AB294" s="77"/>
      <c r="AC294" s="58">
        <f t="shared" si="18"/>
        <v>0</v>
      </c>
      <c r="AD294" s="70"/>
      <c r="AE294" s="75">
        <f t="shared" si="19"/>
        <v>-2</v>
      </c>
      <c r="AF294" s="58"/>
    </row>
    <row r="295" spans="1:39">
      <c r="A295" s="84" t="s">
        <v>576</v>
      </c>
      <c r="B295" s="58" t="str">
        <f>_xll.HPHEA($A295,$G$2)</f>
        <v>Current deferred tax nonutilty-Fed</v>
      </c>
      <c r="C295" s="75">
        <f>ROUND((_xll.HPVAL($G$1,"py1",$A295,$C$7,"YTD","gpg")/1000),0)</f>
        <v>0</v>
      </c>
      <c r="D295" s="70"/>
      <c r="E295" s="75">
        <f>ROUND((_xll.HPVAL($G$1,"ACTUAL",$A295,$E$7,"YTD","gpg")/1000),0)</f>
        <v>0</v>
      </c>
      <c r="F295" s="77"/>
      <c r="G295" s="75">
        <f>ROUND((_xll.HPVAL($G$1,"ACTUAL",$A295,$G$7,"YTD","gpg")/1000),0)</f>
        <v>0</v>
      </c>
      <c r="H295" s="77"/>
      <c r="I295" s="75">
        <f>ROUND((_xll.HPVAL($G$1,"ACTUAL",$A295,$I$7,"YTD","gpg")/1000),0)</f>
        <v>0</v>
      </c>
      <c r="J295" s="77"/>
      <c r="K295" s="75">
        <f>-ROUND((_xll.HPVAL($G$1,"ACTUAL",$A295,$K$7,"YTD","gpg")/1000),0)</f>
        <v>-4371</v>
      </c>
      <c r="L295" s="77"/>
      <c r="M295" s="75">
        <f>-ROUND((_xll.HPVAL($G$1,"ACTUAL",$A295,$M$7,"YTD","gpg")/1000),0)</f>
        <v>-16</v>
      </c>
      <c r="N295" s="77"/>
      <c r="O295" s="75">
        <f>-ROUND((_xll.HPVAL($G$1,"ACTUAL",$A295,$O$7,"YTD","gpg")/1000),0)</f>
        <v>0</v>
      </c>
      <c r="P295" s="77"/>
      <c r="Q295" s="75">
        <f>-ROUND((_xll.HPVAL($G$1,"ACTUAL",$A295,$Q$7,"YTD","gpg")/1000),0)</f>
        <v>0</v>
      </c>
      <c r="R295" s="77"/>
      <c r="S295" s="75">
        <f>-ROUND((_xll.HPVAL($G$1,"ACTUAL",$A295,$S$7,"YTD","gpg")/1000),0)</f>
        <v>0</v>
      </c>
      <c r="T295" s="77"/>
      <c r="U295" s="75">
        <f>-ROUND((_xll.HPVAL($G$1,"ACTUAL",$A295,$U$7,"YTD","gpg")/1000),0)</f>
        <v>0</v>
      </c>
      <c r="V295" s="77"/>
      <c r="W295" s="75">
        <f>-ROUND((_xll.HPVAL($G$1,"ACTUAL",$A295,$W$7,"YTD","gpg")/1000),0)</f>
        <v>0</v>
      </c>
      <c r="X295" s="77"/>
      <c r="Y295" s="75">
        <f>-ROUND((_xll.HPVAL($G$1,"ACTUAL",$A295,$Y$7,"YTD","gpg")/1000),0)</f>
        <v>0</v>
      </c>
      <c r="Z295" s="77"/>
      <c r="AA295" s="75">
        <f>-ROUND((_xll.HPVAL($G$1,"ACTUAL",$A295,$AA$7,"YTD","gpg")/1000),0)</f>
        <v>0</v>
      </c>
      <c r="AB295" s="77"/>
      <c r="AC295" s="58">
        <f t="shared" si="18"/>
        <v>0</v>
      </c>
      <c r="AD295" s="70"/>
      <c r="AE295" s="75">
        <f t="shared" si="19"/>
        <v>0</v>
      </c>
      <c r="AF295" s="58"/>
    </row>
    <row r="296" spans="1:39">
      <c r="A296" s="84"/>
      <c r="B296" s="58" t="s">
        <v>216</v>
      </c>
      <c r="C296" s="85">
        <f>C297-SUM(C289:C295)</f>
        <v>0</v>
      </c>
      <c r="D296" s="70"/>
      <c r="E296" s="85">
        <f>E297-SUM(E289:E295)</f>
        <v>0</v>
      </c>
      <c r="F296" s="77"/>
      <c r="G296" s="85">
        <f>G297-SUM(G289:G295)</f>
        <v>0</v>
      </c>
      <c r="H296" s="77"/>
      <c r="I296" s="85">
        <f>I297-SUM(I289:I295)</f>
        <v>0</v>
      </c>
      <c r="J296" s="77"/>
      <c r="K296" s="85">
        <f>K297-SUM(K289:K295)</f>
        <v>0</v>
      </c>
      <c r="L296" s="77"/>
      <c r="M296" s="85">
        <f>M297-SUM(M289:M295)</f>
        <v>0</v>
      </c>
      <c r="N296" s="77"/>
      <c r="O296" s="85">
        <f>O297-SUM(O289:O295)</f>
        <v>0</v>
      </c>
      <c r="P296" s="77"/>
      <c r="Q296" s="85">
        <f>Q297-SUM(Q289:Q295)</f>
        <v>0</v>
      </c>
      <c r="R296" s="77"/>
      <c r="S296" s="85">
        <f>S297-SUM(S289:S295)</f>
        <v>0</v>
      </c>
      <c r="T296" s="77"/>
      <c r="U296" s="85">
        <f>U297-SUM(U289:U295)</f>
        <v>0</v>
      </c>
      <c r="V296" s="77"/>
      <c r="W296" s="85">
        <f>W297-SUM(W289:W295)</f>
        <v>0</v>
      </c>
      <c r="X296" s="77"/>
      <c r="Y296" s="85">
        <f>Y297-SUM(Y289:Y295)</f>
        <v>0</v>
      </c>
      <c r="Z296" s="77"/>
      <c r="AA296" s="85">
        <f>AA297-SUM(AA289:AA295)</f>
        <v>0</v>
      </c>
      <c r="AB296" s="77"/>
      <c r="AC296" s="75">
        <f t="shared" si="18"/>
        <v>0</v>
      </c>
      <c r="AD296" s="70"/>
      <c r="AE296" s="75">
        <f t="shared" si="19"/>
        <v>0</v>
      </c>
      <c r="AF296" s="58"/>
    </row>
    <row r="297" spans="1:39" ht="14.25" customHeight="1" thickBot="1">
      <c r="A297" s="84"/>
      <c r="B297" s="60" t="s">
        <v>255</v>
      </c>
      <c r="C297" s="86">
        <f>ROUND((_xll.HPVAL($G$1,"py1","0565",$C$7,"YTD","gpg")/1000),0)+ROUND((_xll.HPVAL($G$1,"py1","0566",$C$7,"YTD","gpg")/1000),0)</f>
        <v>2129</v>
      </c>
      <c r="D297" s="70"/>
      <c r="E297" s="86">
        <f>ROUND((_xll.HPVAL($G$1,"ACTUAL","0565",E7,"YTD","gpg")/1000),0)+ROUND((_xll.HPVAL($G$1,"ACTUAL","0566",E7,"YTD","gpg")/1000),0)</f>
        <v>2129</v>
      </c>
      <c r="F297" s="77"/>
      <c r="G297" s="86">
        <f>ROUND((_xll.HPVAL($G$1,"ACTUAL","0565",G7,"YTD","gpg")/1000),0)+ROUND((_xll.HPVAL($G$1,"ACTUAL","0566",G7,"YTD","gpg")/1000),0)</f>
        <v>2129</v>
      </c>
      <c r="H297" s="77"/>
      <c r="I297" s="86">
        <f>ROUND((_xll.HPVAL($G$1,"ACTUAL","0565",I7,"YTD","gpg")/1000),0)+ROUND((_xll.HPVAL($G$1,"ACTUAL","0566",I7,"YTD","gpg")/1000),0)</f>
        <v>2129</v>
      </c>
      <c r="J297" s="77"/>
      <c r="K297" s="86">
        <f>ROUND((_xll.HPVAL($G$1,"ACTUAL","0565",K7,"YTD","gpg")/1000),0)+ROUND((_xll.HPVAL($G$1,"ACTUAL","0566",K7,"YTD","gpg")/1000),0)-ROUND((_xll.HPVAL($G$1,"ACTUAL","0140",K7,"YTD","gpg")/1000),0)</f>
        <v>879</v>
      </c>
      <c r="L297" s="77"/>
      <c r="M297" s="86">
        <f>ROUND((_xll.HPVAL($G$1,"ACTUAL","0565",M7,"YTD","gpg")/1000),0)+ROUND((_xll.HPVAL($G$1,"ACTUAL","0566",M7,"YTD","gpg")/1000),0)-ROUND((_xll.HPVAL($G$1,"ACTUAL","0140",M7,"YTD","gpg")/1000),0)</f>
        <v>6632</v>
      </c>
      <c r="N297" s="77"/>
      <c r="O297" s="86">
        <f>ROUND((_xll.HPVAL($G$1,"ACTUAL","0565",O7,"YTD","gpg")/1000),0)+ROUND((_xll.HPVAL($G$1,"ACTUAL","0566",O7,"YTD","gpg")/1000),0)-ROUND((_xll.HPVAL($G$1,"ACTUAL","0140",O7,"YTD","gpg")/1000),0)</f>
        <v>2129</v>
      </c>
      <c r="P297" s="77" t="s">
        <v>249</v>
      </c>
      <c r="Q297" s="86">
        <f>ROUND((_xll.HPVAL($G$1,"ACTUAL","0565",Q7,"YTD","gpg")/1000),0)+ROUND((_xll.HPVAL($G$1,"ACTUAL","0566",Q7,"YTD","gpg")/1000),0)-ROUND((_xll.HPVAL($G$1,"ACTUAL","0140",Q7,"YTD","gpg")/1000),0)</f>
        <v>2119</v>
      </c>
      <c r="R297" s="77"/>
      <c r="S297" s="86">
        <f>ROUND((_xll.HPVAL($G$1,"ACTUAL","0565",S7,"YTD","gpg")/1000),0)+ROUND((_xll.HPVAL($G$1,"ACTUAL","0566",S7,"YTD","gpg")/1000),0)-ROUND((_xll.HPVAL($G$1,"ACTUAL","0140",S7,"YTD","gpg")/1000),0)</f>
        <v>2119</v>
      </c>
      <c r="T297" s="77"/>
      <c r="U297" s="86">
        <f>ROUND((_xll.HPVAL($G$1,"ACTUAL","0565",U7,"YTD","gpg")/1000),0)+ROUND((_xll.HPVAL($G$1,"ACTUAL","0566",U7,"YTD","gpg")/1000),0)-ROUND((_xll.HPVAL($G$1,"ACTUAL","0140",U7,"YTD","gpg")/1000),0)</f>
        <v>0</v>
      </c>
      <c r="V297" s="77"/>
      <c r="W297" s="86">
        <f>ROUND((_xll.HPVAL($G$1,"ACTUAL","0565",W7,"YTD","gpg")/1000),0)+ROUND((_xll.HPVAL($G$1,"ACTUAL","0566",W7,"YTD","gpg")/1000),0)-ROUND((_xll.HPVAL($G$1,"ACTUAL","0140",W7,"YTD","gpg")/1000),0)</f>
        <v>0</v>
      </c>
      <c r="X297" s="77"/>
      <c r="Y297" s="86">
        <f>ROUND((_xll.HPVAL($G$1,"ACTUAL","0565",Y7,"YTD","gpg")/1000),0)+ROUND((_xll.HPVAL($G$1,"ACTUAL","0566",Y7,"YTD","gpg")/1000),0)-ROUND((_xll.HPVAL($G$1,"ACTUAL","0140",Y7,"YTD","gpg")/1000),0)</f>
        <v>0</v>
      </c>
      <c r="Z297" s="77"/>
      <c r="AA297" s="86">
        <f>ROUND((_xll.HPVAL($G$1,"ACTUAL","0565",AA7,"YTD","gpg")/1000),0)+ROUND((_xll.HPVAL($G$1,"ACTUAL","0566",AA7,"YTD","gpg")/1000),0)-ROUND((_xll.HPVAL($G$1,"ACTUAL","0140",AA7,"YTD","gpg")/1000),0)</f>
        <v>0</v>
      </c>
      <c r="AB297" s="77"/>
      <c r="AC297" s="88">
        <f>SUM(AC289:AC296)</f>
        <v>0</v>
      </c>
      <c r="AD297" s="70"/>
      <c r="AE297" s="88">
        <f>SUM(AE289:AE296)</f>
        <v>-10</v>
      </c>
      <c r="AF297" s="60"/>
      <c r="AH297" s="13"/>
      <c r="AI297" s="13"/>
      <c r="AJ297" s="13"/>
      <c r="AK297" s="13"/>
      <c r="AL297" s="13"/>
      <c r="AM297" s="13"/>
    </row>
    <row r="298" spans="1:39" ht="10.8" thickTop="1">
      <c r="A298" s="58"/>
      <c r="B298" s="58"/>
      <c r="C298" s="58"/>
      <c r="D298" s="70"/>
      <c r="E298" s="58"/>
      <c r="F298" s="73"/>
      <c r="G298" s="58"/>
      <c r="H298" s="73"/>
      <c r="I298" s="58"/>
      <c r="J298" s="73"/>
      <c r="K298" s="58"/>
      <c r="L298" s="73"/>
      <c r="M298" s="58"/>
      <c r="N298" s="73"/>
      <c r="O298" s="58"/>
      <c r="P298" s="73"/>
      <c r="Q298" s="58"/>
      <c r="R298" s="73"/>
      <c r="S298" s="58"/>
      <c r="T298" s="73"/>
      <c r="U298" s="58"/>
      <c r="V298" s="73"/>
      <c r="W298" s="58"/>
      <c r="X298" s="73"/>
      <c r="Y298" s="58"/>
      <c r="Z298" s="73"/>
      <c r="AA298" s="58"/>
      <c r="AB298" s="73"/>
      <c r="AC298" s="58"/>
      <c r="AD298" s="70"/>
      <c r="AE298" s="58"/>
      <c r="AF298" s="58"/>
    </row>
    <row r="299" spans="1:39">
      <c r="A299" s="84" t="s">
        <v>367</v>
      </c>
      <c r="B299" s="58" t="str">
        <f>_xll.HPHEA($A299,$G$2)</f>
        <v>Accrued interest (DP)</v>
      </c>
      <c r="C299" s="58">
        <f>ROUND((_xll.HPVAL($G$1,"py1",$A299,$C$7,"YTD","gpg")/1000),0)</f>
        <v>3012</v>
      </c>
      <c r="D299" s="70" t="s">
        <v>478</v>
      </c>
      <c r="E299" s="58">
        <f>ROUND((_xll.HPVAL($G$1,"ACTUAL",$A299,$E$7,"YTD","gpg")/1000),0)</f>
        <v>4055</v>
      </c>
      <c r="F299" s="73" t="s">
        <v>478</v>
      </c>
      <c r="G299" s="58">
        <f>ROUND((_xll.HPVAL($G$1,"ACTUAL",$A299,$G$7,"YTD","gpg")/1000),0)</f>
        <v>5099</v>
      </c>
      <c r="H299" s="73" t="s">
        <v>226</v>
      </c>
      <c r="I299" s="58">
        <f>ROUND((_xll.HPVAL($G$1,"ACTUAL",$A299,$I$7,"YTD","gpg")/1000),0)</f>
        <v>6142</v>
      </c>
      <c r="J299" s="76"/>
      <c r="K299" s="58">
        <f>ROUND((_xll.HPVAL($G$1,"ACTUAL",$A299,$K$7,"YTD","gpg")/1000),0)</f>
        <v>1367</v>
      </c>
      <c r="L299" s="73" t="s">
        <v>249</v>
      </c>
      <c r="M299" s="58">
        <f>ROUND((_xll.HPVAL($G$1,"ACTUAL",$A299,$M$7,"YTD","gpg")/1000),0)</f>
        <v>1453</v>
      </c>
      <c r="N299" s="76"/>
      <c r="O299" s="58">
        <f>ROUND((_xll.HPVAL($G$1,"ACTUAL",$A299,$O$7,"YTD","gpg")/1000),0)</f>
        <v>237</v>
      </c>
      <c r="P299" s="76"/>
      <c r="Q299" s="58">
        <f>ROUND((_xll.HPVAL($G$1,"ACTUAL",$A299,$Q$7,"YTD","gpg")/1000),0)</f>
        <v>355</v>
      </c>
      <c r="R299" s="76"/>
      <c r="S299" s="58">
        <f>ROUND((_xll.HPVAL($G$1,"ACTUAL",$A299,$S$7,"YTD","gpg")/1000),0)</f>
        <v>474</v>
      </c>
      <c r="T299" s="76"/>
      <c r="U299" s="58">
        <f>ROUND((_xll.HPVAL($G$1,"ACTUAL",$A299,$U$7,"YTD","gpg")/1000),0)</f>
        <v>0</v>
      </c>
      <c r="V299" s="76"/>
      <c r="W299" s="58">
        <f>ROUND((_xll.HPVAL($G$1,"ACTUAL",$A299,$W$7,"YTD","gpg")/1000),0)</f>
        <v>0</v>
      </c>
      <c r="X299" s="76"/>
      <c r="Y299" s="58">
        <f>ROUND((_xll.HPVAL($G$1,"ACTUAL",$A299,$Y$7,"YTD","gpg")/1000),0)</f>
        <v>0</v>
      </c>
      <c r="Z299" s="76"/>
      <c r="AA299" s="58">
        <f>ROUND((_xll.HPVAL($G$1,"ACTUAL",$A299,$AA$7,"YTD","gpg")/1000),0)</f>
        <v>0</v>
      </c>
      <c r="AB299" s="73"/>
      <c r="AC299" s="58">
        <f>IF(mo=1,+E299-C299,CHOOSE(mo,E299,G299,I299,K299,M299,O299,Q299,S299,U299,W299,Y299,AA299)-CHOOSE(mo-1,E299,G299,I299,K299,M299,O299,Q299,S299,U299,W299,Y299,AA299))</f>
        <v>119</v>
      </c>
      <c r="AD299" s="70"/>
      <c r="AE299" s="58">
        <f>CHOOSE(mo,E299,G299,I299,K299,M299,O299,Q299,S299,U299,W299,Y299,AA299)-C299</f>
        <v>-2538</v>
      </c>
      <c r="AF299" s="58"/>
    </row>
    <row r="300" spans="1:39">
      <c r="A300" s="84"/>
      <c r="B300" s="58" t="s">
        <v>214</v>
      </c>
      <c r="C300" s="85">
        <f>+C301-SUM(C298:C299)</f>
        <v>0</v>
      </c>
      <c r="D300" s="70"/>
      <c r="E300" s="85">
        <f>+E301-SUM(E298:E299)</f>
        <v>0</v>
      </c>
      <c r="F300" s="77"/>
      <c r="G300" s="85">
        <f>+G301-SUM(G298:G299)</f>
        <v>0</v>
      </c>
      <c r="H300" s="77"/>
      <c r="I300" s="85">
        <f>+I301-SUM(I298:I299)</f>
        <v>0</v>
      </c>
      <c r="J300" s="77"/>
      <c r="K300" s="85">
        <f>+K301-SUM(K298:K299)</f>
        <v>0</v>
      </c>
      <c r="L300" s="77"/>
      <c r="M300" s="85">
        <f>+M301-SUM(M298:M299)</f>
        <v>0</v>
      </c>
      <c r="N300" s="77"/>
      <c r="O300" s="85">
        <f>+O301-SUM(O298:O299)</f>
        <v>0</v>
      </c>
      <c r="P300" s="77"/>
      <c r="Q300" s="85">
        <f>+Q301-SUM(Q298:Q299)</f>
        <v>0</v>
      </c>
      <c r="R300" s="77"/>
      <c r="S300" s="85">
        <f>+S301-SUM(S298:S299)</f>
        <v>0</v>
      </c>
      <c r="T300" s="77"/>
      <c r="U300" s="85">
        <f>+U301-SUM(U298:U299)</f>
        <v>0</v>
      </c>
      <c r="V300" s="77"/>
      <c r="W300" s="85">
        <f>+W301-SUM(W298:W299)</f>
        <v>0</v>
      </c>
      <c r="X300" s="77"/>
      <c r="Y300" s="85">
        <f>+Y301-SUM(Y298:Y299)</f>
        <v>0</v>
      </c>
      <c r="Z300" s="77"/>
      <c r="AA300" s="85">
        <f>+AA301-SUM(AA298:AA299)</f>
        <v>0</v>
      </c>
      <c r="AB300" s="77"/>
      <c r="AC300" s="58">
        <f>IF(mo=1,+E300-C300,CHOOSE(mo,E300,G300,I300,K300,M300,O300,Q300,S300,U300,W300,Y300,AA300)-CHOOSE(mo-1,E300,G300,I300,K300,M300,O300,Q300,S300,U300,W300,Y300,AA300))</f>
        <v>0</v>
      </c>
      <c r="AD300" s="70"/>
      <c r="AE300" s="58">
        <f>CHOOSE(mo,E300,G300,I300,K300,M300,O300,Q300,S300,U300,W300,Y300,AA300)-C300</f>
        <v>0</v>
      </c>
      <c r="AF300" s="58"/>
    </row>
    <row r="301" spans="1:39" s="13" customFormat="1" ht="15" customHeight="1" thickBot="1">
      <c r="A301" s="144" t="s">
        <v>179</v>
      </c>
      <c r="B301" s="60" t="s">
        <v>256</v>
      </c>
      <c r="C301" s="86">
        <f>ROUND((_xll.HPVAL($G$1,"py1",$A301,$C$7,"YTD","gpg")/1000),0)</f>
        <v>3012</v>
      </c>
      <c r="D301" s="70"/>
      <c r="E301" s="86">
        <f>ROUND((_xll.HPVAL($G$1,"ACTUAL",$A301,$E$7,"YTD","gpg")/1000),0)</f>
        <v>4055</v>
      </c>
      <c r="F301" s="77"/>
      <c r="G301" s="86">
        <f>ROUND((_xll.HPVAL($G$1,"ACTUAL",$A301,$G$7,"YTD","gpg")/1000),0)</f>
        <v>5099</v>
      </c>
      <c r="H301" s="77"/>
      <c r="I301" s="86">
        <f>ROUND((_xll.HPVAL($G$1,"ACTUAL",$A301,$I$7,"YTD","gpg")/1000),0)</f>
        <v>6142</v>
      </c>
      <c r="J301" s="77"/>
      <c r="K301" s="86">
        <f>ROUND((_xll.HPVAL($G$1,"ACTUAL",$A301,$K$7,"YTD","gpg")/1000),0)</f>
        <v>1367</v>
      </c>
      <c r="L301" s="77"/>
      <c r="M301" s="86">
        <f>ROUND((_xll.HPVAL($G$1,"ACTUAL",$A301,$M$7,"YTD","gpg")/1000),0)</f>
        <v>1453</v>
      </c>
      <c r="N301" s="77"/>
      <c r="O301" s="86">
        <f>ROUND((_xll.HPVAL($G$1,"ACTUAL",$A301,$O$7,"YTD","gpg")/1000),0)</f>
        <v>237</v>
      </c>
      <c r="P301" s="77"/>
      <c r="Q301" s="86">
        <f>ROUND((_xll.HPVAL($G$1,"ACTUAL",$A301,$Q$7,"YTD","gpg")/1000),0)</f>
        <v>355</v>
      </c>
      <c r="R301" s="77"/>
      <c r="S301" s="86">
        <f>ROUND((_xll.HPVAL($G$1,"ACTUAL",$A301,$S$7,"YTD","gpg")/1000),0)</f>
        <v>474</v>
      </c>
      <c r="T301" s="77"/>
      <c r="U301" s="86">
        <f>ROUND((_xll.HPVAL($G$1,"ACTUAL",$A301,$U$7,"YTD","gpg")/1000),0)</f>
        <v>0</v>
      </c>
      <c r="V301" s="77"/>
      <c r="W301" s="86">
        <f>ROUND((_xll.HPVAL($G$1,"ACTUAL",$A301,$W$7,"YTD","gpg")/1000),0)</f>
        <v>0</v>
      </c>
      <c r="X301" s="77"/>
      <c r="Y301" s="86">
        <f>ROUND((_xll.HPVAL($G$1,"ACTUAL",$A301,$Y$7,"YTD","gpg")/1000),0)</f>
        <v>0</v>
      </c>
      <c r="Z301" s="77"/>
      <c r="AA301" s="86">
        <f>ROUND((_xll.HPVAL($G$1,"ACTUAL",$A301,$AA$7,"YTD","gpg")/1000),0)</f>
        <v>0</v>
      </c>
      <c r="AB301" s="77"/>
      <c r="AC301" s="88">
        <f>SUM(AC299:AC300)</f>
        <v>119</v>
      </c>
      <c r="AD301" s="70"/>
      <c r="AE301" s="88">
        <f>SUM(AE299:AE300)</f>
        <v>-2538</v>
      </c>
      <c r="AF301" s="60"/>
      <c r="AG301" s="5"/>
    </row>
    <row r="302" spans="1:39" ht="10.8" thickTop="1">
      <c r="A302" s="58"/>
      <c r="B302" s="58"/>
      <c r="C302" s="58"/>
      <c r="D302" s="70"/>
      <c r="E302" s="58"/>
      <c r="F302" s="73"/>
      <c r="G302" s="58"/>
      <c r="H302" s="73"/>
      <c r="I302" s="58"/>
      <c r="J302" s="73"/>
      <c r="K302" s="58"/>
      <c r="L302" s="73"/>
      <c r="M302" s="58"/>
      <c r="N302" s="73"/>
      <c r="O302" s="58"/>
      <c r="P302" s="73"/>
      <c r="Q302" s="58"/>
      <c r="R302" s="73"/>
      <c r="S302" s="58"/>
      <c r="T302" s="73"/>
      <c r="U302" s="58"/>
      <c r="V302" s="73"/>
      <c r="W302" s="58"/>
      <c r="X302" s="73"/>
      <c r="Y302" s="58"/>
      <c r="Z302" s="73"/>
      <c r="AA302" s="58"/>
      <c r="AB302" s="73"/>
      <c r="AC302" s="58"/>
      <c r="AD302" s="70"/>
      <c r="AE302" s="58"/>
      <c r="AF302" s="58"/>
    </row>
    <row r="303" spans="1:39">
      <c r="A303" s="84" t="s">
        <v>368</v>
      </c>
      <c r="B303" s="58" t="str">
        <f>_xll.HPHEA($A303,$G$2)</f>
        <v>Net pay clearing</v>
      </c>
      <c r="C303" s="58">
        <f>ROUND((_xll.HPVAL($G$1,"py1",$A303,$C$7,"YTD","gpg")/1000),0)</f>
        <v>-13</v>
      </c>
      <c r="D303" s="70"/>
      <c r="E303" s="58">
        <f>ROUND((_xll.HPVAL($G$1,"ACTUAL",$A303,$E$7,"YTD","gpg")/1000),0)</f>
        <v>-689</v>
      </c>
      <c r="F303" s="73" t="s">
        <v>477</v>
      </c>
      <c r="G303" s="58">
        <f>ROUND((_xll.HPVAL($G$1,"ACTUAL",$A303,$G$7,"YTD","gpg")/1000),0)</f>
        <v>-32</v>
      </c>
      <c r="H303" s="73"/>
      <c r="I303" s="58">
        <f>ROUND((_xll.HPVAL($G$1,"ACTUAL",$A303,$I$7,"YTD","gpg")/1000),0)</f>
        <v>-32</v>
      </c>
      <c r="J303" s="73"/>
      <c r="K303" s="58">
        <f>ROUND((_xll.HPVAL($G$1,"ACTUAL",$A303,$K$7,"YTD","gpg")/1000),0)</f>
        <v>-38</v>
      </c>
      <c r="L303" s="73"/>
      <c r="M303" s="58">
        <f>ROUND((_xll.HPVAL($G$1,"ACTUAL",$A303,$M$7,"YTD","gpg")/1000),0)</f>
        <v>-38</v>
      </c>
      <c r="N303" s="73"/>
      <c r="O303" s="58">
        <f>ROUND((_xll.HPVAL($G$1,"ACTUAL",$A303,$O$7,"YTD","gpg")/1000),0)</f>
        <v>-11</v>
      </c>
      <c r="P303" s="73"/>
      <c r="Q303" s="58">
        <f>ROUND((_xll.HPVAL($G$1,"ACTUAL",$A303,$Q$7,"YTD","gpg")/1000),0)</f>
        <v>-10</v>
      </c>
      <c r="R303" s="73"/>
      <c r="S303" s="58">
        <f>ROUND((_xll.HPVAL($G$1,"ACTUAL",$A303,$S$7,"YTD","gpg")/1000),0)</f>
        <v>-10</v>
      </c>
      <c r="T303" s="73"/>
      <c r="U303" s="58">
        <f>ROUND((_xll.HPVAL($G$1,"ACTUAL",$A303,$U$7,"YTD","gpg")/1000),0)</f>
        <v>0</v>
      </c>
      <c r="V303" s="73"/>
      <c r="W303" s="58">
        <f>ROUND((_xll.HPVAL($G$1,"ACTUAL",$A303,$W$7,"YTD","gpg")/1000),0)</f>
        <v>0</v>
      </c>
      <c r="X303" s="73"/>
      <c r="Y303" s="58">
        <f>ROUND((_xll.HPVAL($G$1,"ACTUAL",$A303,$Y$7,"YTD","gpg")/1000),0)</f>
        <v>0</v>
      </c>
      <c r="Z303" s="73"/>
      <c r="AA303" s="58">
        <f>ROUND((_xll.HPVAL($G$1,"ACTUAL",$A303,$AA$7,"YTD","gpg")/1000),0)</f>
        <v>0</v>
      </c>
      <c r="AB303" s="73"/>
      <c r="AC303" s="58">
        <f>IF(mo=1,+E303-C303,CHOOSE(mo,E303,G303,I303,K303,M303,O303,Q303,S303,U303,W303,Y303,AA303)-CHOOSE(mo-1,E303,G303,I303,K303,M303,O303,Q303,S303,U303,W303,Y303,AA303))</f>
        <v>0</v>
      </c>
      <c r="AD303" s="70"/>
      <c r="AE303" s="58">
        <f>CHOOSE(mo,E303,G303,I303,K303,M303,O303,Q303,S303,U303,W303,Y303,AA303)-C303</f>
        <v>3</v>
      </c>
      <c r="AF303" s="58"/>
    </row>
    <row r="304" spans="1:39">
      <c r="A304" s="84" t="s">
        <v>416</v>
      </c>
      <c r="B304" s="58" t="str">
        <f>_xll.HPHEA($A304,$G$2)</f>
        <v>Employee Bonuses</v>
      </c>
      <c r="C304" s="58">
        <f>ROUND((_xll.HPVAL($G$1,"py1",$A304,$C$7,"YTD","gpg")/1000),0)</f>
        <v>26</v>
      </c>
      <c r="D304" s="70"/>
      <c r="E304" s="58">
        <f>ROUND((_xll.HPVAL($G$1,"ACTUAL",$A304,$E$7,"YTD","gpg")/1000),0)</f>
        <v>29</v>
      </c>
      <c r="F304" s="73"/>
      <c r="G304" s="58">
        <f>ROUND((_xll.HPVAL($G$1,"ACTUAL",$A304,$G$7,"YTD","gpg")/1000),0)</f>
        <v>29</v>
      </c>
      <c r="H304" s="73"/>
      <c r="I304" s="58">
        <f>ROUND((_xll.HPVAL($G$1,"ACTUAL",$A304,$I$7,"YTD","gpg")/1000),0)</f>
        <v>30</v>
      </c>
      <c r="J304" s="73"/>
      <c r="K304" s="58">
        <f>ROUND((_xll.HPVAL($G$1,"ACTUAL",$A304,$K$7,"YTD","gpg")/1000),0)</f>
        <v>31</v>
      </c>
      <c r="L304" s="73"/>
      <c r="M304" s="58">
        <f>ROUND((_xll.HPVAL($G$1,"ACTUAL",$A304,$M$7,"YTD","gpg")/1000),0)</f>
        <v>32</v>
      </c>
      <c r="N304" s="73"/>
      <c r="O304" s="58">
        <f>ROUND((_xll.HPVAL($G$1,"ACTUAL",$A304,$O$7,"YTD","gpg")/1000),0)</f>
        <v>31</v>
      </c>
      <c r="P304" s="73"/>
      <c r="Q304" s="58">
        <f>ROUND((_xll.HPVAL($G$1,"ACTUAL",$A304,$Q$7,"YTD","gpg")/1000),0)</f>
        <v>32</v>
      </c>
      <c r="R304" s="73"/>
      <c r="S304" s="58">
        <f>ROUND((_xll.HPVAL($G$1,"ACTUAL",$A304,$S$7,"YTD","gpg")/1000),0)</f>
        <v>33</v>
      </c>
      <c r="T304" s="73"/>
      <c r="U304" s="58">
        <f>ROUND((_xll.HPVAL($G$1,"ACTUAL",$A304,$U$7,"YTD","gpg")/1000),0)</f>
        <v>0</v>
      </c>
      <c r="V304" s="73"/>
      <c r="W304" s="58">
        <f>ROUND((_xll.HPVAL($G$1,"ACTUAL",$A304,$W$7,"YTD","gpg")/1000),0)</f>
        <v>0</v>
      </c>
      <c r="X304" s="73"/>
      <c r="Y304" s="58">
        <f>ROUND((_xll.HPVAL($G$1,"ACTUAL",$A304,$Y$7,"YTD","gpg")/1000),0)</f>
        <v>0</v>
      </c>
      <c r="Z304" s="73"/>
      <c r="AA304" s="58">
        <f>ROUND((_xll.HPVAL($G$1,"ACTUAL",$A304,$AA$7,"YTD","gpg")/1000),0)</f>
        <v>0</v>
      </c>
      <c r="AB304" s="73"/>
      <c r="AC304" s="58">
        <f>IF(mo=1,+E304-C304,CHOOSE(mo,E304,G304,I304,K304,M304,O304,Q304,S304,U304,W304,Y304,AA304)-CHOOSE(mo-1,E304,G304,I304,K304,M304,O304,Q304,S304,U304,W304,Y304,AA304))</f>
        <v>1</v>
      </c>
      <c r="AD304" s="70"/>
      <c r="AE304" s="58">
        <f>CHOOSE(mo,E304,G304,I304,K304,M304,O304,Q304,S304,U304,W304,Y304,AA304)-C304</f>
        <v>7</v>
      </c>
      <c r="AF304" s="58"/>
    </row>
    <row r="305" spans="1:33">
      <c r="A305" s="84" t="s">
        <v>417</v>
      </c>
      <c r="B305" s="58" t="str">
        <f>_xll.HPHEA($A305,$G$2)</f>
        <v>Benefit plan liab-corp plan</v>
      </c>
      <c r="C305" s="58">
        <f>ROUND((_xll.HPVAL($G$1,"py1",$A305,$C$7,"YTD","gpg")/1000),0)</f>
        <v>0</v>
      </c>
      <c r="D305" s="70"/>
      <c r="E305" s="58">
        <f>ROUND((_xll.HPVAL($G$1,"ACTUAL",$A305,$E$7,"YTD","gpg")/1000),0)</f>
        <v>1</v>
      </c>
      <c r="F305" s="73"/>
      <c r="G305" s="58">
        <f>ROUND((_xll.HPVAL($G$1,"ACTUAL",$A305,$G$7,"YTD","gpg")/1000),0)</f>
        <v>1</v>
      </c>
      <c r="H305" s="73"/>
      <c r="I305" s="58">
        <f>ROUND((_xll.HPVAL($G$1,"ACTUAL",$A305,$I$7,"YTD","gpg")/1000),0)</f>
        <v>1</v>
      </c>
      <c r="J305" s="73"/>
      <c r="K305" s="58">
        <f>ROUND((_xll.HPVAL($G$1,"ACTUAL",$A305,$K$7,"YTD","gpg")/1000),0)</f>
        <v>1</v>
      </c>
      <c r="L305" s="73"/>
      <c r="M305" s="58">
        <f>ROUND((_xll.HPVAL($G$1,"ACTUAL",$A305,$M$7,"YTD","gpg")/1000),0)</f>
        <v>1</v>
      </c>
      <c r="N305" s="73"/>
      <c r="O305" s="58">
        <f>ROUND((_xll.HPVAL($G$1,"ACTUAL",$A305,$O$7,"YTD","gpg")/1000),0)</f>
        <v>0</v>
      </c>
      <c r="P305" s="73"/>
      <c r="Q305" s="58">
        <f>ROUND((_xll.HPVAL($G$1,"ACTUAL",$A305,$Q$7,"YTD","gpg")/1000),0)</f>
        <v>0</v>
      </c>
      <c r="R305" s="73"/>
      <c r="S305" s="58">
        <f>ROUND((_xll.HPVAL($G$1,"ACTUAL",$A305,$S$7,"YTD","gpg")/1000),0)</f>
        <v>0</v>
      </c>
      <c r="T305" s="73"/>
      <c r="U305" s="58">
        <f>ROUND((_xll.HPVAL($G$1,"ACTUAL",$A305,$U$7,"YTD","gpg")/1000),0)</f>
        <v>0</v>
      </c>
      <c r="V305" s="73"/>
      <c r="W305" s="58">
        <f>ROUND((_xll.HPVAL($G$1,"ACTUAL",$A305,$W$7,"YTD","gpg")/1000),0)</f>
        <v>0</v>
      </c>
      <c r="X305" s="73"/>
      <c r="Y305" s="58">
        <f>ROUND((_xll.HPVAL($G$1,"ACTUAL",$A305,$Y$7,"YTD","gpg")/1000),0)</f>
        <v>0</v>
      </c>
      <c r="Z305" s="73"/>
      <c r="AA305" s="58">
        <f>ROUND((_xll.HPVAL($G$1,"ACTUAL",$A305,$AA$7,"YTD","gpg")/1000),0)</f>
        <v>0</v>
      </c>
      <c r="AB305" s="73"/>
      <c r="AC305" s="58">
        <f>IF(mo=1,+E305-C305,CHOOSE(mo,E305,G305,I305,K305,M305,O305,Q305,S305,U305,W305,Y305,AA305)-CHOOSE(mo-1,E305,G305,I305,K305,M305,O305,Q305,S305,U305,W305,Y305,AA305))</f>
        <v>0</v>
      </c>
      <c r="AD305" s="70"/>
      <c r="AE305" s="58">
        <f>CHOOSE(mo,E305,G305,I305,K305,M305,O305,Q305,S305,U305,W305,Y305,AA305)-C305</f>
        <v>0</v>
      </c>
      <c r="AF305" s="58"/>
    </row>
    <row r="306" spans="1:33">
      <c r="A306" s="84" t="s">
        <v>369</v>
      </c>
      <c r="B306" s="58" t="str">
        <f>_xll.HPHEA($A306,$G$2)</f>
        <v>Current liabilities - other</v>
      </c>
      <c r="C306" s="58">
        <f>ROUND((_xll.HPVAL($G$1,"py1",$A306,$C$7,"YTD","gpg")/1000),0)</f>
        <v>263</v>
      </c>
      <c r="D306" s="70" t="s">
        <v>480</v>
      </c>
      <c r="E306" s="58">
        <f>ROUND((_xll.HPVAL($G$1,"ACTUAL",$A306,$E$7,"YTD","gpg")/1000),0)</f>
        <v>272</v>
      </c>
      <c r="F306" s="73" t="s">
        <v>251</v>
      </c>
      <c r="G306" s="58">
        <f>ROUND((_xll.HPVAL($G$1,"ACTUAL",$A306,$G$7,"YTD","gpg")/1000),0)</f>
        <v>273</v>
      </c>
      <c r="H306" s="76"/>
      <c r="I306" s="58">
        <f>ROUND((_xll.HPVAL($G$1,"ACTUAL",$A306,$I$7,"YTD","gpg")/1000),0)</f>
        <v>11824</v>
      </c>
      <c r="J306" s="73" t="s">
        <v>246</v>
      </c>
      <c r="K306" s="58">
        <f>ROUND((_xll.HPVAL($G$1,"ACTUAL",$A306,$K$7,"YTD","gpg")/1000),0)</f>
        <v>12248</v>
      </c>
      <c r="L306" s="76"/>
      <c r="M306" s="58">
        <f>ROUND((_xll.HPVAL($G$1,"ACTUAL",$A306,$M$7,"YTD","gpg")/1000),0)</f>
        <v>12254</v>
      </c>
      <c r="N306" s="76"/>
      <c r="O306" s="58">
        <f>ROUND((_xll.HPVAL($G$1,"ACTUAL",$A306,$O$7,"YTD","gpg")/1000),0)</f>
        <v>12580</v>
      </c>
      <c r="P306" s="76"/>
      <c r="Q306" s="58">
        <f>ROUND((_xll.HPVAL($G$1,"ACTUAL",$A306,$Q$7,"YTD","gpg")/1000),0)</f>
        <v>12624</v>
      </c>
      <c r="R306" s="73" t="s">
        <v>246</v>
      </c>
      <c r="S306" s="58">
        <f>ROUND((_xll.HPVAL($G$1,"ACTUAL",$A306,$S$7,"YTD","gpg")/1000),0)</f>
        <v>12873</v>
      </c>
      <c r="T306" s="76"/>
      <c r="U306" s="58">
        <f>ROUND((_xll.HPVAL($G$1,"ACTUAL",$A306,$U$7,"YTD","gpg")/1000),0)</f>
        <v>0</v>
      </c>
      <c r="V306" s="76"/>
      <c r="W306" s="58">
        <f>ROUND((_xll.HPVAL($G$1,"ACTUAL",$A306,$W$7,"YTD","gpg")/1000),0)</f>
        <v>0</v>
      </c>
      <c r="X306" s="76"/>
      <c r="Y306" s="58">
        <f>ROUND((_xll.HPVAL($G$1,"ACTUAL",$A306,$Y$7,"YTD","gpg")/1000),0)</f>
        <v>0</v>
      </c>
      <c r="Z306" s="76"/>
      <c r="AA306" s="58">
        <f>ROUND((_xll.HPVAL($G$1,"ACTUAL",$A306,$AA$7,"YTD","gpg")/1000),0)</f>
        <v>0</v>
      </c>
      <c r="AB306" s="76"/>
      <c r="AC306" s="58">
        <f>IF(mo=1,+E306-C306,CHOOSE(mo,E306,G306,I306,K306,M306,O306,Q306,S306,U306,W306,Y306,AA306)-CHOOSE(mo-1,E306,G306,I306,K306,M306,O306,Q306,S306,U306,W306,Y306,AA306))</f>
        <v>249</v>
      </c>
      <c r="AD306" s="70"/>
      <c r="AE306" s="58">
        <f>CHOOSE(mo,E306,G306,I306,K306,M306,O306,Q306,S306,U306,W306,Y306,AA306)-C306</f>
        <v>12610</v>
      </c>
      <c r="AF306" s="58"/>
    </row>
    <row r="307" spans="1:33">
      <c r="A307" s="58"/>
      <c r="B307" s="58" t="s">
        <v>214</v>
      </c>
      <c r="C307" s="85">
        <f>+C308-SUM(C303:C306)</f>
        <v>0</v>
      </c>
      <c r="D307" s="70"/>
      <c r="E307" s="85">
        <f>+E308-SUM(E303:E306)</f>
        <v>0</v>
      </c>
      <c r="F307" s="77"/>
      <c r="G307" s="85">
        <f>+G308-SUM(G303:G306)</f>
        <v>0</v>
      </c>
      <c r="H307" s="77"/>
      <c r="I307" s="85">
        <f>+I308-SUM(I303:I306)</f>
        <v>-1</v>
      </c>
      <c r="J307" s="77"/>
      <c r="K307" s="85">
        <f>+K308-SUM(K303:K306)</f>
        <v>-1</v>
      </c>
      <c r="L307" s="77"/>
      <c r="M307" s="85">
        <f>+M308-SUM(M303:M306)</f>
        <v>-1</v>
      </c>
      <c r="N307" s="77"/>
      <c r="O307" s="85">
        <f>+O308-SUM(O303:O306)</f>
        <v>-1</v>
      </c>
      <c r="P307" s="77"/>
      <c r="Q307" s="85">
        <f>+Q308-SUM(Q303:Q306)</f>
        <v>-1</v>
      </c>
      <c r="R307" s="77"/>
      <c r="S307" s="85">
        <f>+S308-SUM(S303:S306)</f>
        <v>0</v>
      </c>
      <c r="T307" s="77"/>
      <c r="U307" s="85">
        <f>+U308-SUM(U303:U306)</f>
        <v>0</v>
      </c>
      <c r="V307" s="77"/>
      <c r="W307" s="85">
        <f>+W308-SUM(W303:W306)</f>
        <v>0</v>
      </c>
      <c r="X307" s="77"/>
      <c r="Y307" s="85">
        <f>+Y308-SUM(Y303:Y306)</f>
        <v>0</v>
      </c>
      <c r="Z307" s="77"/>
      <c r="AA307" s="85">
        <f>+AA308-SUM(AA303:AA306)</f>
        <v>0</v>
      </c>
      <c r="AB307" s="77"/>
      <c r="AC307" s="58">
        <f>IF(mo=1,+E307-C307,CHOOSE(mo,E307,G307,I307,K307,M307,O307,Q307,S307,U307,W307,Y307,AA307)-CHOOSE(mo-1,E307,G307,I307,K307,M307,O307,Q307,S307,U307,W307,Y307,AA307))</f>
        <v>1</v>
      </c>
      <c r="AD307" s="70"/>
      <c r="AE307" s="58">
        <f>CHOOSE(mo,E307,G307,I307,K307,M307,O307,Q307,S307,U307,W307,Y307,AA307)-C307</f>
        <v>0</v>
      </c>
      <c r="AF307" s="58"/>
    </row>
    <row r="308" spans="1:33" s="13" customFormat="1" ht="15" customHeight="1" thickBot="1">
      <c r="A308" s="59"/>
      <c r="B308" s="60" t="s">
        <v>216</v>
      </c>
      <c r="C308" s="86">
        <f>ROUND((_xll.HPVAL($G$1,"py1","0641",$C$7,"YTD","gpg")/1000),0)+ROUND((_xll.HPVAL($G$1,"py1","0624",$C$7,"YTD","gpg")/1000),0)+ROUND((_xll.HPVAL($G$1,"py1","0630",$C$7,"YTD","gpg")/1000),0)+ROUND((_xll.HPVAL($G$1,"py1","0655",$C$7,"YTD","gpg")/1000),0)</f>
        <v>276</v>
      </c>
      <c r="D308" s="70"/>
      <c r="E308" s="86">
        <f>ROUND((_xll.HPVAL($G$1,"actual","0641",E$7,"YTD","gpg")/1000),0)+ROUND((_xll.HPVAL($G$1,"actual","0624",$E$7,"YTD","gpg")/1000),0)+ROUND((_xll.HPVAL($G$1,"actual","0655",$E$7,"YTD","gpg")/1000),0)+ROUND((_xll.HPVAL($G$1,"actual","0630",$E$7,"YTD","gpg")/1000),0)</f>
        <v>-387</v>
      </c>
      <c r="F308" s="77"/>
      <c r="G308" s="86">
        <f>ROUND((_xll.HPVAL($G$1,"actual","0641",G$7,"YTD","gpg")/1000),0)+ROUND((_xll.HPVAL($G$1,"actual","0624",$G$7,"YTD","gpg")/1000),0)+ROUND((_xll.HPVAL($G$1,"actual","0655",$G$7,"YTD","gpg")/1000),0)+ROUND((_xll.HPVAL($G$1,"actual","0630",$G$7,"YTD","gpg")/1000),0)</f>
        <v>271</v>
      </c>
      <c r="H308" s="77"/>
      <c r="I308" s="86">
        <f>ROUND((_xll.HPVAL($G$1,"actual","0641",I$7,"YTD","gpg")/1000),0)+ROUND((_xll.HPVAL($G$1,"actual","0624",$I$7,"YTD","gpg")/1000),0)+ROUND((_xll.HPVAL($G$1,"actual","0655",$I$7,"YTD","gpg")/1000),0)+ROUND((_xll.HPVAL($G$1,"actual","0630",$I$7,"YTD","gpg")/1000),0)</f>
        <v>11822</v>
      </c>
      <c r="J308" s="77"/>
      <c r="K308" s="86">
        <f>ROUND((_xll.HPVAL($G$1,"actual","0641",$K$7,"YTD","gpg")/1000),0)+ROUND((_xll.HPVAL($G$1,"actual","0624",$K$7,"YTD","gpg")/1000),0)+ROUND((_xll.HPVAL($G$1,"actual","0630",$K$7,"YTD","gpg")/1000),0)+ROUND((_xll.HPVAL($G$1,"actual","0655",$K$7,"YTD","gpg")/1000),0)</f>
        <v>12241</v>
      </c>
      <c r="L308" s="77"/>
      <c r="M308" s="86">
        <f>ROUND((_xll.HPVAL($G$1,"actual","0641",$M$7,"YTD","gpg")/1000),0)+ROUND((_xll.HPVAL($G$1,"actual","0624",$M$7,"YTD","gpg")/1000),0)+ROUND((_xll.HPVAL($G$1,"actual","0630",$M$7,"YTD","gpg")/1000),0)+ROUND((_xll.HPVAL($G$1,"actual","0655",$M$7,"YTD","gpg")/1000),0)</f>
        <v>12248</v>
      </c>
      <c r="N308" s="77"/>
      <c r="O308" s="86">
        <f>ROUND((_xll.HPVAL($G$1,"actual","0641",$O$7,"YTD","gpg")/1000),0)+ROUND((_xll.HPVAL($G$1,"actual","0624",$O$7,"YTD","gpg")/1000),0)+ROUND((_xll.HPVAL($G$1,"actual","0630",$O$7,"YTD","gpg")/1000),0)+ROUND((_xll.HPVAL($G$1,"actual","0655",$O$7,"YTD","gpg")/1000),0)</f>
        <v>12599</v>
      </c>
      <c r="P308" s="77"/>
      <c r="Q308" s="86">
        <f>ROUND((_xll.HPVAL($G$1,"actual","0641",$Q$7,"YTD","gpg")/1000),0)+ROUND((_xll.HPVAL($G$1,"actual","0624",$Q$7,"YTD","gpg")/1000),0)+ROUND((_xll.HPVAL($G$1,"actual","0630",$Q$7,"YTD","gpg")/1000),0)+ROUND((_xll.HPVAL($G$1,"actual","0655",$Q$7,"YTD","gpg")/1000),0)</f>
        <v>12645</v>
      </c>
      <c r="R308" s="77"/>
      <c r="S308" s="86">
        <f>ROUND((_xll.HPVAL($G$1,"actual","0641",$S$7,"YTD","gpg")/1000),0)+ROUND((_xll.HPVAL($G$1,"actual","0624",$S$7,"YTD","gpg")/1000),0)+ROUND((_xll.HPVAL($G$1,"actual","0655",$S$7,"YTD","gpg")/1000),0)+ROUND((_xll.HPVAL($G$1,"actual","0630",$S$7,"YTD","gpg")/1000),0)</f>
        <v>12896</v>
      </c>
      <c r="T308" s="77"/>
      <c r="U308" s="86">
        <f>ROUND((_xll.HPVAL($G$1,"actual","0641",$U$7,"YTD","gpg")/1000),0)+ROUND((_xll.HPVAL($G$1,"actual","0624",$U$7,"YTD","gpg")/1000),0)+ROUND((_xll.HPVAL($G$1,"actual","0655",$U$7,"YTD","gpg")/1000),0)+ROUND((_xll.HPVAL($G$1,"actual","0630",$U$7,"YTD","gpg")/1000),0)</f>
        <v>0</v>
      </c>
      <c r="V308" s="77"/>
      <c r="W308" s="86">
        <f>ROUND((_xll.HPVAL($G$1,"actual","0641",W$7,"YTD","gpg")/1000),0)+ROUND((_xll.HPVAL($G$1,"actual","0624",$W$7,"YTD","gpg")/1000),0)+ROUND((_xll.HPVAL($G$1,"actual","0655",$W$7,"YTD","gpg")/1000),0)+ROUND((_xll.HPVAL($G$1,"actual","0630",$W$7,"YTD","gpg")/1000),0)</f>
        <v>0</v>
      </c>
      <c r="X308" s="77"/>
      <c r="Y308" s="86">
        <f>ROUND((_xll.HPVAL($G$1,"actual","0641",Y$7,"YTD","gpg")/1000),0)+ROUND((_xll.HPVAL($G$1,"actual","0624",$Y$7,"YTD","gpg")/1000),0)+ROUND((_xll.HPVAL($G$1,"actual","0655",$Y$7,"YTD","gpg")/1000),0)+ROUND((_xll.HPVAL($G$1,"actual","0630",$Y$7,"YTD","gpg")/1000),0)</f>
        <v>0</v>
      </c>
      <c r="Z308" s="77"/>
      <c r="AA308" s="86">
        <f>ROUND((_xll.HPVAL($G$1,"actual","0641",AA$7,"YTD","gpg")/1000),0)+ROUND((_xll.HPVAL($G$1,"actual","0624",$AA$7,"YTD","gpg")/1000),0)+ROUND((_xll.HPVAL($G$1,"actual","0655",$AA$7,"YTD","gpg")/1000),0)+ROUND((_xll.HPVAL($G$1,"actual","0630",$AA$7,"YTD","gpg")/1000),0)</f>
        <v>0</v>
      </c>
      <c r="AB308" s="77"/>
      <c r="AC308" s="88">
        <f>SUM(AC303:AC307)</f>
        <v>251</v>
      </c>
      <c r="AD308" s="70"/>
      <c r="AE308" s="88">
        <f>SUM(AE303:AE307)</f>
        <v>12620</v>
      </c>
      <c r="AF308" s="60"/>
      <c r="AG308" s="5"/>
    </row>
    <row r="309" spans="1:33" ht="10.8" thickTop="1">
      <c r="A309" s="58"/>
      <c r="B309" s="58"/>
      <c r="C309" s="58"/>
      <c r="D309" s="70"/>
      <c r="E309" s="58"/>
      <c r="F309" s="73"/>
      <c r="G309" s="58"/>
      <c r="H309" s="73"/>
      <c r="I309" s="58"/>
      <c r="J309" s="73"/>
      <c r="K309" s="58"/>
      <c r="L309" s="73"/>
      <c r="M309" s="58"/>
      <c r="N309" s="73"/>
      <c r="O309" s="58"/>
      <c r="P309" s="73"/>
      <c r="Q309" s="58"/>
      <c r="R309" s="73"/>
      <c r="S309" s="58"/>
      <c r="T309" s="73"/>
      <c r="U309" s="58"/>
      <c r="V309" s="73"/>
      <c r="W309" s="58"/>
      <c r="X309" s="73"/>
      <c r="Y309" s="58"/>
      <c r="Z309" s="73"/>
      <c r="AA309" s="58"/>
      <c r="AB309" s="73"/>
      <c r="AC309" s="58"/>
      <c r="AD309" s="70"/>
      <c r="AE309" s="58"/>
      <c r="AF309" s="58"/>
    </row>
    <row r="310" spans="1:33" s="13" customFormat="1" ht="15" customHeight="1" thickBot="1">
      <c r="A310" s="60" t="s">
        <v>257</v>
      </c>
      <c r="B310" s="60"/>
      <c r="C310" s="86">
        <f>C219+C251+C261+C269+C287+C301+C308+C297+C265</f>
        <v>26610</v>
      </c>
      <c r="D310" s="70"/>
      <c r="E310" s="86">
        <f>E219+E251+E261+E269+E287+E301+E308+E297+E265</f>
        <v>29929</v>
      </c>
      <c r="F310" s="77"/>
      <c r="G310" s="86">
        <f>G219+G251+G261+G269+G287+G301+G308+G297+G265</f>
        <v>29850</v>
      </c>
      <c r="H310" s="77"/>
      <c r="I310" s="86">
        <f>I219+I251+I261+I269+I287+I301+I308+I297+I265</f>
        <v>56770</v>
      </c>
      <c r="J310" s="77"/>
      <c r="K310" s="86">
        <f>K219+K251+K261+K269+K287+K301+K308+K297+K265</f>
        <v>61853</v>
      </c>
      <c r="L310" s="72"/>
      <c r="M310" s="86">
        <f>M219+M251+M261+M269+M287+M301+M308+M297+M265</f>
        <v>51231</v>
      </c>
      <c r="N310" s="77"/>
      <c r="O310" s="86">
        <f>O219+O251+O261+O269+O287+O301+O308+O297+O265</f>
        <v>42901</v>
      </c>
      <c r="P310" s="77"/>
      <c r="Q310" s="86">
        <f>Q219+Q251+Q261+Q269+Q287+Q301+Q308+Q297+Q265</f>
        <v>42057</v>
      </c>
      <c r="R310" s="77"/>
      <c r="S310" s="86">
        <f>S219+S251+S261+S269+S287+S301+S308+S297+S265</f>
        <v>45972</v>
      </c>
      <c r="T310" s="86">
        <f>T219+T249+T261+T269+T287+T301+T308+T297+T265</f>
        <v>0</v>
      </c>
      <c r="U310" s="86">
        <f>U219+U251+U261+U269+U287+U301+U308+U297+U265</f>
        <v>0</v>
      </c>
      <c r="V310" s="77"/>
      <c r="W310" s="86">
        <f>W219+W251+W261+W269+W287+W301+W308+W297+W265</f>
        <v>0</v>
      </c>
      <c r="X310" s="77"/>
      <c r="Y310" s="86">
        <f>Y219+Y251+Y261+Y269+Y287+Y301+Y308+Y297+Y265</f>
        <v>0</v>
      </c>
      <c r="Z310" s="77"/>
      <c r="AA310" s="86">
        <f>AA219+AA251+AA261+AA269+AA287+AA301+AA308+AA297+AA265</f>
        <v>0</v>
      </c>
      <c r="AB310" s="77"/>
      <c r="AC310" s="86">
        <f>AC219+AC251+AC261+AC269+AC287+AC301+AC308+AC297+AC265</f>
        <v>3915</v>
      </c>
      <c r="AD310" s="70"/>
      <c r="AE310" s="86">
        <f>AE219+AE251+AE261+AE269+AE287+AE301+AE308+AE297+AE265</f>
        <v>19362</v>
      </c>
      <c r="AF310" s="60"/>
      <c r="AG310" s="5"/>
    </row>
    <row r="311" spans="1:33" ht="10.8" thickTop="1">
      <c r="A311" s="58"/>
      <c r="B311" s="58"/>
      <c r="C311" s="58"/>
      <c r="D311" s="70"/>
      <c r="E311" s="58"/>
      <c r="F311" s="73"/>
      <c r="G311" s="58"/>
      <c r="H311" s="73"/>
      <c r="I311" s="58"/>
      <c r="J311" s="73"/>
      <c r="K311" s="58"/>
      <c r="L311" s="77"/>
      <c r="M311" s="58"/>
      <c r="N311" s="73"/>
      <c r="O311" s="58"/>
      <c r="P311" s="73"/>
      <c r="Q311" s="58"/>
      <c r="R311" s="73"/>
      <c r="S311" s="58"/>
      <c r="T311" s="73"/>
      <c r="U311" s="58"/>
      <c r="V311" s="73"/>
      <c r="W311" s="58"/>
      <c r="X311" s="73"/>
      <c r="Y311" s="58"/>
      <c r="Z311" s="73"/>
      <c r="AA311" s="58"/>
      <c r="AB311" s="73"/>
      <c r="AC311" s="58"/>
      <c r="AD311" s="70"/>
      <c r="AE311" s="58"/>
      <c r="AF311" s="58"/>
    </row>
    <row r="312" spans="1:33">
      <c r="A312" s="84" t="s">
        <v>258</v>
      </c>
      <c r="B312" s="58" t="str">
        <f>_xll.HPHEA($A312,$G$2)</f>
        <v>ADFIT other</v>
      </c>
      <c r="C312" s="58">
        <f>ROUND((_xll.HPVAL($G$1,"py1",$A312,$C$7,"YTD","gpg")/1000),0)</f>
        <v>0</v>
      </c>
      <c r="D312" s="70"/>
      <c r="E312" s="58">
        <f>ROUND((_xll.HPVAL($G$1,"ACTUAL",$A312,$E$7,"YTD","gpg")/1000),0)</f>
        <v>0</v>
      </c>
      <c r="F312" s="73"/>
      <c r="G312" s="58">
        <f>ROUND((_xll.HPVAL($G$1,"ACTUAL",$A312,$G$7,"YTD","gpg")/1000),0)</f>
        <v>0</v>
      </c>
      <c r="H312" s="73"/>
      <c r="I312" s="58">
        <f>ROUND((_xll.HPVAL($G$1,"ACTUAL",$A312,$I$7,"YTD","gpg")/1000),0)</f>
        <v>0</v>
      </c>
      <c r="J312" s="73"/>
      <c r="K312" s="58">
        <f>ROUND((_xll.HPVAL($G$1,"ACTUAL",$A312,$K$7,"YTD","gpg")/1000),0)</f>
        <v>0</v>
      </c>
      <c r="L312" s="73"/>
      <c r="M312" s="58">
        <f>ROUND((_xll.HPVAL($G$1,"ACTUAL",$A312,$M$7,"YTD","gpg")/1000),0)</f>
        <v>0</v>
      </c>
      <c r="N312" s="73"/>
      <c r="O312" s="58">
        <f>ROUND((_xll.HPVAL($G$1,"ACTUAL",$A312,$O$7,"YTD","gpg")/1000),0)</f>
        <v>0</v>
      </c>
      <c r="P312" s="73"/>
      <c r="Q312" s="58">
        <f>ROUND((_xll.HPVAL($G$1,"ACTUAL",$A312,$Q$7,"YTD","gpg")/1000),0)</f>
        <v>0</v>
      </c>
      <c r="R312" s="73"/>
      <c r="S312" s="58">
        <f>ROUND((_xll.HPVAL($G$1,"ACTUAL",$A312,$S$7,"YTD","gpg")/1000),0)</f>
        <v>0</v>
      </c>
      <c r="T312" s="73"/>
      <c r="U312" s="58">
        <f>ROUND((_xll.HPVAL($G$1,"ACTUAL",$A312,$U$7,"YTD","gpg")/1000),0)</f>
        <v>0</v>
      </c>
      <c r="V312" s="73"/>
      <c r="W312" s="58">
        <f>ROUND((_xll.HPVAL($G$1,"ACTUAL",$A312,$W$7,"YTD","gpg")/1000),0)</f>
        <v>0</v>
      </c>
      <c r="X312" s="73"/>
      <c r="Y312" s="58">
        <f>ROUND((_xll.HPVAL($G$1,"ACTUAL",$A312,$Y$7,"YTD","gpg")/1000),0)</f>
        <v>0</v>
      </c>
      <c r="Z312" s="73"/>
      <c r="AA312" s="58">
        <f>ROUND((_xll.HPVAL($G$1,"ACTUAL",$A312,$AA$7,"YTD","gpg")/1000),0)</f>
        <v>0</v>
      </c>
      <c r="AB312" s="73"/>
      <c r="AC312" s="58">
        <f t="shared" ref="AC312:AC324" si="20">IF(mo=1,+E312-C312,CHOOSE(mo,E312,G312,I312,K312,M312,O312,Q312,S312,U312,W312,Y312,AA312)-CHOOSE(mo-1,E312,G312,I312,K312,M312,O312,Q312,S312,U312,W312,Y312,AA312))</f>
        <v>0</v>
      </c>
      <c r="AD312" s="70"/>
      <c r="AE312" s="58">
        <f t="shared" ref="AE312:AE324" si="21">CHOOSE(mo,E312,G312,I312,K312,M312,O312,Q312,S312,U312,W312,Y312,AA312)-C312</f>
        <v>0</v>
      </c>
      <c r="AF312" s="58"/>
    </row>
    <row r="313" spans="1:33">
      <c r="A313" s="84" t="s">
        <v>370</v>
      </c>
      <c r="B313" s="58" t="str">
        <f>_xll.HPHEA($A313,$G$2)</f>
        <v>Def FIT asset - utility - non current</v>
      </c>
      <c r="C313" s="58">
        <f>ROUND((_xll.HPVAL($G$1,"py1",$A313,$C$7,"YTD","gpg")/1000),0)</f>
        <v>-12640</v>
      </c>
      <c r="D313" s="70"/>
      <c r="E313" s="58">
        <f>ROUND((_xll.HPVAL($G$1,"ACTUAL",$A313,$E$7,"YTD","gpg")/1000),0)</f>
        <v>-25456</v>
      </c>
      <c r="F313" s="73"/>
      <c r="G313" s="58">
        <f>ROUND((_xll.HPVAL($G$1,"ACTUAL",$A313,$G$7,"YTD","gpg")/1000),0)</f>
        <v>-25579</v>
      </c>
      <c r="H313" s="73"/>
      <c r="I313" s="58">
        <f>ROUND((_xll.HPVAL($G$1,"ACTUAL",$A313,$I$7,"YTD","gpg")/1000),0)</f>
        <v>-38835</v>
      </c>
      <c r="J313" s="73"/>
      <c r="K313" s="58">
        <f>ROUND((_xll.HPVAL($G$1,"ACTUAL",$A313,$K$7,"YTD","gpg")/1000),0)</f>
        <v>-36198</v>
      </c>
      <c r="L313" s="73"/>
      <c r="M313" s="58">
        <f>ROUND((_xll.HPVAL($G$1,"ACTUAL",$A313,$M$7,"YTD","gpg")/1000),0)</f>
        <v>-15045</v>
      </c>
      <c r="N313" s="73"/>
      <c r="O313" s="58">
        <f>ROUND((_xll.HPVAL($G$1,"ACTUAL",$A313,$O$7,"YTD","gpg")/1000),0)</f>
        <v>-19344</v>
      </c>
      <c r="P313" s="73"/>
      <c r="Q313" s="58">
        <f>ROUND((_xll.HPVAL($G$1,"ACTUAL",$A313,$Q$7,"YTD","gpg")/1000),0)</f>
        <v>-19067</v>
      </c>
      <c r="R313" s="73"/>
      <c r="S313" s="58">
        <f>ROUND((_xll.HPVAL($G$1,"ACTUAL",$A313,$S$7,"YTD","gpg")/1000),0)</f>
        <v>-19067</v>
      </c>
      <c r="T313" s="73"/>
      <c r="U313" s="58">
        <f>ROUND((_xll.HPVAL($G$1,"ACTUAL",$A313,$U$7,"YTD","gpg")/1000),0)</f>
        <v>0</v>
      </c>
      <c r="V313" s="73"/>
      <c r="W313" s="58">
        <f>ROUND((_xll.HPVAL($G$1,"ACTUAL",$A313,$W$7,"YTD","gpg")/1000),0)</f>
        <v>0</v>
      </c>
      <c r="X313" s="73"/>
      <c r="Y313" s="58">
        <f>ROUND((_xll.HPVAL($G$1,"ACTUAL",$A313,$Y$7,"YTD","gpg")/1000),0)</f>
        <v>0</v>
      </c>
      <c r="Z313" s="73"/>
      <c r="AA313" s="58">
        <f>ROUND((_xll.HPVAL($G$1,"ACTUAL",$A313,$AA$7,"YTD","gpg")/1000),0)</f>
        <v>0</v>
      </c>
      <c r="AB313" s="73"/>
      <c r="AC313" s="58">
        <f t="shared" si="20"/>
        <v>0</v>
      </c>
      <c r="AD313" s="70"/>
      <c r="AE313" s="58">
        <f t="shared" si="21"/>
        <v>-6427</v>
      </c>
      <c r="AF313" s="58"/>
    </row>
    <row r="314" spans="1:33">
      <c r="A314" s="84" t="s">
        <v>371</v>
      </c>
      <c r="B314" s="58" t="str">
        <f>_xll.HPHEA($A314,$G$2)</f>
        <v>Def Fit liab - non util-noncurr</v>
      </c>
      <c r="C314" s="58">
        <f>ROUND((_xll.HPVAL($G$1,"py1",$A314,$C$7,"YTD","gpg")/1000),0)</f>
        <v>109441</v>
      </c>
      <c r="D314" s="70"/>
      <c r="E314" s="58">
        <f>ROUND((_xll.HPVAL($G$1,"ACTUAL",$A314,$E$7,"YTD","gpg")/1000),0)</f>
        <v>109266</v>
      </c>
      <c r="F314" s="73"/>
      <c r="G314" s="58">
        <f>ROUND((_xll.HPVAL($G$1,"ACTUAL",$A314,$G$7,"YTD","gpg")/1000),0)</f>
        <v>109091</v>
      </c>
      <c r="H314" s="73"/>
      <c r="I314" s="58">
        <f>ROUND((_xll.HPVAL($G$1,"ACTUAL",$A314,$I$7,"YTD","gpg")/1000),0)</f>
        <v>108916</v>
      </c>
      <c r="J314" s="73"/>
      <c r="K314" s="58">
        <f>ROUND((_xll.HPVAL($G$1,"ACTUAL",$A314,$K$7,"YTD","gpg")/1000),0)</f>
        <v>112881</v>
      </c>
      <c r="L314" s="73"/>
      <c r="M314" s="58">
        <f>ROUND((_xll.HPVAL($G$1,"ACTUAL",$A314,$M$7,"YTD","gpg")/1000),0)</f>
        <v>108566</v>
      </c>
      <c r="N314" s="73"/>
      <c r="O314" s="58">
        <f>ROUND((_xll.HPVAL($G$1,"ACTUAL",$A314,$O$7,"YTD","gpg")/1000),0)</f>
        <v>108391</v>
      </c>
      <c r="P314" s="73"/>
      <c r="Q314" s="58">
        <f>ROUND((_xll.HPVAL($G$1,"ACTUAL",$A314,$Q$7,"YTD","gpg")/1000),0)</f>
        <v>108224</v>
      </c>
      <c r="R314" s="73"/>
      <c r="S314" s="58">
        <f>ROUND((_xll.HPVAL($G$1,"ACTUAL",$A314,$S$7,"YTD","gpg")/1000),0)</f>
        <v>108224</v>
      </c>
      <c r="T314" s="73"/>
      <c r="U314" s="58">
        <f>ROUND((_xll.HPVAL($G$1,"ACTUAL",$A314,$U$7,"YTD","gpg")/1000),0)</f>
        <v>0</v>
      </c>
      <c r="V314" s="73"/>
      <c r="W314" s="58">
        <f>ROUND((_xll.HPVAL($G$1,"ACTUAL",$A314,$W$7,"YTD","gpg")/1000),0)</f>
        <v>0</v>
      </c>
      <c r="X314" s="73"/>
      <c r="Y314" s="58">
        <f>ROUND((_xll.HPVAL($G$1,"ACTUAL",$A314,$Y$7,"YTD","gpg")/1000),0)</f>
        <v>0</v>
      </c>
      <c r="Z314" s="73"/>
      <c r="AA314" s="58">
        <f>ROUND((_xll.HPVAL($G$1,"ACTUAL",$A314,$AA$7,"YTD","gpg")/1000),0)</f>
        <v>0</v>
      </c>
      <c r="AB314" s="73"/>
      <c r="AC314" s="58">
        <f t="shared" si="20"/>
        <v>0</v>
      </c>
      <c r="AD314" s="70"/>
      <c r="AE314" s="58">
        <f t="shared" si="21"/>
        <v>-1217</v>
      </c>
      <c r="AF314" s="58"/>
    </row>
    <row r="315" spans="1:33">
      <c r="A315" s="84" t="s">
        <v>372</v>
      </c>
      <c r="B315" s="58" t="str">
        <f>_xll.HPHEA($A315,$G$2)</f>
        <v>Deferred FIT asset - non utility-noncurr</v>
      </c>
      <c r="C315" s="58">
        <f>ROUND((_xll.HPVAL($G$1,"py1",$A315,$C$7,"YTD","gpg")/1000),0)</f>
        <v>-5945</v>
      </c>
      <c r="D315" s="70"/>
      <c r="E315" s="58">
        <f>ROUND((_xll.HPVAL($G$1,"ACTUAL",$A315,$E$7,"YTD","gpg")/1000),0)</f>
        <v>-6119</v>
      </c>
      <c r="F315" s="73"/>
      <c r="G315" s="58">
        <f>ROUND((_xll.HPVAL($G$1,"ACTUAL",$A315,$G$7,"YTD","gpg")/1000),0)</f>
        <v>-6122</v>
      </c>
      <c r="H315" s="73"/>
      <c r="I315" s="58">
        <f>ROUND((_xll.HPVAL($G$1,"ACTUAL",$A315,$I$7,"YTD","gpg")/1000),0)</f>
        <v>-6124</v>
      </c>
      <c r="J315" s="73"/>
      <c r="K315" s="58">
        <f>ROUND((_xll.HPVAL($G$1,"ACTUAL",$A315,$K$7,"YTD","gpg")/1000),0)</f>
        <v>-10095</v>
      </c>
      <c r="L315" s="73"/>
      <c r="M315" s="58">
        <f>ROUND((_xll.HPVAL($G$1,"ACTUAL",$A315,$M$7,"YTD","gpg")/1000),0)</f>
        <v>-9990</v>
      </c>
      <c r="N315" s="73"/>
      <c r="O315" s="58">
        <f>ROUND((_xll.HPVAL($G$1,"ACTUAL",$A315,$O$7,"YTD","gpg")/1000),0)</f>
        <v>-5960</v>
      </c>
      <c r="P315" s="73"/>
      <c r="Q315" s="58">
        <f>ROUND((_xll.HPVAL($G$1,"ACTUAL",$A315,$Q$7,"YTD","gpg")/1000),0)</f>
        <v>-5962</v>
      </c>
      <c r="R315" s="73"/>
      <c r="S315" s="58">
        <f>ROUND((_xll.HPVAL($G$1,"ACTUAL",$A315,$S$7,"YTD","gpg")/1000),0)</f>
        <v>-5962</v>
      </c>
      <c r="T315" s="73"/>
      <c r="U315" s="58">
        <f>ROUND((_xll.HPVAL($G$1,"ACTUAL",$A315,$U$7,"YTD","gpg")/1000),0)</f>
        <v>0</v>
      </c>
      <c r="V315" s="73"/>
      <c r="W315" s="58">
        <f>ROUND((_xll.HPVAL($G$1,"ACTUAL",$A315,$W$7,"YTD","gpg")/1000),0)</f>
        <v>0</v>
      </c>
      <c r="X315" s="73"/>
      <c r="Y315" s="58">
        <f>ROUND((_xll.HPVAL($G$1,"ACTUAL",$A315,$Y$7,"YTD","gpg")/1000),0)</f>
        <v>0</v>
      </c>
      <c r="Z315" s="73"/>
      <c r="AA315" s="58">
        <f>ROUND((_xll.HPVAL($G$1,"ACTUAL",$A315,$AA$7,"YTD","gpg")/1000),0)</f>
        <v>0</v>
      </c>
      <c r="AB315" s="73"/>
      <c r="AC315" s="58">
        <f t="shared" si="20"/>
        <v>0</v>
      </c>
      <c r="AD315" s="70"/>
      <c r="AE315" s="58">
        <f t="shared" si="21"/>
        <v>-17</v>
      </c>
      <c r="AF315" s="58"/>
    </row>
    <row r="316" spans="1:33">
      <c r="A316" s="84" t="s">
        <v>373</v>
      </c>
      <c r="B316" s="58" t="str">
        <f>_xll.HPHEA($A316,$G$2)</f>
        <v>Def FIT liab - util-non plant - noncurr</v>
      </c>
      <c r="C316" s="58">
        <f>ROUND((_xll.HPVAL($G$1,"py1",$A316,$C$7,"YTD","gpg")/1000),0)</f>
        <v>26007</v>
      </c>
      <c r="D316" s="70"/>
      <c r="E316" s="58">
        <f>ROUND((_xll.HPVAL($G$1,"ACTUAL",$A316,$E$7,"YTD","gpg")/1000),0)</f>
        <v>26420</v>
      </c>
      <c r="F316" s="73"/>
      <c r="G316" s="58">
        <f>ROUND((_xll.HPVAL($G$1,"ACTUAL",$A316,$G$7,"YTD","gpg")/1000),0)</f>
        <v>26421</v>
      </c>
      <c r="H316" s="73"/>
      <c r="I316" s="58">
        <f>ROUND((_xll.HPVAL($G$1,"ACTUAL",$A316,$I$7,"YTD","gpg")/1000),0)</f>
        <v>26411</v>
      </c>
      <c r="J316" s="73"/>
      <c r="K316" s="58">
        <f>ROUND((_xll.HPVAL($G$1,"ACTUAL",$A316,$K$7,"YTD","gpg")/1000),0)</f>
        <v>40859</v>
      </c>
      <c r="L316" s="73"/>
      <c r="M316" s="58">
        <f>ROUND((_xll.HPVAL($G$1,"ACTUAL",$A316,$M$7,"YTD","gpg")/1000),0)</f>
        <v>29923</v>
      </c>
      <c r="N316" s="73"/>
      <c r="O316" s="58">
        <f>ROUND((_xll.HPVAL($G$1,"ACTUAL",$A316,$O$7,"YTD","gpg")/1000),0)</f>
        <v>28297</v>
      </c>
      <c r="P316" s="73"/>
      <c r="Q316" s="58">
        <f>ROUND((_xll.HPVAL($G$1,"ACTUAL",$A316,$Q$7,"YTD","gpg")/1000),0)</f>
        <v>27894</v>
      </c>
      <c r="R316" s="73"/>
      <c r="S316" s="58">
        <f>ROUND((_xll.HPVAL($G$1,"ACTUAL",$A316,$S$7,"YTD","gpg")/1000),0)</f>
        <v>27894</v>
      </c>
      <c r="T316" s="73"/>
      <c r="U316" s="58">
        <f>ROUND((_xll.HPVAL($G$1,"ACTUAL",$A316,$U$7,"YTD","gpg")/1000),0)</f>
        <v>0</v>
      </c>
      <c r="V316" s="73"/>
      <c r="W316" s="58">
        <f>ROUND((_xll.HPVAL($G$1,"ACTUAL",$A316,$W$7,"YTD","gpg")/1000),0)</f>
        <v>0</v>
      </c>
      <c r="X316" s="73"/>
      <c r="Y316" s="58">
        <f>ROUND((_xll.HPVAL($G$1,"ACTUAL",$A316,$Y$7,"YTD","gpg")/1000),0)</f>
        <v>0</v>
      </c>
      <c r="Z316" s="73"/>
      <c r="AA316" s="58">
        <f>ROUND((_xll.HPVAL($G$1,"ACTUAL",$A316,$AA$7,"YTD","gpg")/1000),0)</f>
        <v>0</v>
      </c>
      <c r="AB316" s="73"/>
      <c r="AC316" s="58">
        <f t="shared" si="20"/>
        <v>0</v>
      </c>
      <c r="AD316" s="70"/>
      <c r="AE316" s="58">
        <f t="shared" si="21"/>
        <v>1887</v>
      </c>
      <c r="AF316" s="58"/>
    </row>
    <row r="317" spans="1:33">
      <c r="A317" s="84" t="s">
        <v>374</v>
      </c>
      <c r="B317" s="58" t="str">
        <f>_xll.HPHEA($A317,$G$2)</f>
        <v>Def FIT liab - util - plant - noncurr</v>
      </c>
      <c r="C317" s="58">
        <f>ROUND((_xll.HPVAL($G$1,"py1",$A317,$C$7,"YTD","gpg")/1000),0)</f>
        <v>102051</v>
      </c>
      <c r="D317" s="70"/>
      <c r="E317" s="58">
        <f>ROUND((_xll.HPVAL($G$1,"ACTUAL",$A317,$E$7,"YTD","gpg")/1000),0)</f>
        <v>114903</v>
      </c>
      <c r="F317" s="73"/>
      <c r="G317" s="58">
        <f>ROUND((_xll.HPVAL($G$1,"ACTUAL",$A317,$G$7,"YTD","gpg")/1000),0)</f>
        <v>115254</v>
      </c>
      <c r="H317" s="73"/>
      <c r="I317" s="58">
        <f>ROUND((_xll.HPVAL($G$1,"ACTUAL",$A317,$I$7,"YTD","gpg")/1000),0)</f>
        <v>112825</v>
      </c>
      <c r="J317" s="73"/>
      <c r="K317" s="58">
        <f>ROUND((_xll.HPVAL($G$1,"ACTUAL",$A317,$K$7,"YTD","gpg")/1000),0)</f>
        <v>100675</v>
      </c>
      <c r="L317" s="73"/>
      <c r="M317" s="58">
        <f>ROUND((_xll.HPVAL($G$1,"ACTUAL",$A317,$M$7,"YTD","gpg")/1000),0)</f>
        <v>100281</v>
      </c>
      <c r="N317" s="73"/>
      <c r="O317" s="58">
        <f>ROUND((_xll.HPVAL($G$1,"ACTUAL",$A317,$O$7,"YTD","gpg")/1000),0)</f>
        <v>104503</v>
      </c>
      <c r="P317" s="73"/>
      <c r="Q317" s="58">
        <f>ROUND((_xll.HPVAL($G$1,"ACTUAL",$A317,$Q$7,"YTD","gpg")/1000),0)</f>
        <v>104997</v>
      </c>
      <c r="R317" s="73"/>
      <c r="S317" s="58">
        <f>ROUND((_xll.HPVAL($G$1,"ACTUAL",$A317,$S$7,"YTD","gpg")/1000),0)</f>
        <v>104997</v>
      </c>
      <c r="T317" s="73"/>
      <c r="U317" s="58">
        <f>ROUND((_xll.HPVAL($G$1,"ACTUAL",$A317,$U$7,"YTD","gpg")/1000),0)</f>
        <v>0</v>
      </c>
      <c r="V317" s="73"/>
      <c r="W317" s="58">
        <f>ROUND((_xll.HPVAL($G$1,"ACTUAL",$A317,$W$7,"YTD","gpg")/1000),0)</f>
        <v>0</v>
      </c>
      <c r="X317" s="73"/>
      <c r="Y317" s="58">
        <f>ROUND((_xll.HPVAL($G$1,"ACTUAL",$A317,$Y$7,"YTD","gpg")/1000),0)</f>
        <v>0</v>
      </c>
      <c r="Z317" s="73"/>
      <c r="AA317" s="58">
        <f>ROUND((_xll.HPVAL($G$1,"ACTUAL",$A317,$AA$7,"YTD","gpg")/1000),0)</f>
        <v>0</v>
      </c>
      <c r="AB317" s="73"/>
      <c r="AC317" s="58">
        <f t="shared" si="20"/>
        <v>0</v>
      </c>
      <c r="AD317" s="70"/>
      <c r="AE317" s="58">
        <f t="shared" si="21"/>
        <v>2946</v>
      </c>
      <c r="AF317" s="58"/>
    </row>
    <row r="318" spans="1:33">
      <c r="A318" s="84" t="s">
        <v>259</v>
      </c>
      <c r="B318" s="58" t="str">
        <f>_xll.HPHEA($A318,$G$2)</f>
        <v>ADSIT other</v>
      </c>
      <c r="C318" s="58">
        <f>ROUND((_xll.HPVAL($G$1,"py1",$A318,$C$7,"YTD","gpg")/1000),0)</f>
        <v>0</v>
      </c>
      <c r="D318" s="70"/>
      <c r="E318" s="58">
        <f>ROUND((_xll.HPVAL($G$1,"ACTUAL",$A318,$E$7,"YTD","gpg")/1000),0)</f>
        <v>0</v>
      </c>
      <c r="F318" s="73"/>
      <c r="G318" s="58">
        <f>ROUND((_xll.HPVAL($G$1,"ACTUAL",$A318,$G$7,"YTD","gpg")/1000),0)</f>
        <v>0</v>
      </c>
      <c r="H318" s="73"/>
      <c r="I318" s="58">
        <f>ROUND((_xll.HPVAL($G$1,"ACTUAL",$A318,$I$7,"YTD","gpg")/1000),0)</f>
        <v>0</v>
      </c>
      <c r="J318" s="73"/>
      <c r="K318" s="58">
        <f>ROUND((_xll.HPVAL($G$1,"ACTUAL",$A318,$K$7,"YTD","gpg")/1000),0)</f>
        <v>0</v>
      </c>
      <c r="L318" s="73"/>
      <c r="M318" s="58">
        <f>ROUND((_xll.HPVAL($G$1,"ACTUAL",$A318,$M$7,"YTD","gpg")/1000),0)</f>
        <v>0</v>
      </c>
      <c r="N318" s="73"/>
      <c r="O318" s="58">
        <f>ROUND((_xll.HPVAL($G$1,"ACTUAL",$A318,$O$7,"YTD","gpg")/1000),0)</f>
        <v>0</v>
      </c>
      <c r="P318" s="73"/>
      <c r="Q318" s="58">
        <f>ROUND((_xll.HPVAL($G$1,"ACTUAL",$A318,$Q$7,"YTD","gpg")/1000),0)</f>
        <v>0</v>
      </c>
      <c r="R318" s="73"/>
      <c r="S318" s="58">
        <f>ROUND((_xll.HPVAL($G$1,"ACTUAL",$A318,$S$7,"YTD","gpg")/1000),0)</f>
        <v>0</v>
      </c>
      <c r="T318" s="73"/>
      <c r="U318" s="58">
        <f>ROUND((_xll.HPVAL($G$1,"ACTUAL",$A318,$U$7,"YTD","gpg")/1000),0)</f>
        <v>0</v>
      </c>
      <c r="V318" s="73"/>
      <c r="W318" s="58">
        <f>ROUND((_xll.HPVAL($G$1,"ACTUAL",$A318,$W$7,"YTD","gpg")/1000),0)</f>
        <v>0</v>
      </c>
      <c r="X318" s="73"/>
      <c r="Y318" s="58">
        <f>ROUND((_xll.HPVAL($G$1,"ACTUAL",$A318,$Y$7,"YTD","gpg")/1000),0)</f>
        <v>0</v>
      </c>
      <c r="Z318" s="73"/>
      <c r="AA318" s="58">
        <f>ROUND((_xll.HPVAL($G$1,"ACTUAL",$A318,$AA$7,"YTD","gpg")/1000),0)</f>
        <v>0</v>
      </c>
      <c r="AB318" s="73"/>
      <c r="AC318" s="58">
        <f t="shared" si="20"/>
        <v>0</v>
      </c>
      <c r="AD318" s="70"/>
      <c r="AE318" s="58">
        <f t="shared" si="21"/>
        <v>0</v>
      </c>
      <c r="AF318" s="58"/>
    </row>
    <row r="319" spans="1:33">
      <c r="A319" s="84" t="s">
        <v>375</v>
      </c>
      <c r="B319" s="58" t="str">
        <f>_xll.HPHEA($A319,$G$2)</f>
        <v>Deferred SIT asset - non utility-noncurr</v>
      </c>
      <c r="C319" s="58">
        <f>ROUND((_xll.HPVAL($G$1,"py1",$A319,$C$7,"YTD","gpg")/1000),0)</f>
        <v>-1114</v>
      </c>
      <c r="D319" s="70"/>
      <c r="E319" s="58">
        <f>ROUND((_xll.HPVAL($G$1,"ACTUAL",$A319,$E$7,"YTD","gpg")/1000),0)</f>
        <v>-1146</v>
      </c>
      <c r="F319" s="73"/>
      <c r="G319" s="58">
        <f>ROUND((_xll.HPVAL($G$1,"ACTUAL",$A319,$G$7,"YTD","gpg")/1000),0)</f>
        <v>-1146</v>
      </c>
      <c r="H319" s="73"/>
      <c r="I319" s="58">
        <f>ROUND((_xll.HPVAL($G$1,"ACTUAL",$A319,$I$7,"YTD","gpg")/1000),0)</f>
        <v>-1147</v>
      </c>
      <c r="J319" s="73"/>
      <c r="K319" s="58">
        <f>ROUND((_xll.HPVAL($G$1,"ACTUAL",$A319,$K$7,"YTD","gpg")/1000),0)</f>
        <v>-1867</v>
      </c>
      <c r="L319" s="73"/>
      <c r="M319" s="58">
        <f>ROUND((_xll.HPVAL($G$1,"ACTUAL",$A319,$M$7,"YTD","gpg")/1000),0)</f>
        <v>-1848</v>
      </c>
      <c r="N319" s="73"/>
      <c r="O319" s="58">
        <f>ROUND((_xll.HPVAL($G$1,"ACTUAL",$A319,$O$7,"YTD","gpg")/1000),0)</f>
        <v>-1117</v>
      </c>
      <c r="P319" s="73"/>
      <c r="Q319" s="58">
        <f>ROUND((_xll.HPVAL($G$1,"ACTUAL",$A319,$Q$7,"YTD","gpg")/1000),0)</f>
        <v>-1117</v>
      </c>
      <c r="R319" s="73"/>
      <c r="S319" s="58">
        <f>ROUND((_xll.HPVAL($G$1,"ACTUAL",$A319,$S$7,"YTD","gpg")/1000),0)</f>
        <v>-1117</v>
      </c>
      <c r="T319" s="73"/>
      <c r="U319" s="58">
        <f>ROUND((_xll.HPVAL($G$1,"ACTUAL",$A319,$U$7,"YTD","gpg")/1000),0)</f>
        <v>0</v>
      </c>
      <c r="V319" s="73"/>
      <c r="W319" s="58">
        <f>ROUND((_xll.HPVAL($G$1,"ACTUAL",$A319,$W$7,"YTD","gpg")/1000),0)</f>
        <v>0</v>
      </c>
      <c r="X319" s="73"/>
      <c r="Y319" s="58">
        <f>ROUND((_xll.HPVAL($G$1,"ACTUAL",$A319,$Y$7,"YTD","gpg")/1000),0)</f>
        <v>0</v>
      </c>
      <c r="Z319" s="73"/>
      <c r="AA319" s="58">
        <f>ROUND((_xll.HPVAL($G$1,"ACTUAL",$A319,$AA$7,"YTD","gpg")/1000),0)</f>
        <v>0</v>
      </c>
      <c r="AB319" s="73"/>
      <c r="AC319" s="58">
        <f t="shared" si="20"/>
        <v>0</v>
      </c>
      <c r="AD319" s="70"/>
      <c r="AE319" s="58">
        <f t="shared" si="21"/>
        <v>-3</v>
      </c>
      <c r="AF319" s="58"/>
    </row>
    <row r="320" spans="1:33">
      <c r="A320" s="84" t="s">
        <v>376</v>
      </c>
      <c r="B320" s="58" t="str">
        <f>_xll.HPHEA($A320,$G$2)</f>
        <v>Def SIT asset - utility - non current</v>
      </c>
      <c r="C320" s="58">
        <f>ROUND((_xll.HPVAL($G$1,"py1",$A320,$C$7,"YTD","gpg")/1000),0)</f>
        <v>-2587</v>
      </c>
      <c r="D320" s="70"/>
      <c r="E320" s="58">
        <f>ROUND((_xll.HPVAL($G$1,"ACTUAL",$A320,$E$7,"YTD","gpg")/1000),0)</f>
        <v>-4911</v>
      </c>
      <c r="F320" s="73"/>
      <c r="G320" s="58">
        <f>ROUND((_xll.HPVAL($G$1,"ACTUAL",$A320,$G$7,"YTD","gpg")/1000),0)</f>
        <v>-4933</v>
      </c>
      <c r="H320" s="73"/>
      <c r="I320" s="58">
        <f>ROUND((_xll.HPVAL($G$1,"ACTUAL",$A320,$I$7,"YTD","gpg")/1000),0)</f>
        <v>-7344</v>
      </c>
      <c r="J320" s="73"/>
      <c r="K320" s="58">
        <f>ROUND((_xll.HPVAL($G$1,"ACTUAL",$A320,$K$7,"YTD","gpg")/1000),0)</f>
        <v>-6864</v>
      </c>
      <c r="L320" s="73"/>
      <c r="M320" s="58">
        <f>ROUND((_xll.HPVAL($G$1,"ACTUAL",$A320,$M$7,"YTD","gpg")/1000),0)</f>
        <v>-3023</v>
      </c>
      <c r="N320" s="73"/>
      <c r="O320" s="58">
        <f>ROUND((_xll.HPVAL($G$1,"ACTUAL",$A320,$O$7,"YTD","gpg")/1000),0)</f>
        <v>-3803</v>
      </c>
      <c r="P320" s="73"/>
      <c r="Q320" s="58">
        <f>ROUND((_xll.HPVAL($G$1,"ACTUAL",$A320,$Q$7,"YTD","gpg")/1000),0)</f>
        <v>-3752</v>
      </c>
      <c r="R320" s="73"/>
      <c r="S320" s="58">
        <f>ROUND((_xll.HPVAL($G$1,"ACTUAL",$A320,$S$7,"YTD","gpg")/1000),0)</f>
        <v>-3752</v>
      </c>
      <c r="T320" s="73"/>
      <c r="U320" s="58">
        <f>ROUND((_xll.HPVAL($G$1,"ACTUAL",$A320,$U$7,"YTD","gpg")/1000),0)</f>
        <v>0</v>
      </c>
      <c r="V320" s="73"/>
      <c r="W320" s="58">
        <f>ROUND((_xll.HPVAL($G$1,"ACTUAL",$A320,$W$7,"YTD","gpg")/1000),0)</f>
        <v>0</v>
      </c>
      <c r="X320" s="73"/>
      <c r="Y320" s="58">
        <f>ROUND((_xll.HPVAL($G$1,"ACTUAL",$A320,$Y$7,"YTD","gpg")/1000),0)</f>
        <v>0</v>
      </c>
      <c r="Z320" s="73"/>
      <c r="AA320" s="58">
        <f>ROUND((_xll.HPVAL($G$1,"ACTUAL",$A320,$AA$7,"YTD","gpg")/1000),0)</f>
        <v>0</v>
      </c>
      <c r="AB320" s="73"/>
      <c r="AC320" s="58">
        <f t="shared" si="20"/>
        <v>0</v>
      </c>
      <c r="AD320" s="70"/>
      <c r="AE320" s="58">
        <f t="shared" si="21"/>
        <v>-1165</v>
      </c>
      <c r="AF320" s="58"/>
    </row>
    <row r="321" spans="1:35">
      <c r="A321" s="84" t="s">
        <v>377</v>
      </c>
      <c r="B321" s="58" t="str">
        <f>_xll.HPHEA($A321,$G$2)</f>
        <v>Def SIT liab - non util - noncurr</v>
      </c>
      <c r="C321" s="58">
        <f>ROUND((_xll.HPVAL($G$1,"py1",$A321,$C$7,"YTD","gpg")/1000),0)</f>
        <v>-285</v>
      </c>
      <c r="D321" s="70"/>
      <c r="E321" s="58">
        <f>ROUND((_xll.HPVAL($G$1,"ACTUAL",$A321,$E$7,"YTD","gpg")/1000),0)</f>
        <v>-285</v>
      </c>
      <c r="F321" s="73"/>
      <c r="G321" s="58">
        <f>ROUND((_xll.HPVAL($G$1,"ACTUAL",$A321,$G$7,"YTD","gpg")/1000),0)</f>
        <v>-285</v>
      </c>
      <c r="H321" s="73"/>
      <c r="I321" s="58">
        <f>ROUND((_xll.HPVAL($G$1,"ACTUAL",$A321,$I$7,"YTD","gpg")/1000),0)</f>
        <v>-285</v>
      </c>
      <c r="J321" s="73"/>
      <c r="K321" s="58">
        <f>ROUND((_xll.HPVAL($G$1,"ACTUAL",$A321,$K$7,"YTD","gpg")/1000),0)</f>
        <v>466</v>
      </c>
      <c r="L321" s="73"/>
      <c r="M321" s="58">
        <f>ROUND((_xll.HPVAL($G$1,"ACTUAL",$A321,$M$7,"YTD","gpg")/1000),0)</f>
        <v>-285</v>
      </c>
      <c r="N321" s="73"/>
      <c r="O321" s="58">
        <f>ROUND((_xll.HPVAL($G$1,"ACTUAL",$A321,$O$7,"YTD","gpg")/1000),0)</f>
        <v>-285</v>
      </c>
      <c r="P321" s="73"/>
      <c r="Q321" s="58">
        <f>ROUND((_xll.HPVAL($G$1,"ACTUAL",$A321,$Q$7,"YTD","gpg")/1000),0)</f>
        <v>-283</v>
      </c>
      <c r="R321" s="73"/>
      <c r="S321" s="58">
        <f>ROUND((_xll.HPVAL($G$1,"ACTUAL",$A321,$S$7,"YTD","gpg")/1000),0)</f>
        <v>-283</v>
      </c>
      <c r="T321" s="73"/>
      <c r="U321" s="58">
        <f>ROUND((_xll.HPVAL($G$1,"ACTUAL",$A321,$U$7,"YTD","gpg")/1000),0)</f>
        <v>0</v>
      </c>
      <c r="V321" s="73"/>
      <c r="W321" s="58">
        <f>ROUND((_xll.HPVAL($G$1,"ACTUAL",$A321,$W$7,"YTD","gpg")/1000),0)</f>
        <v>0</v>
      </c>
      <c r="X321" s="73"/>
      <c r="Y321" s="58">
        <f>ROUND((_xll.HPVAL($G$1,"ACTUAL",$A321,$Y$7,"YTD","gpg")/1000),0)</f>
        <v>0</v>
      </c>
      <c r="Z321" s="73"/>
      <c r="AA321" s="58">
        <f>ROUND((_xll.HPVAL($G$1,"ACTUAL",$A321,$AA$7,"YTD","gpg")/1000),0)</f>
        <v>0</v>
      </c>
      <c r="AB321" s="73"/>
      <c r="AC321" s="58">
        <f t="shared" si="20"/>
        <v>0</v>
      </c>
      <c r="AD321" s="70"/>
      <c r="AE321" s="58">
        <f t="shared" si="21"/>
        <v>2</v>
      </c>
      <c r="AF321" s="58"/>
    </row>
    <row r="322" spans="1:35">
      <c r="A322" s="84" t="s">
        <v>378</v>
      </c>
      <c r="B322" s="58" t="str">
        <f>_xll.HPHEA($A322,$G$2)</f>
        <v>Def SIT liab - util-non plant - noncurr</v>
      </c>
      <c r="C322" s="58">
        <f>ROUND((_xll.HPVAL($G$1,"py1",$A322,$C$7,"YTD","gpg")/1000),0)</f>
        <v>4716</v>
      </c>
      <c r="D322" s="70"/>
      <c r="E322" s="58">
        <f>ROUND((_xll.HPVAL($G$1,"ACTUAL",$A322,$E$7,"YTD","gpg")/1000),0)</f>
        <v>4791</v>
      </c>
      <c r="F322" s="73"/>
      <c r="G322" s="58">
        <f>ROUND((_xll.HPVAL($G$1,"ACTUAL",$A322,$G$7,"YTD","gpg")/1000),0)</f>
        <v>4791</v>
      </c>
      <c r="H322" s="73"/>
      <c r="I322" s="58">
        <f>ROUND((_xll.HPVAL($G$1,"ACTUAL",$A322,$I$7,"YTD","gpg")/1000),0)</f>
        <v>4790</v>
      </c>
      <c r="J322" s="73"/>
      <c r="K322" s="58">
        <f>ROUND((_xll.HPVAL($G$1,"ACTUAL",$A322,$K$7,"YTD","gpg")/1000),0)</f>
        <v>7410</v>
      </c>
      <c r="L322" s="73"/>
      <c r="M322" s="58">
        <f>ROUND((_xll.HPVAL($G$1,"ACTUAL",$A322,$M$7,"YTD","gpg")/1000),0)</f>
        <v>5427</v>
      </c>
      <c r="N322" s="73"/>
      <c r="O322" s="58">
        <f>ROUND((_xll.HPVAL($G$1,"ACTUAL",$A322,$O$7,"YTD","gpg")/1000),0)</f>
        <v>5132</v>
      </c>
      <c r="P322" s="73"/>
      <c r="Q322" s="58">
        <f>ROUND((_xll.HPVAL($G$1,"ACTUAL",$A322,$Q$7,"YTD","gpg")/1000),0)</f>
        <v>5058</v>
      </c>
      <c r="R322" s="73"/>
      <c r="S322" s="58">
        <f>ROUND((_xll.HPVAL($G$1,"ACTUAL",$A322,$S$7,"YTD","gpg")/1000),0)</f>
        <v>5058</v>
      </c>
      <c r="T322" s="73"/>
      <c r="U322" s="58">
        <f>ROUND((_xll.HPVAL($G$1,"ACTUAL",$A322,$U$7,"YTD","gpg")/1000),0)</f>
        <v>0</v>
      </c>
      <c r="V322" s="73"/>
      <c r="W322" s="58">
        <f>ROUND((_xll.HPVAL($G$1,"ACTUAL",$A322,$W$7,"YTD","gpg")/1000),0)</f>
        <v>0</v>
      </c>
      <c r="X322" s="73"/>
      <c r="Y322" s="58">
        <f>ROUND((_xll.HPVAL($G$1,"ACTUAL",$A322,$Y$7,"YTD","gpg")/1000),0)</f>
        <v>0</v>
      </c>
      <c r="Z322" s="73"/>
      <c r="AA322" s="58">
        <f>ROUND((_xll.HPVAL($G$1,"ACTUAL",$A322,$AA$7,"YTD","gpg")/1000),0)</f>
        <v>0</v>
      </c>
      <c r="AB322" s="73"/>
      <c r="AC322" s="58">
        <f t="shared" si="20"/>
        <v>0</v>
      </c>
      <c r="AD322" s="70"/>
      <c r="AE322" s="58">
        <f t="shared" si="21"/>
        <v>342</v>
      </c>
      <c r="AF322" s="58"/>
    </row>
    <row r="323" spans="1:35">
      <c r="A323" s="84" t="s">
        <v>379</v>
      </c>
      <c r="B323" s="58" t="str">
        <f>_xll.HPHEA($A323,$G$2)</f>
        <v>Def SIT Liab - util-plant - noncurr</v>
      </c>
      <c r="C323" s="58">
        <f>ROUND((_xll.HPVAL($G$1,"py1",$A323,$C$7,"YTD","gpg")/1000),0)</f>
        <v>19058</v>
      </c>
      <c r="D323" s="70"/>
      <c r="E323" s="58">
        <f>ROUND((_xll.HPVAL($G$1,"ACTUAL",$A323,$E$7,"YTD","gpg")/1000),0)</f>
        <v>21389</v>
      </c>
      <c r="F323" s="73"/>
      <c r="G323" s="58">
        <f>ROUND((_xll.HPVAL($G$1,"ACTUAL",$A323,$G$7,"YTD","gpg")/1000),0)</f>
        <v>21453</v>
      </c>
      <c r="H323" s="73"/>
      <c r="I323" s="58">
        <f>ROUND((_xll.HPVAL($G$1,"ACTUAL",$A323,$I$7,"YTD","gpg")/1000),0)</f>
        <v>21012</v>
      </c>
      <c r="J323" s="73"/>
      <c r="K323" s="58">
        <f>ROUND((_xll.HPVAL($G$1,"ACTUAL",$A323,$K$7,"YTD","gpg")/1000),0)</f>
        <v>18809</v>
      </c>
      <c r="L323" s="73"/>
      <c r="M323" s="58">
        <f>ROUND((_xll.HPVAL($G$1,"ACTUAL",$A323,$M$7,"YTD","gpg")/1000),0)</f>
        <v>18737</v>
      </c>
      <c r="N323" s="73"/>
      <c r="O323" s="58">
        <f>ROUND((_xll.HPVAL($G$1,"ACTUAL",$A323,$O$7,"YTD","gpg")/1000),0)</f>
        <v>19503</v>
      </c>
      <c r="P323" s="73"/>
      <c r="Q323" s="58">
        <f>ROUND((_xll.HPVAL($G$1,"ACTUAL",$A323,$Q$7,"YTD","gpg")/1000),0)</f>
        <v>19593</v>
      </c>
      <c r="R323" s="73"/>
      <c r="S323" s="58">
        <f>ROUND((_xll.HPVAL($G$1,"ACTUAL",$A323,$S$7,"YTD","gpg")/1000),0)</f>
        <v>19593</v>
      </c>
      <c r="T323" s="73"/>
      <c r="U323" s="58">
        <f>ROUND((_xll.HPVAL($G$1,"ACTUAL",$A323,$U$7,"YTD","gpg")/1000),0)</f>
        <v>0</v>
      </c>
      <c r="V323" s="73"/>
      <c r="W323" s="58">
        <f>ROUND((_xll.HPVAL($G$1,"ACTUAL",$A323,$W$7,"YTD","gpg")/1000),0)</f>
        <v>0</v>
      </c>
      <c r="X323" s="73"/>
      <c r="Y323" s="58">
        <f>ROUND((_xll.HPVAL($G$1,"ACTUAL",$A323,$Y$7,"YTD","gpg")/1000),0)</f>
        <v>0</v>
      </c>
      <c r="Z323" s="73"/>
      <c r="AA323" s="58">
        <f>ROUND((_xll.HPVAL($G$1,"ACTUAL",$A323,$AA$7,"YTD","gpg")/1000),0)</f>
        <v>0</v>
      </c>
      <c r="AB323" s="73"/>
      <c r="AC323" s="58">
        <f t="shared" si="20"/>
        <v>0</v>
      </c>
      <c r="AD323" s="70"/>
      <c r="AE323" s="58">
        <f t="shared" si="21"/>
        <v>535</v>
      </c>
      <c r="AF323" s="58"/>
    </row>
    <row r="324" spans="1:35">
      <c r="A324" s="84"/>
      <c r="B324" s="58" t="s">
        <v>214</v>
      </c>
      <c r="C324" s="85">
        <f>+C325-SUM(C312:C323)</f>
        <v>0</v>
      </c>
      <c r="D324" s="70"/>
      <c r="E324" s="85">
        <f>+E325-SUM(E312:E323)</f>
        <v>0</v>
      </c>
      <c r="F324" s="77"/>
      <c r="G324" s="85">
        <f>+G325-SUM(G312:G323)</f>
        <v>-1</v>
      </c>
      <c r="H324" s="77"/>
      <c r="I324" s="85">
        <f>+I325-SUM(I312:I323)</f>
        <v>1</v>
      </c>
      <c r="J324" s="77"/>
      <c r="K324" s="85">
        <f>+K325-SUM(K312:K323)</f>
        <v>-1</v>
      </c>
      <c r="L324" s="77"/>
      <c r="M324" s="85">
        <f>+M325-SUM(M312:M323)</f>
        <v>1</v>
      </c>
      <c r="N324" s="77"/>
      <c r="O324" s="85">
        <f>+O325-SUM(O312:O323)</f>
        <v>1</v>
      </c>
      <c r="P324" s="77"/>
      <c r="Q324" s="85">
        <f>+Q325-SUM(Q312:Q323)</f>
        <v>-1</v>
      </c>
      <c r="R324" s="77"/>
      <c r="S324" s="85">
        <f>+S325-SUM(S312:S323)</f>
        <v>-1</v>
      </c>
      <c r="T324" s="77"/>
      <c r="U324" s="85">
        <f>+U325-SUM(U312:U323)</f>
        <v>0</v>
      </c>
      <c r="V324" s="77"/>
      <c r="W324" s="85">
        <f>+W325-SUM(W312:W323)</f>
        <v>0</v>
      </c>
      <c r="X324" s="77"/>
      <c r="Y324" s="85">
        <f>+Y325-SUM(Y312:Y323)</f>
        <v>0</v>
      </c>
      <c r="Z324" s="77"/>
      <c r="AA324" s="85">
        <f>+AA325-SUM(AA312:AA323)</f>
        <v>0</v>
      </c>
      <c r="AB324" s="77"/>
      <c r="AC324" s="85">
        <f t="shared" si="20"/>
        <v>0</v>
      </c>
      <c r="AD324" s="70"/>
      <c r="AE324" s="85">
        <f t="shared" si="21"/>
        <v>-1</v>
      </c>
      <c r="AF324" s="58"/>
    </row>
    <row r="325" spans="1:35" s="13" customFormat="1" ht="15" customHeight="1" thickBot="1">
      <c r="A325" s="59"/>
      <c r="B325" s="60" t="s">
        <v>260</v>
      </c>
      <c r="C325" s="86">
        <f>ROUND((_xll.HPVAL($G$1,"py1","0780",$C$7,"YTD","gpg")/1000),0)+ROUND((_xll.HPVAL($G$1,"py1","0785",$C$7,"YTD","gpg")/1000),0)+ROUND((_xll.HPVAL($G$1,"py1","0844",$C$7,"YTD","gpg")/1000),0)+ROUND((_xll.HPVAL($G$1,"py1","0784",$C$7,"YTD","gpg")/1000),0)</f>
        <v>238702</v>
      </c>
      <c r="D325" s="70"/>
      <c r="E325" s="86">
        <f>ROUND((_xll.HPVAL($G$1,"actual","0780",$E$7,"YTD","gpg")/1000),0)+ROUND((_xll.HPVAL($G$1,"actual","0785",$E$7,"YTD","gpg")/1000),0)+ROUND((_xll.HPVAL($G$1,"actual","0844",$E$7,"YTD","gpg")/1000),0)+ROUND((_xll.HPVAL($G$1,"actual","0784",$E$7,"YTD","gpg")/1000),0)</f>
        <v>238852</v>
      </c>
      <c r="F325" s="77"/>
      <c r="G325" s="86">
        <f>ROUND((_xll.HPVAL($G$1,"actual","0780",$G$7,"YTD","gpg")/1000),0)+ROUND((_xll.HPVAL($G$1,"actual","0785",$G$7,"YTD","gpg")/1000),0)+ROUND((_xll.HPVAL($G$1,"actual","0844",$G$7,"YTD","gpg")/1000),0)+ROUND((_xll.HPVAL($G$1,"actual","0784",$G$7,"YTD","gpg")/1000),0)</f>
        <v>238944</v>
      </c>
      <c r="H325" s="77"/>
      <c r="I325" s="86">
        <f>ROUND((_xll.HPVAL($G$1,"actual","0780",$I$7,"YTD","gpg")/1000),0)+ROUND((_xll.HPVAL($G$1,"actual","0785",$I$7,"YTD","gpg")/1000),0)+ROUND((_xll.HPVAL($G$1,"actual","0844",$I$7,"YTD","gpg")/1000),0)+ROUND((_xll.HPVAL($G$1,"actual","0784",$I$7,"YTD","gpg")/1000),0)</f>
        <v>220220</v>
      </c>
      <c r="J325" s="77"/>
      <c r="K325" s="86">
        <f>ROUND((_xll.HPVAL($G$1,"actual","0780",$K$7,"YTD","gpg")/1000),0)+ROUND((_xll.HPVAL($G$1,"actual","0785",$K$7,"YTD","gpg")/1000),0)+ROUND((_xll.HPVAL($G$1,"actual","0844",$K$7,"YTD","gpg")/1000),0)+ROUND((_xll.HPVAL($G$1,"actual","0784",$K$7,"YTD","gpg")/1000),0)</f>
        <v>226075</v>
      </c>
      <c r="L325" s="77"/>
      <c r="M325" s="86">
        <f>ROUND((_xll.HPVAL($G$1,"actual","0780",$M$7,"YTD","gpg")/1000),0)+ROUND((_xll.HPVAL($G$1,"actual","0785",$M$7,"YTD","gpg")/1000),0)+ROUND((_xll.HPVAL($G$1,"actual","0844",$M$7,"YTD","gpg")/1000),0)+ROUND((_xll.HPVAL($G$1,"actual","0784",$M$7,"YTD","gpg")/1000),0)</f>
        <v>232744</v>
      </c>
      <c r="N325" s="77"/>
      <c r="O325" s="86">
        <f>ROUND((_xll.HPVAL($G$1,"actual","0780",$O$7,"YTD","gpg")/1000),0)+ROUND((_xll.HPVAL($G$1,"actual","0785",$O$7,"YTD","gpg")/1000),0)+ROUND((_xll.HPVAL($G$1,"actual","0844",$O$7,"YTD","gpg")/1000),0)+ROUND((_xll.HPVAL($G$1,"actual","0784",$O$7,"YTD","gpg")/1000),0)</f>
        <v>235318</v>
      </c>
      <c r="P325" s="77" t="s">
        <v>249</v>
      </c>
      <c r="Q325" s="86">
        <f>ROUND((_xll.HPVAL($G$1,"actual","0780",$Q$7,"YTD","gpg")/1000),0)+ROUND((_xll.HPVAL($G$1,"actual","0785",$Q$7,"YTD","gpg")/1000),0)+ROUND((_xll.HPVAL($G$1,"actual","0844",$Q$7,"YTD","gpg")/1000),0)+ROUND((_xll.HPVAL($G$1,"actual","0784",$Q$7,"YTD","gpg")/1000),0)</f>
        <v>235584</v>
      </c>
      <c r="R325" s="77"/>
      <c r="S325" s="86">
        <f>ROUND((_xll.HPVAL($G$1,"actual","0780",$S$7,"YTD","gpg")/1000),0)+ROUND((_xll.HPVAL($G$1,"actual","0785",$S$7,"YTD","gpg")/1000),0)+ROUND((_xll.HPVAL($G$1,"actual","0844",$S$7,"YTD","gpg")/1000),0)+ROUND((_xll.HPVAL($G$1,"actual","0784",$S$7,"YTD","gpg")/1000),0)</f>
        <v>235584</v>
      </c>
      <c r="T325" s="77"/>
      <c r="U325" s="86">
        <f>ROUND((_xll.HPVAL($G$1,"actual","0780",$U$7,"YTD","gpg")/1000),0)+ROUND((_xll.HPVAL($G$1,"actual","0785",$U$7,"YTD","gpg")/1000),0)+ROUND((_xll.HPVAL($G$1,"actual","0844",$U$7,"YTD","gpg")/1000),0)+ROUND((_xll.HPVAL($G$1,"actual","0784",$U$7,"YTD","gpg")/1000),0)</f>
        <v>0</v>
      </c>
      <c r="V325" s="77"/>
      <c r="W325" s="86">
        <f>ROUND((_xll.HPVAL($G$1,"actual","0780",$W$7,"YTD","gpg")/1000),0)+ROUND((_xll.HPVAL($G$1,"actual","0785",$W$7,"YTD","gpg")/1000),0)+ROUND((_xll.HPVAL($G$1,"actual","0844",$W$7,"YTD","gpg")/1000),0)+ROUND((_xll.HPVAL($G$1,"actual","0784",$W$7,"YTD","gpg")/1000),0)</f>
        <v>0</v>
      </c>
      <c r="X325" s="77"/>
      <c r="Y325" s="86">
        <f>ROUND((_xll.HPVAL($G$1,"actual","0780",$Y$7,"YTD","gpg")/1000),0)+ROUND((_xll.HPVAL($G$1,"actual","0785",$Y$7,"YTD","gpg")/1000),0)+ROUND((_xll.HPVAL($G$1,"actual","0844",$Y$7,"YTD","gpg")/1000),0)+ROUND((_xll.HPVAL($G$1,"actual","0784",$Y$7,"YTD","gpg")/1000),0)</f>
        <v>0</v>
      </c>
      <c r="Z325" s="77"/>
      <c r="AA325" s="86">
        <f>ROUND((_xll.HPVAL($G$1,"actual","0780",$AA$7,"YTD","gpg")/1000),0)+ROUND((_xll.HPVAL($G$1,"actual","0785",$AA$7,"YTD","gpg")/1000),0)+ROUND((_xll.HPVAL($G$1,"actual","0844",$AA$7,"YTD","gpg")/1000),0)+ROUND((_xll.HPVAL($G$1,"actual","0784",$AA$7,"YTD","gpg")/1000),0)</f>
        <v>0</v>
      </c>
      <c r="AB325" s="77"/>
      <c r="AC325" s="86">
        <f>SUM(AC312:AC324)</f>
        <v>0</v>
      </c>
      <c r="AD325" s="70"/>
      <c r="AE325" s="86">
        <f>SUM(AE312:AE324)</f>
        <v>-3118</v>
      </c>
      <c r="AF325" s="60"/>
      <c r="AG325" s="5"/>
    </row>
    <row r="326" spans="1:35" s="13" customFormat="1" ht="11.25" customHeight="1" thickTop="1">
      <c r="A326" s="59"/>
      <c r="B326" s="60"/>
      <c r="C326" s="72"/>
      <c r="D326" s="70"/>
      <c r="E326" s="72"/>
      <c r="F326" s="77"/>
      <c r="G326" s="72"/>
      <c r="H326" s="77"/>
      <c r="I326" s="72"/>
      <c r="J326" s="77"/>
      <c r="K326" s="72"/>
      <c r="L326" s="77"/>
      <c r="M326" s="72"/>
      <c r="N326" s="77"/>
      <c r="O326" s="72"/>
      <c r="P326" s="77"/>
      <c r="Q326" s="72"/>
      <c r="R326" s="77"/>
      <c r="S326" s="72"/>
      <c r="T326" s="77"/>
      <c r="U326" s="72"/>
      <c r="V326" s="77"/>
      <c r="W326" s="72"/>
      <c r="X326" s="77"/>
      <c r="Y326" s="72"/>
      <c r="Z326" s="77"/>
      <c r="AA326" s="72"/>
      <c r="AB326" s="77"/>
      <c r="AC326" s="72"/>
      <c r="AD326" s="70"/>
      <c r="AE326" s="72"/>
      <c r="AF326" s="60"/>
      <c r="AG326" s="5"/>
    </row>
    <row r="327" spans="1:35">
      <c r="A327" s="84" t="s">
        <v>422</v>
      </c>
      <c r="B327" s="58" t="str">
        <f>_xll.HPHEA($A327,$G$2)</f>
        <v>Price risk mgmt liabilities-noncurrent</v>
      </c>
      <c r="C327" s="75">
        <f>ROUND((_xll.HPVAL($G$1,"py1",$A327,$C$7,"YTD","gpg")/1000),0)</f>
        <v>0</v>
      </c>
      <c r="D327" s="78"/>
      <c r="E327" s="75">
        <f>ROUND((_xll.HPVAL($G$1,"ACTUAL",$A327,$E$7,"YTD","gpg")/1000),0)</f>
        <v>26217</v>
      </c>
      <c r="F327" s="77" t="s">
        <v>231</v>
      </c>
      <c r="G327" s="75">
        <f>ROUND((_xll.HPVAL($G$1,"ACTUAL",$A327,$G$7,"YTD","gpg")/1000),0)</f>
        <v>17748</v>
      </c>
      <c r="H327" s="77" t="s">
        <v>249</v>
      </c>
      <c r="I327" s="75">
        <f>ROUND((_xll.HPVAL($G$1,"ACTUAL",$A327,$I$7,"YTD","gpg")/1000),0)</f>
        <v>36081</v>
      </c>
      <c r="J327" s="77" t="s">
        <v>250</v>
      </c>
      <c r="K327" s="75">
        <f>ROUND((_xll.HPVAL($G$1,"ACTUAL",$A327,$K$7,"YTD","gpg")/1000),0)</f>
        <v>3332</v>
      </c>
      <c r="L327" s="77" t="s">
        <v>250</v>
      </c>
      <c r="M327" s="75">
        <f>ROUND((_xll.HPVAL($G$1,"ACTUAL",$A327,$M$7,"YTD","gpg")/1000),0)</f>
        <v>0</v>
      </c>
      <c r="N327" s="77" t="s">
        <v>250</v>
      </c>
      <c r="O327" s="75">
        <f>ROUND((_xll.HPVAL($G$1,"ACTUAL",$A327,$O$7,"YTD","gpg")/1000),0)</f>
        <v>0</v>
      </c>
      <c r="P327" s="87"/>
      <c r="Q327" s="75">
        <f>ROUND((_xll.HPVAL($G$1,"ACTUAL",$A327,$Q$7,"YTD","gpg")/1000),0)</f>
        <v>0</v>
      </c>
      <c r="R327" s="87"/>
      <c r="S327" s="75">
        <f>ROUND((_xll.HPVAL($G$1,"ACTUAL",$A327,$S$7,"YTD","gpg")/1000),0)</f>
        <v>0</v>
      </c>
      <c r="T327" s="87"/>
      <c r="U327" s="75">
        <f>ROUND((_xll.HPVAL($G$1,"ACTUAL",$A327,$U$7,"YTD","gpg")/1000),0)</f>
        <v>0</v>
      </c>
      <c r="V327" s="87"/>
      <c r="W327" s="75">
        <f>ROUND((_xll.HPVAL($G$1,"ACTUAL",$A327,$W$7,"YTD","gpg")/1000),0)</f>
        <v>0</v>
      </c>
      <c r="X327" s="87"/>
      <c r="Y327" s="75">
        <f>ROUND((_xll.HPVAL($G$1,"ACTUAL",$A327,$Y$7,"YTD","gpg")/1000),0)</f>
        <v>0</v>
      </c>
      <c r="Z327" s="87"/>
      <c r="AA327" s="75">
        <f>ROUND((_xll.HPVAL($G$1,"ACTUAL",$A327,$AA$7,"YTD","gpg")/1000),0)</f>
        <v>0</v>
      </c>
      <c r="AB327" s="77"/>
      <c r="AC327" s="72">
        <f>IF(mo=1,+E327-C327,CHOOSE(mo,E327,G327,I327,K327,M327,O327,Q327,S327,U327,W327,Y327,AA327)-CHOOSE(mo-1,E327,G327,I327,K327,M327,O327,Q327,S327,U327,W327,Y327,AA327))</f>
        <v>0</v>
      </c>
      <c r="AD327" s="70"/>
      <c r="AE327" s="72">
        <f>CHOOSE(mo,E327,G327,I327,K327,M327,O327,Q327,S327,U327,W327,Y327,AA327)-C327</f>
        <v>0</v>
      </c>
      <c r="AF327" s="58"/>
    </row>
    <row r="328" spans="1:35">
      <c r="A328" s="84" t="s">
        <v>464</v>
      </c>
      <c r="B328" s="58" t="str">
        <f>_xll.HPHEA($A328,$G$2)</f>
        <v>PRM liabilities-noncurrent-interco</v>
      </c>
      <c r="C328" s="85">
        <f>ROUND((_xll.HPVAL($G$1,"py1",$A328,$C$7,"YTD","gpg")/1000),0)</f>
        <v>0</v>
      </c>
      <c r="D328" s="78"/>
      <c r="E328" s="85">
        <f>ROUND((_xll.HPVAL($G$1,"ACTUAL",$A328,$E$7,"YTD","gpg")/1000),0)</f>
        <v>0</v>
      </c>
      <c r="F328" s="87"/>
      <c r="G328" s="85">
        <f>ROUND((_xll.HPVAL($G$1,"ACTUAL",$A328,$G$7,"YTD","gpg")/1000),0)</f>
        <v>0</v>
      </c>
      <c r="H328" s="87"/>
      <c r="I328" s="85">
        <f>ROUND((_xll.HPVAL($G$1,"ACTUAL",$A328,$I$7,"YTD","gpg")/1000),0)</f>
        <v>0</v>
      </c>
      <c r="J328" s="87"/>
      <c r="K328" s="85">
        <f>ROUND((_xll.HPVAL($G$1,"ACTUAL",$A328,$K$7,"YTD","gpg")/1000),0)</f>
        <v>0</v>
      </c>
      <c r="L328" s="87"/>
      <c r="M328" s="85">
        <f>ROUND((_xll.HPVAL($G$1,"ACTUAL",$A328,$M$7,"YTD","gpg")/1000),0)</f>
        <v>0</v>
      </c>
      <c r="N328" s="87"/>
      <c r="O328" s="85">
        <f>ROUND((_xll.HPVAL($G$1,"ACTUAL",$A328,$O$7,"YTD","gpg")/1000),0)</f>
        <v>0</v>
      </c>
      <c r="P328" s="87"/>
      <c r="Q328" s="85">
        <f>ROUND((_xll.HPVAL($G$1,"ACTUAL",$A328,$Q$7,"YTD","gpg")/1000),0)</f>
        <v>0</v>
      </c>
      <c r="R328" s="87"/>
      <c r="S328" s="85">
        <f>ROUND((_xll.HPVAL($G$1,"ACTUAL",$A328,$S$7,"YTD","gpg")/1000),0)</f>
        <v>0</v>
      </c>
      <c r="T328" s="87"/>
      <c r="U328" s="85">
        <f>ROUND((_xll.HPVAL($G$1,"ACTUAL",$A328,$U$7,"YTD","gpg")/1000),0)</f>
        <v>0</v>
      </c>
      <c r="V328" s="87"/>
      <c r="W328" s="85">
        <f>ROUND((_xll.HPVAL($G$1,"ACTUAL",$A328,$W$7,"YTD","gpg")/1000),0)</f>
        <v>0</v>
      </c>
      <c r="X328" s="87"/>
      <c r="Y328" s="85">
        <f>ROUND((_xll.HPVAL($G$1,"ACTUAL",$A328,$Y$7,"YTD","gpg")/1000),0)</f>
        <v>0</v>
      </c>
      <c r="Z328" s="87"/>
      <c r="AA328" s="85">
        <f>ROUND((_xll.HPVAL($G$1,"ACTUAL",$A328,$AA$7,"YTD","gpg")/1000),0)</f>
        <v>0</v>
      </c>
      <c r="AB328" s="87"/>
      <c r="AC328" s="270">
        <f>IF(mo=1,+E328-C328,CHOOSE(mo,E328,G328,I328,K328,M328,O328,Q328,S328,U328,W328,Y328,AA328)-CHOOSE(mo-1,E328,G328,I328,K328,M328,O328,Q328,S328,U328,W328,Y328,AA328))</f>
        <v>0</v>
      </c>
      <c r="AD328" s="70"/>
      <c r="AE328" s="270">
        <f>CHOOSE(mo,E328,G328,I328,K328,M328,O328,Q328,S328,U328,W328,Y328,AA328)-C328</f>
        <v>0</v>
      </c>
      <c r="AF328" s="58"/>
    </row>
    <row r="329" spans="1:35" ht="10.8" thickBot="1">
      <c r="A329" s="84" t="s">
        <v>421</v>
      </c>
      <c r="B329" s="58"/>
      <c r="C329" s="88">
        <f>ROUND((_xll.HPVAL($G$1,"py1",$A329,$C$7,"YTD","gpg")/1000),0)</f>
        <v>0</v>
      </c>
      <c r="D329" s="70"/>
      <c r="E329" s="88">
        <f>ROUND((_xll.HPVAL($G$1,"ACTUAL",$A329,$E$7,"YTD","gpg")/1000),0)</f>
        <v>26217</v>
      </c>
      <c r="F329" s="77"/>
      <c r="G329" s="88">
        <f>ROUND((_xll.HPVAL($G$1,"ACTUAL",$A329,$G$7,"YTD","gpg")/1000),0)</f>
        <v>17748</v>
      </c>
      <c r="H329" s="77"/>
      <c r="I329" s="88">
        <f>ROUND((_xll.HPVAL($G$1,"ACTUAL",$A329,$I$7,"YTD","gpg")/1000),0)</f>
        <v>36081</v>
      </c>
      <c r="J329" s="77"/>
      <c r="K329" s="88">
        <f>ROUND((_xll.HPVAL($G$1,"ACTUAL",$A329,$K$7,"YTD","gpg")/1000),0)</f>
        <v>3332</v>
      </c>
      <c r="L329" s="77"/>
      <c r="M329" s="88">
        <f>ROUND((_xll.HPVAL($G$1,"ACTUAL",$A329,$M$7,"YTD","gpg")/1000),0)</f>
        <v>0</v>
      </c>
      <c r="N329" s="77"/>
      <c r="O329" s="88">
        <f>ROUND((_xll.HPVAL($G$1,"ACTUAL",$A329,$O$7,"YTD","gpg")/1000),0)</f>
        <v>0</v>
      </c>
      <c r="P329" s="77"/>
      <c r="Q329" s="88">
        <f>ROUND((_xll.HPVAL($G$1,"ACTUAL",$A329,$Q$7,"YTD","gpg")/1000),0)</f>
        <v>0</v>
      </c>
      <c r="R329" s="77"/>
      <c r="S329" s="88">
        <f>ROUND((_xll.HPVAL($G$1,"ACTUAL",$A329,$S$7,"YTD","gpg")/1000),0)</f>
        <v>0</v>
      </c>
      <c r="T329" s="77"/>
      <c r="U329" s="88">
        <f>ROUND((_xll.HPVAL($G$1,"ACTUAL",$A329,$U$7,"YTD","gpg")/1000),0)</f>
        <v>0</v>
      </c>
      <c r="V329" s="77"/>
      <c r="W329" s="88">
        <f>ROUND((_xll.HPVAL($G$1,"ACTUAL",$A329,$W$7,"YTD","gpg")/1000),0)</f>
        <v>0</v>
      </c>
      <c r="X329" s="77"/>
      <c r="Y329" s="86">
        <f>ROUND((_xll.HPVAL($G$1,"ACTUAL",$A329,$Y$7,"YTD","gpg")/1000),0)</f>
        <v>0</v>
      </c>
      <c r="Z329" s="77"/>
      <c r="AA329" s="88">
        <f>ROUND((_xll.HPVAL($G$1,"ACTUAL",$A329,$AA$7,"YTD","gpg")/1000),0)</f>
        <v>0</v>
      </c>
      <c r="AB329" s="77"/>
      <c r="AC329" s="88">
        <f>SUM(AC327:AC328)</f>
        <v>0</v>
      </c>
      <c r="AD329" s="70"/>
      <c r="AE329" s="88">
        <f>SUM(AE327:AE328)</f>
        <v>0</v>
      </c>
      <c r="AF329" s="58"/>
    </row>
    <row r="330" spans="1:35" ht="11.25" customHeight="1" thickTop="1">
      <c r="A330" s="84"/>
      <c r="B330" s="58"/>
      <c r="C330" s="72"/>
      <c r="D330" s="70"/>
      <c r="E330" s="72"/>
      <c r="F330" s="77"/>
      <c r="G330" s="72"/>
      <c r="H330" s="77"/>
      <c r="I330" s="72"/>
      <c r="J330" s="77"/>
      <c r="K330" s="72"/>
      <c r="L330" s="77"/>
      <c r="M330" s="72"/>
      <c r="N330" s="77"/>
      <c r="O330" s="72"/>
      <c r="P330" s="77"/>
      <c r="Q330" s="72"/>
      <c r="R330" s="77"/>
      <c r="S330" s="72"/>
      <c r="T330" s="77"/>
      <c r="U330" s="72"/>
      <c r="V330" s="77"/>
      <c r="W330" s="72"/>
      <c r="X330" s="77"/>
      <c r="Y330" s="72"/>
      <c r="Z330" s="77"/>
      <c r="AA330" s="72"/>
      <c r="AB330" s="77"/>
      <c r="AC330" s="72"/>
      <c r="AD330" s="70"/>
      <c r="AE330" s="72"/>
      <c r="AF330" s="60"/>
      <c r="AH330" s="13"/>
      <c r="AI330" s="13"/>
    </row>
    <row r="331" spans="1:35">
      <c r="A331" s="84" t="s">
        <v>380</v>
      </c>
      <c r="B331" s="58" t="str">
        <f>_xll.HPHEA($A331,$G$2)</f>
        <v>Deferred credits - other (DP)</v>
      </c>
      <c r="C331" s="58">
        <f>ROUND((_xll.HPVAL($G$1,"py1",$A331,$C$7,"YTD","gpg")/1000),0)</f>
        <v>2663</v>
      </c>
      <c r="D331" s="70" t="s">
        <v>481</v>
      </c>
      <c r="E331" s="58">
        <f>ROUND((_xll.HPVAL($G$1,"ACTUAL",$A331,$E$7,"YTD","gpg")/1000),0)</f>
        <v>2640</v>
      </c>
      <c r="F331" s="73" t="s">
        <v>249</v>
      </c>
      <c r="G331" s="58">
        <f>ROUND((_xll.HPVAL($G$1,"ACTUAL",$A331,$G$7,"YTD","gpg")/1000),0)</f>
        <v>2616</v>
      </c>
      <c r="H331" s="73"/>
      <c r="I331" s="58">
        <f>ROUND((_xll.HPVAL($G$1,"ACTUAL",$A331,$I$7,"YTD","gpg")/1000),0)</f>
        <v>2592</v>
      </c>
      <c r="J331" s="73"/>
      <c r="K331" s="58">
        <f>ROUND((_xll.HPVAL($G$1,"ACTUAL",$A331,$K$7,"YTD","gpg")/1000),0)</f>
        <v>2568</v>
      </c>
      <c r="L331" s="73"/>
      <c r="M331" s="58">
        <f>ROUND((_xll.HPVAL($G$1,"ACTUAL",$A331,$M$7,"YTD","gpg")/1000),0)</f>
        <v>2544</v>
      </c>
      <c r="N331" s="73"/>
      <c r="O331" s="58">
        <f>ROUND((_xll.HPVAL($G$1,"ACTUAL",$A331,$O$7,"YTD","gpg")/1000),0)</f>
        <v>2521</v>
      </c>
      <c r="P331" s="73"/>
      <c r="Q331" s="58">
        <f>ROUND((_xll.HPVAL($G$1,"ACTUAL",$A331,$Q$7,"YTD","gpg")/1000),0)</f>
        <v>2497</v>
      </c>
      <c r="R331" s="73"/>
      <c r="S331" s="58">
        <f>ROUND((_xll.HPVAL($G$1,"ACTUAL",$A331,$S$7,"YTD","gpg")/1000),0)</f>
        <v>2473</v>
      </c>
      <c r="T331" s="73"/>
      <c r="U331" s="58">
        <f>ROUND((_xll.HPVAL($G$1,"ACTUAL",$A331,$U$7,"YTD","gpg")/1000),0)</f>
        <v>0</v>
      </c>
      <c r="V331" s="73"/>
      <c r="W331" s="58">
        <f>ROUND((_xll.HPVAL($G$1,"ACTUAL",$A331,$W$7,"YTD","gpg")/1000),0)</f>
        <v>0</v>
      </c>
      <c r="X331" s="73"/>
      <c r="Y331" s="58">
        <f>ROUND((_xll.HPVAL($G$1,"ACTUAL",$A331,$Y$7,"YTD","gpg")/1000),0)</f>
        <v>0</v>
      </c>
      <c r="Z331" s="73"/>
      <c r="AA331" s="58">
        <f>ROUND((_xll.HPVAL($G$1,"ACTUAL",$A331,$AA$7,"YTD","gpg")/1000),0)</f>
        <v>0</v>
      </c>
      <c r="AB331" s="73"/>
      <c r="AC331" s="58">
        <f>IF(mo=1,+E331-C331,CHOOSE(mo,E331,G331,I331,K331,M331,O331,Q331,S331,U331,W331,Y331,AA331)-CHOOSE(mo-1,E331,G331,I331,K331,M331,O331,Q331,S331,U331,W331,Y331,AA331))</f>
        <v>-24</v>
      </c>
      <c r="AD331" s="70"/>
      <c r="AE331" s="58">
        <f>CHOOSE(mo,E331,G331,I331,K331,M331,O331,Q331,S331,U331,W331,Y331,AA331)-C331</f>
        <v>-190</v>
      </c>
      <c r="AF331" s="58"/>
    </row>
    <row r="332" spans="1:35">
      <c r="A332" s="84"/>
      <c r="B332" s="58" t="s">
        <v>214</v>
      </c>
      <c r="C332" s="85">
        <f>+C333-SUM(C331:C331)</f>
        <v>0</v>
      </c>
      <c r="D332" s="70"/>
      <c r="E332" s="85">
        <f>+E333-SUM(E331:E331)</f>
        <v>0</v>
      </c>
      <c r="F332" s="77"/>
      <c r="G332" s="85">
        <f>+G333-SUM(G331:G331)</f>
        <v>0</v>
      </c>
      <c r="H332" s="77"/>
      <c r="I332" s="85">
        <f>+I333-SUM(I331:I331)</f>
        <v>0</v>
      </c>
      <c r="J332" s="77"/>
      <c r="K332" s="85">
        <f>+K333-SUM(K331:K331)</f>
        <v>0</v>
      </c>
      <c r="L332" s="77"/>
      <c r="M332" s="85">
        <f>+M333-SUM(M331:M331)</f>
        <v>0</v>
      </c>
      <c r="N332" s="77"/>
      <c r="O332" s="85">
        <f>+O333-SUM(O331:O331)</f>
        <v>0</v>
      </c>
      <c r="P332" s="77"/>
      <c r="Q332" s="85">
        <f>+Q333-SUM(Q331:Q331)</f>
        <v>0</v>
      </c>
      <c r="R332" s="77"/>
      <c r="S332" s="85">
        <f>+S333-SUM(S331:S331)</f>
        <v>0</v>
      </c>
      <c r="T332" s="77"/>
      <c r="U332" s="85">
        <f>+U333-SUM(U331:U331)</f>
        <v>0</v>
      </c>
      <c r="V332" s="77"/>
      <c r="W332" s="85">
        <f>+W333-SUM(W331:W331)</f>
        <v>0</v>
      </c>
      <c r="X332" s="77"/>
      <c r="Y332" s="85">
        <f>+Y333-SUM(Y331:Y331)</f>
        <v>0</v>
      </c>
      <c r="Z332" s="77"/>
      <c r="AA332" s="85">
        <f>+AA333-SUM(AA331:AA331)</f>
        <v>0</v>
      </c>
      <c r="AB332" s="77"/>
      <c r="AC332" s="85">
        <f>IF(mo=1,+E332-C332,CHOOSE(mo,E332,G332,I332,K332,M332,O332,Q332,S332,U332,W332,Y332,AA332)-CHOOSE(mo-1,E332,G332,I332,K332,M332,O332,Q332,S332,U332,W332,Y332,AA332))</f>
        <v>0</v>
      </c>
      <c r="AD332" s="70"/>
      <c r="AE332" s="85">
        <f>CHOOSE(mo,E332,G332,I332,K332,M332,O332,Q332,S332,U332,W332,Y332,AA332)-C332</f>
        <v>0</v>
      </c>
      <c r="AF332" s="58"/>
    </row>
    <row r="333" spans="1:35">
      <c r="A333" s="84" t="s">
        <v>193</v>
      </c>
      <c r="B333" s="58"/>
      <c r="C333" s="75">
        <f>ROUND((_xll.HPVAL($G$1,"py1",$A333,$C$7,"YTD","gpg")/1000),0)</f>
        <v>2663</v>
      </c>
      <c r="D333" s="70"/>
      <c r="E333" s="75">
        <f>ROUND((_xll.HPVAL($G$1,"ACTUAL",$A333,$E$7,"YTD","gpg")/1000),0)</f>
        <v>2640</v>
      </c>
      <c r="F333" s="77"/>
      <c r="G333" s="75">
        <f>ROUND((_xll.HPVAL($G$1,"ACTUAL",$A333,$G$7,"YTD","gpg")/1000),0)</f>
        <v>2616</v>
      </c>
      <c r="H333" s="77"/>
      <c r="I333" s="75">
        <f>ROUND((_xll.HPVAL($G$1,"ACTUAL",$A333,$I$7,"YTD","gpg")/1000),0)</f>
        <v>2592</v>
      </c>
      <c r="J333" s="77"/>
      <c r="K333" s="75">
        <f>ROUND((_xll.HPVAL($G$1,"ACTUAL",$A333,$K$7,"YTD","gpg")/1000),0)</f>
        <v>2568</v>
      </c>
      <c r="L333" s="77"/>
      <c r="M333" s="75">
        <f>ROUND((_xll.HPVAL($G$1,"ACTUAL",$A333,$M$7,"YTD","gpg")/1000),0)</f>
        <v>2544</v>
      </c>
      <c r="N333" s="77"/>
      <c r="O333" s="75">
        <f>ROUND((_xll.HPVAL($G$1,"ACTUAL",$A333,$O$7,"YTD","gpg")/1000),0)</f>
        <v>2521</v>
      </c>
      <c r="P333" s="77"/>
      <c r="Q333" s="75">
        <f>ROUND((_xll.HPVAL($G$1,"ACTUAL",$A333,$Q$7,"YTD","gpg")/1000),0)</f>
        <v>2497</v>
      </c>
      <c r="R333" s="77"/>
      <c r="S333" s="75">
        <f>ROUND((_xll.HPVAL($G$1,"ACTUAL",$A333,$S$7,"YTD","gpg")/1000),0)</f>
        <v>2473</v>
      </c>
      <c r="T333" s="77"/>
      <c r="U333" s="75">
        <f>ROUND((_xll.HPVAL($G$1,"ACTUAL",$A333,$U$7,"YTD","gpg")/1000),0)</f>
        <v>0</v>
      </c>
      <c r="V333" s="77"/>
      <c r="W333" s="75">
        <f>ROUND((_xll.HPVAL($G$1,"ACTUAL",$A333,$W$7,"YTD","gpg")/1000),0)</f>
        <v>0</v>
      </c>
      <c r="X333" s="77"/>
      <c r="Y333" s="75">
        <f>ROUND((_xll.HPVAL($G$1,"ACTUAL",$A333,$Y$7,"YTD","gpg")/1000),0)</f>
        <v>0</v>
      </c>
      <c r="Z333" s="77"/>
      <c r="AA333" s="75">
        <f>ROUND((_xll.HPVAL($G$1,"ACTUAL",$A333,$AA$7,"YTD","gpg")/1000),0)</f>
        <v>0</v>
      </c>
      <c r="AB333" s="77"/>
      <c r="AC333" s="75">
        <f>SUM(AC331:AC332)</f>
        <v>-24</v>
      </c>
      <c r="AD333" s="70"/>
      <c r="AE333" s="75">
        <f>SUM(AE331:AE332)</f>
        <v>-190</v>
      </c>
      <c r="AF333" s="58"/>
    </row>
    <row r="334" spans="1:35" s="10" customFormat="1">
      <c r="A334" s="95"/>
      <c r="B334" s="95" t="s">
        <v>167</v>
      </c>
      <c r="C334" s="91">
        <v>-2</v>
      </c>
      <c r="D334" s="70"/>
      <c r="E334" s="91">
        <v>-5</v>
      </c>
      <c r="F334" s="92"/>
      <c r="G334" s="91">
        <v>-2</v>
      </c>
      <c r="H334" s="92"/>
      <c r="I334" s="91">
        <v>0</v>
      </c>
      <c r="J334" s="92"/>
      <c r="K334" s="91">
        <v>4</v>
      </c>
      <c r="L334" s="92"/>
      <c r="M334" s="91">
        <v>-2</v>
      </c>
      <c r="N334" s="92"/>
      <c r="O334" s="91">
        <v>-1</v>
      </c>
      <c r="P334" s="92"/>
      <c r="Q334" s="91">
        <v>0</v>
      </c>
      <c r="R334" s="92"/>
      <c r="S334" s="91">
        <v>1</v>
      </c>
      <c r="T334" s="92"/>
      <c r="U334" s="91">
        <v>0</v>
      </c>
      <c r="V334" s="92"/>
      <c r="W334" s="91">
        <v>0</v>
      </c>
      <c r="X334" s="92"/>
      <c r="Y334" s="91">
        <v>0</v>
      </c>
      <c r="Z334" s="92"/>
      <c r="AA334" s="91">
        <v>0</v>
      </c>
      <c r="AB334" s="92"/>
      <c r="AC334" s="58">
        <f>IF(mo=1,+E334-C334,CHOOSE(mo,E334,G334,I334,K334,M334,O334,Q334,S334,U334,W334,Y334,AA334)-CHOOSE(mo-1,E334,G334,I334,K334,M334,O334,Q334,S334,U334,W334,Y334,AA334))</f>
        <v>1</v>
      </c>
      <c r="AD334" s="70"/>
      <c r="AE334" s="85">
        <f>CHOOSE(mo,E334,G334,I334,K334,M334,O334,Q334,S334,U334,W334,Y334,AA334)-C334</f>
        <v>3</v>
      </c>
      <c r="AF334" s="96"/>
      <c r="AG334" s="5"/>
    </row>
    <row r="335" spans="1:35" s="10" customFormat="1" ht="15" customHeight="1" thickBot="1">
      <c r="A335" s="95"/>
      <c r="B335" s="60" t="s">
        <v>216</v>
      </c>
      <c r="C335" s="86">
        <f>SUM(C333:C334)</f>
        <v>2661</v>
      </c>
      <c r="D335" s="70"/>
      <c r="E335" s="86">
        <f>SUM(E333:E334)</f>
        <v>2635</v>
      </c>
      <c r="F335" s="92"/>
      <c r="G335" s="86">
        <f>SUM(G333:G334)</f>
        <v>2614</v>
      </c>
      <c r="H335" s="92"/>
      <c r="I335" s="86">
        <f>SUM(I333:I334)</f>
        <v>2592</v>
      </c>
      <c r="J335" s="92"/>
      <c r="K335" s="86">
        <f>SUM(K333:K334)</f>
        <v>2572</v>
      </c>
      <c r="L335" s="92"/>
      <c r="M335" s="86">
        <f>SUM(M333:M334)</f>
        <v>2542</v>
      </c>
      <c r="N335" s="92"/>
      <c r="O335" s="86">
        <f>SUM(O333:O334)</f>
        <v>2520</v>
      </c>
      <c r="P335" s="92"/>
      <c r="Q335" s="86">
        <f>SUM(Q333:Q334)</f>
        <v>2497</v>
      </c>
      <c r="R335" s="92"/>
      <c r="S335" s="86">
        <f>SUM(S333:S334)</f>
        <v>2474</v>
      </c>
      <c r="T335" s="92"/>
      <c r="U335" s="86">
        <f>SUM(U333:U334)</f>
        <v>0</v>
      </c>
      <c r="V335" s="92"/>
      <c r="W335" s="86">
        <f>SUM(W333:W334)</f>
        <v>0</v>
      </c>
      <c r="X335" s="92"/>
      <c r="Y335" s="86">
        <f>SUM(Y333:Y334)</f>
        <v>0</v>
      </c>
      <c r="Z335" s="92"/>
      <c r="AA335" s="86">
        <f>SUM(AA333:AA334)</f>
        <v>0</v>
      </c>
      <c r="AB335" s="92"/>
      <c r="AC335" s="88">
        <f>SUM(AC333:AC334)</f>
        <v>-23</v>
      </c>
      <c r="AD335" s="70"/>
      <c r="AE335" s="86">
        <f>SUM(AE333:AE334)</f>
        <v>-187</v>
      </c>
      <c r="AF335" s="96"/>
      <c r="AG335" s="5"/>
    </row>
    <row r="336" spans="1:35" ht="10.8" thickTop="1">
      <c r="A336" s="58"/>
      <c r="B336" s="58"/>
      <c r="C336" s="58"/>
      <c r="D336" s="70"/>
      <c r="E336" s="58"/>
      <c r="F336" s="73"/>
      <c r="G336" s="58"/>
      <c r="H336" s="73"/>
      <c r="I336" s="58"/>
      <c r="J336" s="73"/>
      <c r="K336" s="58"/>
      <c r="L336" s="73"/>
      <c r="M336" s="58"/>
      <c r="N336" s="73"/>
      <c r="O336" s="58"/>
      <c r="P336" s="73"/>
      <c r="Q336" s="58"/>
      <c r="R336" s="73"/>
      <c r="S336" s="58"/>
      <c r="T336" s="73"/>
      <c r="U336" s="58"/>
      <c r="V336" s="73"/>
      <c r="W336" s="58"/>
      <c r="X336" s="73"/>
      <c r="Y336" s="58"/>
      <c r="Z336" s="73"/>
      <c r="AA336" s="58"/>
      <c r="AB336" s="73"/>
      <c r="AC336" s="58"/>
      <c r="AD336" s="70"/>
      <c r="AE336" s="58"/>
      <c r="AF336" s="58"/>
    </row>
    <row r="337" spans="1:35" s="13" customFormat="1" ht="15" customHeight="1" thickBot="1">
      <c r="A337" s="60" t="s">
        <v>261</v>
      </c>
      <c r="B337" s="60"/>
      <c r="C337" s="86">
        <f>+C325+C335+C329</f>
        <v>241363</v>
      </c>
      <c r="D337" s="70"/>
      <c r="E337" s="86">
        <f>+E325+E335+E329</f>
        <v>267704</v>
      </c>
      <c r="F337" s="72"/>
      <c r="G337" s="86">
        <f>+G325+G335+G329</f>
        <v>259306</v>
      </c>
      <c r="H337" s="72"/>
      <c r="I337" s="86">
        <f>+I325+I335+I329</f>
        <v>258893</v>
      </c>
      <c r="J337" s="72"/>
      <c r="K337" s="86">
        <f>+K325+K335+K329</f>
        <v>231979</v>
      </c>
      <c r="L337" s="72"/>
      <c r="M337" s="86">
        <f>+M325+M335+M329</f>
        <v>235286</v>
      </c>
      <c r="N337" s="72"/>
      <c r="O337" s="86">
        <f>+O325+O335+O329</f>
        <v>237838</v>
      </c>
      <c r="P337" s="72"/>
      <c r="Q337" s="86">
        <f>+Q325+Q335+Q329</f>
        <v>238081</v>
      </c>
      <c r="R337" s="72"/>
      <c r="S337" s="86">
        <f>+S325+S335+S329</f>
        <v>238058</v>
      </c>
      <c r="T337" s="72"/>
      <c r="U337" s="86">
        <f>+U325+U335+U329</f>
        <v>0</v>
      </c>
      <c r="V337" s="72"/>
      <c r="W337" s="86">
        <f>+W325+W335+W329</f>
        <v>0</v>
      </c>
      <c r="X337" s="72"/>
      <c r="Y337" s="86">
        <f>+Y325+Y335+Y329</f>
        <v>0</v>
      </c>
      <c r="Z337" s="72"/>
      <c r="AA337" s="86">
        <f>+AA325+AA335+AA329</f>
        <v>0</v>
      </c>
      <c r="AB337" s="72"/>
      <c r="AC337" s="86">
        <f>+AC325+AC335+AC329</f>
        <v>-23</v>
      </c>
      <c r="AD337" s="70"/>
      <c r="AE337" s="86">
        <f>+AE325+AE335+AE329</f>
        <v>-3305</v>
      </c>
      <c r="AF337" s="72"/>
      <c r="AG337" s="5"/>
      <c r="AH337" s="17"/>
      <c r="AI337" s="17"/>
    </row>
    <row r="338" spans="1:35" ht="10.8" thickTop="1">
      <c r="A338" s="58"/>
      <c r="B338" s="58"/>
      <c r="C338" s="58"/>
      <c r="D338" s="70"/>
      <c r="E338" s="58"/>
      <c r="F338" s="73"/>
      <c r="G338" s="58"/>
      <c r="H338" s="73"/>
      <c r="I338" s="58"/>
      <c r="J338" s="73"/>
      <c r="K338" s="58"/>
      <c r="L338" s="73"/>
      <c r="M338" s="58"/>
      <c r="N338" s="73"/>
      <c r="O338" s="58"/>
      <c r="P338" s="73"/>
      <c r="Q338" s="58"/>
      <c r="R338" s="73"/>
      <c r="S338" s="58"/>
      <c r="T338" s="73"/>
      <c r="U338" s="58"/>
      <c r="V338" s="73"/>
      <c r="W338" s="58"/>
      <c r="X338" s="73"/>
      <c r="Y338" s="58"/>
      <c r="Z338" s="73"/>
      <c r="AA338" s="58"/>
      <c r="AB338" s="73"/>
      <c r="AC338" s="58"/>
      <c r="AD338" s="70"/>
      <c r="AE338" s="58"/>
      <c r="AF338" s="75"/>
      <c r="AH338" s="9"/>
      <c r="AI338" s="9"/>
    </row>
    <row r="339" spans="1:35">
      <c r="A339" s="84" t="s">
        <v>381</v>
      </c>
      <c r="B339" s="58" t="str">
        <f>_xll.HPHEA($A339,$G$2)</f>
        <v>Notes payable - intercompany</v>
      </c>
      <c r="C339" s="58">
        <f>ROUND((_xll.HPVAL($G$1,"py1",$A339,$C$7,"YTD","gpg")/1000),0)</f>
        <v>150000</v>
      </c>
      <c r="D339" s="70"/>
      <c r="E339" s="58">
        <f>ROUND((_xll.HPVAL($G$1,"ACTUAL",$A339,$E$7,"YTD","gpg")/1000),0)</f>
        <v>150000</v>
      </c>
      <c r="F339" s="73"/>
      <c r="G339" s="58">
        <f>ROUND((_xll.HPVAL($G$1,"ACTUAL",$A339,$G$7,"YTD","gpg")/1000),0)</f>
        <v>150000</v>
      </c>
      <c r="H339" s="73"/>
      <c r="I339" s="58">
        <f>ROUND((_xll.HPVAL($G$1,"ACTUAL",$A339,$I$7,"YTD","gpg")/1000),0)</f>
        <v>150000</v>
      </c>
      <c r="J339" s="73"/>
      <c r="K339" s="58">
        <f>ROUND((_xll.HPVAL($G$1,"ACTUAL",$A339,$K$7,"YTD","gpg")/1000),0)</f>
        <v>150000</v>
      </c>
      <c r="L339" s="73"/>
      <c r="M339" s="58">
        <f>ROUND((_xll.HPVAL($G$1,"ACTUAL",$A339,$M$7,"YTD","gpg")/1000),0)</f>
        <v>150000</v>
      </c>
      <c r="N339" s="73"/>
      <c r="O339" s="58">
        <f>ROUND((_xll.HPVAL($G$1,"ACTUAL",$A339,$O$7,"YTD","gpg")/1000),0)</f>
        <v>0</v>
      </c>
      <c r="P339" s="73" t="s">
        <v>250</v>
      </c>
      <c r="Q339" s="58">
        <f>ROUND((_xll.HPVAL($G$1,"ACTUAL",$A339,$Q$7,"YTD","gpg")/1000),0)</f>
        <v>0</v>
      </c>
      <c r="R339" s="73"/>
      <c r="S339" s="58">
        <f>ROUND((_xll.HPVAL($G$1,"ACTUAL",$A339,$S$7,"YTD","gpg")/1000),0)</f>
        <v>0</v>
      </c>
      <c r="T339" s="73"/>
      <c r="U339" s="58">
        <f>ROUND((_xll.HPVAL($G$1,"ACTUAL",$A339,$U$7,"YTD","gpg")/1000),0)</f>
        <v>0</v>
      </c>
      <c r="V339" s="73"/>
      <c r="W339" s="58">
        <f>ROUND((_xll.HPVAL($G$1,"ACTUAL",$A339,$W$7,"YTD","gpg")/1000),0)</f>
        <v>0</v>
      </c>
      <c r="X339" s="73"/>
      <c r="Y339" s="58">
        <f>ROUND((_xll.HPVAL($G$1,"ACTUAL",$A339,$Y$7,"YTD","gpg")/1000),0)</f>
        <v>0</v>
      </c>
      <c r="Z339" s="73"/>
      <c r="AA339" s="58">
        <f>ROUND((_xll.HPVAL($G$1,"ACTUAL",$A339,$AA$7,"YTD","gpg")/1000),0)</f>
        <v>0</v>
      </c>
      <c r="AB339" s="73"/>
      <c r="AC339" s="58">
        <f>IF(mo=1,+E339-C339,CHOOSE(mo,E339,G339,I339,K339,M339,O339,Q339,S339,U339,W339,Y339,AA339)-CHOOSE(mo-1,E339,G339,I339,K339,M339,O339,Q339,S339,U339,W339,Y339,AA339))</f>
        <v>0</v>
      </c>
      <c r="AD339" s="70"/>
      <c r="AE339" s="58">
        <f>CHOOSE(mo,E339,G339,I339,K339,M339,O339,Q339,S339,U339,W339,Y339,AA339)-C339</f>
        <v>-150000</v>
      </c>
      <c r="AF339" s="58"/>
    </row>
    <row r="340" spans="1:35">
      <c r="A340" s="84" t="s">
        <v>382</v>
      </c>
      <c r="B340" s="58" t="str">
        <f>_xll.HPHEA($A340,$G$2)</f>
        <v>Long term debt - other</v>
      </c>
      <c r="C340" s="58">
        <f>ROUND((_xll.HPVAL($G$1,"py1",$A340,$C$7,"YTD","gpg")/1000),0)</f>
        <v>15450</v>
      </c>
      <c r="D340" s="70"/>
      <c r="E340" s="58">
        <f>ROUND((_xll.HPVAL($G$1,"ACTUAL",$A340,$E$7,"YTD","gpg")/1000),0)</f>
        <v>15450</v>
      </c>
      <c r="F340" s="73"/>
      <c r="G340" s="58">
        <f>ROUND((_xll.HPVAL($G$1,"ACTUAL",$A340,$G$7,"YTD","gpg")/1000),0)</f>
        <v>15450</v>
      </c>
      <c r="H340" s="73"/>
      <c r="I340" s="58">
        <f>ROUND((_xll.HPVAL($G$1,"ACTUAL",$A340,$I$7,"YTD","gpg")/1000),0)</f>
        <v>15450</v>
      </c>
      <c r="J340" s="73"/>
      <c r="K340" s="58">
        <f>ROUND((_xll.HPVAL($G$1,"ACTUAL",$A340,$K$7,"YTD","gpg")/1000),0)</f>
        <v>15450</v>
      </c>
      <c r="L340" s="73"/>
      <c r="M340" s="58">
        <f>ROUND((_xll.HPVAL($G$1,"ACTUAL",$A340,$M$7,"YTD","gpg")/1000),0)</f>
        <v>15450</v>
      </c>
      <c r="N340" s="73"/>
      <c r="O340" s="58">
        <f>ROUND((_xll.HPVAL($G$1,"ACTUAL",$A340,$O$7,"YTD","gpg")/1000),0)</f>
        <v>15450</v>
      </c>
      <c r="P340" s="73"/>
      <c r="Q340" s="58">
        <f>ROUND((_xll.HPVAL($G$1,"ACTUAL",$A340,$Q$7,"YTD","gpg")/1000),0)</f>
        <v>15450</v>
      </c>
      <c r="R340" s="73"/>
      <c r="S340" s="58">
        <f>ROUND((_xll.HPVAL($G$1,"ACTUAL",$A340,$S$7,"YTD","gpg")/1000),0)</f>
        <v>15450</v>
      </c>
      <c r="T340" s="73"/>
      <c r="U340" s="58">
        <f>ROUND((_xll.HPVAL($G$1,"ACTUAL",$A340,$U$7,"YTD","gpg")/1000),0)</f>
        <v>0</v>
      </c>
      <c r="V340" s="73"/>
      <c r="W340" s="58">
        <f>ROUND((_xll.HPVAL($G$1,"ACTUAL",$A340,$W$7,"YTD","gpg")/1000),0)</f>
        <v>0</v>
      </c>
      <c r="X340" s="73"/>
      <c r="Y340" s="58">
        <f>ROUND((_xll.HPVAL($G$1,"ACTUAL",$A340,$Y$7,"YTD","gpg")/1000),0)</f>
        <v>0</v>
      </c>
      <c r="Z340" s="73"/>
      <c r="AA340" s="58">
        <f>ROUND((_xll.HPVAL($G$1,"ACTUAL",$A340,$AA$7,"YTD","gpg")/1000),0)</f>
        <v>0</v>
      </c>
      <c r="AB340" s="73"/>
      <c r="AC340" s="58">
        <f>IF(mo=1,+E340-C340,CHOOSE(mo,E340,G340,I340,K340,M340,O340,Q340,S340,U340,W340,Y340,AA340)-CHOOSE(mo-1,E340,G340,I340,K340,M340,O340,Q340,S340,U340,W340,Y340,AA340))</f>
        <v>0</v>
      </c>
      <c r="AD340" s="70"/>
      <c r="AE340" s="58">
        <f>CHOOSE(mo,E340,G340,I340,K340,M340,O340,Q340,S340,U340,W340,Y340,AA340)-C340</f>
        <v>0</v>
      </c>
      <c r="AF340" s="58"/>
    </row>
    <row r="341" spans="1:35">
      <c r="A341" s="84" t="s">
        <v>395</v>
      </c>
      <c r="B341" s="58" t="str">
        <f>_xll.HPHEA($A341,$G$2)</f>
        <v>Current maturities of LT debt - contra</v>
      </c>
      <c r="C341" s="75">
        <f>ROUND((_xll.HPVAL($G$1,"py1",$A341,$C$7,"YTD","gpg")/1000),0)</f>
        <v>-3850</v>
      </c>
      <c r="D341" s="70"/>
      <c r="E341" s="75">
        <f>ROUND((_xll.HPVAL($G$1,"ACTUAL",$A341,$E$7,"YTD","gpg")/1000),0)</f>
        <v>-3850</v>
      </c>
      <c r="F341" s="77"/>
      <c r="G341" s="75">
        <f>ROUND((_xll.HPVAL($G$1,"ACTUAL",$A341,$G$7,"YTD","gpg")/1000),0)</f>
        <v>-3850</v>
      </c>
      <c r="H341" s="77"/>
      <c r="I341" s="75">
        <f>ROUND((_xll.HPVAL($G$1,"ACTUAL",$A341,$I$7,"YTD","gpg")/1000),0)</f>
        <v>-3850</v>
      </c>
      <c r="J341" s="77"/>
      <c r="K341" s="75">
        <f>ROUND((_xll.HPVAL($G$1,"ACTUAL",$A341,$K$7,"YTD","gpg")/1000),0)</f>
        <v>-3850</v>
      </c>
      <c r="L341" s="77"/>
      <c r="M341" s="75">
        <f>ROUND((_xll.HPVAL($G$1,"ACTUAL",$A341,$M$7,"YTD","gpg")/1000),0)</f>
        <v>-3850</v>
      </c>
      <c r="N341" s="77"/>
      <c r="O341" s="75">
        <f>ROUND((_xll.HPVAL($G$1,"ACTUAL",$A341,$O$7,"YTD","gpg")/1000),0)</f>
        <v>-3850</v>
      </c>
      <c r="P341" s="77"/>
      <c r="Q341" s="75">
        <f>ROUND((_xll.HPVAL($G$1,"ACTUAL",$A341,$Q$7,"YTD","gpg")/1000),0)</f>
        <v>-3850</v>
      </c>
      <c r="R341" s="77"/>
      <c r="S341" s="75">
        <f>ROUND((_xll.HPVAL($G$1,"ACTUAL",$A341,$S$7,"YTD","gpg")/1000),0)</f>
        <v>-3850</v>
      </c>
      <c r="T341" s="77"/>
      <c r="U341" s="75">
        <f>ROUND((_xll.HPVAL($G$1,"ACTUAL",$A341,$U$7,"YTD","gpg")/1000),0)</f>
        <v>0</v>
      </c>
      <c r="V341" s="77"/>
      <c r="W341" s="75">
        <f>ROUND((_xll.HPVAL($G$1,"ACTUAL",$A341,$W$7,"YTD","gpg")/1000),0)</f>
        <v>0</v>
      </c>
      <c r="X341" s="77"/>
      <c r="Y341" s="75">
        <f>ROUND((_xll.HPVAL($G$1,"ACTUAL",$A341,$Y$7,"YTD","gpg")/1000),0)</f>
        <v>0</v>
      </c>
      <c r="Z341" s="77"/>
      <c r="AA341" s="75">
        <f>ROUND((_xll.HPVAL($G$1,"ACTUAL",$A341,$AA$7,"YTD","gpg")/1000),0)</f>
        <v>0</v>
      </c>
      <c r="AB341" s="77"/>
      <c r="AC341" s="75">
        <f>IF(mo=1,+E341-C341,CHOOSE(mo,E341,G341,I341,K341,M341,O341,Q341,S341,U341,W341,Y341,AA341)-CHOOSE(mo-1,E341,G341,I341,K341,M341,O341,Q341,S341,U341,W341,Y341,AA341))</f>
        <v>0</v>
      </c>
      <c r="AD341" s="70"/>
      <c r="AE341" s="75">
        <f>CHOOSE(mo,E341,G341,I341,K341,M341,O341,Q341,S341,U341,W341,Y341,AA341)-C341</f>
        <v>0</v>
      </c>
      <c r="AF341" s="75"/>
    </row>
    <row r="342" spans="1:35">
      <c r="A342" s="84"/>
      <c r="B342" s="58" t="s">
        <v>214</v>
      </c>
      <c r="C342" s="85">
        <f>+C343-SUM(C339:C341)</f>
        <v>0</v>
      </c>
      <c r="D342" s="70"/>
      <c r="E342" s="85">
        <f>+E343-SUM(E339:E341)</f>
        <v>0</v>
      </c>
      <c r="F342" s="77"/>
      <c r="G342" s="85">
        <f>+G343-SUM(G339:G341)</f>
        <v>0</v>
      </c>
      <c r="H342" s="77"/>
      <c r="I342" s="85">
        <f>+I343-SUM(I339:I341)</f>
        <v>0</v>
      </c>
      <c r="J342" s="77"/>
      <c r="K342" s="85">
        <f>+K343-SUM(K339:K341)</f>
        <v>0</v>
      </c>
      <c r="L342" s="77"/>
      <c r="M342" s="85">
        <f>+M343-SUM(M339:M341)</f>
        <v>0</v>
      </c>
      <c r="N342" s="77"/>
      <c r="O342" s="85">
        <f>+O343-SUM(O339:O341)</f>
        <v>0</v>
      </c>
      <c r="P342" s="77"/>
      <c r="Q342" s="85">
        <f>+Q343-SUM(Q339:Q341)</f>
        <v>0</v>
      </c>
      <c r="R342" s="77"/>
      <c r="S342" s="85">
        <f>+S343-SUM(S339:S341)</f>
        <v>0</v>
      </c>
      <c r="T342" s="77"/>
      <c r="U342" s="85">
        <f>+U343-SUM(U339:U341)</f>
        <v>0</v>
      </c>
      <c r="V342" s="77"/>
      <c r="W342" s="85">
        <f>+W343-SUM(W339:W341)</f>
        <v>0</v>
      </c>
      <c r="X342" s="77"/>
      <c r="Y342" s="85">
        <f>+Y343-SUM(Y339:Y341)</f>
        <v>0</v>
      </c>
      <c r="Z342" s="77"/>
      <c r="AA342" s="85">
        <f>+AA343-SUM(AA339:AA341)</f>
        <v>0</v>
      </c>
      <c r="AB342" s="77"/>
      <c r="AC342" s="85">
        <f>IF(mo=1,+E342-C342,CHOOSE(mo,E342,G342,I342,K342,M342,O342,Q342,S342,U342,W342,Y342,AA342)-CHOOSE(mo-1,E342,G342,I342,K342,M342,O342,Q342,S342,U342,W342,Y342,AA342))</f>
        <v>0</v>
      </c>
      <c r="AD342" s="70"/>
      <c r="AE342" s="85">
        <f>CHOOSE(mo,E342,G342,I342,K342,M342,O342,Q342,S342,U342,W342,Y342,AA342)-C342</f>
        <v>0</v>
      </c>
      <c r="AF342" s="75"/>
    </row>
    <row r="343" spans="1:35" s="13" customFormat="1" ht="15" customHeight="1" thickBot="1">
      <c r="A343" s="60"/>
      <c r="B343" s="97" t="s">
        <v>262</v>
      </c>
      <c r="C343" s="86">
        <f>ROUND((_xll.HPVAL($G$1,"py1","0661",$C$7,"YTD","gpg")/1000),0)+ROUND((_xll.HPVAL($G$1,"py1","0705",$C$7,"YTD","gpg")/1000),0)+ROUND((_xll.HPVAL($G$1,"py1","0775",$C$7,"YTD","gpg")/1000),0)</f>
        <v>161600</v>
      </c>
      <c r="D343" s="70"/>
      <c r="E343" s="86">
        <f>ROUND((_xll.HPVAL($G$1,"actual","0661",E7,"YTD","gpg")/1000),0)+ROUND((_xll.HPVAL($G$1,"actual","0705",E7,"YTD","gpg")/1000),0)+ROUND((_xll.HPVAL($G$1,"actual","0775",E7,"YTD","gpg")/1000),0)</f>
        <v>161600</v>
      </c>
      <c r="F343" s="72"/>
      <c r="G343" s="86">
        <f>ROUND((_xll.HPVAL($G$1,"actual","0661",G7,"YTD","gpg")/1000),0)+ROUND((_xll.HPVAL($G$1,"actual","0705",G7,"YTD","gpg")/1000),0)+ROUND((_xll.HPVAL($G$1,"actual","0775",G7,"YTD","gpg")/1000),0)</f>
        <v>161600</v>
      </c>
      <c r="H343" s="72"/>
      <c r="I343" s="86">
        <f>ROUND((_xll.HPVAL($G$1,"actual","0661",I7,"YTD","gpg")/1000),0)+ROUND((_xll.HPVAL($G$1,"actual","0705",I7,"YTD","gpg")/1000),0)+ROUND((_xll.HPVAL($G$1,"actual","0775",I7,"YTD","gpg")/1000),0)</f>
        <v>161600</v>
      </c>
      <c r="J343" s="72"/>
      <c r="K343" s="86">
        <f>ROUND((_xll.HPVAL($G$1,"actual","0661",K7,"YTD","gpg")/1000),0)+ROUND((_xll.HPVAL($G$1,"actual","0705",K7,"YTD","gpg")/1000),0)+ROUND((_xll.HPVAL($G$1,"actual","0775",K7,"YTD","gpg")/1000),0)</f>
        <v>161600</v>
      </c>
      <c r="L343" s="72"/>
      <c r="M343" s="86">
        <f>ROUND((_xll.HPVAL($G$1,"actual","0661",M7,"YTD","gpg")/1000),0)+ROUND((_xll.HPVAL($G$1,"actual","0705",M7,"YTD","gpg")/1000),0)+ROUND((_xll.HPVAL($G$1,"actual","0775",M7,"YTD","gpg")/1000),0)</f>
        <v>161600</v>
      </c>
      <c r="N343" s="72"/>
      <c r="O343" s="86">
        <f>ROUND((_xll.HPVAL($G$1,"actual","0661",O7,"YTD","gpg")/1000),0)+ROUND((_xll.HPVAL($G$1,"actual","0705",O7,"YTD","gpg")/1000),0)+ROUND((_xll.HPVAL($G$1,"actual","0775",O7,"YTD","gpg")/1000),0)</f>
        <v>11600</v>
      </c>
      <c r="P343" s="72"/>
      <c r="Q343" s="86">
        <f>ROUND((_xll.HPVAL($G$1,"actual","0661",Q7,"YTD","gpg")/1000),0)+ROUND((_xll.HPVAL($G$1,"actual","0705",Q7,"YTD","gpg")/1000),0)+ROUND((_xll.HPVAL($G$1,"actual","0775",Q7,"YTD","gpg")/1000),0)</f>
        <v>11600</v>
      </c>
      <c r="R343" s="72"/>
      <c r="S343" s="86">
        <f>ROUND((_xll.HPVAL($G$1,"actual","0661",S7,"YTD","gpg")/1000),0)+ROUND((_xll.HPVAL($G$1,"actual","0705",S7,"YTD","gpg")/1000),0)+ROUND((_xll.HPVAL($G$1,"actual","0775",S7,"YTD","gpg")/1000),0)</f>
        <v>11600</v>
      </c>
      <c r="T343" s="72"/>
      <c r="U343" s="86">
        <f>ROUND((_xll.HPVAL($G$1,"actual","0661",U7,"YTD","gpg")/1000),0)+ROUND((_xll.HPVAL($G$1,"actual","0705",U7,"YTD","gpg")/1000),0)+ROUND((_xll.HPVAL($G$1,"actual","0775",U7,"YTD","gpg")/1000),0)</f>
        <v>0</v>
      </c>
      <c r="V343" s="72"/>
      <c r="W343" s="86">
        <f>ROUND((_xll.HPVAL($G$1,"actual","0661",W7,"YTD","gpg")/1000),0)+ROUND((_xll.HPVAL($G$1,"actual","0705",W7,"YTD","gpg")/1000),0)+ROUND((_xll.HPVAL($G$1,"actual","0775",W7,"YTD","gpg")/1000),0)</f>
        <v>0</v>
      </c>
      <c r="X343" s="72"/>
      <c r="Y343" s="86">
        <f>ROUND((_xll.HPVAL($G$1,"actual","0661",Y7,"YTD","gpg")/1000),0)+ROUND((_xll.HPVAL($G$1,"actual","0705",Y7,"YTD","gpg")/1000),0)+ROUND((_xll.HPVAL($G$1,"actual","0775",Y7,"YTD","gpg")/1000),0)</f>
        <v>0</v>
      </c>
      <c r="Z343" s="72"/>
      <c r="AA343" s="86">
        <f>ROUND((_xll.HPVAL($G$1,"actual","0661",AA7,"YTD","gpg")/1000),0)+ROUND((_xll.HPVAL($G$1,"actual","0705",AA7,"YTD","gpg")/1000),0)+ROUND((_xll.HPVAL($G$1,"actual","0775",AA7,"YTD","gpg")/1000),0)</f>
        <v>0</v>
      </c>
      <c r="AB343" s="72"/>
      <c r="AC343" s="86">
        <f>SUM(AC339:AC341)</f>
        <v>0</v>
      </c>
      <c r="AD343" s="70"/>
      <c r="AE343" s="86">
        <f>SUM(AE339:AE341)</f>
        <v>-150000</v>
      </c>
      <c r="AF343" s="60"/>
      <c r="AG343" s="5"/>
    </row>
    <row r="344" spans="1:35" ht="10.8" thickTop="1">
      <c r="A344" s="58"/>
      <c r="B344" s="58"/>
      <c r="C344" s="58"/>
      <c r="D344" s="70"/>
      <c r="E344" s="58"/>
      <c r="F344" s="77"/>
      <c r="G344" s="58"/>
      <c r="H344" s="77"/>
      <c r="I344" s="58"/>
      <c r="J344" s="77"/>
      <c r="K344" s="58"/>
      <c r="L344" s="77"/>
      <c r="M344" s="58"/>
      <c r="N344" s="77"/>
      <c r="O344" s="58"/>
      <c r="P344" s="77"/>
      <c r="Q344" s="58"/>
      <c r="R344" s="77"/>
      <c r="S344" s="58"/>
      <c r="T344" s="77"/>
      <c r="U344" s="58"/>
      <c r="V344" s="77"/>
      <c r="W344" s="58"/>
      <c r="X344" s="77"/>
      <c r="Y344" s="58"/>
      <c r="Z344" s="77"/>
      <c r="AA344" s="58"/>
      <c r="AB344" s="77"/>
      <c r="AC344" s="58"/>
      <c r="AD344" s="70"/>
      <c r="AE344" s="58"/>
      <c r="AF344" s="58"/>
    </row>
    <row r="345" spans="1:35" s="13" customFormat="1" ht="15" customHeight="1" thickBot="1">
      <c r="A345" s="144" t="s">
        <v>197</v>
      </c>
      <c r="B345" s="60" t="str">
        <f>_xll.HPHEA($A345,$G$2)</f>
        <v>Common Stock Issued</v>
      </c>
      <c r="C345" s="86">
        <f>ROUND((_xll.HPVAL($G$1,"py1",$A345,$C$7,"YTD","gpg")/1000),0)</f>
        <v>1</v>
      </c>
      <c r="D345" s="70"/>
      <c r="E345" s="86">
        <f>ROUND((_xll.HPVAL($G$1,"ACTUAL",$A345,$E$7,"YTD","gpg")/1000),0)</f>
        <v>1</v>
      </c>
      <c r="F345" s="77"/>
      <c r="G345" s="86">
        <f>ROUND((_xll.HPVAL($G$1,"ACTUAL",$A345,$G$7,"YTD","gpg")/1000),0)</f>
        <v>1</v>
      </c>
      <c r="H345" s="77"/>
      <c r="I345" s="86">
        <f>ROUND((_xll.HPVAL($G$1,"ACTUAL",$A345,$I$7,"YTD","gpg")/1000),0)</f>
        <v>1</v>
      </c>
      <c r="J345" s="77"/>
      <c r="K345" s="86">
        <f>ROUND((_xll.HPVAL($G$1,"ACTUAL",$A345,$K$7,"YTD","gpg")/1000),0)</f>
        <v>1</v>
      </c>
      <c r="L345" s="77"/>
      <c r="M345" s="86">
        <f>ROUND((_xll.HPVAL($G$1,"ACTUAL",$A345,$M$7,"YTD","gpg")/1000),0)</f>
        <v>1</v>
      </c>
      <c r="N345" s="77"/>
      <c r="O345" s="86">
        <f>ROUND((_xll.HPVAL($G$1,"ACTUAL",$A345,$O$7,"YTD","gpg")/1000),0)</f>
        <v>1</v>
      </c>
      <c r="P345" s="77"/>
      <c r="Q345" s="86">
        <f>ROUND((_xll.HPVAL($G$1,"ACTUAL",$A345,$Q$7,"YTD","gpg")/1000),0)</f>
        <v>1</v>
      </c>
      <c r="R345" s="77"/>
      <c r="S345" s="86">
        <f>ROUND((_xll.HPVAL($G$1,"ACTUAL",$A345,$S$7,"YTD","gpg")/1000),0)</f>
        <v>1</v>
      </c>
      <c r="T345" s="77"/>
      <c r="U345" s="86">
        <f>ROUND((_xll.HPVAL($G$1,"ACTUAL",$A345,$U$7,"YTD","gpg")/1000),0)</f>
        <v>0</v>
      </c>
      <c r="V345" s="77"/>
      <c r="W345" s="86">
        <f>ROUND((_xll.HPVAL($G$1,"ACTUAL",$A345,$W$7,"YTD","gpg")/1000),0)</f>
        <v>0</v>
      </c>
      <c r="X345" s="77"/>
      <c r="Y345" s="86">
        <f>ROUND((_xll.HPVAL($G$1,"ACTUAL",$A345,$Y$7,"YTD","gpg")/1000),0)</f>
        <v>0</v>
      </c>
      <c r="Z345" s="77"/>
      <c r="AA345" s="86">
        <f>ROUND((_xll.HPVAL($G$1,"ACTUAL",$A345,$AA$7,"YTD","gpg")/1000),0)</f>
        <v>0</v>
      </c>
      <c r="AB345" s="77"/>
      <c r="AC345" s="86">
        <f>IF(mo=1,+E345-C345,CHOOSE(mo,E345,G345,I345,K345,M345,O345,Q345,S345,U345,W345,Y345,AA345)-CHOOSE(mo-1,E345,G345,I345,K345,M345,O345,Q345,S345,U345,W345,Y345,AA345))</f>
        <v>0</v>
      </c>
      <c r="AD345" s="70"/>
      <c r="AE345" s="86">
        <f>CHOOSE(mo,E345,G345,I345,K345,M345,O345,Q345,S345,U345,W345,Y345,AA345)-C345</f>
        <v>0</v>
      </c>
      <c r="AF345" s="60"/>
      <c r="AG345" s="5"/>
    </row>
    <row r="346" spans="1:35" ht="10.8" thickTop="1">
      <c r="A346" s="84"/>
      <c r="B346" s="58"/>
      <c r="C346" s="58"/>
      <c r="D346" s="70"/>
      <c r="E346" s="58"/>
      <c r="F346" s="77"/>
      <c r="G346" s="58"/>
      <c r="H346" s="77"/>
      <c r="I346" s="58"/>
      <c r="J346" s="77"/>
      <c r="K346" s="58"/>
      <c r="L346" s="77"/>
      <c r="M346" s="58"/>
      <c r="N346" s="77"/>
      <c r="O346" s="58"/>
      <c r="P346" s="77"/>
      <c r="Q346" s="58"/>
      <c r="R346" s="77"/>
      <c r="S346" s="58"/>
      <c r="T346" s="77"/>
      <c r="U346" s="58"/>
      <c r="V346" s="77"/>
      <c r="W346" s="58"/>
      <c r="X346" s="77"/>
      <c r="Y346" s="58"/>
      <c r="Z346" s="77"/>
      <c r="AA346" s="58"/>
      <c r="AB346" s="77"/>
      <c r="AC346" s="58"/>
      <c r="AD346" s="70"/>
      <c r="AE346" s="58"/>
      <c r="AF346" s="58"/>
    </row>
    <row r="347" spans="1:35">
      <c r="A347" s="84" t="s">
        <v>383</v>
      </c>
      <c r="B347" s="58" t="str">
        <f>_xll.HPHEA($A347,$G$2)</f>
        <v>0915_35002000 - Enron Pipeline Company.</v>
      </c>
      <c r="C347" s="58">
        <f>ROUND((_xll.HPVAL($G$1,"py1",$A347,$C$7,"YTD","gpg")/1000),0)</f>
        <v>409191</v>
      </c>
      <c r="D347" s="70"/>
      <c r="E347" s="58">
        <f>ROUND((_xll.HPVAL($G$1,"ACTUAL",$A347,$E$7,"YTD","gpg")/1000),0)</f>
        <v>409191</v>
      </c>
      <c r="F347" s="77"/>
      <c r="G347" s="58">
        <f>ROUND((_xll.HPVAL($G$1,"ACTUAL",$A347,$G$7,"YTD","gpg")/1000),0)</f>
        <v>409191</v>
      </c>
      <c r="H347" s="77"/>
      <c r="I347" s="58">
        <f>ROUND((_xll.HPVAL($G$1,"ACTUAL",$A347,$I$7,"YTD","gpg")/1000),0)</f>
        <v>409191</v>
      </c>
      <c r="J347" s="77"/>
      <c r="K347" s="58">
        <f>ROUND((_xll.HPVAL($G$1,"ACTUAL",$A347,$K$7,"YTD","gpg")/1000),0)</f>
        <v>409191</v>
      </c>
      <c r="L347" s="77"/>
      <c r="M347" s="58">
        <f>ROUND((_xll.HPVAL($G$1,"ACTUAL",$A347,$M$7,"YTD","gpg")/1000),0)</f>
        <v>409191</v>
      </c>
      <c r="N347" s="77"/>
      <c r="O347" s="58">
        <f>ROUND((_xll.HPVAL($G$1,"ACTUAL",$A347,$O$7,"YTD","gpg")/1000),0)</f>
        <v>409191</v>
      </c>
      <c r="P347" s="77"/>
      <c r="Q347" s="58">
        <f>ROUND((_xll.HPVAL($G$1,"ACTUAL",$A347,$Q$7,"YTD","gpg")/1000),0)</f>
        <v>409191</v>
      </c>
      <c r="R347" s="77"/>
      <c r="S347" s="58">
        <f>ROUND((_xll.HPVAL($G$1,"ACTUAL",$A347,$S$7,"YTD","gpg")/1000),0)</f>
        <v>409191</v>
      </c>
      <c r="T347" s="77"/>
      <c r="U347" s="58">
        <f>ROUND((_xll.HPVAL($G$1,"ACTUAL",$A347,$U$7,"YTD","gpg")/1000),0)</f>
        <v>0</v>
      </c>
      <c r="V347" s="77"/>
      <c r="W347" s="58">
        <f>ROUND((_xll.HPVAL($G$1,"ACTUAL",$A347,$W$7,"YTD","gpg")/1000),0)</f>
        <v>0</v>
      </c>
      <c r="X347" s="77"/>
      <c r="Y347" s="58">
        <f>ROUND((_xll.HPVAL($G$1,"ACTUAL",$A347,$Y$7,"YTD","gpg")/1000),0)</f>
        <v>0</v>
      </c>
      <c r="Z347" s="77"/>
      <c r="AA347" s="58">
        <f>ROUND((_xll.HPVAL($G$1,"ACTUAL",$A347,$AA$7,"YTD","gpg")/1000),0)</f>
        <v>0</v>
      </c>
      <c r="AB347" s="77"/>
      <c r="AC347" s="58">
        <f>IF(mo=1,+E347-C347,CHOOSE(mo,E347,G347,I347,K347,M347,O347,Q347,S347,U347,W347,Y347,AA347)-CHOOSE(mo-1,E347,G347,I347,K347,M347,O347,Q347,S347,U347,W347,Y347,AA347))</f>
        <v>0</v>
      </c>
      <c r="AD347" s="70"/>
      <c r="AE347" s="58">
        <f>CHOOSE(mo,E347,G347,I347,K347,M347,O347,Q347,S347,U347,W347,Y347,AA347)-C347</f>
        <v>0</v>
      </c>
      <c r="AF347" s="58"/>
    </row>
    <row r="348" spans="1:35">
      <c r="A348" s="84"/>
      <c r="B348" s="58" t="s">
        <v>214</v>
      </c>
      <c r="C348" s="75">
        <f>C349-SUM(C347:C347)</f>
        <v>0</v>
      </c>
      <c r="D348" s="70"/>
      <c r="E348" s="75">
        <f>E349-SUM(E347:E347)</f>
        <v>0</v>
      </c>
      <c r="F348" s="92"/>
      <c r="G348" s="75">
        <f>G349-SUM(G347:G347)</f>
        <v>0</v>
      </c>
      <c r="H348" s="92"/>
      <c r="I348" s="75">
        <f>I349-SUM(I347:I347)</f>
        <v>0</v>
      </c>
      <c r="J348" s="92"/>
      <c r="K348" s="75">
        <f>K349-SUM(K347:K347)</f>
        <v>0</v>
      </c>
      <c r="L348" s="92"/>
      <c r="M348" s="75">
        <f>M349-SUM(M347:M347)</f>
        <v>0</v>
      </c>
      <c r="N348" s="92"/>
      <c r="O348" s="75">
        <f>O349-SUM(O347:O347)</f>
        <v>0</v>
      </c>
      <c r="P348" s="92"/>
      <c r="Q348" s="75">
        <f>Q349-SUM(Q347:Q347)</f>
        <v>0</v>
      </c>
      <c r="R348" s="92"/>
      <c r="S348" s="75">
        <f>S349-SUM(S347:S347)</f>
        <v>0</v>
      </c>
      <c r="T348" s="92"/>
      <c r="U348" s="75">
        <f>U349-SUM(U347:U347)</f>
        <v>0</v>
      </c>
      <c r="V348" s="92"/>
      <c r="W348" s="75">
        <f>W349-SUM(W347:W347)</f>
        <v>0</v>
      </c>
      <c r="X348" s="92"/>
      <c r="Y348" s="75">
        <f>Y349-SUM(Y347:Y347)</f>
        <v>0</v>
      </c>
      <c r="Z348" s="92"/>
      <c r="AA348" s="75">
        <f>AA349-SUM(AA347:AA347)</f>
        <v>0</v>
      </c>
      <c r="AB348" s="92"/>
      <c r="AC348" s="58">
        <f>IF(mo=1,+E348-C348,CHOOSE(mo,E348,G348,I348,K348,M348,O348,Q348,S348,U348,W348,Y348,AA348)-CHOOSE(mo-1,E348,G348,I348,K348,M348,O348,Q348,S348,U348,W348,Y348,AA348))</f>
        <v>0</v>
      </c>
      <c r="AD348" s="70"/>
      <c r="AE348" s="75">
        <f>CHOOSE(mo,E348,G348,I348,K348,M348,O348,Q348,S348,U348,W348,Y348,AA348)-C348</f>
        <v>0</v>
      </c>
      <c r="AF348" s="58"/>
    </row>
    <row r="349" spans="1:35" s="13" customFormat="1" ht="15" customHeight="1" thickBot="1">
      <c r="A349" s="84" t="s">
        <v>198</v>
      </c>
      <c r="B349" s="60" t="s">
        <v>263</v>
      </c>
      <c r="C349" s="88">
        <f>ROUND((_xll.HPVAL($G$1,"py1",$A349,$C$7,"YTD","gpg")/1000),0)</f>
        <v>409191</v>
      </c>
      <c r="D349" s="70"/>
      <c r="E349" s="88">
        <f>ROUND((_xll.HPVAL($G$1,"ACTUAL",$A349,E7,"YTD","gpg")/1000),0)</f>
        <v>409191</v>
      </c>
      <c r="F349" s="77"/>
      <c r="G349" s="88">
        <f>ROUND((_xll.HPVAL($G$1,"ACTUAL",$A349,G7,"YTD","gpg")/1000),0)</f>
        <v>409191</v>
      </c>
      <c r="H349" s="77"/>
      <c r="I349" s="88">
        <f>ROUND((_xll.HPVAL($G$1,"ACTUAL",$A349,I7,"YTD","gpg")/1000),0)</f>
        <v>409191</v>
      </c>
      <c r="J349" s="77"/>
      <c r="K349" s="88">
        <f>ROUND((_xll.HPVAL($G$1,"ACTUAL",$A349,K7,"YTD","gpg")/1000),0)</f>
        <v>409191</v>
      </c>
      <c r="L349" s="77"/>
      <c r="M349" s="88">
        <f>ROUND((_xll.HPVAL($G$1,"ACTUAL",$A349,M7,"YTD","gpg")/1000),0)</f>
        <v>409191</v>
      </c>
      <c r="N349" s="77"/>
      <c r="O349" s="88">
        <f>ROUND((_xll.HPVAL($G$1,"ACTUAL",$A349,O7,"YTD","gpg")/1000),0)</f>
        <v>409191</v>
      </c>
      <c r="P349" s="77"/>
      <c r="Q349" s="88">
        <f>ROUND((_xll.HPVAL($G$1,"ACTUAL",$A349,Q7,"YTD","gpg")/1000),0)</f>
        <v>409191</v>
      </c>
      <c r="R349" s="77"/>
      <c r="S349" s="88">
        <f>ROUND((_xll.HPVAL($G$1,"ACTUAL",$A349,S7,"YTD","gpg")/1000),0)</f>
        <v>409191</v>
      </c>
      <c r="T349" s="77"/>
      <c r="U349" s="88">
        <f>ROUND((_xll.HPVAL($G$1,"ACTUAL",$A349,U7,"YTD","gpg")/1000),0)</f>
        <v>0</v>
      </c>
      <c r="V349" s="77"/>
      <c r="W349" s="88">
        <f>ROUND((_xll.HPVAL($G$1,"ACTUAL",$A349,W7,"YTD","gpg")/1000),0)</f>
        <v>0</v>
      </c>
      <c r="X349" s="77"/>
      <c r="Y349" s="88">
        <f>ROUND((_xll.HPVAL($G$1,"ACTUAL",$A349,Y7,"YTD","gpg")/1000),0)</f>
        <v>0</v>
      </c>
      <c r="Z349" s="77"/>
      <c r="AA349" s="88">
        <f>ROUND((_xll.HPVAL($G$1,"ACTUAL",$A349,AA7,"YTD","gpg")/1000),0)</f>
        <v>0</v>
      </c>
      <c r="AB349" s="77"/>
      <c r="AC349" s="88">
        <f>SUM(AC347:AC348)</f>
        <v>0</v>
      </c>
      <c r="AD349" s="70"/>
      <c r="AE349" s="88">
        <f>SUM(AE347:AE348)</f>
        <v>0</v>
      </c>
      <c r="AF349" s="60"/>
      <c r="AG349" s="5"/>
    </row>
    <row r="350" spans="1:35" ht="10.8" thickTop="1">
      <c r="A350" s="84"/>
      <c r="B350" s="58"/>
      <c r="C350" s="58"/>
      <c r="D350" s="70"/>
      <c r="E350" s="58"/>
      <c r="F350" s="77"/>
      <c r="G350" s="58"/>
      <c r="H350" s="77"/>
      <c r="I350" s="58"/>
      <c r="J350" s="77"/>
      <c r="K350" s="58"/>
      <c r="L350" s="77"/>
      <c r="M350" s="72"/>
      <c r="N350" s="77"/>
      <c r="O350" s="58"/>
      <c r="P350" s="77"/>
      <c r="Q350" s="58"/>
      <c r="R350" s="77"/>
      <c r="S350" s="58"/>
      <c r="T350" s="77"/>
      <c r="U350" s="72"/>
      <c r="V350" s="77"/>
      <c r="W350" s="58"/>
      <c r="X350" s="77"/>
      <c r="Y350" s="58"/>
      <c r="Z350" s="77"/>
      <c r="AA350" s="58"/>
      <c r="AB350" s="77"/>
      <c r="AC350" s="58"/>
      <c r="AD350" s="70"/>
      <c r="AE350" s="58"/>
      <c r="AF350" s="58"/>
    </row>
    <row r="351" spans="1:35">
      <c r="A351" s="84" t="s">
        <v>522</v>
      </c>
      <c r="B351" s="58" t="str">
        <f>_xll.HPHEA($A351,$G$2)</f>
        <v>Other comprehensive inc-FASB 133</v>
      </c>
      <c r="C351" s="58">
        <f>ROUND((_xll.HPVAL($G$1,"py1",$A351,$C$7,"YTD","gpg")/1000),0)</f>
        <v>0</v>
      </c>
      <c r="D351" s="70"/>
      <c r="E351" s="58">
        <f>ROUND((_xll.HPVAL($G$1,"ACTUAL",$A351,$E$7,"YTD","gpg")/1000),0)</f>
        <v>-26217</v>
      </c>
      <c r="F351" s="77" t="s">
        <v>231</v>
      </c>
      <c r="G351" s="58">
        <f>ROUND((_xll.HPVAL($G$1,"ACTUAL",$A351,$G$7,"YTD","gpg")/1000),0)</f>
        <v>-17748</v>
      </c>
      <c r="H351" s="77"/>
      <c r="I351" s="58">
        <f>ROUND((_xll.HPVAL($G$1,"ACTUAL",$A351,$I$7,"YTD","gpg")/1000),0)</f>
        <v>0</v>
      </c>
      <c r="J351" s="77"/>
      <c r="K351" s="58">
        <f>ROUND((_xll.HPVAL($G$1,"ACTUAL",$A351,$K$7,"YTD","gpg")/1000),0)</f>
        <v>0</v>
      </c>
      <c r="L351" s="77"/>
      <c r="M351" s="58">
        <f>ROUND((_xll.HPVAL($G$1,"ACTUAL",$A351,$M$7,"YTD","gpg")/1000),0)</f>
        <v>0</v>
      </c>
      <c r="N351" s="77"/>
      <c r="O351" s="58">
        <f>ROUND((_xll.HPVAL($G$1,"ACTUAL",$A351,$O$7,"YTD","gpg")/1000),0)</f>
        <v>0</v>
      </c>
      <c r="P351" s="77"/>
      <c r="Q351" s="58">
        <f>ROUND((_xll.HPVAL($G$1,"ACTUAL",$A351,$Q$7,"YTD","gpg")/1000),0)</f>
        <v>0</v>
      </c>
      <c r="R351" s="77"/>
      <c r="S351" s="58">
        <f>ROUND((_xll.HPVAL($G$1,"ACTUAL",$A351,$S$7,"YTD","gpg")/1000),0)</f>
        <v>0</v>
      </c>
      <c r="T351" s="77"/>
      <c r="U351" s="58">
        <f>ROUND((_xll.HPVAL($G$1,"ACTUAL",$A351,$U$7,"YTD","gpg")/1000),0)</f>
        <v>0</v>
      </c>
      <c r="V351" s="77"/>
      <c r="W351" s="58">
        <f>ROUND((_xll.HPVAL($G$1,"ACTUAL",$A351,$W$7,"YTD","gpg")/1000),0)</f>
        <v>0</v>
      </c>
      <c r="X351" s="77"/>
      <c r="Y351" s="58">
        <f>ROUND((_xll.HPVAL($G$1,"ACTUAL",$A351,$Y$7,"YTD","gpg")/1000),0)</f>
        <v>0</v>
      </c>
      <c r="Z351" s="77"/>
      <c r="AA351" s="58">
        <f>ROUND((_xll.HPVAL($G$1,"ACTUAL",$A351,$AA$7,"YTD","gpg")/1000),0)</f>
        <v>0</v>
      </c>
      <c r="AB351" s="77"/>
      <c r="AC351" s="58">
        <f>IF(mo=1,+E351-C351,CHOOSE(mo,E351,G351,I351,K351,M351,O351,Q351,S351,U351,W351,Y351,AA351)-CHOOSE(mo-1,E351,G351,I351,K351,M351,O351,Q351,S351,U351,W351,Y351,AA351))</f>
        <v>0</v>
      </c>
      <c r="AD351" s="70"/>
      <c r="AE351" s="58">
        <f>CHOOSE(mo,E351,G351,I351,K351,M351,O351,Q351,S351,U351,W351,Y351,AA351)-C351</f>
        <v>0</v>
      </c>
      <c r="AF351" s="58"/>
    </row>
    <row r="352" spans="1:35">
      <c r="A352" s="84" t="s">
        <v>575</v>
      </c>
      <c r="B352" s="58" t="str">
        <f>_xll.HPHEA($A352,$G$2)</f>
        <v>Other comprehensive inc-ECF hedge</v>
      </c>
      <c r="C352" s="58">
        <f>ROUND((_xll.HPVAL($G$1,"py1",$A352,$C$7,"YTD","gpg")/1000),0)</f>
        <v>0</v>
      </c>
      <c r="D352" s="70"/>
      <c r="E352" s="58">
        <f>ROUND((_xll.HPVAL($G$1,"ACTUAL",$A352,$E$7,"YTD","gpg")/1000),0)</f>
        <v>0</v>
      </c>
      <c r="F352" s="77"/>
      <c r="G352" s="58">
        <f>ROUND((_xll.HPVAL($G$1,"ACTUAL",$A352,$G$7,"YTD","gpg")/1000),0)</f>
        <v>0</v>
      </c>
      <c r="H352" s="77"/>
      <c r="I352" s="58">
        <f>ROUND((_xll.HPVAL($G$1,"ACTUAL",$A352,$I$7,"YTD","gpg")/1000),0)</f>
        <v>0</v>
      </c>
      <c r="J352" s="77"/>
      <c r="K352" s="58">
        <f>ROUND((_xll.HPVAL($G$1,"ACTUAL",$A352,$K$7,"YTD","gpg")/1000),0)</f>
        <v>-16071</v>
      </c>
      <c r="L352" s="77"/>
      <c r="M352" s="58">
        <f>ROUND((_xll.HPVAL($G$1,"ACTUAL",$A352,$M$7,"YTD","gpg")/1000),0)</f>
        <v>3038</v>
      </c>
      <c r="N352" s="77"/>
      <c r="O352" s="58">
        <f>ROUND((_xll.HPVAL($G$1,"ACTUAL",$A352,$O$7,"YTD","gpg")/1000),0)</f>
        <v>19953</v>
      </c>
      <c r="P352" s="77" t="s">
        <v>246</v>
      </c>
      <c r="Q352" s="58">
        <f>ROUND((_xll.HPVAL($G$1,"ACTUAL",$A352,$Q$7,"YTD","gpg")/1000),0)</f>
        <v>19452</v>
      </c>
      <c r="R352" s="77" t="s">
        <v>231</v>
      </c>
      <c r="S352" s="58">
        <f>ROUND((_xll.HPVAL($G$1,"ACTUAL",$A352,$S$7,"YTD","gpg")/1000),0)</f>
        <v>19452</v>
      </c>
      <c r="T352" s="77"/>
      <c r="U352" s="58">
        <f>ROUND((_xll.HPVAL($G$1,"ACTUAL",$A352,$U$7,"YTD","gpg")/1000),0)</f>
        <v>0</v>
      </c>
      <c r="V352" s="77"/>
      <c r="W352" s="58">
        <f>ROUND((_xll.HPVAL($G$1,"ACTUAL",$A352,$W$7,"YTD","gpg")/1000),0)</f>
        <v>0</v>
      </c>
      <c r="X352" s="77"/>
      <c r="Y352" s="58">
        <f>ROUND((_xll.HPVAL($G$1,"ACTUAL",$A352,$Y$7,"YTD","gpg")/1000),0)</f>
        <v>0</v>
      </c>
      <c r="Z352" s="77"/>
      <c r="AA352" s="58">
        <f>ROUND((_xll.HPVAL($G$1,"ACTUAL",$A352,$AA$7,"YTD","gpg")/1000),0)</f>
        <v>0</v>
      </c>
      <c r="AB352" s="77"/>
      <c r="AC352" s="58">
        <f>IF(mo=1,+E352-C352,CHOOSE(mo,E352,G352,I352,K352,M352,O352,Q352,S352,U352,W352,Y352,AA352)-CHOOSE(mo-1,E352,G352,I352,K352,M352,O352,Q352,S352,U352,W352,Y352,AA352))</f>
        <v>0</v>
      </c>
      <c r="AD352" s="70"/>
      <c r="AE352" s="58">
        <f>CHOOSE(mo,E352,G352,I352,K352,M352,O352,Q352,S352,U352,W352,Y352,AA352)-C352</f>
        <v>19452</v>
      </c>
      <c r="AF352" s="58"/>
    </row>
    <row r="353" spans="1:33">
      <c r="A353" s="84" t="s">
        <v>568</v>
      </c>
      <c r="B353" s="58" t="str">
        <f>_xll.HPHEA($A353,$G$2)</f>
        <v>Other comprehensive inc-FASB 133</v>
      </c>
      <c r="C353" s="58">
        <f>ROUND((_xll.HPVAL($G$1,"py1",$A353,$C$7,"YTD","gpg")/1000),0)</f>
        <v>0</v>
      </c>
      <c r="D353" s="70"/>
      <c r="E353" s="58">
        <f>ROUND((_xll.HPVAL($G$1,"ACTUAL",$A353,$E$7,"YTD","gpg")/1000),0)</f>
        <v>0</v>
      </c>
      <c r="F353" s="77"/>
      <c r="G353" s="58">
        <f>ROUND((_xll.HPVAL($G$1,"ACTUAL",$A353,$G$7,"YTD","gpg")/1000),0)</f>
        <v>0</v>
      </c>
      <c r="H353" s="77"/>
      <c r="I353" s="58">
        <f>ROUND((_xll.HPVAL($G$1,"ACTUAL",$A353,$I$7,"YTD","gpg")/1000),0)</f>
        <v>-22049</v>
      </c>
      <c r="J353" s="77"/>
      <c r="K353" s="58">
        <f>ROUND((_xll.HPVAL($G$1,"ACTUAL",$A353,$K$7,"YTD","gpg")/1000),0)</f>
        <v>0</v>
      </c>
      <c r="L353" s="77"/>
      <c r="M353" s="58">
        <f>ROUND((_xll.HPVAL($G$1,"ACTUAL",$A353,$M$7,"YTD","gpg")/1000),0)</f>
        <v>0</v>
      </c>
      <c r="N353" s="77"/>
      <c r="O353" s="58">
        <f>ROUND((_xll.HPVAL($G$1,"ACTUAL",$A353,$O$7,"YTD","gpg")/1000),0)</f>
        <v>0</v>
      </c>
      <c r="P353" s="77"/>
      <c r="Q353" s="58">
        <f>ROUND((_xll.HPVAL($G$1,"ACTUAL",$A353,$Q$7,"YTD","gpg")/1000),0)</f>
        <v>0</v>
      </c>
      <c r="R353" s="77"/>
      <c r="S353" s="58">
        <f>ROUND((_xll.HPVAL($G$1,"ACTUAL",$A353,$S$7,"YTD","gpg")/1000),0)</f>
        <v>0</v>
      </c>
      <c r="T353" s="77"/>
      <c r="U353" s="58">
        <f>ROUND((_xll.HPVAL($G$1,"ACTUAL",$A353,$U$7,"YTD","gpg")/1000),0)</f>
        <v>0</v>
      </c>
      <c r="V353" s="77"/>
      <c r="W353" s="58">
        <f>ROUND((_xll.HPVAL($G$1,"ACTUAL",$A353,$W$7,"YTD","gpg")/1000),0)</f>
        <v>0</v>
      </c>
      <c r="X353" s="77"/>
      <c r="Y353" s="58">
        <f>ROUND((_xll.HPVAL($G$1,"ACTUAL",$A353,$Y$7,"YTD","gpg")/1000),0)</f>
        <v>0</v>
      </c>
      <c r="Z353" s="77"/>
      <c r="AA353" s="58">
        <f>ROUND((_xll.HPVAL($G$1,"ACTUAL",$A353,$AA$7,"YTD","gpg")/1000),0)</f>
        <v>0</v>
      </c>
      <c r="AB353" s="77"/>
      <c r="AC353" s="58">
        <f>IF(mo=1,+E353-C353,CHOOSE(mo,E353,G353,I353,K353,M353,O353,Q353,S353,U353,W353,Y353,AA353)-CHOOSE(mo-1,E353,G353,I353,K353,M353,O353,Q353,S353,U353,W353,Y353,AA353))</f>
        <v>0</v>
      </c>
      <c r="AD353" s="70"/>
      <c r="AE353" s="58">
        <f>CHOOSE(mo,E353,G353,I353,K353,M353,O353,Q353,S353,U353,W353,Y353,AA353)-C353</f>
        <v>0</v>
      </c>
      <c r="AF353" s="58"/>
    </row>
    <row r="354" spans="1:33">
      <c r="A354" s="84"/>
      <c r="B354" s="84" t="s">
        <v>216</v>
      </c>
      <c r="C354" s="75">
        <f>C355-SUM(C351:C353)</f>
        <v>0</v>
      </c>
      <c r="D354" s="70"/>
      <c r="E354" s="85">
        <f>E355-SUM(E351:E353)</f>
        <v>0</v>
      </c>
      <c r="F354" s="77"/>
      <c r="G354" s="85">
        <f>G355-SUM(G351:G353)</f>
        <v>0</v>
      </c>
      <c r="H354" s="77"/>
      <c r="I354" s="85">
        <f>I355-SUM(I351:I353)</f>
        <v>0</v>
      </c>
      <c r="J354" s="77"/>
      <c r="K354" s="85">
        <f>K355-SUM(K351:K353)</f>
        <v>0</v>
      </c>
      <c r="L354" s="77"/>
      <c r="M354" s="85">
        <f>M355-SUM(M351:M353)</f>
        <v>0</v>
      </c>
      <c r="N354" s="77"/>
      <c r="O354" s="85">
        <f>O355-SUM(O351:O353)</f>
        <v>0</v>
      </c>
      <c r="P354" s="77"/>
      <c r="Q354" s="85">
        <f>Q355-SUM(Q351:Q353)</f>
        <v>0</v>
      </c>
      <c r="R354" s="77"/>
      <c r="S354" s="85">
        <f>S355-SUM(S351:S353)</f>
        <v>0</v>
      </c>
      <c r="T354" s="77"/>
      <c r="U354" s="85">
        <f>U355-SUM(U351:U353)</f>
        <v>0</v>
      </c>
      <c r="V354" s="77"/>
      <c r="W354" s="85">
        <f>W355-SUM(W351:W353)</f>
        <v>0</v>
      </c>
      <c r="X354" s="77"/>
      <c r="Y354" s="85">
        <f>Y355-SUM(Y351:Y353)</f>
        <v>0</v>
      </c>
      <c r="Z354" s="77"/>
      <c r="AA354" s="85">
        <f>AA355-SUM(AA351:AA353)</f>
        <v>0</v>
      </c>
      <c r="AB354" s="77"/>
      <c r="AC354" s="85">
        <f>IF(mo=1,+E354-C354,CHOOSE(mo,E354,G354,I354,K354,M354,O354,Q354,S354,U354,W354,Y354,AA354)-CHOOSE(mo-1,E354,G354,I354,K354,M354,O354,Q354,S354,U354,W354,Y354,AA354))</f>
        <v>0</v>
      </c>
      <c r="AD354" s="70"/>
      <c r="AE354" s="85">
        <f>CHOOSE(mo,E354,G354,I354,K354,M354,O354,Q354,S354,U354,W354,Y354,AA354)-C354</f>
        <v>0</v>
      </c>
      <c r="AF354" s="58"/>
    </row>
    <row r="355" spans="1:33" ht="10.8" thickBot="1">
      <c r="A355" s="84" t="s">
        <v>521</v>
      </c>
      <c r="B355" s="60" t="str">
        <f>_xll.HPHEA($A355,$G$2)</f>
        <v>Other comprehensive income</v>
      </c>
      <c r="C355" s="88">
        <f>ROUND((_xll.HPVAL($G$1,"py1",$A355,$C$7,"YTD","gpg")/1000),0)</f>
        <v>0</v>
      </c>
      <c r="D355" s="70"/>
      <c r="E355" s="295">
        <f>ROUND((_xll.HPVAL($G$1,"actual","0947",$E$7,"YTD","gpg")/1000),0)+ROUND((_xll.HPVAL($G$1,"actual","0949",$E$7,"YTD","gpg")/1000),0)</f>
        <v>-26217</v>
      </c>
      <c r="F355" s="77"/>
      <c r="G355" s="295">
        <f>ROUND((_xll.HPVAL($G$1,"actual","0947",$G$7,"YTD","gpg")/1000),0)+ROUND((_xll.HPVAL($G$1,"actual","0949",$G$7,"YTD","gpg")/1000),0)</f>
        <v>-17748</v>
      </c>
      <c r="H355" s="77"/>
      <c r="I355" s="295">
        <f>ROUND((_xll.HPVAL($G$1,"actual","0947",$I$7,"YTD","gpg")/1000),0)+ROUND((_xll.HPVAL($G$1,"actual","0949",$I$7,"YTD","gpg")/1000),0)</f>
        <v>-22049</v>
      </c>
      <c r="J355" s="77"/>
      <c r="K355" s="295">
        <f>ROUND((_xll.HPVAL($G$1,"actual","0947",$K$7,"YTD","gpg")/1000),0)+ROUND((_xll.HPVAL($G$1,"actual","0949",$K$7,"YTD","gpg")/1000),0)</f>
        <v>-16071</v>
      </c>
      <c r="L355" s="77"/>
      <c r="M355" s="295">
        <f>ROUND((_xll.HPVAL($G$1,"actual","0947",$M$7,"YTD","gpg")/1000),0)+ROUND((_xll.HPVAL($G$1,"actual","0949",$M$7,"YTD","gpg")/1000),0)</f>
        <v>3038</v>
      </c>
      <c r="N355" s="77"/>
      <c r="O355" s="295">
        <f>ROUND((_xll.HPVAL($G$1,"actual","0947",$O$7,"YTD","gpg")/1000),0)+ROUND((_xll.HPVAL($G$1,"actual","0949",$O$7,"YTD","gpg")/1000),0)</f>
        <v>19953</v>
      </c>
      <c r="P355" s="77"/>
      <c r="Q355" s="295">
        <f>ROUND((_xll.HPVAL($G$1,"actual","0947",$Q$7,"YTD","gpg")/1000),0)+ROUND((_xll.HPVAL($G$1,"actual","0949",$Q$7,"YTD","gpg")/1000),0)</f>
        <v>19452</v>
      </c>
      <c r="R355" s="77"/>
      <c r="S355" s="295">
        <f>ROUND((_xll.HPVAL($G$1,"actual","0947",$S$7,"YTD","gpg")/1000),0)+ROUND((_xll.HPVAL($G$1,"actual","0949",$S$7,"YTD","gpg")/1000),0)</f>
        <v>19452</v>
      </c>
      <c r="T355" s="77"/>
      <c r="U355" s="295">
        <f>ROUND((_xll.HPVAL($G$1,"actual","0947",$U$7,"YTD","gpg")/1000),0)+ROUND((_xll.HPVAL($G$1,"actual","0949",$U$7,"YTD","gpg")/1000),0)</f>
        <v>0</v>
      </c>
      <c r="V355" s="77"/>
      <c r="W355" s="295">
        <f>ROUND((_xll.HPVAL($G$1,"actual","0947",$W$7,"YTD","gpg")/1000),0)+ROUND((_xll.HPVAL($G$1,"actual","0949",$W$7,"YTD","gpg")/1000),0)</f>
        <v>0</v>
      </c>
      <c r="X355" s="77"/>
      <c r="Y355" s="295">
        <f>ROUND((_xll.HPVAL($G$1,"actual","0947",$Y$7,"YTD","gpg")/1000),0)+ROUND((_xll.HPVAL($G$1,"actual","0949",$Y$7,"YTD","gpg")/1000),0)</f>
        <v>0</v>
      </c>
      <c r="Z355" s="77"/>
      <c r="AA355" s="295">
        <f>ROUND((_xll.HPVAL($G$1,"actual","0947",$AA$7,"YTD","gpg")/1000),0)+ROUND((_xll.HPVAL($G$1,"actual","0949",$AA$7,"YTD","gpg")/1000),0)</f>
        <v>0</v>
      </c>
      <c r="AB355" s="77"/>
      <c r="AC355" s="88">
        <f>SUM(AC351:AC354)</f>
        <v>0</v>
      </c>
      <c r="AD355" s="70"/>
      <c r="AE355" s="88">
        <f>SUM(AE351:AE354)</f>
        <v>19452</v>
      </c>
      <c r="AF355" s="58"/>
    </row>
    <row r="356" spans="1:33" ht="10.8" thickTop="1">
      <c r="A356" s="84"/>
      <c r="B356" s="58"/>
      <c r="C356" s="58"/>
      <c r="D356" s="70"/>
      <c r="E356" s="58"/>
      <c r="F356" s="77"/>
      <c r="G356" s="58"/>
      <c r="H356" s="77"/>
      <c r="I356" s="58"/>
      <c r="J356" s="77"/>
      <c r="K356" s="58"/>
      <c r="L356" s="77"/>
      <c r="M356" s="58"/>
      <c r="N356" s="77"/>
      <c r="O356" s="58"/>
      <c r="P356" s="77"/>
      <c r="Q356" s="58"/>
      <c r="R356" s="77"/>
      <c r="S356" s="58"/>
      <c r="T356" s="77"/>
      <c r="U356" s="58"/>
      <c r="V356" s="77"/>
      <c r="W356" s="58"/>
      <c r="X356" s="77"/>
      <c r="Y356" s="58"/>
      <c r="Z356" s="77"/>
      <c r="AA356" s="58"/>
      <c r="AB356" s="77"/>
      <c r="AC356" s="58"/>
      <c r="AD356" s="70"/>
      <c r="AE356" s="58"/>
      <c r="AF356" s="58"/>
    </row>
    <row r="357" spans="1:33">
      <c r="A357" s="84" t="s">
        <v>520</v>
      </c>
      <c r="B357" s="58" t="str">
        <f>_xll.HPHEA($A357,$G$2)</f>
        <v>Enron Pipeline Company</v>
      </c>
      <c r="C357" s="58">
        <f>ROUND((_xll.HPVAL($G$1,"py1",$A357,$C$7,"YTD","gpg")/1000),0)</f>
        <v>0</v>
      </c>
      <c r="D357" s="70"/>
      <c r="E357" s="58">
        <f>ROUND((_xll.HPVAL($G$1,"ACTUAL",$A357,$E$7,"YTD","gpg")/1000),0)</f>
        <v>0</v>
      </c>
      <c r="F357" s="77"/>
      <c r="G357" s="58">
        <f>ROUND((_xll.HPVAL($G$1,"ACTUAL",$A357,$G$7,"YTD","gpg")/1000),0)</f>
        <v>0</v>
      </c>
      <c r="H357" s="77"/>
      <c r="I357" s="58">
        <f>ROUND((_xll.HPVAL($G$1,"ACTUAL",$A357,$I$7,"YTD","gpg")/1000),0)</f>
        <v>0</v>
      </c>
      <c r="J357" s="77"/>
      <c r="K357" s="58">
        <f>ROUND((_xll.HPVAL($G$1,"ACTUAL",$A357,$K$7,"YTD","gpg")/1000),0)</f>
        <v>0</v>
      </c>
      <c r="L357" s="77"/>
      <c r="M357" s="58">
        <f>ROUND((_xll.HPVAL($G$1,"ACTUAL",$A357,$M$7,"YTD","gpg")/1000),0)</f>
        <v>0</v>
      </c>
      <c r="N357" s="77"/>
      <c r="O357" s="58">
        <f>ROUND((_xll.HPVAL($G$1,"ACTUAL",$A357,$O$7,"YTD","gpg")/1000),0)</f>
        <v>0</v>
      </c>
      <c r="P357" s="77"/>
      <c r="Q357" s="58">
        <f>ROUND((_xll.HPVAL($G$1,"ACTUAL",$A357,$Q$7,"YTD","gpg")/1000),0)</f>
        <v>0</v>
      </c>
      <c r="R357" s="77"/>
      <c r="S357" s="58">
        <f>ROUND((_xll.HPVAL($G$1,"ACTUAL",$A357,$S$7,"YTD","gpg")/1000),0)</f>
        <v>0</v>
      </c>
      <c r="T357" s="77"/>
      <c r="U357" s="58">
        <f>ROUND((_xll.HPVAL($G$1,"ACTUAL",$A357,$U$7,"YTD","gpg")/1000),0)</f>
        <v>0</v>
      </c>
      <c r="V357" s="77"/>
      <c r="W357" s="58">
        <f>ROUND((_xll.HPVAL($G$1,"ACTUAL",$A357,$W$7,"YTD","gpg")/1000),0)</f>
        <v>0</v>
      </c>
      <c r="X357" s="77"/>
      <c r="Y357" s="58">
        <f>ROUND((_xll.HPVAL($G$1,"ACTUAL",$A357,$Y$7,"YTD","gpg")/1000),0)</f>
        <v>0</v>
      </c>
      <c r="Z357" s="77"/>
      <c r="AA357" s="58">
        <f>ROUND((_xll.HPVAL($G$1,"ACTUAL",$A357,$AA$7,"YTD","gpg")/1000),0)</f>
        <v>0</v>
      </c>
      <c r="AB357" s="77"/>
      <c r="AC357" s="58">
        <f>IF(mo=1,+E357-C357,CHOOSE(mo,E357,G357,I357,K357,M357,O357,Q357,S357,U357,W357,Y357,AA357)-CHOOSE(mo-1,E357,G357,I357,K357,M357,O357,Q357,S357,U357,W357,Y357,AA357))</f>
        <v>0</v>
      </c>
      <c r="AD357" s="70"/>
      <c r="AE357" s="58">
        <f>CHOOSE(mo,E357,G357,I357,K357,M357,O357,Q357,S357,U357,W357,Y357,AA357)-C357</f>
        <v>0</v>
      </c>
      <c r="AF357" s="58"/>
    </row>
    <row r="358" spans="1:33">
      <c r="A358" s="84" t="s">
        <v>384</v>
      </c>
      <c r="B358" s="58" t="str">
        <f>_xll.HPHEA($A358,$G$2)</f>
        <v>0920_36001000 - Enron Pipeline Company.</v>
      </c>
      <c r="C358" s="58">
        <f>ROUND((_xll.HPVAL($G$1,"py1",$A358,$C$7,"YTD","gpg")/1000),0)</f>
        <v>463969</v>
      </c>
      <c r="D358" s="70"/>
      <c r="E358" s="58">
        <f>ROUND((_xll.HPVAL($G$1,"ACTUAL",$A358,$E$7,"YTD","gpg")/1000),0)</f>
        <v>533635</v>
      </c>
      <c r="F358" s="77"/>
      <c r="G358" s="58">
        <f>ROUND((_xll.HPVAL($G$1,"ACTUAL",$A358,$G$7,"YTD","gpg")/1000),0)</f>
        <v>533635</v>
      </c>
      <c r="H358" s="77"/>
      <c r="I358" s="58">
        <f>ROUND((_xll.HPVAL($G$1,"ACTUAL",$A358,$I$7,"YTD","gpg")/1000),0)</f>
        <v>533635</v>
      </c>
      <c r="J358" s="77"/>
      <c r="K358" s="58">
        <f>ROUND((_xll.HPVAL($G$1,"ACTUAL",$A358,$K$7,"YTD","gpg")/1000),0)</f>
        <v>533635</v>
      </c>
      <c r="L358" s="77"/>
      <c r="M358" s="58">
        <f>ROUND((_xll.HPVAL($G$1,"ACTUAL",$A358,$M$7,"YTD","gpg")/1000),0)</f>
        <v>533635</v>
      </c>
      <c r="N358" s="77"/>
      <c r="O358" s="58">
        <f>ROUND((_xll.HPVAL($G$1,"ACTUAL",$A358,$O$7,"YTD","gpg")/1000),0)</f>
        <v>533635</v>
      </c>
      <c r="P358" s="77"/>
      <c r="Q358" s="58">
        <f>ROUND((_xll.HPVAL($G$1,"ACTUAL",$A358,$Q$7,"YTD","gpg")/1000),0)</f>
        <v>533635</v>
      </c>
      <c r="R358" s="77"/>
      <c r="S358" s="58">
        <f>ROUND((_xll.HPVAL($G$1,"ACTUAL",$A358,$S$7,"YTD","gpg")/1000),0)</f>
        <v>533635</v>
      </c>
      <c r="T358" s="77"/>
      <c r="U358" s="58">
        <f>ROUND((_xll.HPVAL($G$1,"ACTUAL",$A358,$U$7,"YTD","gpg")/1000),0)</f>
        <v>0</v>
      </c>
      <c r="V358" s="77"/>
      <c r="W358" s="58">
        <f>ROUND((_xll.HPVAL($G$1,"ACTUAL",$A358,$W$7,"YTD","gpg")/1000),0)</f>
        <v>0</v>
      </c>
      <c r="X358" s="77"/>
      <c r="Y358" s="58">
        <f>ROUND((_xll.HPVAL($G$1,"ACTUAL",$A358,$Y$7,"YTD","gpg")/1000),0)</f>
        <v>0</v>
      </c>
      <c r="Z358" s="77"/>
      <c r="AA358" s="58">
        <f>ROUND((_xll.HPVAL($G$1,"ACTUAL",$A358,$AA$7,"YTD","gpg")/1000),0)</f>
        <v>0</v>
      </c>
      <c r="AB358" s="77"/>
      <c r="AC358" s="58">
        <f>IF(mo=1,+E358-C358,CHOOSE(mo,E358,G358,I358,K358,M358,O358,Q358,S358,U358,W358,Y358,AA358)-CHOOSE(mo-1,E358,G358,I358,K358,M358,O358,Q358,S358,U358,W358,Y358,AA358))</f>
        <v>0</v>
      </c>
      <c r="AD358" s="70"/>
      <c r="AE358" s="58">
        <f>CHOOSE(mo,E358,G358,I358,K358,M358,O358,Q358,S358,U358,W358,Y358,AA358)-C358</f>
        <v>69666</v>
      </c>
      <c r="AF358" s="58"/>
    </row>
    <row r="359" spans="1:33">
      <c r="A359" s="84" t="s">
        <v>200</v>
      </c>
      <c r="B359" s="58" t="str">
        <f>_xll.HPHEA($A359,$G$2)</f>
        <v>Net Income</v>
      </c>
      <c r="C359" s="58">
        <f>ROUND((_xll.HPVAL($G$1,"py1",$A359,$C$7,"YTD","gpg")/1000),0)</f>
        <v>69666</v>
      </c>
      <c r="D359" s="70"/>
      <c r="E359" s="58">
        <f>ROUND((_xll.HPVAL($G$1,"ACTUAL",$A359,$E$7,"YTD","gpg")/1000),0)</f>
        <v>6658</v>
      </c>
      <c r="F359" s="77"/>
      <c r="G359" s="58">
        <f>ROUND((_xll.HPVAL($G$1,"ACTUAL",$A359,$G$7,"YTD","gpg")/1000),0)</f>
        <v>15198</v>
      </c>
      <c r="H359" s="77"/>
      <c r="I359" s="58">
        <f>ROUND((_xll.HPVAL($G$1,"ACTUAL",$A359,$I$7,"YTD","gpg")/1000),0)</f>
        <v>18539</v>
      </c>
      <c r="J359" s="77"/>
      <c r="K359" s="58">
        <f>ROUND((_xll.HPVAL($G$1,"ACTUAL",$A359,$K$7,"YTD","gpg")/1000),0)</f>
        <v>26693</v>
      </c>
      <c r="L359" s="77"/>
      <c r="M359" s="58">
        <f>ROUND((_xll.HPVAL($G$1,"ACTUAL",$A359,$M$7,"YTD","gpg")/1000),0)</f>
        <v>34271</v>
      </c>
      <c r="N359" s="77"/>
      <c r="O359" s="58">
        <f>ROUND((_xll.HPVAL($G$1,"ACTUAL",$A359,$O$7,"YTD","gpg")/1000),0)</f>
        <v>40567</v>
      </c>
      <c r="P359" s="77"/>
      <c r="Q359" s="58">
        <f>ROUND((_xll.HPVAL($G$1,"ACTUAL",$A359,$Q$7,"YTD","gpg")/1000),0)</f>
        <v>47482</v>
      </c>
      <c r="R359" s="77"/>
      <c r="S359" s="58">
        <f>ROUND((_xll.HPVAL($G$1,"ACTUAL",$A359,$S$7,"YTD","gpg")/1000),0)</f>
        <v>58071</v>
      </c>
      <c r="T359" s="77"/>
      <c r="U359" s="58">
        <f>ROUND((_xll.HPVAL($G$1,"ACTUAL",$A359,$U$7,"YTD","gpg")/1000),0)</f>
        <v>0</v>
      </c>
      <c r="V359" s="77"/>
      <c r="W359" s="58">
        <f>ROUND((_xll.HPVAL($G$1,"ACTUAL",$A359,$W$7,"YTD","gpg")/1000),0)</f>
        <v>0</v>
      </c>
      <c r="X359" s="77"/>
      <c r="Y359" s="58">
        <f>ROUND((_xll.HPVAL($G$1,"ACTUAL",$A359,$Y$7,"YTD","gpg")/1000),0)</f>
        <v>0</v>
      </c>
      <c r="Z359" s="77"/>
      <c r="AA359" s="58">
        <f>ROUND((_xll.HPVAL($G$1,"ACTUAL",$A359,$AA$7,"YTD","gpg")/1000),0)</f>
        <v>0</v>
      </c>
      <c r="AB359" s="77"/>
      <c r="AC359" s="58">
        <f>IF(mo=1,+E359-C359,CHOOSE(mo,E359,G359,I359,K359,M359,O359,Q359,S359,U359,W359,Y359,AA359)-CHOOSE(mo-1,E359,G359,I359,K359,M359,O359,Q359,S359,U359,W359,Y359,AA359))</f>
        <v>10589</v>
      </c>
      <c r="AD359" s="70"/>
      <c r="AE359" s="58">
        <f>CHOOSE(mo,E359,G359,I359,K359,M359,O359,Q359,S359,U359,W359,Y359,AA359)-C359</f>
        <v>-11595</v>
      </c>
      <c r="AF359" s="58"/>
    </row>
    <row r="360" spans="1:33" s="9" customFormat="1">
      <c r="A360" s="149" t="s">
        <v>204</v>
      </c>
      <c r="B360" s="75" t="str">
        <f>_xll.HPHEA($A360,$G$2)</f>
        <v>Investment in Subsidiary Plug Accounts</v>
      </c>
      <c r="C360" s="75">
        <f>ROUND((_xll.HPVAL($G$1,"py1",$A360,$C$7,"YTD","gpg")/1000),0)</f>
        <v>0</v>
      </c>
      <c r="D360" s="70"/>
      <c r="E360" s="75">
        <f>ROUND((_xll.HPVAL($G$1,"ACTUAL",$A360,$E$7,"YTD","gpg")/1000),0)</f>
        <v>0</v>
      </c>
      <c r="F360" s="77"/>
      <c r="G360" s="75">
        <f>ROUND((_xll.HPVAL($G$1,"ACTUAL",$A360,$G$7,"YTD","gpg")/1000),0)</f>
        <v>0</v>
      </c>
      <c r="H360" s="77"/>
      <c r="I360" s="75">
        <f>ROUND((_xll.HPVAL($G$1,"ACTUAL",$A360,$I$7,"YTD","gpg")/1000),0)</f>
        <v>0</v>
      </c>
      <c r="J360" s="77"/>
      <c r="K360" s="75">
        <f>ROUND((_xll.HPVAL($G$1,"ACTUAL",$A360,$K$7,"YTD","gpg")/1000),0)</f>
        <v>0</v>
      </c>
      <c r="L360" s="77"/>
      <c r="M360" s="75">
        <f>ROUND((_xll.HPVAL($G$1,"ACTUAL",$A360,$M$7,"YTD","gpg")/1000),0)</f>
        <v>0</v>
      </c>
      <c r="N360" s="77"/>
      <c r="O360" s="75">
        <f>ROUND((_xll.HPVAL($G$1,"ACTUAL",$A360,$O$7,"YTD","gpg")/1000),0)</f>
        <v>0</v>
      </c>
      <c r="P360" s="77"/>
      <c r="Q360" s="75">
        <f>ROUND((_xll.HPVAL($G$1,"ACTUAL",$A360,$Q$7,"YTD","gpg")/1000),0)</f>
        <v>0</v>
      </c>
      <c r="R360" s="77"/>
      <c r="S360" s="75">
        <f>ROUND((_xll.HPVAL($G$1,"ACTUAL",$A360,$S$7,"YTD","gpg")/1000),0)</f>
        <v>0</v>
      </c>
      <c r="T360" s="77"/>
      <c r="U360" s="75">
        <f>ROUND((_xll.HPVAL($G$1,"ACTUAL",$A360,$U$7,"YTD","gpg")/1000),0)</f>
        <v>0</v>
      </c>
      <c r="V360" s="77"/>
      <c r="W360" s="75">
        <f>ROUND((_xll.HPVAL($G$1,"ACTUAL",$A360,$W$7,"YTD","gpg")/1000),0)</f>
        <v>0</v>
      </c>
      <c r="X360" s="77"/>
      <c r="Y360" s="75">
        <f>ROUND((_xll.HPVAL($G$1,"ACTUAL",$A360,$Y$7,"YTD","gpg")/1000),0)</f>
        <v>0</v>
      </c>
      <c r="Z360" s="77"/>
      <c r="AA360" s="75">
        <f>ROUND((_xll.HPVAL($G$1,"ACTUAL",$A360,$AA$7,"YTD","gpg")/1000),0)</f>
        <v>0</v>
      </c>
      <c r="AB360" s="77"/>
      <c r="AC360" s="75">
        <f>IF(mo=1,+E360-C360,CHOOSE(mo,E360,G360,I360,K360,M360,O360,Q360,S360,U360,W360,Y360,AA360)-CHOOSE(mo-1,E360,G360,I360,K360,M360,O360,Q360,S360,U360,W360,Y360,AA360))</f>
        <v>0</v>
      </c>
      <c r="AD360" s="70"/>
      <c r="AE360" s="75">
        <f>CHOOSE(mo,E360,G360,I360,K360,M360,O360,Q360,S360,U360,W360,Y360,AA360)-C360</f>
        <v>0</v>
      </c>
      <c r="AF360" s="75"/>
      <c r="AG360" s="5"/>
    </row>
    <row r="361" spans="1:33">
      <c r="A361" s="84"/>
      <c r="B361" s="84" t="s">
        <v>216</v>
      </c>
      <c r="C361" s="75">
        <f>C362-SUM(C357:C360)</f>
        <v>0</v>
      </c>
      <c r="D361" s="70"/>
      <c r="E361" s="75">
        <f>E362-SUM(E357:E360)</f>
        <v>0</v>
      </c>
      <c r="F361" s="77"/>
      <c r="G361" s="75">
        <f>G362-SUM(G357:G360)</f>
        <v>0</v>
      </c>
      <c r="H361" s="77"/>
      <c r="I361" s="75">
        <f>I362-SUM(I357:I360)</f>
        <v>0</v>
      </c>
      <c r="J361" s="77"/>
      <c r="K361" s="75">
        <f>K362-SUM(K357:K360)</f>
        <v>0</v>
      </c>
      <c r="L361" s="77"/>
      <c r="M361" s="75">
        <f>M362-SUM(M357:M360)</f>
        <v>0</v>
      </c>
      <c r="N361" s="77"/>
      <c r="O361" s="75">
        <f>O362-SUM(O357:O360)</f>
        <v>0</v>
      </c>
      <c r="P361" s="77"/>
      <c r="Q361" s="75">
        <f>Q362-SUM(Q357:Q360)</f>
        <v>0</v>
      </c>
      <c r="R361" s="77"/>
      <c r="S361" s="75">
        <f>S362-SUM(S357:S360)</f>
        <v>0</v>
      </c>
      <c r="T361" s="77"/>
      <c r="U361" s="75">
        <f>U362-SUM(U357:U360)</f>
        <v>0</v>
      </c>
      <c r="V361" s="77"/>
      <c r="W361" s="75">
        <f>W362-SUM(W357:W360)</f>
        <v>0</v>
      </c>
      <c r="X361" s="77"/>
      <c r="Y361" s="75">
        <f>Y362-SUM(Y357:Y360)</f>
        <v>0</v>
      </c>
      <c r="Z361" s="77"/>
      <c r="AA361" s="75">
        <f>AA362-SUM(AA357:AA360)</f>
        <v>0</v>
      </c>
      <c r="AB361" s="77"/>
      <c r="AC361" s="75">
        <f>IF(mo=1,+E361-C361,CHOOSE(mo,E361,G361,I361,K361,M361,O361,Q361,S361,U361,W361,Y361,AA361)-CHOOSE(mo-1,E361,G361,I361,K361,M361,O361,Q361,S361,U361,W361,Y361,AA361))</f>
        <v>0</v>
      </c>
      <c r="AD361" s="70"/>
      <c r="AE361" s="75">
        <f>CHOOSE(mo,E361,G361,I361,K361,M361,O361,Q361,S361,U361,W361,Y361,AA361)-C361</f>
        <v>0</v>
      </c>
      <c r="AF361" s="58"/>
    </row>
    <row r="362" spans="1:33" s="13" customFormat="1" ht="15" customHeight="1" thickBot="1">
      <c r="A362" s="59"/>
      <c r="B362" s="60" t="s">
        <v>264</v>
      </c>
      <c r="C362" s="88">
        <f>ROUND((_xll.HPVAL($G$1,"py1","0920",$C$7,"YTD","gpg")/1000),0)+ROUND((_xll.HPVAL($G$1,"py1","0930",$C$7,"YTD","gpg")/1000),0)+ROUND((_xll.HPVAL($G$1,"py1","0941",$C$7,"YTD","gpg")/1000),0)+ROUND((_xll.HPVAL($G$1,"py1","0942",$C$7,"YTD","gpg")/1000),0)</f>
        <v>533635</v>
      </c>
      <c r="D362" s="70"/>
      <c r="E362" s="88">
        <f>ROUND((_xll.HPVAL($G$1,"actual","0920",E7,"YTD","gpg")/1000),0)+ROUND((_xll.HPVAL($G$1,"actual","0930",E7,"YTD","gpg")/1000),0)+ROUND((_xll.HPVAL($G$1,"actual","0941",E7,"YTD","gpg")/1000),0)+ROUND((_xll.HPVAL($G$1,"actual","0919",E7,"YTD","gpg")/1000),0)+ROUND((_xll.HPVAL($G$1,"actual","0942",E7,"YTD","gpg")/1000),0)</f>
        <v>540293</v>
      </c>
      <c r="F362" s="77"/>
      <c r="G362" s="88">
        <f>ROUND((_xll.HPVAL($G$1,"actual","0920",G7,"YTD","gpg")/1000),0)+ROUND((_xll.HPVAL($G$1,"actual","0930",G7,"YTD","gpg")/1000),0)+ROUND((_xll.HPVAL($G$1,"actual","0941",G7,"YTD","gpg")/1000),0)+ROUND((_xll.HPVAL($G$1,"actual","0919",G7,"YTD","gpg")/1000),0)+ROUND((_xll.HPVAL($G$1,"actual","0942",G7,"YTD","gpg")/1000),0)</f>
        <v>548833</v>
      </c>
      <c r="H362" s="77"/>
      <c r="I362" s="88">
        <f>ROUND((_xll.HPVAL($G$1,"actual","0920",I7,"YTD","gpg")/1000),0)+ROUND((_xll.HPVAL($G$1,"actual","0930",I7,"YTD","gpg")/1000),0)+ROUND((_xll.HPVAL($G$1,"actual","0941",I7,"YTD","gpg")/1000),0)+ROUND((_xll.HPVAL($G$1,"actual","0919",I7,"YTD","gpg")/1000),0)+ROUND((_xll.HPVAL($G$1,"actual","0942",I7,"YTD","gpg")/1000),0)</f>
        <v>552174</v>
      </c>
      <c r="J362" s="77" t="s">
        <v>251</v>
      </c>
      <c r="K362" s="88">
        <f>ROUND((_xll.HPVAL($G$1,"actual","0920",K7,"YTD","gpg")/1000),0)+ROUND((_xll.HPVAL($G$1,"actual","0930",K7,"YTD","gpg")/1000),0)+ROUND((_xll.HPVAL($G$1,"actual","0941",K7,"YTD","gpg")/1000),0)+ROUND((_xll.HPVAL($G$1,"actual","0919",K7,"YTD","gpg")/1000),0)+ROUND((_xll.HPVAL($G$1,"actual","0942",K7,"YTD","gpg")/1000),0)</f>
        <v>560328</v>
      </c>
      <c r="L362" s="77"/>
      <c r="M362" s="88">
        <f>ROUND((_xll.HPVAL($G$1,"actual","0920",M7,"YTD","gpg")/1000),0)+ROUND((_xll.HPVAL($G$1,"actual","0930",M7,"YTD","gpg")/1000),0)+ROUND((_xll.HPVAL($G$1,"actual","0941",M7,"YTD","gpg")/1000),0)+ROUND((_xll.HPVAL($G$1,"actual","0919",M7,"YTD","gpg")/1000),0)+ROUND((_xll.HPVAL($G$1,"actual","0942",M7,"YTD","gpg")/1000),0)</f>
        <v>567906</v>
      </c>
      <c r="N362" s="77"/>
      <c r="O362" s="88">
        <f>ROUND((_xll.HPVAL($G$1,"actual","0920",O7,"YTD","gpg")/1000),0)+ROUND((_xll.HPVAL($G$1,"actual","0930",O7,"YTD","gpg")/1000),0)+ROUND((_xll.HPVAL($G$1,"actual","0941",O7,"YTD","gpg")/1000),0)+ROUND((_xll.HPVAL($G$1,"actual","0919",O7,"YTD","gpg")/1000),0)+ROUND((_xll.HPVAL($G$1,"actual","0942",O7,"YTD","gpg")/1000),0)</f>
        <v>574202</v>
      </c>
      <c r="P362" s="77"/>
      <c r="Q362" s="88">
        <f>ROUND((_xll.HPVAL($G$1,"actual","0920",Q7,"YTD","gpg")/1000),0)+ROUND((_xll.HPVAL($G$1,"actual","0930",Q7,"YTD","gpg")/1000),0)+ROUND((_xll.HPVAL($G$1,"actual","0941",Q7,"YTD","gpg")/1000),0)+ROUND((_xll.HPVAL($G$1,"actual","0919",Q7,"YTD","gpg")/1000),0)+ROUND((_xll.HPVAL($G$1,"actual","0942",Q7,"YTD","gpg")/1000),0)</f>
        <v>581117</v>
      </c>
      <c r="R362" s="77"/>
      <c r="S362" s="88">
        <f>ROUND((_xll.HPVAL($G$1,"actual","0920",S7,"YTD","gpg")/1000),0)+ROUND((_xll.HPVAL($G$1,"actual","0930",S7,"YTD","gpg")/1000),0)+ROUND((_xll.HPVAL($G$1,"actual","0941",S7,"YTD","gpg")/1000),0)+ROUND((_xll.HPVAL($G$1,"actual","0919",S7,"YTD","gpg")/1000),0)+ROUND((_xll.HPVAL($G$1,"actual","0942",S7,"YTD","gpg")/1000),0)</f>
        <v>591706</v>
      </c>
      <c r="T362" s="77"/>
      <c r="U362" s="88">
        <f>ROUND((_xll.HPVAL($G$1,"actual","0920",U7,"YTD","gpg")/1000),0)+ROUND((_xll.HPVAL($G$1,"actual","0930",U7,"YTD","gpg")/1000),0)+ROUND((_xll.HPVAL($G$1,"actual","0941",U7,"YTD","gpg")/1000),0)+ROUND((_xll.HPVAL($G$1,"actual","0919",U7,"YTD","gpg")/1000),0)+ROUND((_xll.HPVAL($G$1,"actual","0942",U7,"YTD","gpg")/1000),0)</f>
        <v>0</v>
      </c>
      <c r="V362" s="77"/>
      <c r="W362" s="88">
        <f>ROUND((_xll.HPVAL($G$1,"actual","0920",W7,"YTD","gpg")/1000),0)+ROUND((_xll.HPVAL($G$1,"actual","0930",W7,"YTD","gpg")/1000),0)+ROUND((_xll.HPVAL($G$1,"actual","0941",W7,"YTD","gpg")/1000),0)+ROUND((_xll.HPVAL($G$1,"actual","0919",W7,"YTD","gpg")/1000),0)+ROUND((_xll.HPVAL($G$1,"actual","0942",W7,"YTD","gpg")/1000),0)</f>
        <v>0</v>
      </c>
      <c r="X362" s="77"/>
      <c r="Y362" s="88">
        <f>ROUND((_xll.HPVAL($G$1,"actual","0920",Y7,"YTD","gpg")/1000),0)+ROUND((_xll.HPVAL($G$1,"actual","0930",Y7,"YTD","gpg")/1000),0)+ROUND((_xll.HPVAL($G$1,"actual","0941",Y7,"YTD","gpg")/1000),0)+ROUND((_xll.HPVAL($G$1,"actual","0919",Y7,"YTD","gpg")/1000),0)+ROUND((_xll.HPVAL($G$1,"actual","0942",Y7,"YTD","gpg")/1000),0)</f>
        <v>0</v>
      </c>
      <c r="Z362" s="77"/>
      <c r="AA362" s="88">
        <f>ROUND((_xll.HPVAL($G$1,"actual","0920",AA7,"YTD","gpg")/1000),0)+ROUND((_xll.HPVAL($G$1,"actual","0930",AA7,"YTD","gpg")/1000),0)+ROUND((_xll.HPVAL($G$1,"actual","0941",AA7,"YTD","gpg")/1000),0)+ROUND((_xll.HPVAL($G$1,"actual","0919",AA7,"YTD","gpg")/1000),0)+ROUND((_xll.HPVAL($G$1,"actual","0942",AA7,"YTD","gpg")/1000),0)</f>
        <v>0</v>
      </c>
      <c r="AB362" s="77"/>
      <c r="AC362" s="88">
        <f>SUM(AC357:AC360)</f>
        <v>10589</v>
      </c>
      <c r="AD362" s="251"/>
      <c r="AE362" s="88">
        <f>SUM(AE357:AE360)</f>
        <v>58071</v>
      </c>
      <c r="AF362" s="60"/>
      <c r="AG362" s="5"/>
    </row>
    <row r="363" spans="1:33" ht="10.8" thickTop="1">
      <c r="A363" s="84"/>
      <c r="B363" s="58"/>
      <c r="C363" s="58"/>
      <c r="D363" s="70"/>
      <c r="E363" s="58"/>
      <c r="F363" s="77"/>
      <c r="G363" s="58"/>
      <c r="H363" s="77"/>
      <c r="I363" s="58"/>
      <c r="J363" s="77"/>
      <c r="K363" s="58"/>
      <c r="L363" s="77"/>
      <c r="M363" s="58"/>
      <c r="N363" s="77"/>
      <c r="O363" s="58"/>
      <c r="P363" s="77"/>
      <c r="Q363" s="58"/>
      <c r="R363" s="77"/>
      <c r="S363" s="58"/>
      <c r="T363" s="77"/>
      <c r="U363" s="58"/>
      <c r="V363" s="77"/>
      <c r="W363" s="58"/>
      <c r="X363" s="77"/>
      <c r="Y363" s="58"/>
      <c r="Z363" s="77"/>
      <c r="AA363" s="58"/>
      <c r="AB363" s="77"/>
      <c r="AC363" s="58"/>
      <c r="AD363" s="70"/>
      <c r="AE363" s="58"/>
      <c r="AF363" s="58"/>
    </row>
    <row r="364" spans="1:33" s="13" customFormat="1" ht="15" customHeight="1" thickBot="1">
      <c r="A364" s="59"/>
      <c r="B364" s="60" t="s">
        <v>265</v>
      </c>
      <c r="C364" s="86">
        <f>+C345+C349+C355+C362</f>
        <v>942827</v>
      </c>
      <c r="D364" s="70"/>
      <c r="E364" s="86">
        <f>+E345+E349+E355+E362</f>
        <v>923268</v>
      </c>
      <c r="F364" s="77"/>
      <c r="G364" s="86">
        <f>+G345+G349+G355+G362</f>
        <v>940277</v>
      </c>
      <c r="H364" s="77"/>
      <c r="I364" s="86">
        <f>+I345+I349+I355+I362</f>
        <v>939317</v>
      </c>
      <c r="J364" s="77"/>
      <c r="K364" s="86">
        <f>+K345+K349+K355+K362</f>
        <v>953449</v>
      </c>
      <c r="L364" s="77"/>
      <c r="M364" s="86">
        <f>+M345+M349+M355+M362</f>
        <v>980136</v>
      </c>
      <c r="N364" s="77"/>
      <c r="O364" s="86">
        <f>+O345+O349+O355+O362</f>
        <v>1003347</v>
      </c>
      <c r="P364" s="77"/>
      <c r="Q364" s="86">
        <f>+Q345+Q349+Q355+Q362</f>
        <v>1009761</v>
      </c>
      <c r="R364" s="77"/>
      <c r="S364" s="86">
        <f>+S345+S349+S355+S362</f>
        <v>1020350</v>
      </c>
      <c r="T364" s="77"/>
      <c r="U364" s="86">
        <f>+U345+U349+U355+U362</f>
        <v>0</v>
      </c>
      <c r="V364" s="77"/>
      <c r="W364" s="86">
        <f>+W345+W349+W355+W362</f>
        <v>0</v>
      </c>
      <c r="X364" s="77"/>
      <c r="Y364" s="86">
        <f>+Y345+Y349+Y355+Y362</f>
        <v>0</v>
      </c>
      <c r="Z364" s="77"/>
      <c r="AA364" s="86">
        <f>+AA345+AA349+AA355+AA362</f>
        <v>0</v>
      </c>
      <c r="AB364" s="77"/>
      <c r="AC364" s="86">
        <f>+AC345+AC349+AC355+AC362</f>
        <v>10589</v>
      </c>
      <c r="AD364" s="86">
        <f>+AD345+AD349+AD355+AD362</f>
        <v>0</v>
      </c>
      <c r="AE364" s="86">
        <f>+AE345+AE349+AE355+AE362</f>
        <v>77523</v>
      </c>
      <c r="AF364" s="60"/>
      <c r="AG364" s="5"/>
    </row>
    <row r="365" spans="1:33" ht="10.8" thickTop="1">
      <c r="A365" s="84"/>
      <c r="B365" s="58"/>
      <c r="C365" s="58"/>
      <c r="D365" s="70"/>
      <c r="E365" s="58"/>
      <c r="F365" s="77"/>
      <c r="G365" s="58"/>
      <c r="H365" s="77"/>
      <c r="I365" s="58"/>
      <c r="J365" s="77"/>
      <c r="K365" s="58"/>
      <c r="L365" s="77"/>
      <c r="M365" s="58"/>
      <c r="N365" s="77"/>
      <c r="O365" s="58"/>
      <c r="P365" s="77"/>
      <c r="Q365" s="58"/>
      <c r="R365" s="77"/>
      <c r="S365" s="58"/>
      <c r="T365" s="77"/>
      <c r="U365" s="58"/>
      <c r="V365" s="77"/>
      <c r="W365" s="58"/>
      <c r="X365" s="77"/>
      <c r="Y365" s="58"/>
      <c r="Z365" s="77"/>
      <c r="AA365" s="58"/>
      <c r="AB365" s="77"/>
      <c r="AC365" s="58"/>
      <c r="AD365" s="70"/>
      <c r="AE365" s="58"/>
      <c r="AF365" s="58"/>
    </row>
    <row r="366" spans="1:33" s="13" customFormat="1" ht="15" customHeight="1" thickBot="1">
      <c r="A366" s="98" t="s">
        <v>266</v>
      </c>
      <c r="B366" s="72"/>
      <c r="C366" s="86">
        <f>+C310+C337+C343+C364</f>
        <v>1372400</v>
      </c>
      <c r="D366" s="70"/>
      <c r="E366" s="86">
        <f>+E310+E337+E343+E364</f>
        <v>1382501</v>
      </c>
      <c r="F366" s="77"/>
      <c r="G366" s="86">
        <f>+G310+G337+G343+G364</f>
        <v>1391033</v>
      </c>
      <c r="H366" s="77"/>
      <c r="I366" s="86">
        <f>+I310+I337+I343+I364</f>
        <v>1416580</v>
      </c>
      <c r="J366" s="77"/>
      <c r="K366" s="86">
        <f>+K310+K337+K343+K364</f>
        <v>1408881</v>
      </c>
      <c r="L366" s="77"/>
      <c r="M366" s="86">
        <f>+M310+M337+M343+M364</f>
        <v>1428253</v>
      </c>
      <c r="N366" s="77"/>
      <c r="O366" s="86">
        <f>+O310+O337+O343+O364</f>
        <v>1295686</v>
      </c>
      <c r="P366" s="77"/>
      <c r="Q366" s="86">
        <f>+Q310+Q337+Q343+Q364</f>
        <v>1301499</v>
      </c>
      <c r="R366" s="77"/>
      <c r="S366" s="86">
        <f>+S310+S337+S343+S364</f>
        <v>1315980</v>
      </c>
      <c r="T366" s="77"/>
      <c r="U366" s="86">
        <f>+U310+U337+U343+U364</f>
        <v>0</v>
      </c>
      <c r="V366" s="77"/>
      <c r="W366" s="86">
        <f>+W310+W337+W343+W364</f>
        <v>0</v>
      </c>
      <c r="X366" s="77"/>
      <c r="Y366" s="86">
        <f>+Y310+Y337+Y343+Y364</f>
        <v>0</v>
      </c>
      <c r="Z366" s="77"/>
      <c r="AA366" s="86">
        <f>+AA310+AA337+AA343+AA364</f>
        <v>0</v>
      </c>
      <c r="AB366" s="77"/>
      <c r="AC366" s="86">
        <f>+AC310+AC337+AC343+AC364</f>
        <v>14481</v>
      </c>
      <c r="AD366" s="86">
        <f>+AD310+AD337+AD343+AD364</f>
        <v>0</v>
      </c>
      <c r="AE366" s="86">
        <f>+AE310+AE337+AE343+AE364</f>
        <v>-56420</v>
      </c>
      <c r="AF366" s="60"/>
      <c r="AG366" s="5"/>
    </row>
    <row r="367" spans="1:33" ht="10.8" thickTop="1">
      <c r="A367" s="84"/>
      <c r="B367" s="58"/>
      <c r="C367" s="58"/>
      <c r="D367" s="70"/>
      <c r="E367" s="58"/>
      <c r="F367" s="77"/>
      <c r="G367" s="58"/>
      <c r="H367" s="77"/>
      <c r="I367" s="58"/>
      <c r="J367" s="77"/>
      <c r="K367" s="58"/>
      <c r="L367" s="77"/>
      <c r="M367" s="58"/>
      <c r="N367" s="77"/>
      <c r="O367" s="58"/>
      <c r="P367" s="77"/>
      <c r="Q367" s="58"/>
      <c r="R367" s="73"/>
      <c r="S367" s="58"/>
      <c r="T367" s="71"/>
      <c r="U367" s="58"/>
      <c r="V367" s="72"/>
      <c r="W367" s="58"/>
      <c r="X367" s="72"/>
      <c r="Y367" s="58"/>
      <c r="Z367" s="70"/>
      <c r="AA367" s="58"/>
      <c r="AB367" s="72"/>
      <c r="AC367" s="58"/>
      <c r="AD367" s="70"/>
      <c r="AE367" s="58"/>
      <c r="AF367" s="58"/>
    </row>
    <row r="368" spans="1:33">
      <c r="A368" s="84"/>
      <c r="B368" s="89" t="s">
        <v>63</v>
      </c>
      <c r="C368" s="58">
        <f>+C213-C366</f>
        <v>0</v>
      </c>
      <c r="D368" s="70"/>
      <c r="E368" s="58">
        <f>+E213-E366</f>
        <v>0</v>
      </c>
      <c r="F368" s="77"/>
      <c r="G368" s="58">
        <f>+G213-G366</f>
        <v>0</v>
      </c>
      <c r="H368" s="77"/>
      <c r="I368" s="58">
        <f>+I213-I366</f>
        <v>0</v>
      </c>
      <c r="J368" s="77"/>
      <c r="K368" s="58">
        <f>+K213-K366</f>
        <v>0</v>
      </c>
      <c r="L368" s="77"/>
      <c r="M368" s="58">
        <f>+M213-M366</f>
        <v>0</v>
      </c>
      <c r="N368" s="77"/>
      <c r="O368" s="58">
        <f>+O213-O366</f>
        <v>0</v>
      </c>
      <c r="P368" s="77"/>
      <c r="Q368" s="58">
        <f>+Q213-Q366</f>
        <v>0</v>
      </c>
      <c r="R368" s="73"/>
      <c r="S368" s="58">
        <f>+S213-S366</f>
        <v>0</v>
      </c>
      <c r="T368" s="71"/>
      <c r="U368" s="58">
        <f>+U213-U366</f>
        <v>0</v>
      </c>
      <c r="V368" s="72"/>
      <c r="W368" s="58">
        <f>+W213-W366</f>
        <v>0</v>
      </c>
      <c r="X368" s="72"/>
      <c r="Y368" s="58">
        <f>+Y213-Y366</f>
        <v>0</v>
      </c>
      <c r="Z368" s="70"/>
      <c r="AA368" s="58">
        <f>+AA213-AA366</f>
        <v>0</v>
      </c>
      <c r="AB368" s="72"/>
      <c r="AC368" s="58">
        <f>+AC213-AC366</f>
        <v>0</v>
      </c>
      <c r="AD368" s="70"/>
      <c r="AE368" s="58">
        <f>+AE213-AE366</f>
        <v>0</v>
      </c>
      <c r="AF368" s="58"/>
    </row>
    <row r="369" spans="1:32">
      <c r="A369" s="84"/>
      <c r="B369" s="58"/>
      <c r="C369" s="58"/>
      <c r="D369" s="70"/>
      <c r="E369" s="58"/>
      <c r="F369" s="77"/>
      <c r="G369" s="58"/>
      <c r="H369" s="77"/>
      <c r="I369" s="58"/>
      <c r="J369" s="77"/>
      <c r="K369" s="58"/>
      <c r="L369" s="77"/>
      <c r="M369" s="58"/>
      <c r="N369" s="77"/>
      <c r="O369" s="72"/>
      <c r="P369" s="77"/>
      <c r="Q369" s="58"/>
      <c r="R369" s="73"/>
      <c r="S369" s="58"/>
      <c r="T369" s="71"/>
      <c r="U369" s="58"/>
      <c r="V369" s="72"/>
      <c r="W369" s="58"/>
      <c r="X369" s="72"/>
      <c r="Y369" s="58" t="s">
        <v>620</v>
      </c>
      <c r="Z369" s="72"/>
      <c r="AA369" s="318" t="str">
        <f>twbs!I8</f>
        <v>December 31,</v>
      </c>
      <c r="AB369" s="72"/>
      <c r="AC369" s="58"/>
      <c r="AD369" s="319"/>
      <c r="AE369" s="318">
        <f>twbs!I70</f>
        <v>1372399</v>
      </c>
      <c r="AF369" s="58"/>
    </row>
    <row r="370" spans="1:32">
      <c r="D370" s="22"/>
      <c r="F370" s="21"/>
      <c r="H370" s="21"/>
      <c r="J370" s="21"/>
      <c r="L370" s="21"/>
      <c r="N370" s="21"/>
      <c r="P370" s="20"/>
      <c r="T370" s="22"/>
      <c r="V370" s="17"/>
      <c r="X370" s="17"/>
      <c r="Y370" s="58"/>
      <c r="Z370" s="72"/>
      <c r="AA370" s="318" t="str">
        <f>twbs!E8</f>
        <v>August 31,</v>
      </c>
      <c r="AB370" s="72"/>
      <c r="AC370" s="318">
        <f>twbs!E70</f>
        <v>1315979</v>
      </c>
      <c r="AD370" s="5"/>
      <c r="AE370" s="318">
        <f>twbs!E70</f>
        <v>1315979</v>
      </c>
    </row>
    <row r="371" spans="1:32">
      <c r="F371" s="20"/>
      <c r="H371" s="20"/>
      <c r="J371" s="20"/>
      <c r="L371" s="20"/>
      <c r="T371" s="22"/>
      <c r="Z371" s="17"/>
      <c r="AA371" s="318" t="str">
        <f>twbs!G8</f>
        <v>July 31,</v>
      </c>
      <c r="AB371" s="17"/>
      <c r="AC371" s="318">
        <f>twbs!G70</f>
        <v>1301499</v>
      </c>
      <c r="AD371" s="5"/>
      <c r="AE371" s="318"/>
    </row>
    <row r="372" spans="1:32" ht="10.8" thickBot="1">
      <c r="F372" s="20"/>
      <c r="H372" s="20"/>
      <c r="J372" s="20"/>
      <c r="L372" s="20"/>
      <c r="T372" s="22"/>
      <c r="Z372" s="17"/>
      <c r="AB372" s="17"/>
      <c r="AC372" s="24">
        <f>AC370-AC371</f>
        <v>14480</v>
      </c>
      <c r="AD372" s="5"/>
      <c r="AE372" s="24">
        <f>AE370-AE369</f>
        <v>-56420</v>
      </c>
    </row>
    <row r="373" spans="1:32" ht="10.8" thickTop="1">
      <c r="F373" s="20"/>
      <c r="H373" s="20"/>
      <c r="J373" s="20"/>
      <c r="L373" s="20"/>
      <c r="T373" s="22"/>
      <c r="Z373" s="22"/>
      <c r="AB373" s="17"/>
    </row>
    <row r="374" spans="1:32">
      <c r="F374" s="20"/>
      <c r="H374" s="20"/>
      <c r="J374" s="20"/>
      <c r="L374" s="20"/>
      <c r="T374" s="22"/>
      <c r="Z374" s="22"/>
      <c r="AB374" s="17"/>
    </row>
    <row r="375" spans="1:32">
      <c r="F375" s="20"/>
      <c r="H375" s="20"/>
      <c r="J375" s="20"/>
      <c r="L375" s="20"/>
      <c r="T375" s="22"/>
      <c r="Z375" s="22"/>
      <c r="AB375" s="17"/>
    </row>
    <row r="376" spans="1:32">
      <c r="F376" s="20"/>
      <c r="H376" s="20"/>
      <c r="J376" s="20"/>
      <c r="L376" s="20"/>
      <c r="T376" s="22"/>
      <c r="Z376" s="22"/>
      <c r="AB376" s="17"/>
    </row>
    <row r="377" spans="1:32">
      <c r="F377" s="20"/>
      <c r="H377" s="20"/>
      <c r="J377" s="20"/>
      <c r="L377" s="20"/>
      <c r="T377" s="22"/>
      <c r="Z377" s="22"/>
      <c r="AB377" s="17"/>
    </row>
    <row r="378" spans="1:32">
      <c r="F378" s="20"/>
      <c r="H378" s="20"/>
      <c r="J378" s="20"/>
      <c r="L378" s="20"/>
      <c r="T378" s="22"/>
      <c r="Z378" s="22"/>
      <c r="AB378" s="17"/>
    </row>
    <row r="379" spans="1:32">
      <c r="A379" s="139"/>
      <c r="F379" s="20"/>
      <c r="H379" s="20"/>
      <c r="J379" s="20"/>
      <c r="L379" s="20"/>
      <c r="Q379" s="140"/>
      <c r="T379" s="22"/>
      <c r="Z379" s="22"/>
      <c r="AB379" s="17"/>
    </row>
    <row r="380" spans="1:32">
      <c r="F380" s="20"/>
      <c r="H380" s="20"/>
      <c r="J380" s="20"/>
      <c r="L380" s="20"/>
      <c r="T380" s="22"/>
      <c r="Z380" s="22"/>
      <c r="AB380" s="17"/>
    </row>
    <row r="381" spans="1:32">
      <c r="F381" s="20"/>
      <c r="H381" s="20"/>
      <c r="J381" s="20"/>
      <c r="L381" s="20"/>
      <c r="T381" s="22"/>
      <c r="Z381" s="22"/>
      <c r="AB381" s="17"/>
    </row>
    <row r="382" spans="1:32">
      <c r="F382" s="20"/>
      <c r="H382" s="20"/>
      <c r="J382" s="20"/>
      <c r="L382" s="20"/>
      <c r="T382" s="22"/>
      <c r="Z382" s="22"/>
      <c r="AB382" s="17"/>
    </row>
    <row r="383" spans="1:32">
      <c r="F383" s="20"/>
      <c r="H383" s="20"/>
      <c r="J383" s="20"/>
      <c r="L383" s="20"/>
      <c r="T383" s="22"/>
      <c r="Z383" s="22"/>
      <c r="AB383" s="17"/>
    </row>
    <row r="384" spans="1:32">
      <c r="F384" s="20"/>
      <c r="H384" s="20"/>
      <c r="J384" s="20"/>
      <c r="L384" s="20"/>
      <c r="T384" s="22"/>
      <c r="Z384" s="22"/>
      <c r="AB384" s="17"/>
    </row>
    <row r="385" spans="6:28">
      <c r="F385" s="20"/>
      <c r="H385" s="20"/>
      <c r="J385" s="20"/>
      <c r="L385" s="20"/>
      <c r="T385" s="22"/>
      <c r="Z385" s="22"/>
      <c r="AB385" s="17"/>
    </row>
    <row r="386" spans="6:28">
      <c r="F386" s="20"/>
      <c r="H386" s="20"/>
      <c r="J386" s="20"/>
      <c r="L386" s="20"/>
      <c r="T386" s="22"/>
      <c r="Z386" s="22"/>
      <c r="AB386" s="17"/>
    </row>
    <row r="387" spans="6:28">
      <c r="F387" s="20"/>
      <c r="H387" s="20"/>
      <c r="J387" s="20"/>
      <c r="L387" s="20"/>
      <c r="T387" s="22"/>
      <c r="Z387" s="22"/>
      <c r="AB387" s="17"/>
    </row>
    <row r="388" spans="6:28">
      <c r="F388" s="20"/>
      <c r="H388" s="20"/>
      <c r="J388" s="20"/>
      <c r="L388" s="20"/>
      <c r="T388" s="22"/>
      <c r="Z388" s="22"/>
      <c r="AB388" s="17"/>
    </row>
    <row r="389" spans="6:28">
      <c r="F389" s="20"/>
      <c r="H389" s="20"/>
      <c r="J389" s="20"/>
      <c r="L389" s="20"/>
      <c r="T389" s="22"/>
      <c r="Z389" s="22"/>
      <c r="AB389" s="17"/>
    </row>
    <row r="390" spans="6:28">
      <c r="F390" s="20"/>
      <c r="H390" s="20"/>
      <c r="J390" s="20"/>
      <c r="L390" s="20"/>
      <c r="T390" s="22"/>
      <c r="Z390" s="22"/>
      <c r="AB390" s="17"/>
    </row>
    <row r="391" spans="6:28">
      <c r="F391" s="20"/>
      <c r="H391" s="20"/>
      <c r="J391" s="20"/>
      <c r="L391" s="20"/>
      <c r="T391" s="22"/>
      <c r="Z391" s="22"/>
      <c r="AB391" s="17"/>
    </row>
    <row r="392" spans="6:28">
      <c r="F392" s="20"/>
      <c r="H392" s="20"/>
      <c r="J392" s="20"/>
      <c r="L392" s="20"/>
      <c r="T392" s="22"/>
      <c r="Z392" s="22"/>
      <c r="AB392" s="17"/>
    </row>
    <row r="393" spans="6:28">
      <c r="F393" s="20"/>
      <c r="H393" s="20"/>
      <c r="J393" s="20"/>
      <c r="L393" s="20"/>
      <c r="T393" s="22"/>
      <c r="Z393" s="22"/>
      <c r="AB393" s="17"/>
    </row>
    <row r="394" spans="6:28">
      <c r="F394" s="20"/>
      <c r="H394" s="20"/>
      <c r="J394" s="20"/>
      <c r="L394" s="20"/>
      <c r="T394" s="22"/>
      <c r="Z394" s="22"/>
      <c r="AB394" s="17"/>
    </row>
    <row r="395" spans="6:28">
      <c r="F395" s="20"/>
      <c r="H395" s="20"/>
      <c r="J395" s="20"/>
      <c r="L395" s="20"/>
      <c r="T395" s="22"/>
      <c r="Z395" s="22"/>
      <c r="AB395" s="17"/>
    </row>
    <row r="396" spans="6:28">
      <c r="F396" s="20"/>
      <c r="H396" s="20"/>
      <c r="J396" s="20"/>
      <c r="L396" s="20"/>
      <c r="T396" s="22"/>
      <c r="Z396" s="22"/>
      <c r="AB396" s="17"/>
    </row>
    <row r="397" spans="6:28">
      <c r="F397" s="20"/>
      <c r="H397" s="20"/>
      <c r="J397" s="20"/>
      <c r="L397" s="20"/>
      <c r="T397" s="22"/>
      <c r="Z397" s="22"/>
      <c r="AB397" s="17"/>
    </row>
    <row r="398" spans="6:28">
      <c r="F398" s="20"/>
      <c r="H398" s="20"/>
      <c r="J398" s="20"/>
      <c r="L398" s="20"/>
      <c r="T398" s="22"/>
      <c r="Z398" s="22"/>
      <c r="AB398" s="17"/>
    </row>
    <row r="399" spans="6:28">
      <c r="F399" s="20"/>
      <c r="H399" s="20"/>
      <c r="J399" s="20"/>
      <c r="L399" s="20"/>
      <c r="T399" s="22"/>
      <c r="Z399" s="22"/>
      <c r="AB399" s="17"/>
    </row>
    <row r="400" spans="6:28">
      <c r="F400" s="20"/>
      <c r="H400" s="20"/>
      <c r="J400" s="20"/>
      <c r="L400" s="20"/>
      <c r="T400" s="22"/>
      <c r="Z400" s="22"/>
      <c r="AB400" s="17"/>
    </row>
    <row r="401" spans="6:28">
      <c r="F401" s="20"/>
      <c r="H401" s="20"/>
      <c r="J401" s="20"/>
      <c r="L401" s="20"/>
      <c r="T401" s="22"/>
      <c r="Z401" s="22"/>
      <c r="AB401" s="17"/>
    </row>
    <row r="402" spans="6:28">
      <c r="F402" s="20"/>
      <c r="H402" s="20"/>
      <c r="J402" s="20"/>
      <c r="L402" s="20"/>
      <c r="T402" s="22"/>
      <c r="Z402" s="22"/>
      <c r="AB402" s="17"/>
    </row>
    <row r="403" spans="6:28">
      <c r="F403" s="20"/>
      <c r="H403" s="20"/>
      <c r="J403" s="20"/>
      <c r="L403" s="20"/>
      <c r="T403" s="22"/>
      <c r="Z403" s="22"/>
      <c r="AB403" s="17"/>
    </row>
    <row r="404" spans="6:28">
      <c r="F404" s="20"/>
      <c r="H404" s="20"/>
      <c r="J404" s="20"/>
      <c r="L404" s="20"/>
      <c r="T404" s="22"/>
      <c r="Z404" s="22"/>
      <c r="AB404" s="17"/>
    </row>
    <row r="405" spans="6:28">
      <c r="F405" s="20"/>
      <c r="H405" s="20"/>
      <c r="J405" s="20"/>
      <c r="L405" s="20"/>
      <c r="T405" s="22"/>
      <c r="Z405" s="22"/>
      <c r="AB405" s="17"/>
    </row>
    <row r="406" spans="6:28">
      <c r="F406" s="20"/>
      <c r="H406" s="20"/>
      <c r="J406" s="20"/>
      <c r="L406" s="20"/>
      <c r="T406" s="22"/>
      <c r="Z406" s="22"/>
      <c r="AB406" s="17"/>
    </row>
    <row r="407" spans="6:28">
      <c r="F407" s="20"/>
      <c r="H407" s="20"/>
      <c r="J407" s="20"/>
      <c r="L407" s="20"/>
      <c r="T407" s="22"/>
      <c r="Z407" s="22"/>
      <c r="AB407" s="17"/>
    </row>
    <row r="408" spans="6:28">
      <c r="F408" s="20"/>
      <c r="H408" s="20"/>
      <c r="J408" s="20"/>
      <c r="L408" s="20"/>
      <c r="T408" s="22"/>
      <c r="Z408" s="22"/>
      <c r="AB408" s="17"/>
    </row>
    <row r="409" spans="6:28">
      <c r="F409" s="20"/>
      <c r="H409" s="20"/>
      <c r="J409" s="20"/>
      <c r="L409" s="20"/>
      <c r="T409" s="22"/>
      <c r="Z409" s="22"/>
      <c r="AB409" s="17"/>
    </row>
    <row r="410" spans="6:28">
      <c r="F410" s="20"/>
      <c r="H410" s="20"/>
      <c r="J410" s="20"/>
      <c r="L410" s="20"/>
      <c r="T410" s="22"/>
      <c r="Z410" s="22"/>
      <c r="AB410" s="17"/>
    </row>
    <row r="411" spans="6:28">
      <c r="F411" s="20"/>
      <c r="H411" s="20"/>
      <c r="J411" s="20"/>
      <c r="L411" s="20"/>
      <c r="T411" s="22"/>
      <c r="Z411" s="22"/>
      <c r="AB411" s="17"/>
    </row>
    <row r="412" spans="6:28">
      <c r="F412" s="20"/>
      <c r="H412" s="20"/>
      <c r="J412" s="20"/>
      <c r="L412" s="20"/>
      <c r="T412" s="22"/>
      <c r="Z412" s="22"/>
      <c r="AB412" s="17"/>
    </row>
    <row r="413" spans="6:28">
      <c r="F413" s="20"/>
      <c r="H413" s="20"/>
      <c r="J413" s="20"/>
      <c r="L413" s="20"/>
      <c r="T413" s="22"/>
      <c r="Z413" s="22"/>
      <c r="AB413" s="17"/>
    </row>
    <row r="414" spans="6:28">
      <c r="F414" s="20"/>
      <c r="H414" s="20"/>
      <c r="J414" s="20"/>
      <c r="L414" s="20"/>
      <c r="T414" s="22"/>
      <c r="Z414" s="22"/>
      <c r="AB414" s="17"/>
    </row>
    <row r="415" spans="6:28">
      <c r="F415" s="20"/>
      <c r="H415" s="20"/>
      <c r="J415" s="20"/>
      <c r="L415" s="20"/>
      <c r="T415" s="22"/>
      <c r="Z415" s="22"/>
      <c r="AB415" s="17"/>
    </row>
    <row r="416" spans="6:28">
      <c r="F416" s="20"/>
      <c r="H416" s="20"/>
      <c r="J416" s="20"/>
      <c r="L416" s="20"/>
      <c r="T416" s="22"/>
      <c r="Z416" s="22"/>
      <c r="AB416" s="17"/>
    </row>
    <row r="417" spans="6:28">
      <c r="F417" s="20"/>
      <c r="H417" s="20"/>
      <c r="J417" s="20"/>
      <c r="L417" s="20"/>
      <c r="T417" s="22"/>
      <c r="Z417" s="22"/>
      <c r="AB417" s="17"/>
    </row>
    <row r="418" spans="6:28">
      <c r="F418" s="20"/>
      <c r="H418" s="20"/>
      <c r="J418" s="20"/>
      <c r="L418" s="20"/>
      <c r="T418" s="22"/>
      <c r="Z418" s="22"/>
      <c r="AB418" s="17"/>
    </row>
    <row r="419" spans="6:28">
      <c r="F419" s="20"/>
      <c r="H419" s="20"/>
      <c r="J419" s="20"/>
      <c r="L419" s="20"/>
      <c r="T419" s="22"/>
      <c r="Z419" s="22"/>
      <c r="AB419" s="17"/>
    </row>
    <row r="420" spans="6:28">
      <c r="F420" s="20"/>
      <c r="H420" s="20"/>
      <c r="J420" s="20"/>
      <c r="L420" s="20"/>
      <c r="T420" s="22"/>
      <c r="Z420" s="22"/>
      <c r="AB420" s="17"/>
    </row>
    <row r="421" spans="6:28">
      <c r="F421" s="20"/>
      <c r="H421" s="20"/>
      <c r="J421" s="20"/>
      <c r="L421" s="20"/>
      <c r="T421" s="22"/>
      <c r="Z421" s="22"/>
      <c r="AB421" s="17"/>
    </row>
    <row r="422" spans="6:28">
      <c r="F422" s="20"/>
      <c r="H422" s="20"/>
      <c r="J422" s="20"/>
      <c r="L422" s="20"/>
      <c r="T422" s="22"/>
      <c r="Z422" s="22"/>
      <c r="AB422" s="17"/>
    </row>
    <row r="423" spans="6:28">
      <c r="F423" s="20"/>
      <c r="H423" s="20"/>
      <c r="J423" s="20"/>
      <c r="L423" s="20"/>
      <c r="T423" s="22"/>
      <c r="Z423" s="22"/>
      <c r="AB423" s="17"/>
    </row>
    <row r="424" spans="6:28">
      <c r="F424" s="20"/>
      <c r="H424" s="20"/>
      <c r="J424" s="20"/>
      <c r="L424" s="20"/>
      <c r="T424" s="22"/>
      <c r="Z424" s="22"/>
      <c r="AB424" s="17"/>
    </row>
    <row r="425" spans="6:28">
      <c r="F425" s="20"/>
      <c r="H425" s="20"/>
      <c r="J425" s="20"/>
      <c r="L425" s="20"/>
      <c r="T425" s="22"/>
      <c r="Z425" s="22"/>
      <c r="AB425" s="17"/>
    </row>
    <row r="426" spans="6:28">
      <c r="F426" s="20"/>
      <c r="H426" s="20"/>
      <c r="J426" s="20"/>
      <c r="L426" s="20"/>
      <c r="T426" s="22"/>
      <c r="Z426" s="22"/>
      <c r="AB426" s="17"/>
    </row>
    <row r="427" spans="6:28">
      <c r="F427" s="20"/>
      <c r="H427" s="20"/>
      <c r="J427" s="20"/>
      <c r="L427" s="20"/>
      <c r="T427" s="22"/>
      <c r="Z427" s="22"/>
      <c r="AB427" s="17"/>
    </row>
    <row r="428" spans="6:28">
      <c r="F428" s="20"/>
      <c r="H428" s="20"/>
      <c r="J428" s="20"/>
      <c r="L428" s="20"/>
      <c r="T428" s="22"/>
      <c r="Z428" s="22"/>
      <c r="AB428" s="17"/>
    </row>
    <row r="429" spans="6:28">
      <c r="F429" s="20"/>
      <c r="H429" s="20"/>
      <c r="J429" s="20"/>
      <c r="L429" s="20"/>
      <c r="T429" s="22"/>
      <c r="Z429" s="22"/>
      <c r="AB429" s="17"/>
    </row>
    <row r="430" spans="6:28">
      <c r="F430" s="20"/>
      <c r="H430" s="20"/>
      <c r="J430" s="20"/>
      <c r="L430" s="20"/>
      <c r="T430" s="22"/>
      <c r="Z430" s="22"/>
      <c r="AB430" s="17"/>
    </row>
    <row r="431" spans="6:28">
      <c r="F431" s="20"/>
      <c r="H431" s="20"/>
      <c r="J431" s="20"/>
      <c r="L431" s="20"/>
      <c r="T431" s="22"/>
      <c r="Z431" s="22"/>
      <c r="AB431" s="17"/>
    </row>
    <row r="432" spans="6:28">
      <c r="F432" s="20"/>
      <c r="H432" s="20"/>
      <c r="J432" s="20"/>
      <c r="L432" s="20"/>
      <c r="T432" s="22"/>
      <c r="Z432" s="22"/>
      <c r="AB432" s="17"/>
    </row>
    <row r="433" spans="6:28">
      <c r="F433" s="20"/>
      <c r="H433" s="20"/>
      <c r="J433" s="20"/>
      <c r="L433" s="20"/>
      <c r="T433" s="22"/>
      <c r="Z433" s="22"/>
      <c r="AB433" s="17"/>
    </row>
    <row r="434" spans="6:28">
      <c r="F434" s="20"/>
      <c r="H434" s="20"/>
      <c r="J434" s="20"/>
      <c r="L434" s="20"/>
      <c r="T434" s="22"/>
      <c r="Z434" s="22"/>
      <c r="AB434" s="17"/>
    </row>
    <row r="435" spans="6:28">
      <c r="F435" s="20"/>
      <c r="H435" s="20"/>
      <c r="J435" s="20"/>
      <c r="L435" s="20"/>
      <c r="T435" s="22"/>
      <c r="Z435" s="22"/>
      <c r="AB435" s="17"/>
    </row>
    <row r="436" spans="6:28">
      <c r="F436" s="20"/>
      <c r="H436" s="20"/>
      <c r="J436" s="20"/>
      <c r="L436" s="20"/>
      <c r="T436" s="22"/>
      <c r="Z436" s="22"/>
      <c r="AB436" s="17"/>
    </row>
    <row r="437" spans="6:28">
      <c r="F437" s="20"/>
      <c r="H437" s="20"/>
      <c r="J437" s="20"/>
      <c r="L437" s="20"/>
      <c r="T437" s="22"/>
      <c r="Z437" s="22"/>
      <c r="AB437" s="17"/>
    </row>
    <row r="438" spans="6:28">
      <c r="F438" s="20"/>
      <c r="H438" s="20"/>
      <c r="J438" s="20"/>
      <c r="L438" s="20"/>
      <c r="T438" s="22"/>
      <c r="Z438" s="22"/>
      <c r="AB438" s="17"/>
    </row>
    <row r="439" spans="6:28">
      <c r="F439" s="20"/>
      <c r="H439" s="20"/>
      <c r="J439" s="20"/>
      <c r="L439" s="20"/>
      <c r="T439" s="22"/>
      <c r="Z439" s="22"/>
      <c r="AB439" s="17"/>
    </row>
    <row r="440" spans="6:28">
      <c r="F440" s="20"/>
      <c r="H440" s="20"/>
      <c r="J440" s="20"/>
      <c r="L440" s="20"/>
      <c r="T440" s="22"/>
      <c r="Z440" s="22"/>
      <c r="AB440" s="17"/>
    </row>
    <row r="441" spans="6:28">
      <c r="F441" s="20"/>
      <c r="H441" s="20"/>
      <c r="J441" s="20"/>
      <c r="L441" s="20"/>
      <c r="T441" s="22"/>
      <c r="Z441" s="22"/>
      <c r="AB441" s="17"/>
    </row>
    <row r="442" spans="6:28">
      <c r="F442" s="20"/>
      <c r="H442" s="20"/>
      <c r="J442" s="20"/>
      <c r="L442" s="20"/>
      <c r="T442" s="22"/>
      <c r="Z442" s="22"/>
      <c r="AB442" s="17"/>
    </row>
    <row r="443" spans="6:28">
      <c r="F443" s="20"/>
      <c r="H443" s="20"/>
      <c r="J443" s="20"/>
      <c r="L443" s="20"/>
      <c r="T443" s="22"/>
      <c r="Z443" s="22"/>
      <c r="AB443" s="17"/>
    </row>
    <row r="444" spans="6:28">
      <c r="F444" s="20"/>
      <c r="H444" s="20"/>
      <c r="J444" s="20"/>
      <c r="L444" s="20"/>
      <c r="T444" s="22"/>
      <c r="Z444" s="22"/>
      <c r="AB444" s="17"/>
    </row>
    <row r="445" spans="6:28">
      <c r="F445" s="20"/>
      <c r="H445" s="20"/>
      <c r="J445" s="20"/>
      <c r="L445" s="20"/>
      <c r="T445" s="22"/>
      <c r="Z445" s="22"/>
      <c r="AB445" s="17"/>
    </row>
    <row r="446" spans="6:28">
      <c r="F446" s="20"/>
      <c r="H446" s="20"/>
      <c r="J446" s="20"/>
      <c r="L446" s="20"/>
      <c r="T446" s="22"/>
      <c r="Z446" s="22"/>
      <c r="AB446" s="17"/>
    </row>
    <row r="447" spans="6:28">
      <c r="F447" s="20"/>
      <c r="H447" s="20"/>
      <c r="J447" s="20"/>
      <c r="L447" s="20"/>
      <c r="T447" s="22"/>
      <c r="Z447" s="22"/>
      <c r="AB447" s="17"/>
    </row>
    <row r="448" spans="6:28">
      <c r="F448" s="20"/>
      <c r="H448" s="20"/>
      <c r="J448" s="20"/>
      <c r="L448" s="20"/>
      <c r="T448" s="22"/>
      <c r="Z448" s="22"/>
      <c r="AB448" s="17"/>
    </row>
    <row r="449" spans="6:28">
      <c r="F449" s="20"/>
      <c r="H449" s="20"/>
      <c r="J449" s="20"/>
      <c r="L449" s="20"/>
      <c r="T449" s="22"/>
      <c r="Z449" s="22"/>
      <c r="AB449" s="17"/>
    </row>
    <row r="450" spans="6:28">
      <c r="F450" s="20"/>
      <c r="H450" s="20"/>
      <c r="J450" s="20"/>
      <c r="L450" s="20"/>
      <c r="T450" s="22"/>
      <c r="Z450" s="22"/>
      <c r="AB450" s="17"/>
    </row>
    <row r="451" spans="6:28">
      <c r="F451" s="20"/>
      <c r="H451" s="20"/>
      <c r="J451" s="20"/>
      <c r="L451" s="20"/>
      <c r="T451" s="22"/>
      <c r="Z451" s="22"/>
      <c r="AB451" s="17"/>
    </row>
    <row r="452" spans="6:28">
      <c r="F452" s="20"/>
      <c r="H452" s="20"/>
      <c r="J452" s="20"/>
      <c r="L452" s="20"/>
      <c r="T452" s="22"/>
      <c r="Z452" s="22"/>
      <c r="AB452" s="17"/>
    </row>
    <row r="453" spans="6:28">
      <c r="F453" s="20"/>
      <c r="H453" s="20"/>
      <c r="J453" s="20"/>
      <c r="L453" s="20"/>
      <c r="T453" s="22"/>
      <c r="Z453" s="22"/>
      <c r="AB453" s="17"/>
    </row>
    <row r="454" spans="6:28">
      <c r="F454" s="20"/>
      <c r="H454" s="20"/>
      <c r="J454" s="20"/>
      <c r="L454" s="20"/>
      <c r="T454" s="22"/>
      <c r="Z454" s="22"/>
      <c r="AB454" s="17"/>
    </row>
    <row r="455" spans="6:28">
      <c r="F455" s="20"/>
      <c r="H455" s="20"/>
      <c r="J455" s="20"/>
      <c r="L455" s="20"/>
      <c r="T455" s="22"/>
      <c r="Z455" s="22"/>
      <c r="AB455" s="17"/>
    </row>
    <row r="456" spans="6:28">
      <c r="F456" s="20"/>
      <c r="H456" s="20"/>
      <c r="J456" s="20"/>
      <c r="L456" s="20"/>
      <c r="T456" s="22"/>
      <c r="Z456" s="22"/>
      <c r="AB456" s="17"/>
    </row>
    <row r="457" spans="6:28">
      <c r="F457" s="20"/>
      <c r="H457" s="20"/>
      <c r="J457" s="20"/>
      <c r="L457" s="20"/>
      <c r="T457" s="22"/>
      <c r="Z457" s="22"/>
      <c r="AB457" s="17"/>
    </row>
    <row r="458" spans="6:28">
      <c r="F458" s="20"/>
      <c r="H458" s="20"/>
      <c r="J458" s="20"/>
      <c r="L458" s="20"/>
      <c r="T458" s="22"/>
      <c r="Z458" s="22"/>
      <c r="AB458" s="17"/>
    </row>
    <row r="459" spans="6:28">
      <c r="F459" s="20"/>
      <c r="H459" s="20"/>
      <c r="J459" s="20"/>
      <c r="L459" s="20"/>
      <c r="T459" s="22"/>
      <c r="Z459" s="22"/>
      <c r="AB459" s="17"/>
    </row>
    <row r="460" spans="6:28">
      <c r="F460" s="20"/>
      <c r="H460" s="20"/>
      <c r="J460" s="20"/>
      <c r="L460" s="20"/>
      <c r="T460" s="22"/>
      <c r="Z460" s="22"/>
      <c r="AB460" s="17"/>
    </row>
    <row r="461" spans="6:28">
      <c r="F461" s="20"/>
      <c r="H461" s="20"/>
      <c r="J461" s="20"/>
      <c r="L461" s="20"/>
      <c r="T461" s="22"/>
      <c r="Z461" s="22"/>
      <c r="AB461" s="17"/>
    </row>
    <row r="462" spans="6:28">
      <c r="F462" s="20"/>
      <c r="H462" s="20"/>
      <c r="J462" s="20"/>
      <c r="L462" s="20"/>
      <c r="T462" s="22"/>
      <c r="Z462" s="22"/>
      <c r="AB462" s="17"/>
    </row>
    <row r="463" spans="6:28">
      <c r="F463" s="20"/>
      <c r="H463" s="20"/>
      <c r="J463" s="20"/>
      <c r="L463" s="20"/>
      <c r="T463" s="22"/>
      <c r="Z463" s="22"/>
      <c r="AB463" s="17"/>
    </row>
    <row r="464" spans="6:28">
      <c r="F464" s="20"/>
      <c r="H464" s="20"/>
      <c r="J464" s="20"/>
      <c r="L464" s="20"/>
      <c r="T464" s="22"/>
      <c r="Z464" s="22"/>
      <c r="AB464" s="17"/>
    </row>
    <row r="465" spans="6:28">
      <c r="F465" s="20"/>
      <c r="H465" s="20"/>
      <c r="J465" s="20"/>
      <c r="L465" s="20"/>
      <c r="T465" s="22"/>
      <c r="Z465" s="22"/>
      <c r="AB465" s="17"/>
    </row>
    <row r="466" spans="6:28">
      <c r="F466" s="20"/>
      <c r="H466" s="20"/>
      <c r="J466" s="20"/>
      <c r="L466" s="20"/>
      <c r="T466" s="22"/>
      <c r="Z466" s="22"/>
      <c r="AB466" s="17"/>
    </row>
    <row r="467" spans="6:28">
      <c r="F467" s="20"/>
      <c r="H467" s="20"/>
      <c r="J467" s="20"/>
      <c r="L467" s="20"/>
      <c r="T467" s="22"/>
      <c r="Z467" s="22"/>
      <c r="AB467" s="17"/>
    </row>
    <row r="468" spans="6:28">
      <c r="F468" s="20"/>
      <c r="H468" s="20"/>
      <c r="J468" s="20"/>
      <c r="L468" s="20"/>
      <c r="T468" s="22"/>
      <c r="Z468" s="22"/>
      <c r="AB468" s="17"/>
    </row>
    <row r="469" spans="6:28">
      <c r="F469" s="20"/>
      <c r="H469" s="20"/>
      <c r="J469" s="20"/>
      <c r="L469" s="20"/>
      <c r="T469" s="22"/>
      <c r="Z469" s="22"/>
      <c r="AB469" s="17"/>
    </row>
    <row r="470" spans="6:28">
      <c r="F470" s="20"/>
      <c r="H470" s="20"/>
      <c r="J470" s="20"/>
      <c r="L470" s="20"/>
      <c r="T470" s="22"/>
      <c r="Z470" s="22"/>
      <c r="AB470" s="17"/>
    </row>
    <row r="471" spans="6:28">
      <c r="F471" s="20"/>
      <c r="H471" s="20"/>
      <c r="J471" s="20"/>
      <c r="L471" s="20"/>
      <c r="T471" s="22"/>
      <c r="Z471" s="22"/>
      <c r="AB471" s="17"/>
    </row>
    <row r="472" spans="6:28">
      <c r="F472" s="20"/>
      <c r="H472" s="20"/>
      <c r="J472" s="20"/>
      <c r="L472" s="20"/>
      <c r="T472" s="22"/>
      <c r="Z472" s="22"/>
      <c r="AB472" s="17"/>
    </row>
    <row r="473" spans="6:28">
      <c r="F473" s="20"/>
      <c r="H473" s="20"/>
      <c r="J473" s="20"/>
      <c r="L473" s="20"/>
      <c r="T473" s="22"/>
      <c r="Z473" s="22"/>
      <c r="AB473" s="17"/>
    </row>
    <row r="474" spans="6:28">
      <c r="F474" s="20"/>
      <c r="H474" s="20"/>
      <c r="J474" s="20"/>
      <c r="L474" s="20"/>
      <c r="T474" s="22"/>
      <c r="Z474" s="22"/>
      <c r="AB474" s="17"/>
    </row>
    <row r="475" spans="6:28">
      <c r="F475" s="20"/>
      <c r="H475" s="20"/>
      <c r="J475" s="20"/>
      <c r="L475" s="20"/>
      <c r="T475" s="22"/>
      <c r="Z475" s="22"/>
      <c r="AB475" s="17"/>
    </row>
    <row r="476" spans="6:28">
      <c r="F476" s="20"/>
      <c r="H476" s="20"/>
      <c r="J476" s="20"/>
      <c r="L476" s="20"/>
      <c r="T476" s="22"/>
      <c r="Z476" s="22"/>
      <c r="AB476" s="17"/>
    </row>
    <row r="477" spans="6:28">
      <c r="F477" s="20"/>
      <c r="H477" s="20"/>
      <c r="J477" s="20"/>
      <c r="L477" s="20"/>
      <c r="T477" s="22"/>
      <c r="Z477" s="22"/>
      <c r="AB477" s="17"/>
    </row>
    <row r="478" spans="6:28">
      <c r="F478" s="20"/>
      <c r="H478" s="20"/>
      <c r="J478" s="20"/>
      <c r="L478" s="20"/>
      <c r="T478" s="22"/>
      <c r="Z478" s="22"/>
      <c r="AB478" s="17"/>
    </row>
    <row r="479" spans="6:28">
      <c r="F479" s="20"/>
      <c r="H479" s="20"/>
      <c r="J479" s="20"/>
      <c r="L479" s="20"/>
      <c r="T479" s="22"/>
      <c r="Z479" s="22"/>
      <c r="AB479" s="17"/>
    </row>
    <row r="480" spans="6:28">
      <c r="F480" s="20"/>
      <c r="H480" s="20"/>
      <c r="J480" s="20"/>
      <c r="L480" s="20"/>
      <c r="T480" s="22"/>
      <c r="Z480" s="22"/>
      <c r="AB480" s="17"/>
    </row>
    <row r="481" spans="6:28">
      <c r="F481" s="20"/>
      <c r="H481" s="20"/>
      <c r="J481" s="20"/>
      <c r="L481" s="20"/>
      <c r="T481" s="22"/>
      <c r="Z481" s="22"/>
      <c r="AB481" s="17"/>
    </row>
    <row r="482" spans="6:28">
      <c r="F482" s="20"/>
      <c r="H482" s="20"/>
      <c r="J482" s="20"/>
      <c r="L482" s="20"/>
      <c r="T482" s="22"/>
      <c r="Z482" s="22"/>
      <c r="AB482" s="17"/>
    </row>
    <row r="483" spans="6:28">
      <c r="F483" s="20"/>
      <c r="H483" s="20"/>
      <c r="J483" s="20"/>
      <c r="L483" s="20"/>
      <c r="T483" s="22"/>
      <c r="Z483" s="22"/>
      <c r="AB483" s="17"/>
    </row>
    <row r="484" spans="6:28">
      <c r="F484" s="20"/>
      <c r="H484" s="20"/>
      <c r="J484" s="20"/>
      <c r="L484" s="20"/>
      <c r="T484" s="22"/>
      <c r="Z484" s="22"/>
      <c r="AB484" s="17"/>
    </row>
    <row r="485" spans="6:28">
      <c r="F485" s="20"/>
      <c r="H485" s="20"/>
      <c r="J485" s="20"/>
      <c r="L485" s="20"/>
      <c r="T485" s="22"/>
      <c r="Z485" s="22"/>
      <c r="AB485" s="17"/>
    </row>
    <row r="486" spans="6:28">
      <c r="F486" s="20"/>
      <c r="H486" s="20"/>
      <c r="J486" s="20"/>
      <c r="L486" s="20"/>
      <c r="T486" s="22"/>
      <c r="Z486" s="22"/>
      <c r="AB486" s="17"/>
    </row>
    <row r="487" spans="6:28">
      <c r="F487" s="20"/>
      <c r="H487" s="20"/>
      <c r="J487" s="20"/>
      <c r="L487" s="20"/>
      <c r="T487" s="22"/>
      <c r="Z487" s="22"/>
      <c r="AB487" s="17"/>
    </row>
    <row r="488" spans="6:28">
      <c r="F488" s="20"/>
      <c r="H488" s="20"/>
      <c r="J488" s="20"/>
      <c r="L488" s="20"/>
      <c r="T488" s="22"/>
      <c r="Z488" s="22"/>
      <c r="AB488" s="17"/>
    </row>
    <row r="489" spans="6:28">
      <c r="F489" s="20"/>
      <c r="H489" s="20"/>
      <c r="J489" s="20"/>
      <c r="L489" s="20"/>
      <c r="T489" s="22"/>
      <c r="Z489" s="22"/>
      <c r="AB489" s="17"/>
    </row>
    <row r="490" spans="6:28">
      <c r="F490" s="20"/>
      <c r="H490" s="20"/>
      <c r="J490" s="20"/>
      <c r="L490" s="20"/>
      <c r="T490" s="22"/>
      <c r="Z490" s="22"/>
      <c r="AB490" s="17"/>
    </row>
    <row r="491" spans="6:28">
      <c r="F491" s="20"/>
      <c r="H491" s="20"/>
      <c r="J491" s="20"/>
      <c r="L491" s="20"/>
      <c r="T491" s="22"/>
      <c r="Z491" s="22"/>
      <c r="AB491" s="17"/>
    </row>
    <row r="492" spans="6:28">
      <c r="F492" s="20"/>
      <c r="H492" s="20"/>
      <c r="J492" s="20"/>
      <c r="L492" s="20"/>
      <c r="T492" s="22"/>
      <c r="Z492" s="22"/>
      <c r="AB492" s="17"/>
    </row>
    <row r="493" spans="6:28">
      <c r="F493" s="20"/>
      <c r="H493" s="20"/>
      <c r="J493" s="20"/>
      <c r="L493" s="20"/>
      <c r="T493" s="22"/>
      <c r="Z493" s="22"/>
      <c r="AB493" s="17"/>
    </row>
    <row r="494" spans="6:28">
      <c r="F494" s="20"/>
      <c r="H494" s="20"/>
      <c r="J494" s="20"/>
      <c r="L494" s="20"/>
      <c r="T494" s="22"/>
      <c r="Z494" s="22"/>
      <c r="AB494" s="17"/>
    </row>
    <row r="495" spans="6:28">
      <c r="F495" s="20"/>
      <c r="H495" s="20"/>
      <c r="J495" s="20"/>
      <c r="L495" s="20"/>
      <c r="T495" s="22"/>
      <c r="Z495" s="22"/>
      <c r="AB495" s="17"/>
    </row>
    <row r="496" spans="6:28">
      <c r="F496" s="20"/>
      <c r="H496" s="20"/>
      <c r="J496" s="20"/>
      <c r="L496" s="20"/>
      <c r="T496" s="22"/>
      <c r="AB496" s="17"/>
    </row>
    <row r="497" spans="6:28">
      <c r="F497" s="20"/>
      <c r="H497" s="20"/>
      <c r="L497" s="20"/>
      <c r="T497" s="22"/>
      <c r="AB497" s="17"/>
    </row>
    <row r="498" spans="6:28">
      <c r="F498" s="20"/>
      <c r="H498" s="20"/>
      <c r="L498" s="20"/>
      <c r="T498" s="22"/>
      <c r="AB498" s="17"/>
    </row>
    <row r="499" spans="6:28">
      <c r="F499" s="20"/>
      <c r="H499" s="20"/>
      <c r="L499" s="20"/>
      <c r="T499" s="22"/>
      <c r="AB499" s="17"/>
    </row>
    <row r="500" spans="6:28">
      <c r="F500" s="20"/>
      <c r="H500" s="20"/>
      <c r="L500" s="20"/>
      <c r="T500" s="22"/>
      <c r="AB500" s="17"/>
    </row>
    <row r="501" spans="6:28">
      <c r="F501" s="20"/>
      <c r="H501" s="20"/>
      <c r="L501" s="20"/>
      <c r="T501" s="22"/>
      <c r="AB501" s="17"/>
    </row>
    <row r="502" spans="6:28">
      <c r="F502" s="20"/>
      <c r="H502" s="20"/>
      <c r="L502" s="20"/>
      <c r="T502" s="22"/>
      <c r="AB502" s="17"/>
    </row>
    <row r="503" spans="6:28">
      <c r="F503" s="20"/>
      <c r="H503" s="20"/>
      <c r="L503" s="20"/>
      <c r="T503" s="22"/>
      <c r="AB503" s="17"/>
    </row>
    <row r="504" spans="6:28">
      <c r="F504" s="20"/>
      <c r="H504" s="20"/>
      <c r="L504" s="20"/>
      <c r="T504" s="22"/>
      <c r="AB504" s="17"/>
    </row>
    <row r="505" spans="6:28">
      <c r="F505" s="20"/>
      <c r="H505" s="20"/>
      <c r="L505" s="20"/>
      <c r="T505" s="22"/>
      <c r="AB505" s="17"/>
    </row>
    <row r="506" spans="6:28">
      <c r="F506" s="20"/>
      <c r="H506" s="20"/>
      <c r="L506" s="20"/>
      <c r="T506" s="22"/>
      <c r="AB506" s="17"/>
    </row>
    <row r="507" spans="6:28">
      <c r="F507" s="20"/>
      <c r="H507" s="20"/>
      <c r="L507" s="20"/>
      <c r="T507" s="22"/>
      <c r="AB507" s="17"/>
    </row>
    <row r="508" spans="6:28">
      <c r="F508" s="20"/>
      <c r="H508" s="20"/>
      <c r="L508" s="20"/>
      <c r="T508" s="22"/>
      <c r="AB508" s="17"/>
    </row>
    <row r="509" spans="6:28">
      <c r="F509" s="20"/>
      <c r="H509" s="20"/>
      <c r="L509" s="20"/>
      <c r="AB509" s="17"/>
    </row>
    <row r="510" spans="6:28">
      <c r="F510" s="20"/>
      <c r="H510" s="20"/>
      <c r="L510" s="20"/>
      <c r="AB510" s="17"/>
    </row>
    <row r="511" spans="6:28">
      <c r="F511" s="20"/>
      <c r="H511" s="20"/>
      <c r="L511" s="20"/>
      <c r="AB511" s="17"/>
    </row>
    <row r="512" spans="6:28">
      <c r="F512" s="20"/>
      <c r="H512" s="20"/>
      <c r="L512" s="20"/>
      <c r="AB512" s="17"/>
    </row>
    <row r="513" spans="6:28">
      <c r="F513" s="20"/>
      <c r="H513" s="20"/>
      <c r="L513" s="20"/>
      <c r="AB513" s="17"/>
    </row>
    <row r="514" spans="6:28">
      <c r="F514" s="20"/>
      <c r="H514" s="20"/>
      <c r="L514" s="20"/>
      <c r="AB514" s="17"/>
    </row>
    <row r="515" spans="6:28">
      <c r="F515" s="20"/>
      <c r="H515" s="20"/>
      <c r="L515" s="20"/>
      <c r="AB515" s="17"/>
    </row>
    <row r="516" spans="6:28">
      <c r="F516" s="20"/>
      <c r="H516" s="20"/>
      <c r="L516" s="20"/>
      <c r="AB516" s="17"/>
    </row>
    <row r="517" spans="6:28">
      <c r="F517" s="20"/>
      <c r="H517" s="20"/>
      <c r="L517" s="20"/>
      <c r="AB517" s="17"/>
    </row>
    <row r="518" spans="6:28">
      <c r="F518" s="20"/>
      <c r="H518" s="20"/>
      <c r="L518" s="20"/>
      <c r="AB518" s="17"/>
    </row>
    <row r="519" spans="6:28">
      <c r="F519" s="20"/>
      <c r="H519" s="20"/>
      <c r="L519" s="20"/>
      <c r="AB519" s="17"/>
    </row>
    <row r="520" spans="6:28">
      <c r="F520" s="20"/>
      <c r="H520" s="20"/>
      <c r="L520" s="20"/>
      <c r="AB520" s="17"/>
    </row>
    <row r="521" spans="6:28">
      <c r="F521" s="20"/>
      <c r="H521" s="20"/>
      <c r="L521" s="20"/>
      <c r="AB521" s="17"/>
    </row>
    <row r="522" spans="6:28">
      <c r="F522" s="20"/>
      <c r="H522" s="20"/>
      <c r="L522" s="20"/>
      <c r="AB522" s="17"/>
    </row>
    <row r="523" spans="6:28">
      <c r="F523" s="20"/>
      <c r="H523" s="20"/>
      <c r="L523" s="20"/>
      <c r="AB523" s="17"/>
    </row>
    <row r="524" spans="6:28">
      <c r="F524" s="20"/>
      <c r="H524" s="20"/>
      <c r="L524" s="20"/>
      <c r="AB524" s="17"/>
    </row>
    <row r="525" spans="6:28">
      <c r="F525" s="20"/>
      <c r="H525" s="20"/>
      <c r="L525" s="20"/>
      <c r="AB525" s="17"/>
    </row>
    <row r="526" spans="6:28">
      <c r="F526" s="20"/>
      <c r="H526" s="20"/>
      <c r="L526" s="20"/>
      <c r="AB526" s="17"/>
    </row>
    <row r="527" spans="6:28">
      <c r="F527" s="20"/>
      <c r="H527" s="20"/>
      <c r="L527" s="20"/>
      <c r="AB527" s="17"/>
    </row>
    <row r="528" spans="6:28">
      <c r="F528" s="20"/>
      <c r="H528" s="20"/>
      <c r="L528" s="20"/>
      <c r="AB528" s="17"/>
    </row>
    <row r="529" spans="6:28">
      <c r="F529" s="20"/>
      <c r="H529" s="20"/>
      <c r="L529" s="20"/>
      <c r="AB529" s="17"/>
    </row>
    <row r="530" spans="6:28">
      <c r="F530" s="20"/>
      <c r="H530" s="20"/>
      <c r="L530" s="20"/>
      <c r="AB530" s="17"/>
    </row>
    <row r="531" spans="6:28">
      <c r="F531" s="20"/>
      <c r="H531" s="20"/>
      <c r="L531" s="20"/>
      <c r="AB531" s="17"/>
    </row>
    <row r="532" spans="6:28">
      <c r="F532" s="20"/>
      <c r="H532" s="20"/>
      <c r="L532" s="20"/>
      <c r="AB532" s="17"/>
    </row>
    <row r="533" spans="6:28">
      <c r="F533" s="20"/>
      <c r="H533" s="20"/>
      <c r="L533" s="20"/>
      <c r="AB533" s="17"/>
    </row>
    <row r="534" spans="6:28">
      <c r="F534" s="20"/>
      <c r="H534" s="20"/>
      <c r="L534" s="20"/>
      <c r="AB534" s="17"/>
    </row>
    <row r="535" spans="6:28">
      <c r="F535" s="20"/>
      <c r="H535" s="20"/>
      <c r="L535" s="20"/>
      <c r="AB535" s="17"/>
    </row>
    <row r="536" spans="6:28">
      <c r="F536" s="20"/>
      <c r="H536" s="20"/>
      <c r="L536" s="20"/>
      <c r="AB536" s="17"/>
    </row>
    <row r="537" spans="6:28">
      <c r="F537" s="20"/>
      <c r="H537" s="20"/>
      <c r="L537" s="20"/>
      <c r="AB537" s="17"/>
    </row>
    <row r="538" spans="6:28">
      <c r="F538" s="20"/>
      <c r="H538" s="20"/>
      <c r="L538" s="20"/>
      <c r="AB538" s="17"/>
    </row>
    <row r="539" spans="6:28">
      <c r="F539" s="20"/>
      <c r="H539" s="20"/>
      <c r="L539" s="20"/>
      <c r="AB539" s="17"/>
    </row>
    <row r="540" spans="6:28">
      <c r="F540" s="20"/>
      <c r="H540" s="20"/>
      <c r="L540" s="20"/>
      <c r="AB540" s="17"/>
    </row>
    <row r="541" spans="6:28">
      <c r="F541" s="20"/>
      <c r="H541" s="20"/>
      <c r="L541" s="20"/>
      <c r="AB541" s="17"/>
    </row>
    <row r="542" spans="6:28">
      <c r="F542" s="20"/>
      <c r="H542" s="20"/>
      <c r="L542" s="20"/>
      <c r="AB542" s="17"/>
    </row>
    <row r="543" spans="6:28">
      <c r="F543" s="20"/>
      <c r="H543" s="20"/>
      <c r="L543" s="20"/>
      <c r="AB543" s="17"/>
    </row>
    <row r="544" spans="6:28">
      <c r="H544" s="20"/>
      <c r="L544" s="20"/>
      <c r="AB544" s="17"/>
    </row>
    <row r="545" spans="8:28">
      <c r="H545" s="20"/>
      <c r="L545" s="20"/>
      <c r="AB545" s="17"/>
    </row>
    <row r="546" spans="8:28">
      <c r="H546" s="20"/>
      <c r="L546" s="20"/>
      <c r="AB546" s="17"/>
    </row>
    <row r="547" spans="8:28">
      <c r="H547" s="20"/>
      <c r="L547" s="20"/>
      <c r="AB547" s="17"/>
    </row>
    <row r="548" spans="8:28">
      <c r="H548" s="20"/>
      <c r="L548" s="20"/>
      <c r="AB548" s="17"/>
    </row>
    <row r="549" spans="8:28">
      <c r="H549" s="20"/>
      <c r="L549" s="20"/>
      <c r="AB549" s="17"/>
    </row>
    <row r="550" spans="8:28">
      <c r="H550" s="20"/>
      <c r="L550" s="20"/>
      <c r="AB550" s="17"/>
    </row>
    <row r="551" spans="8:28">
      <c r="H551" s="20"/>
      <c r="L551" s="20"/>
      <c r="AB551" s="17"/>
    </row>
    <row r="552" spans="8:28">
      <c r="H552" s="20"/>
      <c r="L552" s="20"/>
      <c r="AB552" s="17"/>
    </row>
    <row r="553" spans="8:28">
      <c r="H553" s="20"/>
      <c r="L553" s="20"/>
      <c r="AB553" s="17"/>
    </row>
    <row r="554" spans="8:28">
      <c r="H554" s="20"/>
      <c r="L554" s="20"/>
      <c r="AB554" s="17"/>
    </row>
    <row r="555" spans="8:28">
      <c r="H555" s="20"/>
      <c r="L555" s="20"/>
      <c r="AB555" s="17"/>
    </row>
    <row r="556" spans="8:28">
      <c r="H556" s="20"/>
      <c r="L556" s="20"/>
      <c r="AB556" s="17"/>
    </row>
    <row r="557" spans="8:28">
      <c r="H557" s="20"/>
      <c r="L557" s="20"/>
      <c r="AB557" s="17"/>
    </row>
    <row r="558" spans="8:28">
      <c r="H558" s="20"/>
      <c r="L558" s="20"/>
      <c r="AB558" s="17"/>
    </row>
    <row r="559" spans="8:28">
      <c r="H559" s="20"/>
      <c r="L559" s="20"/>
      <c r="AB559" s="17"/>
    </row>
    <row r="560" spans="8:28">
      <c r="H560" s="20"/>
      <c r="L560" s="20"/>
      <c r="AB560" s="17"/>
    </row>
    <row r="561" spans="8:12">
      <c r="H561" s="20"/>
      <c r="L561" s="20"/>
    </row>
    <row r="562" spans="8:12">
      <c r="H562" s="20"/>
      <c r="L562" s="20"/>
    </row>
    <row r="563" spans="8:12">
      <c r="H563" s="20"/>
      <c r="L563" s="20"/>
    </row>
    <row r="564" spans="8:12">
      <c r="H564" s="20"/>
      <c r="L564" s="20"/>
    </row>
    <row r="565" spans="8:12">
      <c r="H565" s="20"/>
      <c r="L565" s="20"/>
    </row>
    <row r="566" spans="8:12">
      <c r="H566" s="20"/>
      <c r="L566" s="20"/>
    </row>
    <row r="567" spans="8:12">
      <c r="H567" s="20"/>
      <c r="L567" s="20"/>
    </row>
    <row r="568" spans="8:12">
      <c r="H568" s="20"/>
      <c r="L568" s="20"/>
    </row>
    <row r="569" spans="8:12">
      <c r="H569" s="20"/>
      <c r="L569" s="20"/>
    </row>
    <row r="570" spans="8:12">
      <c r="H570" s="20"/>
      <c r="L570" s="20"/>
    </row>
    <row r="571" spans="8:12">
      <c r="H571" s="20"/>
      <c r="L571" s="20"/>
    </row>
    <row r="572" spans="8:12">
      <c r="H572" s="20"/>
      <c r="L572" s="20"/>
    </row>
    <row r="573" spans="8:12">
      <c r="H573" s="20"/>
      <c r="L573" s="20"/>
    </row>
    <row r="574" spans="8:12">
      <c r="H574" s="20"/>
      <c r="L574" s="20"/>
    </row>
    <row r="575" spans="8:12">
      <c r="H575" s="20"/>
      <c r="L575" s="20"/>
    </row>
    <row r="576" spans="8:12">
      <c r="H576" s="20"/>
      <c r="L576" s="20"/>
    </row>
    <row r="577" spans="8:12">
      <c r="H577" s="20"/>
      <c r="L577" s="20"/>
    </row>
    <row r="578" spans="8:12">
      <c r="H578" s="20"/>
      <c r="L578" s="20"/>
    </row>
    <row r="579" spans="8:12">
      <c r="H579" s="20"/>
      <c r="L579" s="20"/>
    </row>
    <row r="580" spans="8:12">
      <c r="H580" s="20"/>
      <c r="L580" s="20"/>
    </row>
    <row r="581" spans="8:12">
      <c r="H581" s="20"/>
      <c r="L581" s="20"/>
    </row>
    <row r="582" spans="8:12">
      <c r="H582" s="20"/>
      <c r="L582" s="20"/>
    </row>
    <row r="583" spans="8:12">
      <c r="H583" s="20"/>
      <c r="L583" s="20"/>
    </row>
    <row r="584" spans="8:12">
      <c r="H584" s="20"/>
      <c r="L584" s="20"/>
    </row>
    <row r="585" spans="8:12">
      <c r="H585" s="20"/>
      <c r="L585" s="20"/>
    </row>
    <row r="586" spans="8:12">
      <c r="H586" s="20"/>
      <c r="L586" s="20"/>
    </row>
    <row r="587" spans="8:12">
      <c r="H587" s="20"/>
      <c r="L587" s="20"/>
    </row>
    <row r="588" spans="8:12">
      <c r="H588" s="20"/>
      <c r="L588" s="20"/>
    </row>
    <row r="589" spans="8:12">
      <c r="H589" s="20"/>
      <c r="L589" s="20"/>
    </row>
    <row r="590" spans="8:12">
      <c r="H590" s="20"/>
      <c r="L590" s="20"/>
    </row>
    <row r="591" spans="8:12">
      <c r="H591" s="20"/>
      <c r="L591" s="20"/>
    </row>
    <row r="592" spans="8:12">
      <c r="H592" s="20"/>
      <c r="L592" s="20"/>
    </row>
    <row r="593" spans="8:12">
      <c r="H593" s="20"/>
      <c r="L593" s="20"/>
    </row>
    <row r="594" spans="8:12">
      <c r="H594" s="20"/>
      <c r="L594" s="20"/>
    </row>
    <row r="595" spans="8:12">
      <c r="H595" s="20"/>
      <c r="L595" s="20"/>
    </row>
    <row r="596" spans="8:12">
      <c r="H596" s="20"/>
      <c r="L596" s="20"/>
    </row>
    <row r="597" spans="8:12">
      <c r="H597" s="20"/>
      <c r="L597" s="20"/>
    </row>
    <row r="598" spans="8:12">
      <c r="H598" s="20"/>
      <c r="L598" s="20"/>
    </row>
    <row r="599" spans="8:12">
      <c r="H599" s="20"/>
      <c r="L599" s="20"/>
    </row>
    <row r="600" spans="8:12">
      <c r="H600" s="20"/>
      <c r="L600" s="20"/>
    </row>
    <row r="601" spans="8:12">
      <c r="H601" s="20"/>
      <c r="L601" s="20"/>
    </row>
    <row r="602" spans="8:12">
      <c r="H602" s="20"/>
      <c r="L602" s="20"/>
    </row>
    <row r="603" spans="8:12">
      <c r="H603" s="20"/>
      <c r="L603" s="20"/>
    </row>
    <row r="604" spans="8:12">
      <c r="H604" s="20"/>
      <c r="L604" s="20"/>
    </row>
    <row r="605" spans="8:12">
      <c r="H605" s="20"/>
      <c r="L605" s="20"/>
    </row>
    <row r="606" spans="8:12">
      <c r="H606" s="20"/>
      <c r="L606" s="20"/>
    </row>
    <row r="607" spans="8:12">
      <c r="H607" s="20"/>
      <c r="L607" s="20"/>
    </row>
    <row r="608" spans="8:12">
      <c r="H608" s="20"/>
      <c r="L608" s="20"/>
    </row>
    <row r="609" spans="8:12">
      <c r="H609" s="20"/>
      <c r="L609" s="20"/>
    </row>
    <row r="610" spans="8:12">
      <c r="H610" s="20"/>
      <c r="L610" s="20"/>
    </row>
    <row r="611" spans="8:12">
      <c r="H611" s="20"/>
      <c r="L611" s="20"/>
    </row>
    <row r="612" spans="8:12">
      <c r="H612" s="20"/>
      <c r="L612" s="20"/>
    </row>
    <row r="613" spans="8:12">
      <c r="H613" s="20"/>
      <c r="L613" s="20"/>
    </row>
    <row r="614" spans="8:12">
      <c r="H614" s="20"/>
      <c r="L614" s="20"/>
    </row>
    <row r="615" spans="8:12">
      <c r="H615" s="20"/>
      <c r="L615" s="20"/>
    </row>
    <row r="616" spans="8:12">
      <c r="H616" s="20"/>
      <c r="L616" s="20"/>
    </row>
    <row r="617" spans="8:12">
      <c r="H617" s="20"/>
      <c r="L617" s="20"/>
    </row>
    <row r="618" spans="8:12">
      <c r="H618" s="20"/>
      <c r="L618" s="20"/>
    </row>
    <row r="619" spans="8:12">
      <c r="H619" s="20"/>
      <c r="L619" s="20"/>
    </row>
    <row r="620" spans="8:12">
      <c r="H620" s="20"/>
      <c r="L620" s="20"/>
    </row>
    <row r="621" spans="8:12">
      <c r="H621" s="20"/>
      <c r="L621" s="20"/>
    </row>
    <row r="622" spans="8:12">
      <c r="H622" s="20"/>
      <c r="L622" s="20"/>
    </row>
    <row r="623" spans="8:12">
      <c r="H623" s="20"/>
      <c r="L623" s="20"/>
    </row>
    <row r="624" spans="8:12">
      <c r="H624" s="20"/>
      <c r="L624" s="20"/>
    </row>
    <row r="625" spans="8:12">
      <c r="H625" s="20"/>
      <c r="L625" s="20"/>
    </row>
    <row r="626" spans="8:12">
      <c r="H626" s="20"/>
      <c r="L626" s="20"/>
    </row>
    <row r="627" spans="8:12">
      <c r="H627" s="20"/>
      <c r="L627" s="20"/>
    </row>
    <row r="628" spans="8:12">
      <c r="H628" s="20"/>
      <c r="L628" s="20"/>
    </row>
    <row r="629" spans="8:12">
      <c r="H629" s="20"/>
      <c r="L629" s="20"/>
    </row>
    <row r="630" spans="8:12">
      <c r="H630" s="20"/>
      <c r="L630" s="20"/>
    </row>
    <row r="631" spans="8:12">
      <c r="H631" s="20"/>
      <c r="L631" s="20"/>
    </row>
    <row r="632" spans="8:12">
      <c r="H632" s="20"/>
      <c r="L632" s="20"/>
    </row>
    <row r="633" spans="8:12">
      <c r="H633" s="20"/>
      <c r="L633" s="20"/>
    </row>
    <row r="634" spans="8:12">
      <c r="H634" s="20"/>
      <c r="L634" s="20"/>
    </row>
    <row r="635" spans="8:12">
      <c r="H635" s="20"/>
      <c r="L635" s="20"/>
    </row>
    <row r="636" spans="8:12">
      <c r="H636" s="20"/>
      <c r="L636" s="20"/>
    </row>
    <row r="637" spans="8:12">
      <c r="H637" s="20"/>
      <c r="L637" s="20"/>
    </row>
    <row r="638" spans="8:12">
      <c r="H638" s="20"/>
      <c r="L638" s="20"/>
    </row>
    <row r="639" spans="8:12">
      <c r="H639" s="20"/>
      <c r="L639" s="20"/>
    </row>
    <row r="640" spans="8:12">
      <c r="H640" s="20"/>
      <c r="L640" s="20"/>
    </row>
    <row r="641" spans="8:12">
      <c r="H641" s="20"/>
      <c r="L641" s="20"/>
    </row>
    <row r="642" spans="8:12">
      <c r="H642" s="20"/>
      <c r="L642" s="20"/>
    </row>
    <row r="643" spans="8:12">
      <c r="H643" s="20"/>
      <c r="L643" s="20"/>
    </row>
    <row r="644" spans="8:12">
      <c r="H644" s="20"/>
      <c r="L644" s="20"/>
    </row>
    <row r="645" spans="8:12">
      <c r="H645" s="20"/>
      <c r="L645" s="20"/>
    </row>
    <row r="646" spans="8:12">
      <c r="H646" s="20"/>
      <c r="L646" s="20"/>
    </row>
    <row r="647" spans="8:12">
      <c r="H647" s="20"/>
      <c r="L647" s="20"/>
    </row>
    <row r="648" spans="8:12">
      <c r="H648" s="20"/>
      <c r="L648" s="20"/>
    </row>
    <row r="649" spans="8:12">
      <c r="H649" s="20"/>
      <c r="L649" s="20"/>
    </row>
    <row r="650" spans="8:12">
      <c r="H650" s="20"/>
      <c r="L650" s="20"/>
    </row>
    <row r="651" spans="8:12">
      <c r="H651" s="20"/>
      <c r="L651" s="20"/>
    </row>
    <row r="652" spans="8:12">
      <c r="H652" s="20"/>
      <c r="L652" s="20"/>
    </row>
    <row r="653" spans="8:12">
      <c r="H653" s="20"/>
      <c r="L653" s="20"/>
    </row>
    <row r="654" spans="8:12">
      <c r="H654" s="20"/>
      <c r="L654" s="20"/>
    </row>
    <row r="655" spans="8:12">
      <c r="H655" s="20"/>
      <c r="L655" s="20"/>
    </row>
    <row r="656" spans="8:12">
      <c r="H656" s="20"/>
      <c r="L656" s="20"/>
    </row>
    <row r="657" spans="8:12">
      <c r="H657" s="20"/>
      <c r="L657" s="20"/>
    </row>
    <row r="658" spans="8:12">
      <c r="H658" s="20"/>
      <c r="L658" s="20"/>
    </row>
    <row r="659" spans="8:12">
      <c r="H659" s="20"/>
      <c r="L659" s="20"/>
    </row>
    <row r="660" spans="8:12">
      <c r="H660" s="20"/>
      <c r="L660" s="20"/>
    </row>
    <row r="661" spans="8:12">
      <c r="H661" s="20"/>
      <c r="L661" s="20"/>
    </row>
    <row r="662" spans="8:12">
      <c r="H662" s="20"/>
      <c r="L662" s="20"/>
    </row>
    <row r="663" spans="8:12">
      <c r="H663" s="20"/>
      <c r="L663" s="20"/>
    </row>
    <row r="664" spans="8:12">
      <c r="H664" s="20"/>
      <c r="L664" s="20"/>
    </row>
    <row r="665" spans="8:12">
      <c r="H665" s="20"/>
      <c r="L665" s="20"/>
    </row>
    <row r="666" spans="8:12">
      <c r="H666" s="20"/>
      <c r="L666" s="20"/>
    </row>
    <row r="667" spans="8:12">
      <c r="H667" s="20"/>
      <c r="L667" s="20"/>
    </row>
    <row r="668" spans="8:12">
      <c r="H668" s="20"/>
      <c r="L668" s="20"/>
    </row>
    <row r="669" spans="8:12">
      <c r="H669" s="20"/>
      <c r="L669" s="20"/>
    </row>
    <row r="670" spans="8:12">
      <c r="H670" s="20"/>
      <c r="L670" s="20"/>
    </row>
    <row r="671" spans="8:12">
      <c r="H671" s="20"/>
      <c r="L671" s="20"/>
    </row>
    <row r="672" spans="8:12">
      <c r="H672" s="20"/>
      <c r="L672" s="20"/>
    </row>
    <row r="673" spans="8:12">
      <c r="H673" s="20"/>
      <c r="L673" s="20"/>
    </row>
    <row r="674" spans="8:12">
      <c r="H674" s="20"/>
      <c r="L674" s="20"/>
    </row>
    <row r="675" spans="8:12">
      <c r="H675" s="20"/>
      <c r="L675" s="20"/>
    </row>
    <row r="676" spans="8:12">
      <c r="H676" s="20"/>
      <c r="L676" s="20"/>
    </row>
    <row r="677" spans="8:12">
      <c r="H677" s="20"/>
      <c r="L677" s="20"/>
    </row>
    <row r="678" spans="8:12">
      <c r="H678" s="20"/>
      <c r="L678" s="20"/>
    </row>
    <row r="679" spans="8:12">
      <c r="H679" s="20"/>
      <c r="L679" s="20"/>
    </row>
    <row r="680" spans="8:12">
      <c r="H680" s="20"/>
      <c r="L680" s="20"/>
    </row>
    <row r="681" spans="8:12">
      <c r="H681" s="20"/>
      <c r="L681" s="20"/>
    </row>
    <row r="682" spans="8:12">
      <c r="H682" s="20"/>
      <c r="L682" s="20"/>
    </row>
    <row r="683" spans="8:12">
      <c r="H683" s="20"/>
      <c r="L683" s="20"/>
    </row>
    <row r="684" spans="8:12">
      <c r="H684" s="20"/>
      <c r="L684" s="20"/>
    </row>
    <row r="685" spans="8:12">
      <c r="H685" s="20"/>
      <c r="L685" s="20"/>
    </row>
    <row r="686" spans="8:12">
      <c r="H686" s="20"/>
      <c r="L686" s="20"/>
    </row>
    <row r="687" spans="8:12">
      <c r="H687" s="20"/>
      <c r="L687" s="20"/>
    </row>
    <row r="688" spans="8:12">
      <c r="H688" s="20"/>
      <c r="L688" s="20"/>
    </row>
    <row r="689" spans="8:12">
      <c r="H689" s="20"/>
      <c r="L689" s="20"/>
    </row>
    <row r="690" spans="8:12">
      <c r="H690" s="20"/>
      <c r="L690" s="20"/>
    </row>
    <row r="691" spans="8:12">
      <c r="H691" s="20"/>
      <c r="L691" s="20"/>
    </row>
    <row r="692" spans="8:12">
      <c r="H692" s="20"/>
      <c r="L692" s="20"/>
    </row>
    <row r="693" spans="8:12">
      <c r="H693" s="20"/>
      <c r="L693" s="20"/>
    </row>
    <row r="694" spans="8:12">
      <c r="H694" s="20"/>
      <c r="L694" s="20"/>
    </row>
    <row r="695" spans="8:12">
      <c r="H695" s="20"/>
      <c r="L695" s="20"/>
    </row>
    <row r="696" spans="8:12">
      <c r="H696" s="20"/>
      <c r="L696" s="20"/>
    </row>
    <row r="697" spans="8:12">
      <c r="H697" s="20"/>
      <c r="L697" s="20"/>
    </row>
    <row r="698" spans="8:12">
      <c r="H698" s="20"/>
      <c r="L698" s="20"/>
    </row>
    <row r="699" spans="8:12">
      <c r="H699" s="20"/>
      <c r="L699" s="20"/>
    </row>
    <row r="700" spans="8:12">
      <c r="H700" s="20"/>
      <c r="L700" s="20"/>
    </row>
    <row r="701" spans="8:12">
      <c r="H701" s="20"/>
      <c r="L701" s="20"/>
    </row>
    <row r="702" spans="8:12">
      <c r="H702" s="20"/>
      <c r="L702" s="20"/>
    </row>
    <row r="703" spans="8:12">
      <c r="H703" s="20"/>
      <c r="L703" s="20"/>
    </row>
    <row r="704" spans="8:12">
      <c r="H704" s="20"/>
      <c r="L704" s="20"/>
    </row>
    <row r="705" spans="8:12">
      <c r="H705" s="20"/>
      <c r="L705" s="20"/>
    </row>
    <row r="706" spans="8:12">
      <c r="H706" s="20"/>
      <c r="L706" s="20"/>
    </row>
    <row r="707" spans="8:12">
      <c r="H707" s="20"/>
      <c r="L707" s="20"/>
    </row>
    <row r="708" spans="8:12">
      <c r="H708" s="20"/>
      <c r="L708" s="20"/>
    </row>
    <row r="709" spans="8:12">
      <c r="H709" s="20"/>
      <c r="L709" s="20"/>
    </row>
    <row r="710" spans="8:12">
      <c r="H710" s="20"/>
      <c r="L710" s="20"/>
    </row>
    <row r="711" spans="8:12">
      <c r="H711" s="20"/>
      <c r="L711" s="20"/>
    </row>
    <row r="712" spans="8:12">
      <c r="H712" s="20"/>
      <c r="L712" s="20"/>
    </row>
    <row r="713" spans="8:12">
      <c r="H713" s="20"/>
      <c r="L713" s="20"/>
    </row>
    <row r="714" spans="8:12">
      <c r="H714" s="20"/>
      <c r="L714" s="20"/>
    </row>
    <row r="715" spans="8:12">
      <c r="H715" s="20"/>
      <c r="L715" s="20"/>
    </row>
    <row r="716" spans="8:12">
      <c r="H716" s="20"/>
      <c r="L716" s="20"/>
    </row>
    <row r="717" spans="8:12">
      <c r="L717" s="20"/>
    </row>
    <row r="718" spans="8:12">
      <c r="L718" s="20"/>
    </row>
    <row r="719" spans="8:12">
      <c r="L719" s="20"/>
    </row>
    <row r="720" spans="8:12">
      <c r="L720" s="20"/>
    </row>
    <row r="721" spans="12:12">
      <c r="L721" s="20"/>
    </row>
    <row r="722" spans="12:12">
      <c r="L722" s="20"/>
    </row>
    <row r="723" spans="12:12">
      <c r="L723" s="20"/>
    </row>
    <row r="724" spans="12:12">
      <c r="L724" s="20"/>
    </row>
    <row r="725" spans="12:12">
      <c r="L725" s="20"/>
    </row>
    <row r="726" spans="12:12">
      <c r="L726" s="20"/>
    </row>
    <row r="727" spans="12:12">
      <c r="L727" s="20"/>
    </row>
    <row r="728" spans="12:12">
      <c r="L728" s="20"/>
    </row>
    <row r="729" spans="12:12">
      <c r="L729" s="20"/>
    </row>
    <row r="730" spans="12:12">
      <c r="L730" s="20"/>
    </row>
    <row r="731" spans="12:12">
      <c r="L731" s="20"/>
    </row>
    <row r="732" spans="12:12">
      <c r="L732" s="20"/>
    </row>
    <row r="733" spans="12:12">
      <c r="L733" s="20"/>
    </row>
    <row r="734" spans="12:12">
      <c r="L734" s="20"/>
    </row>
    <row r="735" spans="12:12">
      <c r="L735" s="20"/>
    </row>
    <row r="736" spans="12:12">
      <c r="L736" s="20"/>
    </row>
    <row r="737" spans="12:12">
      <c r="L737" s="20"/>
    </row>
    <row r="738" spans="12:12">
      <c r="L738" s="20"/>
    </row>
    <row r="739" spans="12:12">
      <c r="L739" s="20"/>
    </row>
    <row r="740" spans="12:12">
      <c r="L740" s="20"/>
    </row>
    <row r="741" spans="12:12">
      <c r="L741" s="20"/>
    </row>
    <row r="742" spans="12:12">
      <c r="L742" s="20"/>
    </row>
    <row r="743" spans="12:12">
      <c r="L743" s="20"/>
    </row>
    <row r="744" spans="12:12">
      <c r="L744" s="20"/>
    </row>
    <row r="745" spans="12:12">
      <c r="L745" s="20"/>
    </row>
    <row r="746" spans="12:12">
      <c r="L746" s="20"/>
    </row>
    <row r="747" spans="12:12">
      <c r="L747" s="20"/>
    </row>
    <row r="748" spans="12:12">
      <c r="L748" s="20"/>
    </row>
    <row r="749" spans="12:12">
      <c r="L749" s="20"/>
    </row>
    <row r="750" spans="12:12">
      <c r="L750" s="20"/>
    </row>
    <row r="751" spans="12:12">
      <c r="L751" s="20"/>
    </row>
    <row r="752" spans="12:12">
      <c r="L752" s="20"/>
    </row>
    <row r="753" spans="12:12">
      <c r="L753" s="20"/>
    </row>
    <row r="754" spans="12:12">
      <c r="L754" s="20"/>
    </row>
    <row r="755" spans="12:12">
      <c r="L755" s="20"/>
    </row>
    <row r="756" spans="12:12">
      <c r="L756" s="20"/>
    </row>
    <row r="757" spans="12:12">
      <c r="L757" s="20"/>
    </row>
    <row r="758" spans="12:12">
      <c r="L758" s="20"/>
    </row>
    <row r="759" spans="12:12">
      <c r="L759" s="20"/>
    </row>
    <row r="760" spans="12:12">
      <c r="L760" s="20"/>
    </row>
    <row r="761" spans="12:12">
      <c r="L761" s="20"/>
    </row>
    <row r="762" spans="12:12">
      <c r="L762" s="20"/>
    </row>
    <row r="763" spans="12:12">
      <c r="L763" s="20"/>
    </row>
    <row r="764" spans="12:12">
      <c r="L764" s="20"/>
    </row>
    <row r="765" spans="12:12">
      <c r="L765" s="20"/>
    </row>
    <row r="766" spans="12:12">
      <c r="L766" s="20"/>
    </row>
    <row r="767" spans="12:12">
      <c r="L767" s="20"/>
    </row>
    <row r="768" spans="12:12">
      <c r="L768" s="20"/>
    </row>
    <row r="769" spans="12:12">
      <c r="L769" s="20"/>
    </row>
    <row r="770" spans="12:12">
      <c r="L770" s="20"/>
    </row>
    <row r="771" spans="12:12">
      <c r="L771" s="20"/>
    </row>
    <row r="772" spans="12:12">
      <c r="L772" s="20"/>
    </row>
    <row r="773" spans="12:12">
      <c r="L773" s="20"/>
    </row>
    <row r="774" spans="12:12">
      <c r="L774" s="20"/>
    </row>
    <row r="775" spans="12:12">
      <c r="L775" s="20"/>
    </row>
    <row r="776" spans="12:12">
      <c r="L776" s="20"/>
    </row>
    <row r="777" spans="12:12">
      <c r="L777" s="20"/>
    </row>
    <row r="778" spans="12:12">
      <c r="L778" s="20"/>
    </row>
    <row r="779" spans="12:12">
      <c r="L779" s="20"/>
    </row>
    <row r="780" spans="12:12">
      <c r="L780" s="20"/>
    </row>
    <row r="781" spans="12:12">
      <c r="L781" s="20"/>
    </row>
    <row r="782" spans="12:12">
      <c r="L782" s="20"/>
    </row>
    <row r="783" spans="12:12">
      <c r="L783" s="20"/>
    </row>
    <row r="784" spans="12:12">
      <c r="L784" s="20"/>
    </row>
    <row r="785" spans="12:12">
      <c r="L785" s="20"/>
    </row>
    <row r="786" spans="12:12">
      <c r="L786" s="20"/>
    </row>
    <row r="787" spans="12:12">
      <c r="L787" s="20"/>
    </row>
    <row r="788" spans="12:12">
      <c r="L788" s="20"/>
    </row>
    <row r="789" spans="12:12">
      <c r="L789" s="20"/>
    </row>
    <row r="790" spans="12:12">
      <c r="L790" s="20"/>
    </row>
    <row r="791" spans="12:12">
      <c r="L791" s="20"/>
    </row>
    <row r="792" spans="12:12">
      <c r="L792" s="20"/>
    </row>
    <row r="793" spans="12:12">
      <c r="L793" s="20"/>
    </row>
    <row r="794" spans="12:12">
      <c r="L794" s="20"/>
    </row>
    <row r="795" spans="12:12">
      <c r="L795" s="20"/>
    </row>
    <row r="796" spans="12:12">
      <c r="L796" s="20"/>
    </row>
    <row r="797" spans="12:12">
      <c r="L797" s="20"/>
    </row>
    <row r="798" spans="12:12">
      <c r="L798" s="20"/>
    </row>
    <row r="799" spans="12:12">
      <c r="L799" s="20"/>
    </row>
    <row r="800" spans="12:12">
      <c r="L800" s="20"/>
    </row>
    <row r="801" spans="12:12">
      <c r="L801" s="20"/>
    </row>
    <row r="802" spans="12:12">
      <c r="L802" s="20"/>
    </row>
    <row r="803" spans="12:12">
      <c r="L803" s="20"/>
    </row>
    <row r="804" spans="12:12">
      <c r="L804" s="20"/>
    </row>
    <row r="805" spans="12:12">
      <c r="L805" s="20"/>
    </row>
    <row r="806" spans="12:12">
      <c r="L806" s="20"/>
    </row>
    <row r="807" spans="12:12">
      <c r="L807" s="20"/>
    </row>
    <row r="808" spans="12:12">
      <c r="L808" s="20"/>
    </row>
    <row r="809" spans="12:12">
      <c r="L809" s="20"/>
    </row>
    <row r="810" spans="12:12">
      <c r="L810" s="20"/>
    </row>
    <row r="811" spans="12:12">
      <c r="L811" s="20"/>
    </row>
    <row r="812" spans="12:12">
      <c r="L812" s="20"/>
    </row>
    <row r="813" spans="12:12">
      <c r="L813" s="20"/>
    </row>
    <row r="814" spans="12:12">
      <c r="L814" s="20"/>
    </row>
    <row r="815" spans="12:12">
      <c r="L815" s="20"/>
    </row>
    <row r="816" spans="12:12">
      <c r="L816" s="20"/>
    </row>
    <row r="817" spans="12:12">
      <c r="L817" s="20"/>
    </row>
    <row r="818" spans="12:12">
      <c r="L818" s="20"/>
    </row>
    <row r="819" spans="12:12">
      <c r="L819" s="20"/>
    </row>
    <row r="820" spans="12:12">
      <c r="L820" s="20"/>
    </row>
    <row r="821" spans="12:12">
      <c r="L821" s="20"/>
    </row>
    <row r="822" spans="12:12">
      <c r="L822" s="20"/>
    </row>
    <row r="823" spans="12:12">
      <c r="L823" s="20"/>
    </row>
    <row r="824" spans="12:12">
      <c r="L824" s="20"/>
    </row>
    <row r="825" spans="12:12">
      <c r="L825" s="20"/>
    </row>
    <row r="826" spans="12:12">
      <c r="L826" s="20"/>
    </row>
    <row r="827" spans="12:12">
      <c r="L827" s="20"/>
    </row>
    <row r="828" spans="12:12">
      <c r="L828" s="20"/>
    </row>
    <row r="829" spans="12:12">
      <c r="L829" s="20"/>
    </row>
    <row r="830" spans="12:12">
      <c r="L830" s="20"/>
    </row>
    <row r="831" spans="12:12">
      <c r="L831" s="20"/>
    </row>
    <row r="832" spans="12:12">
      <c r="L832" s="20"/>
    </row>
    <row r="833" spans="12:12">
      <c r="L833" s="20"/>
    </row>
    <row r="834" spans="12:12">
      <c r="L834" s="20"/>
    </row>
    <row r="835" spans="12:12">
      <c r="L835" s="20"/>
    </row>
    <row r="836" spans="12:12">
      <c r="L836" s="20"/>
    </row>
    <row r="837" spans="12:12">
      <c r="L837" s="20"/>
    </row>
    <row r="838" spans="12:12">
      <c r="L838" s="20"/>
    </row>
    <row r="839" spans="12:12">
      <c r="L839" s="20"/>
    </row>
    <row r="840" spans="12:12">
      <c r="L840" s="20"/>
    </row>
    <row r="841" spans="12:12">
      <c r="L841" s="20"/>
    </row>
    <row r="842" spans="12:12">
      <c r="L842" s="20"/>
    </row>
    <row r="843" spans="12:12">
      <c r="L843" s="20"/>
    </row>
    <row r="844" spans="12:12">
      <c r="L844" s="20"/>
    </row>
    <row r="845" spans="12:12">
      <c r="L845" s="20"/>
    </row>
    <row r="846" spans="12:12">
      <c r="L846" s="20"/>
    </row>
    <row r="847" spans="12:12">
      <c r="L847" s="20"/>
    </row>
    <row r="848" spans="12:12">
      <c r="L848" s="20"/>
    </row>
    <row r="849" spans="12:12">
      <c r="L849" s="20"/>
    </row>
    <row r="850" spans="12:12">
      <c r="L850" s="20"/>
    </row>
    <row r="851" spans="12:12">
      <c r="L851" s="20"/>
    </row>
    <row r="852" spans="12:12">
      <c r="L852" s="20"/>
    </row>
    <row r="853" spans="12:12">
      <c r="L853" s="20"/>
    </row>
    <row r="854" spans="12:12">
      <c r="L854" s="20"/>
    </row>
    <row r="855" spans="12:12">
      <c r="L855" s="20"/>
    </row>
    <row r="856" spans="12:12">
      <c r="L856" s="20"/>
    </row>
    <row r="857" spans="12:12">
      <c r="L857" s="20"/>
    </row>
    <row r="858" spans="12:12">
      <c r="L858" s="20"/>
    </row>
    <row r="859" spans="12:12">
      <c r="L859" s="20"/>
    </row>
    <row r="860" spans="12:12">
      <c r="L860" s="20"/>
    </row>
    <row r="861" spans="12:12">
      <c r="L861" s="20"/>
    </row>
    <row r="862" spans="12:12">
      <c r="L862" s="20"/>
    </row>
    <row r="863" spans="12:12">
      <c r="L863" s="20"/>
    </row>
    <row r="864" spans="12:12">
      <c r="L864" s="20"/>
    </row>
    <row r="865" spans="12:12">
      <c r="L865" s="20"/>
    </row>
    <row r="866" spans="12:12">
      <c r="L866" s="20"/>
    </row>
    <row r="867" spans="12:12">
      <c r="L867" s="20"/>
    </row>
    <row r="868" spans="12:12">
      <c r="L868" s="20"/>
    </row>
    <row r="869" spans="12:12">
      <c r="L869" s="20"/>
    </row>
    <row r="870" spans="12:12">
      <c r="L870" s="20"/>
    </row>
    <row r="871" spans="12:12">
      <c r="L871" s="20"/>
    </row>
    <row r="872" spans="12:12">
      <c r="L872" s="20"/>
    </row>
    <row r="873" spans="12:12">
      <c r="L873" s="20"/>
    </row>
    <row r="874" spans="12:12">
      <c r="L874" s="20"/>
    </row>
    <row r="875" spans="12:12">
      <c r="L875" s="20"/>
    </row>
    <row r="876" spans="12:12">
      <c r="L876" s="20"/>
    </row>
    <row r="877" spans="12:12">
      <c r="L877" s="20"/>
    </row>
    <row r="878" spans="12:12">
      <c r="L878" s="20"/>
    </row>
    <row r="879" spans="12:12">
      <c r="L879" s="20"/>
    </row>
  </sheetData>
  <phoneticPr fontId="41" type="noConversion"/>
  <printOptions horizontalCentered="1"/>
  <pageMargins left="0.5" right="0" top="0.5" bottom="0.5" header="0" footer="0.25"/>
  <pageSetup scale="61" fitToHeight="20" orientation="landscape" horizontalDpi="4294967292" verticalDpi="300" r:id="rId1"/>
  <headerFooter alignWithMargins="0">
    <oddFooter xml:space="preserve">&amp;L&amp;D   &amp;T&amp;CPage &amp;P of &amp;N&amp;R&amp;F   &amp;A   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99"/>
  <sheetViews>
    <sheetView topLeftCell="A74" zoomScale="80" workbookViewId="0">
      <selection activeCell="B93" sqref="B93"/>
    </sheetView>
  </sheetViews>
  <sheetFormatPr defaultRowHeight="15.6"/>
  <cols>
    <col min="1" max="1" width="7.83203125" style="133" customWidth="1"/>
    <col min="2" max="2" width="146.83203125" style="129" customWidth="1"/>
    <col min="3" max="12" width="9.33203125" style="27"/>
    <col min="13" max="13" width="10.6640625" style="27" customWidth="1"/>
    <col min="14" max="16384" width="9.33203125" style="27"/>
  </cols>
  <sheetData>
    <row r="1" spans="1:13">
      <c r="A1" s="130" t="s">
        <v>206</v>
      </c>
      <c r="B1" s="126"/>
      <c r="C1" s="25"/>
      <c r="D1" s="25"/>
      <c r="E1" s="25"/>
      <c r="F1" s="26"/>
      <c r="G1" s="26"/>
      <c r="H1" s="26"/>
      <c r="I1" s="26"/>
      <c r="J1" s="26"/>
      <c r="K1" s="26"/>
      <c r="L1" s="26"/>
      <c r="M1" s="26"/>
    </row>
    <row r="2" spans="1:13">
      <c r="A2" s="130" t="s">
        <v>274</v>
      </c>
      <c r="B2" s="126"/>
      <c r="C2" s="25"/>
      <c r="D2" s="25"/>
      <c r="E2" s="25"/>
      <c r="F2" s="26"/>
      <c r="G2" s="26"/>
      <c r="H2" s="26"/>
      <c r="I2" s="26"/>
      <c r="J2" s="26"/>
      <c r="K2" s="26"/>
      <c r="L2" s="26"/>
      <c r="M2" s="26"/>
    </row>
    <row r="3" spans="1:13">
      <c r="A3" s="130" t="s">
        <v>275</v>
      </c>
      <c r="B3" s="126"/>
      <c r="C3" s="25"/>
      <c r="D3" s="25"/>
      <c r="E3" s="25"/>
      <c r="F3" s="26"/>
      <c r="G3" s="26"/>
      <c r="H3" s="26"/>
      <c r="I3" s="26"/>
      <c r="J3" s="26"/>
      <c r="K3" s="26"/>
      <c r="L3" s="26"/>
      <c r="M3" s="26"/>
    </row>
    <row r="4" spans="1:13">
      <c r="A4" s="131"/>
      <c r="B4" s="127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>
      <c r="A5" s="214" t="s">
        <v>470</v>
      </c>
      <c r="B5" s="128"/>
    </row>
    <row r="6" spans="1:13">
      <c r="A6" s="213" t="s">
        <v>219</v>
      </c>
      <c r="B6" s="212" t="s">
        <v>487</v>
      </c>
    </row>
    <row r="7" spans="1:13">
      <c r="A7" s="213" t="s">
        <v>223</v>
      </c>
      <c r="B7" s="212" t="s">
        <v>488</v>
      </c>
    </row>
    <row r="8" spans="1:13" s="290" customFormat="1">
      <c r="A8" s="289" t="s">
        <v>226</v>
      </c>
      <c r="B8" s="286" t="s">
        <v>491</v>
      </c>
    </row>
    <row r="9" spans="1:13" s="290" customFormat="1" ht="28.2">
      <c r="A9" s="289" t="s">
        <v>231</v>
      </c>
      <c r="B9" s="291" t="s">
        <v>471</v>
      </c>
    </row>
    <row r="10" spans="1:13" s="290" customFormat="1">
      <c r="A10" s="292"/>
      <c r="B10" s="291" t="s">
        <v>486</v>
      </c>
    </row>
    <row r="11" spans="1:13">
      <c r="A11" s="213" t="s">
        <v>246</v>
      </c>
      <c r="B11" s="278" t="s">
        <v>485</v>
      </c>
    </row>
    <row r="12" spans="1:13" s="284" customFormat="1" ht="27.6">
      <c r="A12" s="285" t="s">
        <v>249</v>
      </c>
      <c r="B12" s="286" t="s">
        <v>482</v>
      </c>
      <c r="C12" s="283"/>
    </row>
    <row r="13" spans="1:13">
      <c r="A13" s="213" t="s">
        <v>250</v>
      </c>
      <c r="B13" s="287" t="s">
        <v>483</v>
      </c>
    </row>
    <row r="14" spans="1:13">
      <c r="A14" s="213" t="s">
        <v>251</v>
      </c>
      <c r="B14" s="212" t="s">
        <v>476</v>
      </c>
    </row>
    <row r="15" spans="1:13">
      <c r="A15" s="213" t="s">
        <v>477</v>
      </c>
      <c r="B15" s="288" t="s">
        <v>492</v>
      </c>
    </row>
    <row r="16" spans="1:13" ht="27.6">
      <c r="A16" s="163" t="s">
        <v>478</v>
      </c>
      <c r="B16" s="212" t="s">
        <v>479</v>
      </c>
    </row>
    <row r="17" spans="1:2">
      <c r="A17" s="213" t="s">
        <v>480</v>
      </c>
      <c r="B17" s="212" t="s">
        <v>489</v>
      </c>
    </row>
    <row r="18" spans="1:2" ht="27.6">
      <c r="A18" s="213" t="s">
        <v>481</v>
      </c>
      <c r="B18" s="212" t="s">
        <v>490</v>
      </c>
    </row>
    <row r="19" spans="1:2" s="279" customFormat="1" ht="27.6">
      <c r="A19" s="285" t="s">
        <v>493</v>
      </c>
      <c r="B19" s="286" t="s">
        <v>494</v>
      </c>
    </row>
    <row r="20" spans="1:2" s="279" customFormat="1" ht="13.8">
      <c r="A20" s="213"/>
      <c r="B20" s="212"/>
    </row>
    <row r="21" spans="1:2">
      <c r="A21" s="214" t="s">
        <v>525</v>
      </c>
      <c r="B21" s="128"/>
    </row>
    <row r="22" spans="1:2" s="279" customFormat="1" ht="27.6">
      <c r="A22" s="213" t="s">
        <v>219</v>
      </c>
      <c r="B22" s="212" t="s">
        <v>526</v>
      </c>
    </row>
    <row r="23" spans="1:2" s="279" customFormat="1" ht="13.8">
      <c r="A23" s="280"/>
      <c r="B23" s="212" t="s">
        <v>527</v>
      </c>
    </row>
    <row r="24" spans="1:2" s="279" customFormat="1" ht="13.8">
      <c r="A24" s="213" t="s">
        <v>223</v>
      </c>
      <c r="B24" s="212" t="s">
        <v>528</v>
      </c>
    </row>
    <row r="25" spans="1:2" s="279" customFormat="1" ht="13.8">
      <c r="A25" s="213" t="s">
        <v>226</v>
      </c>
      <c r="B25" s="212" t="s">
        <v>529</v>
      </c>
    </row>
    <row r="26" spans="1:2" s="279" customFormat="1" ht="27.6">
      <c r="A26" s="213" t="s">
        <v>231</v>
      </c>
      <c r="B26" s="212" t="s">
        <v>540</v>
      </c>
    </row>
    <row r="27" spans="1:2" s="279" customFormat="1" ht="27.6">
      <c r="A27" s="293" t="s">
        <v>246</v>
      </c>
      <c r="B27" s="212" t="s">
        <v>530</v>
      </c>
    </row>
    <row r="28" spans="1:2" s="279" customFormat="1" ht="27.6">
      <c r="A28" s="280"/>
      <c r="B28" s="212" t="s">
        <v>531</v>
      </c>
    </row>
    <row r="29" spans="1:2" s="279" customFormat="1" ht="13.8">
      <c r="A29" s="280"/>
      <c r="B29" s="212" t="s">
        <v>532</v>
      </c>
    </row>
    <row r="30" spans="1:2" s="279" customFormat="1" ht="27.6">
      <c r="A30" s="293" t="s">
        <v>249</v>
      </c>
      <c r="B30" s="212" t="s">
        <v>534</v>
      </c>
    </row>
    <row r="31" spans="1:2" s="279" customFormat="1" ht="13.8">
      <c r="A31" s="280"/>
      <c r="B31" s="212" t="s">
        <v>535</v>
      </c>
    </row>
    <row r="32" spans="1:2" s="279" customFormat="1" ht="27.6">
      <c r="A32" s="293" t="s">
        <v>250</v>
      </c>
      <c r="B32" s="212" t="s">
        <v>536</v>
      </c>
    </row>
    <row r="33" spans="1:2" s="279" customFormat="1" ht="13.8">
      <c r="A33" s="280"/>
      <c r="B33" s="212" t="s">
        <v>537</v>
      </c>
    </row>
    <row r="34" spans="1:2" s="279" customFormat="1" ht="13.8">
      <c r="A34" s="293" t="s">
        <v>251</v>
      </c>
      <c r="B34" s="212" t="s">
        <v>538</v>
      </c>
    </row>
    <row r="35" spans="1:2" s="279" customFormat="1" ht="13.8">
      <c r="A35" s="293" t="s">
        <v>477</v>
      </c>
      <c r="B35" s="212" t="s">
        <v>539</v>
      </c>
    </row>
    <row r="36" spans="1:2" s="279" customFormat="1" ht="27.6">
      <c r="A36" s="293" t="s">
        <v>478</v>
      </c>
      <c r="B36" s="212" t="s">
        <v>479</v>
      </c>
    </row>
    <row r="37" spans="1:2" s="279" customFormat="1" ht="13.8">
      <c r="A37" s="293" t="s">
        <v>480</v>
      </c>
      <c r="B37" s="212" t="s">
        <v>541</v>
      </c>
    </row>
    <row r="38" spans="1:2" s="279" customFormat="1" ht="13.8">
      <c r="A38" s="280"/>
      <c r="B38" s="212"/>
    </row>
    <row r="39" spans="1:2" s="279" customFormat="1" ht="15">
      <c r="A39" s="214" t="s">
        <v>549</v>
      </c>
      <c r="B39" s="128"/>
    </row>
    <row r="40" spans="1:2" s="279" customFormat="1" ht="27.6">
      <c r="A40" s="293" t="s">
        <v>219</v>
      </c>
      <c r="B40" s="212" t="s">
        <v>550</v>
      </c>
    </row>
    <row r="41" spans="1:2" s="279" customFormat="1" ht="13.8">
      <c r="A41" s="293" t="s">
        <v>223</v>
      </c>
      <c r="B41" s="212" t="s">
        <v>551</v>
      </c>
    </row>
    <row r="42" spans="1:2" s="279" customFormat="1" ht="27.6">
      <c r="A42" s="293" t="s">
        <v>226</v>
      </c>
      <c r="B42" s="212" t="s">
        <v>479</v>
      </c>
    </row>
    <row r="43" spans="1:2" s="279" customFormat="1" ht="27.6">
      <c r="A43" s="293" t="s">
        <v>231</v>
      </c>
      <c r="B43" s="212" t="s">
        <v>552</v>
      </c>
    </row>
    <row r="44" spans="1:2" s="279" customFormat="1" ht="27.6">
      <c r="A44" s="293" t="s">
        <v>246</v>
      </c>
      <c r="B44" s="212" t="s">
        <v>553</v>
      </c>
    </row>
    <row r="45" spans="1:2" s="279" customFormat="1" ht="13.8">
      <c r="A45" s="293" t="s">
        <v>249</v>
      </c>
      <c r="B45" s="212" t="s">
        <v>554</v>
      </c>
    </row>
    <row r="46" spans="1:2" s="279" customFormat="1" ht="13.8">
      <c r="A46" s="293" t="s">
        <v>250</v>
      </c>
      <c r="B46" s="212" t="s">
        <v>555</v>
      </c>
    </row>
    <row r="47" spans="1:2" s="279" customFormat="1" ht="13.8">
      <c r="A47" s="280"/>
      <c r="B47" s="212"/>
    </row>
    <row r="48" spans="1:2" s="279" customFormat="1" ht="13.8">
      <c r="A48" s="214" t="s">
        <v>558</v>
      </c>
      <c r="B48" s="212"/>
    </row>
    <row r="49" spans="1:2" s="279" customFormat="1" ht="27.6">
      <c r="A49" s="293" t="s">
        <v>219</v>
      </c>
      <c r="B49" s="212" t="s">
        <v>559</v>
      </c>
    </row>
    <row r="50" spans="1:2" s="279" customFormat="1" ht="28.5" customHeight="1">
      <c r="A50" s="293" t="s">
        <v>223</v>
      </c>
      <c r="B50" s="212" t="s">
        <v>560</v>
      </c>
    </row>
    <row r="51" spans="1:2" s="279" customFormat="1" ht="13.8">
      <c r="A51" s="293" t="s">
        <v>226</v>
      </c>
      <c r="B51" s="212" t="s">
        <v>561</v>
      </c>
    </row>
    <row r="52" spans="1:2" s="279" customFormat="1" ht="13.8">
      <c r="A52" s="293" t="s">
        <v>231</v>
      </c>
      <c r="B52" s="212" t="s">
        <v>562</v>
      </c>
    </row>
    <row r="53" spans="1:2" s="279" customFormat="1" ht="13.8">
      <c r="A53" s="293" t="s">
        <v>246</v>
      </c>
      <c r="B53" s="212" t="s">
        <v>563</v>
      </c>
    </row>
    <row r="54" spans="1:2" s="279" customFormat="1" ht="13.8">
      <c r="A54" s="293" t="s">
        <v>249</v>
      </c>
      <c r="B54" s="212" t="s">
        <v>564</v>
      </c>
    </row>
    <row r="55" spans="1:2" s="279" customFormat="1" ht="13.8">
      <c r="A55" s="293" t="s">
        <v>250</v>
      </c>
      <c r="B55" s="212" t="s">
        <v>565</v>
      </c>
    </row>
    <row r="56" spans="1:2" s="279" customFormat="1" ht="13.8">
      <c r="A56" s="293" t="s">
        <v>251</v>
      </c>
      <c r="B56" s="212" t="s">
        <v>566</v>
      </c>
    </row>
    <row r="57" spans="1:2" s="279" customFormat="1" ht="13.8">
      <c r="A57" s="280"/>
      <c r="B57" s="212"/>
    </row>
    <row r="58" spans="1:2" s="279" customFormat="1" ht="13.8">
      <c r="A58" s="214" t="s">
        <v>579</v>
      </c>
      <c r="B58" s="212"/>
    </row>
    <row r="59" spans="1:2" s="279" customFormat="1" ht="27.6">
      <c r="A59" s="293" t="s">
        <v>219</v>
      </c>
      <c r="B59" s="212" t="s">
        <v>580</v>
      </c>
    </row>
    <row r="60" spans="1:2" s="279" customFormat="1" ht="41.4">
      <c r="A60" s="293" t="s">
        <v>223</v>
      </c>
      <c r="B60" s="212" t="s">
        <v>581</v>
      </c>
    </row>
    <row r="61" spans="1:2" s="279" customFormat="1" ht="13.8">
      <c r="A61" s="293" t="s">
        <v>226</v>
      </c>
      <c r="B61" s="212" t="s">
        <v>583</v>
      </c>
    </row>
    <row r="62" spans="1:2" s="279" customFormat="1" ht="27.6">
      <c r="A62" s="293" t="s">
        <v>231</v>
      </c>
      <c r="B62" s="212" t="s">
        <v>584</v>
      </c>
    </row>
    <row r="63" spans="1:2" s="279" customFormat="1" ht="27.6">
      <c r="A63" s="293" t="s">
        <v>246</v>
      </c>
      <c r="B63" s="212" t="s">
        <v>585</v>
      </c>
    </row>
    <row r="64" spans="1:2" s="279" customFormat="1" ht="13.8">
      <c r="A64" s="298" t="s">
        <v>249</v>
      </c>
      <c r="B64" s="212" t="s">
        <v>586</v>
      </c>
    </row>
    <row r="65" spans="1:2" s="279" customFormat="1" ht="13.8">
      <c r="A65" s="298" t="s">
        <v>250</v>
      </c>
      <c r="B65" s="212" t="s">
        <v>587</v>
      </c>
    </row>
    <row r="66" spans="1:2" s="279" customFormat="1" ht="27.6">
      <c r="A66" s="298" t="s">
        <v>251</v>
      </c>
      <c r="B66" s="212" t="s">
        <v>582</v>
      </c>
    </row>
    <row r="67" spans="1:2" s="279" customFormat="1" ht="13.8">
      <c r="A67" s="281"/>
      <c r="B67" s="282"/>
    </row>
    <row r="68" spans="1:2" s="279" customFormat="1" ht="13.8">
      <c r="A68" s="214" t="s">
        <v>592</v>
      </c>
      <c r="B68" s="282"/>
    </row>
    <row r="69" spans="1:2" s="279" customFormat="1" ht="13.8">
      <c r="A69" s="293" t="s">
        <v>219</v>
      </c>
      <c r="B69" s="212" t="s">
        <v>593</v>
      </c>
    </row>
    <row r="70" spans="1:2" s="279" customFormat="1" ht="27.6">
      <c r="A70" s="293" t="s">
        <v>223</v>
      </c>
      <c r="B70" s="212" t="s">
        <v>594</v>
      </c>
    </row>
    <row r="71" spans="1:2" s="279" customFormat="1" ht="27.6">
      <c r="A71" s="298" t="s">
        <v>226</v>
      </c>
      <c r="B71" s="212" t="s">
        <v>595</v>
      </c>
    </row>
    <row r="72" spans="1:2" s="279" customFormat="1" ht="13.8">
      <c r="A72" s="293" t="s">
        <v>231</v>
      </c>
      <c r="B72" s="212" t="s">
        <v>583</v>
      </c>
    </row>
    <row r="73" spans="1:2" s="279" customFormat="1" ht="13.8">
      <c r="A73" s="298" t="s">
        <v>246</v>
      </c>
      <c r="B73" s="300" t="s">
        <v>596</v>
      </c>
    </row>
    <row r="74" spans="1:2" s="279" customFormat="1" ht="13.8">
      <c r="A74" s="298" t="s">
        <v>249</v>
      </c>
      <c r="B74" s="212" t="s">
        <v>597</v>
      </c>
    </row>
    <row r="75" spans="1:2" s="279" customFormat="1" ht="13.8">
      <c r="A75" s="298" t="s">
        <v>250</v>
      </c>
      <c r="B75" s="212" t="s">
        <v>598</v>
      </c>
    </row>
    <row r="76" spans="1:2" s="279" customFormat="1" ht="13.8">
      <c r="A76" s="281"/>
      <c r="B76" s="282"/>
    </row>
    <row r="77" spans="1:2" s="279" customFormat="1" ht="13.8">
      <c r="A77" s="214" t="s">
        <v>599</v>
      </c>
      <c r="B77" s="282"/>
    </row>
    <row r="78" spans="1:2" s="279" customFormat="1" ht="45.6" customHeight="1">
      <c r="A78" s="293" t="s">
        <v>219</v>
      </c>
      <c r="B78" s="212" t="s">
        <v>611</v>
      </c>
    </row>
    <row r="79" spans="1:2" s="279" customFormat="1" ht="27.6">
      <c r="A79" s="293" t="s">
        <v>223</v>
      </c>
      <c r="B79" s="212" t="s">
        <v>606</v>
      </c>
    </row>
    <row r="80" spans="1:2" s="279" customFormat="1" ht="27.6">
      <c r="A80" s="293" t="s">
        <v>226</v>
      </c>
      <c r="B80" s="212" t="s">
        <v>607</v>
      </c>
    </row>
    <row r="81" spans="1:2" s="279" customFormat="1" ht="13.8">
      <c r="A81" s="293" t="s">
        <v>231</v>
      </c>
      <c r="B81" s="212" t="s">
        <v>600</v>
      </c>
    </row>
    <row r="82" spans="1:2" s="279" customFormat="1" ht="13.8">
      <c r="A82" s="298" t="s">
        <v>246</v>
      </c>
      <c r="B82" s="300" t="s">
        <v>601</v>
      </c>
    </row>
    <row r="83" spans="1:2" s="279" customFormat="1" ht="27.6">
      <c r="A83" s="281"/>
      <c r="B83" s="212" t="s">
        <v>610</v>
      </c>
    </row>
    <row r="84" spans="1:2" s="279" customFormat="1" ht="13.8">
      <c r="A84" s="298"/>
      <c r="B84" s="212" t="s">
        <v>609</v>
      </c>
    </row>
    <row r="85" spans="1:2" s="279" customFormat="1" ht="27.6">
      <c r="A85" s="298" t="s">
        <v>249</v>
      </c>
      <c r="B85" s="212" t="s">
        <v>608</v>
      </c>
    </row>
    <row r="86" spans="1:2" s="279" customFormat="1" ht="13.8">
      <c r="A86" s="298" t="s">
        <v>250</v>
      </c>
      <c r="B86" s="212" t="s">
        <v>602</v>
      </c>
    </row>
    <row r="87" spans="1:2" s="279" customFormat="1" ht="13.8">
      <c r="A87" s="281"/>
      <c r="B87" s="212"/>
    </row>
    <row r="88" spans="1:2" s="279" customFormat="1" ht="13.8">
      <c r="A88" s="214" t="s">
        <v>627</v>
      </c>
      <c r="B88" s="212"/>
    </row>
    <row r="89" spans="1:2" s="279" customFormat="1" ht="13.8">
      <c r="A89" s="293" t="s">
        <v>219</v>
      </c>
      <c r="B89" s="324" t="s">
        <v>628</v>
      </c>
    </row>
    <row r="90" spans="1:2" s="279" customFormat="1" ht="13.8">
      <c r="A90" s="298" t="s">
        <v>223</v>
      </c>
      <c r="B90" s="324" t="s">
        <v>629</v>
      </c>
    </row>
    <row r="91" spans="1:2" s="279" customFormat="1" ht="13.8">
      <c r="A91" s="298" t="s">
        <v>226</v>
      </c>
      <c r="B91" s="324" t="s">
        <v>630</v>
      </c>
    </row>
    <row r="92" spans="1:2" s="279" customFormat="1" ht="13.8">
      <c r="A92" s="298" t="s">
        <v>231</v>
      </c>
      <c r="B92" s="324" t="s">
        <v>631</v>
      </c>
    </row>
    <row r="93" spans="1:2" s="279" customFormat="1" ht="13.8">
      <c r="A93" s="298" t="s">
        <v>246</v>
      </c>
      <c r="B93" s="324" t="s">
        <v>632</v>
      </c>
    </row>
    <row r="94" spans="1:2" s="279" customFormat="1" ht="13.8">
      <c r="A94" s="298"/>
      <c r="B94" s="212"/>
    </row>
    <row r="95" spans="1:2" s="279" customFormat="1" ht="13.8">
      <c r="A95" s="298"/>
      <c r="B95" s="212"/>
    </row>
    <row r="96" spans="1:2" s="279" customFormat="1" ht="13.8">
      <c r="A96" s="298"/>
      <c r="B96" s="212"/>
    </row>
    <row r="97" spans="1:2" s="279" customFormat="1" ht="13.8">
      <c r="A97" s="298"/>
      <c r="B97" s="212"/>
    </row>
    <row r="98" spans="1:2" s="279" customFormat="1" ht="13.8">
      <c r="A98" s="298"/>
      <c r="B98" s="212"/>
    </row>
    <row r="99" spans="1:2" s="279" customFormat="1" ht="13.8">
      <c r="A99" s="298"/>
      <c r="B99" s="212"/>
    </row>
    <row r="100" spans="1:2" s="279" customFormat="1" ht="13.8">
      <c r="A100" s="298"/>
      <c r="B100" s="212"/>
    </row>
    <row r="101" spans="1:2" s="279" customFormat="1" ht="13.8">
      <c r="A101" s="298"/>
      <c r="B101" s="212"/>
    </row>
    <row r="102" spans="1:2" s="279" customFormat="1" ht="13.8">
      <c r="A102" s="298"/>
      <c r="B102" s="212"/>
    </row>
    <row r="103" spans="1:2" s="279" customFormat="1" ht="13.8">
      <c r="A103" s="298"/>
      <c r="B103" s="212"/>
    </row>
    <row r="104" spans="1:2" s="279" customFormat="1" ht="13.8">
      <c r="A104" s="298"/>
      <c r="B104" s="212"/>
    </row>
    <row r="105" spans="1:2" s="279" customFormat="1" ht="13.8">
      <c r="A105" s="298"/>
      <c r="B105" s="212"/>
    </row>
    <row r="106" spans="1:2" s="279" customFormat="1" ht="13.8">
      <c r="A106" s="298"/>
      <c r="B106" s="212"/>
    </row>
    <row r="107" spans="1:2" s="279" customFormat="1" ht="13.8">
      <c r="A107" s="298"/>
      <c r="B107" s="212"/>
    </row>
    <row r="108" spans="1:2" s="279" customFormat="1" ht="13.8">
      <c r="A108" s="298"/>
      <c r="B108" s="212"/>
    </row>
    <row r="109" spans="1:2" s="279" customFormat="1" ht="13.8">
      <c r="A109" s="298"/>
      <c r="B109" s="212"/>
    </row>
    <row r="110" spans="1:2" s="279" customFormat="1" ht="13.8">
      <c r="A110" s="298"/>
      <c r="B110" s="212"/>
    </row>
    <row r="111" spans="1:2" s="279" customFormat="1" ht="13.8">
      <c r="A111" s="298"/>
      <c r="B111" s="212"/>
    </row>
    <row r="112" spans="1:2" s="279" customFormat="1" ht="13.8">
      <c r="A112" s="298"/>
      <c r="B112" s="212"/>
    </row>
    <row r="113" spans="1:2" s="279" customFormat="1" ht="13.8">
      <c r="A113" s="298"/>
      <c r="B113" s="212"/>
    </row>
    <row r="114" spans="1:2" s="279" customFormat="1" ht="13.8">
      <c r="A114" s="298"/>
      <c r="B114" s="212"/>
    </row>
    <row r="115" spans="1:2" s="279" customFormat="1" ht="13.8">
      <c r="A115" s="298"/>
      <c r="B115" s="212"/>
    </row>
    <row r="116" spans="1:2" s="279" customFormat="1" ht="13.8">
      <c r="A116" s="298"/>
      <c r="B116" s="212"/>
    </row>
    <row r="117" spans="1:2" s="279" customFormat="1" ht="13.8">
      <c r="A117" s="298"/>
      <c r="B117" s="212"/>
    </row>
    <row r="118" spans="1:2" s="279" customFormat="1" ht="13.8">
      <c r="A118" s="298"/>
      <c r="B118" s="212"/>
    </row>
    <row r="119" spans="1:2" s="279" customFormat="1" ht="13.8">
      <c r="A119" s="298"/>
      <c r="B119" s="212"/>
    </row>
    <row r="120" spans="1:2" s="279" customFormat="1" ht="13.8">
      <c r="A120" s="298"/>
      <c r="B120" s="212"/>
    </row>
    <row r="121" spans="1:2" s="279" customFormat="1" ht="13.8">
      <c r="A121" s="298"/>
      <c r="B121" s="212"/>
    </row>
    <row r="122" spans="1:2" s="279" customFormat="1" ht="13.8">
      <c r="A122" s="298"/>
      <c r="B122" s="212"/>
    </row>
    <row r="123" spans="1:2" s="279" customFormat="1" ht="13.8">
      <c r="A123" s="298"/>
      <c r="B123" s="212"/>
    </row>
    <row r="124" spans="1:2" s="279" customFormat="1" ht="13.8">
      <c r="A124" s="298"/>
      <c r="B124" s="212"/>
    </row>
    <row r="125" spans="1:2" s="279" customFormat="1" ht="13.8">
      <c r="A125" s="298"/>
      <c r="B125" s="212"/>
    </row>
    <row r="126" spans="1:2" s="279" customFormat="1" ht="13.8">
      <c r="A126" s="298"/>
      <c r="B126" s="212"/>
    </row>
    <row r="127" spans="1:2" s="279" customFormat="1" ht="13.8">
      <c r="A127" s="298"/>
      <c r="B127" s="212"/>
    </row>
    <row r="128" spans="1:2" s="279" customFormat="1" ht="13.8">
      <c r="A128" s="298"/>
      <c r="B128" s="212"/>
    </row>
    <row r="129" spans="1:2" s="279" customFormat="1" ht="13.8">
      <c r="A129" s="298"/>
      <c r="B129" s="212"/>
    </row>
    <row r="130" spans="1:2" s="279" customFormat="1" ht="13.8">
      <c r="A130" s="298"/>
      <c r="B130" s="212"/>
    </row>
    <row r="131" spans="1:2" s="279" customFormat="1" ht="13.8">
      <c r="A131" s="298"/>
      <c r="B131" s="212"/>
    </row>
    <row r="132" spans="1:2" s="279" customFormat="1" ht="13.8">
      <c r="A132" s="298"/>
      <c r="B132" s="212"/>
    </row>
    <row r="133" spans="1:2" s="279" customFormat="1" ht="13.8">
      <c r="A133" s="298"/>
      <c r="B133" s="212"/>
    </row>
    <row r="134" spans="1:2" s="279" customFormat="1" ht="13.8">
      <c r="A134" s="298"/>
      <c r="B134" s="212"/>
    </row>
    <row r="135" spans="1:2" s="279" customFormat="1" ht="13.8">
      <c r="A135" s="298"/>
      <c r="B135" s="212"/>
    </row>
    <row r="136" spans="1:2" s="279" customFormat="1" ht="13.8">
      <c r="A136" s="298"/>
      <c r="B136" s="212"/>
    </row>
    <row r="137" spans="1:2" s="279" customFormat="1" ht="13.8">
      <c r="A137" s="298"/>
      <c r="B137" s="212"/>
    </row>
    <row r="138" spans="1:2" s="279" customFormat="1" ht="13.8">
      <c r="A138" s="298"/>
      <c r="B138" s="212"/>
    </row>
    <row r="139" spans="1:2" s="279" customFormat="1" ht="13.8">
      <c r="A139" s="298"/>
      <c r="B139" s="212"/>
    </row>
    <row r="140" spans="1:2" s="279" customFormat="1" ht="13.8">
      <c r="A140" s="298"/>
      <c r="B140" s="212"/>
    </row>
    <row r="141" spans="1:2" s="279" customFormat="1" ht="13.8">
      <c r="A141" s="298"/>
      <c r="B141" s="212"/>
    </row>
    <row r="142" spans="1:2" s="279" customFormat="1" ht="13.8">
      <c r="A142" s="298"/>
      <c r="B142" s="212"/>
    </row>
    <row r="143" spans="1:2" s="279" customFormat="1" ht="13.8">
      <c r="A143" s="298"/>
      <c r="B143" s="212"/>
    </row>
    <row r="144" spans="1:2" s="279" customFormat="1" ht="13.8">
      <c r="A144" s="298"/>
      <c r="B144" s="212"/>
    </row>
    <row r="145" spans="1:2" s="279" customFormat="1" ht="13.8">
      <c r="A145" s="298"/>
      <c r="B145" s="212"/>
    </row>
    <row r="146" spans="1:2" s="279" customFormat="1" ht="13.8">
      <c r="A146" s="298"/>
      <c r="B146" s="212"/>
    </row>
    <row r="147" spans="1:2" s="279" customFormat="1" ht="13.8">
      <c r="A147" s="298"/>
      <c r="B147" s="212"/>
    </row>
    <row r="148" spans="1:2" s="279" customFormat="1" ht="13.8">
      <c r="A148" s="298"/>
      <c r="B148" s="212"/>
    </row>
    <row r="149" spans="1:2" s="279" customFormat="1" ht="13.8">
      <c r="A149" s="298"/>
      <c r="B149" s="212"/>
    </row>
    <row r="150" spans="1:2" s="279" customFormat="1" ht="13.8">
      <c r="A150" s="298"/>
      <c r="B150" s="212"/>
    </row>
    <row r="151" spans="1:2" s="279" customFormat="1" ht="13.8">
      <c r="A151" s="298"/>
      <c r="B151" s="212"/>
    </row>
    <row r="152" spans="1:2" s="279" customFormat="1" ht="13.8">
      <c r="A152" s="298"/>
      <c r="B152" s="212"/>
    </row>
    <row r="153" spans="1:2" s="279" customFormat="1" ht="13.8">
      <c r="A153" s="298"/>
      <c r="B153" s="212"/>
    </row>
    <row r="154" spans="1:2" s="279" customFormat="1" ht="13.8">
      <c r="A154" s="298"/>
      <c r="B154" s="212"/>
    </row>
    <row r="155" spans="1:2" s="279" customFormat="1" ht="13.8">
      <c r="A155" s="298"/>
      <c r="B155" s="212"/>
    </row>
    <row r="156" spans="1:2" s="279" customFormat="1" ht="13.8">
      <c r="A156" s="298"/>
      <c r="B156" s="212"/>
    </row>
    <row r="157" spans="1:2" s="279" customFormat="1" ht="13.8">
      <c r="A157" s="298"/>
      <c r="B157" s="212"/>
    </row>
    <row r="158" spans="1:2" s="279" customFormat="1" ht="13.8">
      <c r="A158" s="298"/>
      <c r="B158" s="212"/>
    </row>
    <row r="159" spans="1:2" s="279" customFormat="1" ht="13.8">
      <c r="A159" s="298"/>
      <c r="B159" s="212"/>
    </row>
    <row r="160" spans="1:2" s="279" customFormat="1" ht="13.8">
      <c r="A160" s="298"/>
      <c r="B160" s="212"/>
    </row>
    <row r="161" spans="1:2" s="279" customFormat="1" ht="13.8">
      <c r="A161" s="298"/>
      <c r="B161" s="212"/>
    </row>
    <row r="162" spans="1:2" s="279" customFormat="1" ht="13.8">
      <c r="A162" s="298"/>
      <c r="B162" s="212"/>
    </row>
    <row r="163" spans="1:2" s="279" customFormat="1" ht="13.8">
      <c r="A163" s="298"/>
      <c r="B163" s="212"/>
    </row>
    <row r="164" spans="1:2" s="279" customFormat="1" ht="13.8">
      <c r="A164" s="298"/>
      <c r="B164" s="212"/>
    </row>
    <row r="165" spans="1:2" s="279" customFormat="1" ht="13.8">
      <c r="A165" s="298"/>
      <c r="B165" s="212"/>
    </row>
    <row r="166" spans="1:2" s="279" customFormat="1" ht="13.8">
      <c r="A166" s="298"/>
      <c r="B166" s="212"/>
    </row>
    <row r="167" spans="1:2" s="279" customFormat="1" ht="13.8">
      <c r="A167" s="298"/>
      <c r="B167" s="212"/>
    </row>
    <row r="168" spans="1:2" s="279" customFormat="1" ht="13.8">
      <c r="A168" s="298"/>
      <c r="B168" s="212"/>
    </row>
    <row r="169" spans="1:2" s="279" customFormat="1" ht="13.8">
      <c r="A169" s="298"/>
      <c r="B169" s="212"/>
    </row>
    <row r="170" spans="1:2" s="279" customFormat="1" ht="13.8">
      <c r="A170" s="298"/>
      <c r="B170" s="212"/>
    </row>
    <row r="171" spans="1:2" s="279" customFormat="1" ht="13.8">
      <c r="A171" s="298"/>
      <c r="B171" s="212"/>
    </row>
    <row r="172" spans="1:2" s="279" customFormat="1" ht="13.8">
      <c r="A172" s="298"/>
      <c r="B172" s="212"/>
    </row>
    <row r="173" spans="1:2" s="279" customFormat="1" ht="13.8">
      <c r="A173" s="298"/>
      <c r="B173" s="212"/>
    </row>
    <row r="174" spans="1:2" s="279" customFormat="1" ht="13.8">
      <c r="A174" s="298"/>
      <c r="B174" s="212"/>
    </row>
    <row r="175" spans="1:2" s="279" customFormat="1" ht="13.8">
      <c r="A175" s="298"/>
      <c r="B175" s="212"/>
    </row>
    <row r="176" spans="1:2" s="279" customFormat="1" ht="13.8">
      <c r="A176" s="298"/>
      <c r="B176" s="212"/>
    </row>
    <row r="177" spans="1:2" s="279" customFormat="1" ht="13.8">
      <c r="A177" s="298"/>
      <c r="B177" s="212"/>
    </row>
    <row r="178" spans="1:2" s="279" customFormat="1" ht="13.8">
      <c r="A178" s="298"/>
      <c r="B178" s="212"/>
    </row>
    <row r="179" spans="1:2" s="279" customFormat="1" ht="13.8">
      <c r="A179" s="298"/>
      <c r="B179" s="212"/>
    </row>
    <row r="180" spans="1:2" s="279" customFormat="1" ht="13.8">
      <c r="A180" s="298"/>
      <c r="B180" s="212"/>
    </row>
    <row r="181" spans="1:2" s="279" customFormat="1" ht="13.8">
      <c r="A181" s="298"/>
      <c r="B181" s="212"/>
    </row>
    <row r="182" spans="1:2" s="279" customFormat="1" ht="13.8">
      <c r="A182" s="298"/>
      <c r="B182" s="212"/>
    </row>
    <row r="183" spans="1:2" s="279" customFormat="1" ht="13.8">
      <c r="A183" s="298"/>
      <c r="B183" s="212"/>
    </row>
    <row r="184" spans="1:2" s="279" customFormat="1" ht="13.8">
      <c r="A184" s="298"/>
      <c r="B184" s="212"/>
    </row>
    <row r="185" spans="1:2" s="279" customFormat="1" ht="13.8">
      <c r="A185" s="298"/>
      <c r="B185" s="212"/>
    </row>
    <row r="186" spans="1:2" s="279" customFormat="1" ht="13.8">
      <c r="A186" s="298"/>
      <c r="B186" s="212"/>
    </row>
    <row r="187" spans="1:2" s="279" customFormat="1" ht="13.8">
      <c r="A187" s="298"/>
      <c r="B187" s="212"/>
    </row>
    <row r="188" spans="1:2" s="279" customFormat="1" ht="13.8">
      <c r="A188" s="298"/>
      <c r="B188" s="212"/>
    </row>
    <row r="189" spans="1:2" s="279" customFormat="1" ht="13.8">
      <c r="A189" s="298"/>
      <c r="B189" s="212"/>
    </row>
    <row r="190" spans="1:2" s="279" customFormat="1" ht="13.8">
      <c r="A190" s="298"/>
      <c r="B190" s="212"/>
    </row>
    <row r="191" spans="1:2" s="279" customFormat="1" ht="13.8">
      <c r="A191" s="298"/>
      <c r="B191" s="212"/>
    </row>
    <row r="192" spans="1:2" s="279" customFormat="1" ht="13.8">
      <c r="A192" s="298"/>
      <c r="B192" s="212"/>
    </row>
    <row r="193" spans="1:2" s="279" customFormat="1" ht="13.8">
      <c r="A193" s="298"/>
      <c r="B193" s="212"/>
    </row>
    <row r="194" spans="1:2" s="279" customFormat="1" ht="13.8">
      <c r="A194" s="298"/>
      <c r="B194" s="212"/>
    </row>
    <row r="195" spans="1:2" s="279" customFormat="1" ht="13.8">
      <c r="A195" s="298"/>
      <c r="B195" s="212"/>
    </row>
    <row r="196" spans="1:2" s="279" customFormat="1" ht="13.8">
      <c r="A196" s="298"/>
      <c r="B196" s="212"/>
    </row>
    <row r="197" spans="1:2" s="279" customFormat="1" ht="13.8">
      <c r="A197" s="298"/>
      <c r="B197" s="212"/>
    </row>
    <row r="198" spans="1:2" s="279" customFormat="1" ht="13.8">
      <c r="A198" s="298"/>
      <c r="B198" s="212"/>
    </row>
    <row r="199" spans="1:2" s="279" customFormat="1" ht="13.8">
      <c r="A199" s="298"/>
      <c r="B199" s="212"/>
    </row>
    <row r="200" spans="1:2" s="279" customFormat="1" ht="13.8">
      <c r="A200" s="298"/>
      <c r="B200" s="212"/>
    </row>
    <row r="201" spans="1:2" s="279" customFormat="1" ht="13.8">
      <c r="A201" s="298"/>
      <c r="B201" s="212"/>
    </row>
    <row r="202" spans="1:2" s="279" customFormat="1" ht="13.8">
      <c r="A202" s="298"/>
      <c r="B202" s="212"/>
    </row>
    <row r="203" spans="1:2" s="279" customFormat="1" ht="13.8">
      <c r="A203" s="298"/>
      <c r="B203" s="212"/>
    </row>
    <row r="204" spans="1:2" s="279" customFormat="1" ht="13.8">
      <c r="A204" s="298"/>
      <c r="B204" s="212"/>
    </row>
    <row r="205" spans="1:2" s="279" customFormat="1" ht="13.8">
      <c r="A205" s="298"/>
      <c r="B205" s="212"/>
    </row>
    <row r="206" spans="1:2" s="279" customFormat="1" ht="13.8">
      <c r="A206" s="298"/>
      <c r="B206" s="212"/>
    </row>
    <row r="207" spans="1:2" s="279" customFormat="1" ht="13.8">
      <c r="A207" s="298"/>
      <c r="B207" s="212"/>
    </row>
    <row r="208" spans="1:2" s="279" customFormat="1" ht="13.8">
      <c r="A208" s="298"/>
      <c r="B208" s="212"/>
    </row>
    <row r="209" spans="1:2" s="279" customFormat="1" ht="13.8">
      <c r="A209" s="298"/>
      <c r="B209" s="212"/>
    </row>
    <row r="210" spans="1:2" s="279" customFormat="1" ht="13.8">
      <c r="A210" s="298"/>
      <c r="B210" s="212"/>
    </row>
    <row r="211" spans="1:2" s="279" customFormat="1" ht="13.8">
      <c r="A211" s="298"/>
      <c r="B211" s="212"/>
    </row>
    <row r="212" spans="1:2" s="279" customFormat="1" ht="13.8">
      <c r="A212" s="298"/>
      <c r="B212" s="212"/>
    </row>
    <row r="213" spans="1:2" s="279" customFormat="1" ht="13.8">
      <c r="A213" s="298"/>
      <c r="B213" s="212"/>
    </row>
    <row r="214" spans="1:2" s="279" customFormat="1" ht="13.8">
      <c r="A214" s="298"/>
      <c r="B214" s="212"/>
    </row>
    <row r="215" spans="1:2" s="279" customFormat="1" ht="13.8">
      <c r="A215" s="298"/>
      <c r="B215" s="212"/>
    </row>
    <row r="216" spans="1:2" s="279" customFormat="1" ht="13.8">
      <c r="A216" s="298"/>
      <c r="B216" s="212"/>
    </row>
    <row r="217" spans="1:2" s="279" customFormat="1" ht="13.8">
      <c r="A217" s="298"/>
      <c r="B217" s="212"/>
    </row>
    <row r="218" spans="1:2" s="279" customFormat="1" ht="13.8">
      <c r="A218" s="298"/>
      <c r="B218" s="212"/>
    </row>
    <row r="219" spans="1:2" s="279" customFormat="1" ht="13.8">
      <c r="A219" s="298"/>
      <c r="B219" s="212"/>
    </row>
    <row r="220" spans="1:2" s="279" customFormat="1" ht="13.8">
      <c r="A220" s="298"/>
      <c r="B220" s="212"/>
    </row>
    <row r="221" spans="1:2" s="279" customFormat="1" ht="13.8">
      <c r="A221" s="298"/>
      <c r="B221" s="212"/>
    </row>
    <row r="222" spans="1:2" s="279" customFormat="1" ht="13.8">
      <c r="A222" s="298"/>
      <c r="B222" s="212"/>
    </row>
    <row r="223" spans="1:2" s="279" customFormat="1" ht="13.8">
      <c r="A223" s="298"/>
      <c r="B223" s="212"/>
    </row>
    <row r="224" spans="1:2" s="279" customFormat="1" ht="13.8">
      <c r="A224" s="298"/>
      <c r="B224" s="212"/>
    </row>
    <row r="225" spans="1:2" s="279" customFormat="1" ht="13.8">
      <c r="A225" s="298"/>
      <c r="B225" s="212"/>
    </row>
    <row r="226" spans="1:2" s="279" customFormat="1" ht="13.8">
      <c r="A226" s="298"/>
      <c r="B226" s="212"/>
    </row>
    <row r="227" spans="1:2" s="279" customFormat="1" ht="13.8">
      <c r="A227" s="298"/>
      <c r="B227" s="212"/>
    </row>
    <row r="228" spans="1:2" s="279" customFormat="1" ht="13.8">
      <c r="A228" s="298"/>
      <c r="B228" s="212"/>
    </row>
    <row r="229" spans="1:2" s="279" customFormat="1" ht="13.8">
      <c r="A229" s="298"/>
      <c r="B229" s="212"/>
    </row>
    <row r="230" spans="1:2" s="279" customFormat="1" ht="13.8">
      <c r="A230" s="298"/>
      <c r="B230" s="212"/>
    </row>
    <row r="231" spans="1:2" s="279" customFormat="1" ht="13.8">
      <c r="A231" s="298"/>
      <c r="B231" s="212"/>
    </row>
    <row r="232" spans="1:2" s="279" customFormat="1" ht="13.8">
      <c r="A232" s="298"/>
      <c r="B232" s="212"/>
    </row>
    <row r="233" spans="1:2" s="279" customFormat="1" ht="13.8">
      <c r="A233" s="298"/>
      <c r="B233" s="212"/>
    </row>
    <row r="234" spans="1:2" s="279" customFormat="1" ht="13.8">
      <c r="A234" s="298"/>
      <c r="B234" s="212"/>
    </row>
    <row r="235" spans="1:2" s="279" customFormat="1" ht="13.8">
      <c r="A235" s="298"/>
      <c r="B235" s="212"/>
    </row>
    <row r="236" spans="1:2" s="279" customFormat="1" ht="13.8">
      <c r="A236" s="298"/>
      <c r="B236" s="212"/>
    </row>
    <row r="237" spans="1:2" s="279" customFormat="1" ht="13.8">
      <c r="A237" s="298"/>
      <c r="B237" s="212"/>
    </row>
    <row r="238" spans="1:2" s="279" customFormat="1" ht="13.8">
      <c r="A238" s="298"/>
      <c r="B238" s="212"/>
    </row>
    <row r="239" spans="1:2" s="279" customFormat="1" ht="13.8">
      <c r="A239" s="298"/>
      <c r="B239" s="212"/>
    </row>
    <row r="240" spans="1:2" s="279" customFormat="1" ht="13.8">
      <c r="A240" s="298"/>
      <c r="B240" s="212"/>
    </row>
    <row r="241" spans="1:2" s="279" customFormat="1" ht="13.8">
      <c r="A241" s="298"/>
      <c r="B241" s="212"/>
    </row>
    <row r="242" spans="1:2" s="279" customFormat="1" ht="13.8">
      <c r="A242" s="298"/>
      <c r="B242" s="212"/>
    </row>
    <row r="243" spans="1:2" s="279" customFormat="1" ht="13.8">
      <c r="A243" s="298"/>
      <c r="B243" s="212"/>
    </row>
    <row r="244" spans="1:2" s="279" customFormat="1" ht="13.8">
      <c r="A244" s="298"/>
      <c r="B244" s="212"/>
    </row>
    <row r="245" spans="1:2" s="279" customFormat="1" ht="13.8">
      <c r="A245" s="298"/>
      <c r="B245" s="212"/>
    </row>
    <row r="246" spans="1:2" s="279" customFormat="1" ht="13.8">
      <c r="A246" s="298"/>
      <c r="B246" s="212"/>
    </row>
    <row r="247" spans="1:2" s="279" customFormat="1" ht="13.8">
      <c r="A247" s="298"/>
      <c r="B247" s="212"/>
    </row>
    <row r="248" spans="1:2" s="279" customFormat="1" ht="13.8">
      <c r="A248" s="298"/>
      <c r="B248" s="212"/>
    </row>
    <row r="249" spans="1:2" s="279" customFormat="1" ht="13.8">
      <c r="A249" s="298"/>
      <c r="B249" s="212"/>
    </row>
    <row r="250" spans="1:2" s="279" customFormat="1" ht="13.8">
      <c r="A250" s="298"/>
      <c r="B250" s="212"/>
    </row>
    <row r="251" spans="1:2" s="279" customFormat="1" ht="13.8">
      <c r="A251" s="298"/>
      <c r="B251" s="212"/>
    </row>
    <row r="252" spans="1:2" s="279" customFormat="1" ht="13.8">
      <c r="A252" s="298"/>
      <c r="B252" s="212"/>
    </row>
    <row r="253" spans="1:2" s="279" customFormat="1" ht="13.8">
      <c r="A253" s="298"/>
      <c r="B253" s="212"/>
    </row>
    <row r="254" spans="1:2" s="279" customFormat="1" ht="13.8">
      <c r="A254" s="298"/>
      <c r="B254" s="212"/>
    </row>
    <row r="255" spans="1:2" s="279" customFormat="1" ht="13.8">
      <c r="A255" s="298"/>
      <c r="B255" s="212"/>
    </row>
    <row r="256" spans="1:2" s="279" customFormat="1" ht="13.8">
      <c r="A256" s="298"/>
      <c r="B256" s="212"/>
    </row>
    <row r="257" spans="1:2" s="279" customFormat="1" ht="13.8">
      <c r="A257" s="298"/>
      <c r="B257" s="212"/>
    </row>
    <row r="258" spans="1:2" s="279" customFormat="1" ht="13.8">
      <c r="A258" s="298"/>
      <c r="B258" s="212"/>
    </row>
    <row r="259" spans="1:2" s="279" customFormat="1" ht="13.8">
      <c r="A259" s="298"/>
      <c r="B259" s="212"/>
    </row>
    <row r="260" spans="1:2" s="279" customFormat="1" ht="13.8">
      <c r="A260" s="298"/>
      <c r="B260" s="212"/>
    </row>
    <row r="261" spans="1:2" s="279" customFormat="1" ht="13.8">
      <c r="A261" s="298"/>
      <c r="B261" s="212"/>
    </row>
    <row r="262" spans="1:2" s="279" customFormat="1" ht="13.8">
      <c r="A262" s="298"/>
      <c r="B262" s="212"/>
    </row>
    <row r="263" spans="1:2" s="279" customFormat="1" ht="13.8">
      <c r="A263" s="298"/>
      <c r="B263" s="212"/>
    </row>
    <row r="264" spans="1:2" s="279" customFormat="1" ht="13.8">
      <c r="A264" s="298"/>
      <c r="B264" s="212"/>
    </row>
    <row r="265" spans="1:2" s="279" customFormat="1" ht="13.8">
      <c r="A265" s="298"/>
      <c r="B265" s="212"/>
    </row>
    <row r="266" spans="1:2" s="279" customFormat="1" ht="13.8">
      <c r="A266" s="298"/>
      <c r="B266" s="212"/>
    </row>
    <row r="267" spans="1:2" s="279" customFormat="1" ht="13.8">
      <c r="A267" s="298"/>
      <c r="B267" s="212"/>
    </row>
    <row r="268" spans="1:2" s="279" customFormat="1" ht="13.8">
      <c r="A268" s="298"/>
      <c r="B268" s="212"/>
    </row>
    <row r="269" spans="1:2" s="279" customFormat="1" ht="13.8">
      <c r="A269" s="298"/>
      <c r="B269" s="212"/>
    </row>
    <row r="270" spans="1:2" s="279" customFormat="1" ht="13.8">
      <c r="A270" s="298"/>
      <c r="B270" s="212"/>
    </row>
    <row r="271" spans="1:2" s="279" customFormat="1" ht="13.8">
      <c r="A271" s="298"/>
      <c r="B271" s="212"/>
    </row>
    <row r="272" spans="1:2" s="279" customFormat="1" ht="13.8">
      <c r="A272" s="298"/>
      <c r="B272" s="212"/>
    </row>
    <row r="273" spans="1:2" s="279" customFormat="1" ht="13.8">
      <c r="A273" s="298"/>
      <c r="B273" s="212"/>
    </row>
    <row r="274" spans="1:2" s="279" customFormat="1" ht="13.8">
      <c r="A274" s="298"/>
      <c r="B274" s="212"/>
    </row>
    <row r="275" spans="1:2" s="279" customFormat="1" ht="13.8">
      <c r="A275" s="298"/>
      <c r="B275" s="212"/>
    </row>
    <row r="276" spans="1:2" s="279" customFormat="1" ht="13.8">
      <c r="A276" s="298"/>
      <c r="B276" s="212"/>
    </row>
    <row r="277" spans="1:2" s="279" customFormat="1" ht="13.8">
      <c r="A277" s="298"/>
      <c r="B277" s="212"/>
    </row>
    <row r="278" spans="1:2" s="279" customFormat="1" ht="13.8">
      <c r="A278" s="298"/>
      <c r="B278" s="212"/>
    </row>
    <row r="279" spans="1:2" s="279" customFormat="1" ht="13.8">
      <c r="A279" s="298"/>
      <c r="B279" s="212"/>
    </row>
    <row r="280" spans="1:2" s="279" customFormat="1" ht="13.8">
      <c r="A280" s="298"/>
      <c r="B280" s="212"/>
    </row>
    <row r="281" spans="1:2" s="279" customFormat="1" ht="13.8">
      <c r="A281" s="298"/>
      <c r="B281" s="212"/>
    </row>
    <row r="282" spans="1:2" s="279" customFormat="1" ht="13.8">
      <c r="A282" s="298"/>
      <c r="B282" s="212"/>
    </row>
    <row r="283" spans="1:2" s="279" customFormat="1" ht="13.8">
      <c r="A283" s="298"/>
      <c r="B283" s="212"/>
    </row>
    <row r="284" spans="1:2" s="279" customFormat="1" ht="13.8">
      <c r="A284" s="298"/>
      <c r="B284" s="212"/>
    </row>
    <row r="285" spans="1:2" s="279" customFormat="1" ht="13.8">
      <c r="A285" s="298"/>
      <c r="B285" s="212"/>
    </row>
    <row r="286" spans="1:2" s="279" customFormat="1" ht="13.8">
      <c r="A286" s="298"/>
      <c r="B286" s="212"/>
    </row>
    <row r="287" spans="1:2" s="279" customFormat="1" ht="13.8">
      <c r="A287" s="298"/>
      <c r="B287" s="212"/>
    </row>
    <row r="288" spans="1:2" s="279" customFormat="1" ht="13.8">
      <c r="A288" s="298"/>
      <c r="B288" s="212"/>
    </row>
    <row r="289" spans="1:2" s="279" customFormat="1" ht="13.8">
      <c r="A289" s="298"/>
      <c r="B289" s="212"/>
    </row>
    <row r="290" spans="1:2" s="279" customFormat="1" ht="13.8">
      <c r="A290" s="298"/>
      <c r="B290" s="212"/>
    </row>
    <row r="291" spans="1:2" s="279" customFormat="1" ht="13.8">
      <c r="A291" s="298"/>
      <c r="B291" s="212"/>
    </row>
    <row r="292" spans="1:2" s="279" customFormat="1" ht="13.8">
      <c r="A292" s="298"/>
      <c r="B292" s="212"/>
    </row>
    <row r="293" spans="1:2" s="279" customFormat="1" ht="13.8">
      <c r="A293" s="298"/>
      <c r="B293" s="212"/>
    </row>
    <row r="294" spans="1:2" s="279" customFormat="1" ht="13.8">
      <c r="A294" s="298"/>
      <c r="B294" s="212"/>
    </row>
    <row r="295" spans="1:2" s="279" customFormat="1" ht="13.8">
      <c r="A295" s="298"/>
      <c r="B295" s="212"/>
    </row>
    <row r="296" spans="1:2" s="279" customFormat="1" ht="13.8">
      <c r="A296" s="298"/>
      <c r="B296" s="212"/>
    </row>
    <row r="297" spans="1:2" s="279" customFormat="1" ht="13.8">
      <c r="A297" s="298"/>
      <c r="B297" s="212"/>
    </row>
    <row r="298" spans="1:2" s="279" customFormat="1" ht="13.8">
      <c r="A298" s="298"/>
      <c r="B298" s="212"/>
    </row>
    <row r="299" spans="1:2" s="279" customFormat="1" ht="13.8">
      <c r="A299" s="298"/>
      <c r="B299" s="212"/>
    </row>
    <row r="300" spans="1:2" s="279" customFormat="1" ht="13.8">
      <c r="A300" s="298"/>
      <c r="B300" s="212"/>
    </row>
    <row r="301" spans="1:2" s="279" customFormat="1" ht="13.8">
      <c r="A301" s="298"/>
      <c r="B301" s="212"/>
    </row>
    <row r="302" spans="1:2" s="279" customFormat="1" ht="13.8">
      <c r="A302" s="298"/>
      <c r="B302" s="212"/>
    </row>
    <row r="303" spans="1:2" s="279" customFormat="1" ht="13.8">
      <c r="A303" s="298"/>
      <c r="B303" s="212"/>
    </row>
    <row r="304" spans="1:2" s="279" customFormat="1" ht="13.8">
      <c r="A304" s="298"/>
      <c r="B304" s="212"/>
    </row>
    <row r="305" spans="1:2" s="279" customFormat="1" ht="13.8">
      <c r="A305" s="298"/>
      <c r="B305" s="212"/>
    </row>
    <row r="306" spans="1:2" s="279" customFormat="1" ht="13.8">
      <c r="A306" s="298"/>
      <c r="B306" s="212"/>
    </row>
    <row r="307" spans="1:2" s="279" customFormat="1" ht="13.8">
      <c r="A307" s="298"/>
      <c r="B307" s="212"/>
    </row>
    <row r="308" spans="1:2" s="279" customFormat="1" ht="13.8">
      <c r="A308" s="298"/>
      <c r="B308" s="212"/>
    </row>
    <row r="309" spans="1:2" s="279" customFormat="1" ht="13.8">
      <c r="A309" s="298"/>
      <c r="B309" s="212"/>
    </row>
    <row r="310" spans="1:2" s="279" customFormat="1" ht="13.8">
      <c r="A310" s="298"/>
      <c r="B310" s="212"/>
    </row>
    <row r="311" spans="1:2" s="279" customFormat="1" ht="13.8">
      <c r="A311" s="298"/>
      <c r="B311" s="212"/>
    </row>
    <row r="312" spans="1:2" s="279" customFormat="1" ht="13.8">
      <c r="A312" s="298"/>
      <c r="B312" s="212"/>
    </row>
    <row r="313" spans="1:2" s="279" customFormat="1" ht="13.8">
      <c r="A313" s="298"/>
      <c r="B313" s="212"/>
    </row>
    <row r="314" spans="1:2" s="279" customFormat="1" ht="13.8">
      <c r="A314" s="298"/>
      <c r="B314" s="212"/>
    </row>
    <row r="315" spans="1:2" s="279" customFormat="1" ht="13.8">
      <c r="A315" s="298"/>
      <c r="B315" s="212"/>
    </row>
    <row r="316" spans="1:2" s="279" customFormat="1" ht="13.8">
      <c r="A316" s="298"/>
      <c r="B316" s="212"/>
    </row>
    <row r="317" spans="1:2" s="279" customFormat="1" ht="13.8">
      <c r="A317" s="298"/>
      <c r="B317" s="212"/>
    </row>
    <row r="318" spans="1:2" s="279" customFormat="1" ht="13.8">
      <c r="A318" s="298"/>
      <c r="B318" s="212"/>
    </row>
    <row r="319" spans="1:2">
      <c r="A319" s="325"/>
    </row>
    <row r="320" spans="1:2">
      <c r="A320" s="325"/>
    </row>
    <row r="321" spans="1:1">
      <c r="A321" s="325"/>
    </row>
    <row r="322" spans="1:1">
      <c r="A322" s="325"/>
    </row>
    <row r="323" spans="1:1">
      <c r="A323" s="325"/>
    </row>
    <row r="324" spans="1:1">
      <c r="A324" s="325"/>
    </row>
    <row r="325" spans="1:1">
      <c r="A325" s="325"/>
    </row>
    <row r="326" spans="1:1">
      <c r="A326" s="325"/>
    </row>
    <row r="327" spans="1:1">
      <c r="A327" s="325"/>
    </row>
    <row r="328" spans="1:1">
      <c r="A328" s="325"/>
    </row>
    <row r="329" spans="1:1">
      <c r="A329" s="325"/>
    </row>
    <row r="330" spans="1:1">
      <c r="A330" s="325"/>
    </row>
    <row r="331" spans="1:1">
      <c r="A331" s="325"/>
    </row>
    <row r="332" spans="1:1">
      <c r="A332" s="325"/>
    </row>
    <row r="333" spans="1:1">
      <c r="A333" s="325"/>
    </row>
    <row r="334" spans="1:1">
      <c r="A334" s="325"/>
    </row>
    <row r="335" spans="1:1">
      <c r="A335" s="325"/>
    </row>
    <row r="336" spans="1:1">
      <c r="A336" s="325"/>
    </row>
    <row r="337" spans="1:1">
      <c r="A337" s="325"/>
    </row>
    <row r="338" spans="1:1">
      <c r="A338" s="325"/>
    </row>
    <row r="339" spans="1:1">
      <c r="A339" s="325"/>
    </row>
    <row r="340" spans="1:1">
      <c r="A340" s="325"/>
    </row>
    <row r="341" spans="1:1">
      <c r="A341" s="325"/>
    </row>
    <row r="342" spans="1:1">
      <c r="A342" s="132"/>
    </row>
    <row r="343" spans="1:1">
      <c r="A343" s="132"/>
    </row>
    <row r="344" spans="1:1">
      <c r="A344" s="132"/>
    </row>
    <row r="345" spans="1:1">
      <c r="A345" s="132"/>
    </row>
    <row r="346" spans="1:1">
      <c r="A346" s="132"/>
    </row>
    <row r="347" spans="1:1">
      <c r="A347" s="132"/>
    </row>
    <row r="348" spans="1:1">
      <c r="A348" s="132"/>
    </row>
    <row r="349" spans="1:1">
      <c r="A349" s="132"/>
    </row>
    <row r="350" spans="1:1">
      <c r="A350" s="132"/>
    </row>
    <row r="351" spans="1:1">
      <c r="A351" s="132"/>
    </row>
    <row r="352" spans="1:1">
      <c r="A352" s="132"/>
    </row>
    <row r="353" spans="1:1">
      <c r="A353" s="132"/>
    </row>
    <row r="354" spans="1:1">
      <c r="A354" s="132"/>
    </row>
    <row r="355" spans="1:1">
      <c r="A355" s="132"/>
    </row>
    <row r="356" spans="1:1">
      <c r="A356" s="132"/>
    </row>
    <row r="357" spans="1:1">
      <c r="A357" s="132"/>
    </row>
    <row r="358" spans="1:1">
      <c r="A358" s="132"/>
    </row>
    <row r="359" spans="1:1">
      <c r="A359" s="132"/>
    </row>
    <row r="360" spans="1:1">
      <c r="A360" s="132"/>
    </row>
    <row r="361" spans="1:1">
      <c r="A361" s="132"/>
    </row>
    <row r="362" spans="1:1">
      <c r="A362" s="132"/>
    </row>
    <row r="363" spans="1:1">
      <c r="A363" s="132"/>
    </row>
    <row r="364" spans="1:1">
      <c r="A364" s="132"/>
    </row>
    <row r="365" spans="1:1">
      <c r="A365" s="132"/>
    </row>
    <row r="366" spans="1:1">
      <c r="A366" s="132"/>
    </row>
    <row r="367" spans="1:1">
      <c r="A367" s="132"/>
    </row>
    <row r="368" spans="1:1">
      <c r="A368" s="132"/>
    </row>
    <row r="369" spans="1:1">
      <c r="A369" s="132"/>
    </row>
    <row r="370" spans="1:1">
      <c r="A370" s="132"/>
    </row>
    <row r="371" spans="1:1">
      <c r="A371" s="132"/>
    </row>
    <row r="372" spans="1:1">
      <c r="A372" s="132"/>
    </row>
    <row r="373" spans="1:1">
      <c r="A373" s="132"/>
    </row>
    <row r="374" spans="1:1">
      <c r="A374" s="132"/>
    </row>
    <row r="375" spans="1:1">
      <c r="A375" s="132"/>
    </row>
    <row r="376" spans="1:1">
      <c r="A376" s="132"/>
    </row>
    <row r="377" spans="1:1">
      <c r="A377" s="132"/>
    </row>
    <row r="378" spans="1:1">
      <c r="A378" s="132"/>
    </row>
    <row r="379" spans="1:1">
      <c r="A379" s="132"/>
    </row>
    <row r="380" spans="1:1">
      <c r="A380" s="132"/>
    </row>
    <row r="381" spans="1:1">
      <c r="A381" s="132"/>
    </row>
    <row r="382" spans="1:1">
      <c r="A382" s="132"/>
    </row>
    <row r="383" spans="1:1">
      <c r="A383" s="132"/>
    </row>
    <row r="384" spans="1:1">
      <c r="A384" s="132"/>
    </row>
    <row r="385" spans="1:1">
      <c r="A385" s="132"/>
    </row>
    <row r="386" spans="1:1">
      <c r="A386" s="132"/>
    </row>
    <row r="387" spans="1:1">
      <c r="A387" s="132"/>
    </row>
    <row r="388" spans="1:1">
      <c r="A388" s="132"/>
    </row>
    <row r="389" spans="1:1">
      <c r="A389" s="132"/>
    </row>
    <row r="390" spans="1:1">
      <c r="A390" s="132"/>
    </row>
    <row r="391" spans="1:1">
      <c r="A391" s="132"/>
    </row>
    <row r="392" spans="1:1">
      <c r="A392" s="132"/>
    </row>
    <row r="393" spans="1:1">
      <c r="A393" s="132"/>
    </row>
    <row r="394" spans="1:1">
      <c r="A394" s="132"/>
    </row>
    <row r="395" spans="1:1">
      <c r="A395" s="132"/>
    </row>
    <row r="396" spans="1:1">
      <c r="A396" s="132"/>
    </row>
    <row r="397" spans="1:1">
      <c r="A397" s="132"/>
    </row>
    <row r="398" spans="1:1">
      <c r="A398" s="132"/>
    </row>
    <row r="399" spans="1:1">
      <c r="A399" s="132"/>
    </row>
    <row r="400" spans="1:1">
      <c r="A400" s="132"/>
    </row>
    <row r="401" spans="1:1">
      <c r="A401" s="132"/>
    </row>
    <row r="402" spans="1:1">
      <c r="A402" s="132"/>
    </row>
    <row r="403" spans="1:1">
      <c r="A403" s="132"/>
    </row>
    <row r="404" spans="1:1">
      <c r="A404" s="132"/>
    </row>
    <row r="405" spans="1:1">
      <c r="A405" s="132"/>
    </row>
    <row r="406" spans="1:1">
      <c r="A406" s="132"/>
    </row>
    <row r="407" spans="1:1">
      <c r="A407" s="132"/>
    </row>
    <row r="408" spans="1:1">
      <c r="A408" s="132"/>
    </row>
    <row r="409" spans="1:1">
      <c r="A409" s="132"/>
    </row>
    <row r="410" spans="1:1">
      <c r="A410" s="132"/>
    </row>
    <row r="411" spans="1:1">
      <c r="A411" s="132"/>
    </row>
    <row r="412" spans="1:1">
      <c r="A412" s="132"/>
    </row>
    <row r="413" spans="1:1">
      <c r="A413" s="132"/>
    </row>
    <row r="414" spans="1:1">
      <c r="A414" s="132"/>
    </row>
    <row r="415" spans="1:1">
      <c r="A415" s="132"/>
    </row>
    <row r="416" spans="1:1">
      <c r="A416" s="132"/>
    </row>
    <row r="417" spans="1:1">
      <c r="A417" s="132"/>
    </row>
    <row r="418" spans="1:1">
      <c r="A418" s="132"/>
    </row>
    <row r="419" spans="1:1">
      <c r="A419" s="132"/>
    </row>
    <row r="420" spans="1:1">
      <c r="A420" s="132"/>
    </row>
    <row r="421" spans="1:1">
      <c r="A421" s="132"/>
    </row>
    <row r="422" spans="1:1">
      <c r="A422" s="132"/>
    </row>
    <row r="423" spans="1:1">
      <c r="A423" s="132"/>
    </row>
    <row r="424" spans="1:1">
      <c r="A424" s="132"/>
    </row>
    <row r="425" spans="1:1">
      <c r="A425" s="132"/>
    </row>
    <row r="426" spans="1:1">
      <c r="A426" s="132"/>
    </row>
    <row r="427" spans="1:1">
      <c r="A427" s="132"/>
    </row>
    <row r="428" spans="1:1">
      <c r="A428" s="132"/>
    </row>
    <row r="429" spans="1:1">
      <c r="A429" s="132"/>
    </row>
    <row r="430" spans="1:1">
      <c r="A430" s="132"/>
    </row>
    <row r="431" spans="1:1">
      <c r="A431" s="132"/>
    </row>
    <row r="432" spans="1:1">
      <c r="A432" s="132"/>
    </row>
    <row r="433" spans="1:1">
      <c r="A433" s="132"/>
    </row>
    <row r="434" spans="1:1">
      <c r="A434" s="132"/>
    </row>
    <row r="435" spans="1:1">
      <c r="A435" s="132"/>
    </row>
    <row r="436" spans="1:1">
      <c r="A436" s="132"/>
    </row>
    <row r="437" spans="1:1">
      <c r="A437" s="132"/>
    </row>
    <row r="438" spans="1:1">
      <c r="A438" s="132"/>
    </row>
    <row r="439" spans="1:1">
      <c r="A439" s="132"/>
    </row>
    <row r="440" spans="1:1">
      <c r="A440" s="132"/>
    </row>
    <row r="441" spans="1:1">
      <c r="A441" s="132"/>
    </row>
    <row r="442" spans="1:1">
      <c r="A442" s="132"/>
    </row>
    <row r="443" spans="1:1">
      <c r="A443" s="132"/>
    </row>
    <row r="444" spans="1:1">
      <c r="A444" s="132"/>
    </row>
    <row r="445" spans="1:1">
      <c r="A445" s="132"/>
    </row>
    <row r="446" spans="1:1">
      <c r="A446" s="132"/>
    </row>
    <row r="447" spans="1:1">
      <c r="A447" s="132"/>
    </row>
    <row r="448" spans="1:1">
      <c r="A448" s="132"/>
    </row>
    <row r="449" spans="1:1">
      <c r="A449" s="132"/>
    </row>
    <row r="450" spans="1:1">
      <c r="A450" s="132"/>
    </row>
    <row r="451" spans="1:1">
      <c r="A451" s="132"/>
    </row>
    <row r="452" spans="1:1">
      <c r="A452" s="132"/>
    </row>
    <row r="453" spans="1:1">
      <c r="A453" s="132"/>
    </row>
    <row r="454" spans="1:1">
      <c r="A454" s="132"/>
    </row>
    <row r="455" spans="1:1">
      <c r="A455" s="132"/>
    </row>
    <row r="456" spans="1:1">
      <c r="A456" s="132"/>
    </row>
    <row r="457" spans="1:1">
      <c r="A457" s="132"/>
    </row>
    <row r="458" spans="1:1">
      <c r="A458" s="132"/>
    </row>
    <row r="459" spans="1:1">
      <c r="A459" s="132"/>
    </row>
    <row r="460" spans="1:1">
      <c r="A460" s="132"/>
    </row>
    <row r="461" spans="1:1">
      <c r="A461" s="132"/>
    </row>
    <row r="462" spans="1:1">
      <c r="A462" s="132"/>
    </row>
    <row r="463" spans="1:1">
      <c r="A463" s="132"/>
    </row>
    <row r="464" spans="1:1">
      <c r="A464" s="132"/>
    </row>
    <row r="465" spans="1:1">
      <c r="A465" s="132"/>
    </row>
    <row r="466" spans="1:1">
      <c r="A466" s="132"/>
    </row>
    <row r="467" spans="1:1">
      <c r="A467" s="132"/>
    </row>
    <row r="468" spans="1:1">
      <c r="A468" s="132"/>
    </row>
    <row r="469" spans="1:1">
      <c r="A469" s="132"/>
    </row>
    <row r="470" spans="1:1">
      <c r="A470" s="132"/>
    </row>
    <row r="471" spans="1:1">
      <c r="A471" s="132"/>
    </row>
    <row r="472" spans="1:1">
      <c r="A472" s="132"/>
    </row>
    <row r="473" spans="1:1">
      <c r="A473" s="132"/>
    </row>
    <row r="474" spans="1:1">
      <c r="A474" s="132"/>
    </row>
    <row r="475" spans="1:1">
      <c r="A475" s="132"/>
    </row>
    <row r="476" spans="1:1">
      <c r="A476" s="132"/>
    </row>
    <row r="477" spans="1:1">
      <c r="A477" s="132"/>
    </row>
    <row r="478" spans="1:1">
      <c r="A478" s="132"/>
    </row>
    <row r="479" spans="1:1">
      <c r="A479" s="132"/>
    </row>
    <row r="480" spans="1:1">
      <c r="A480" s="132"/>
    </row>
    <row r="481" spans="1:1">
      <c r="A481" s="132"/>
    </row>
    <row r="482" spans="1:1">
      <c r="A482" s="132"/>
    </row>
    <row r="483" spans="1:1">
      <c r="A483" s="132"/>
    </row>
    <row r="484" spans="1:1">
      <c r="A484" s="132"/>
    </row>
    <row r="485" spans="1:1">
      <c r="A485" s="132"/>
    </row>
    <row r="486" spans="1:1">
      <c r="A486" s="132"/>
    </row>
    <row r="487" spans="1:1">
      <c r="A487" s="132"/>
    </row>
    <row r="488" spans="1:1">
      <c r="A488" s="132"/>
    </row>
    <row r="489" spans="1:1">
      <c r="A489" s="132"/>
    </row>
    <row r="490" spans="1:1">
      <c r="A490" s="132"/>
    </row>
    <row r="491" spans="1:1">
      <c r="A491" s="132"/>
    </row>
    <row r="492" spans="1:1">
      <c r="A492" s="132"/>
    </row>
    <row r="493" spans="1:1">
      <c r="A493" s="132"/>
    </row>
    <row r="494" spans="1:1">
      <c r="A494" s="132"/>
    </row>
    <row r="495" spans="1:1">
      <c r="A495" s="132"/>
    </row>
    <row r="496" spans="1:1">
      <c r="A496" s="132"/>
    </row>
    <row r="497" spans="1:1">
      <c r="A497" s="132"/>
    </row>
    <row r="498" spans="1:1">
      <c r="A498" s="132"/>
    </row>
    <row r="499" spans="1:1">
      <c r="A499" s="132"/>
    </row>
    <row r="500" spans="1:1">
      <c r="A500" s="132"/>
    </row>
    <row r="501" spans="1:1">
      <c r="A501" s="132"/>
    </row>
    <row r="502" spans="1:1">
      <c r="A502" s="132"/>
    </row>
    <row r="503" spans="1:1">
      <c r="A503" s="132"/>
    </row>
    <row r="504" spans="1:1">
      <c r="A504" s="132"/>
    </row>
    <row r="505" spans="1:1">
      <c r="A505" s="132"/>
    </row>
    <row r="506" spans="1:1">
      <c r="A506" s="132"/>
    </row>
    <row r="507" spans="1:1">
      <c r="A507" s="132"/>
    </row>
    <row r="508" spans="1:1">
      <c r="A508" s="132"/>
    </row>
    <row r="509" spans="1:1">
      <c r="A509" s="132"/>
    </row>
    <row r="510" spans="1:1">
      <c r="A510" s="132"/>
    </row>
    <row r="511" spans="1:1">
      <c r="A511" s="132"/>
    </row>
    <row r="512" spans="1:1">
      <c r="A512" s="132"/>
    </row>
    <row r="513" spans="1:1">
      <c r="A513" s="132"/>
    </row>
    <row r="514" spans="1:1">
      <c r="A514" s="132"/>
    </row>
    <row r="515" spans="1:1">
      <c r="A515" s="132"/>
    </row>
    <row r="516" spans="1:1">
      <c r="A516" s="132"/>
    </row>
    <row r="517" spans="1:1">
      <c r="A517" s="132"/>
    </row>
    <row r="518" spans="1:1">
      <c r="A518" s="132"/>
    </row>
    <row r="519" spans="1:1">
      <c r="A519" s="132"/>
    </row>
    <row r="520" spans="1:1">
      <c r="A520" s="132"/>
    </row>
    <row r="521" spans="1:1">
      <c r="A521" s="132"/>
    </row>
    <row r="522" spans="1:1">
      <c r="A522" s="132"/>
    </row>
    <row r="523" spans="1:1">
      <c r="A523" s="132"/>
    </row>
    <row r="524" spans="1:1">
      <c r="A524" s="132"/>
    </row>
    <row r="525" spans="1:1">
      <c r="A525" s="132"/>
    </row>
    <row r="526" spans="1:1">
      <c r="A526" s="132"/>
    </row>
    <row r="527" spans="1:1">
      <c r="A527" s="132"/>
    </row>
    <row r="528" spans="1:1">
      <c r="A528" s="132"/>
    </row>
    <row r="529" spans="1:1">
      <c r="A529" s="132"/>
    </row>
    <row r="530" spans="1:1">
      <c r="A530" s="132"/>
    </row>
    <row r="531" spans="1:1">
      <c r="A531" s="132"/>
    </row>
    <row r="532" spans="1:1">
      <c r="A532" s="132"/>
    </row>
    <row r="533" spans="1:1">
      <c r="A533" s="132"/>
    </row>
    <row r="534" spans="1:1">
      <c r="A534" s="132"/>
    </row>
    <row r="535" spans="1:1">
      <c r="A535" s="132"/>
    </row>
    <row r="536" spans="1:1">
      <c r="A536" s="132"/>
    </row>
    <row r="537" spans="1:1">
      <c r="A537" s="132"/>
    </row>
    <row r="538" spans="1:1">
      <c r="A538" s="132"/>
    </row>
    <row r="539" spans="1:1">
      <c r="A539" s="132"/>
    </row>
    <row r="540" spans="1:1">
      <c r="A540" s="132"/>
    </row>
    <row r="541" spans="1:1">
      <c r="A541" s="132"/>
    </row>
    <row r="542" spans="1:1">
      <c r="A542" s="132"/>
    </row>
    <row r="543" spans="1:1">
      <c r="A543" s="132"/>
    </row>
    <row r="544" spans="1:1">
      <c r="A544" s="132"/>
    </row>
    <row r="545" spans="1:1">
      <c r="A545" s="132"/>
    </row>
    <row r="546" spans="1:1">
      <c r="A546" s="132"/>
    </row>
    <row r="547" spans="1:1">
      <c r="A547" s="132"/>
    </row>
    <row r="548" spans="1:1">
      <c r="A548" s="132"/>
    </row>
    <row r="549" spans="1:1">
      <c r="A549" s="132"/>
    </row>
    <row r="550" spans="1:1">
      <c r="A550" s="132"/>
    </row>
    <row r="551" spans="1:1">
      <c r="A551" s="132"/>
    </row>
    <row r="552" spans="1:1">
      <c r="A552" s="132"/>
    </row>
    <row r="553" spans="1:1">
      <c r="A553" s="132"/>
    </row>
    <row r="554" spans="1:1">
      <c r="A554" s="132"/>
    </row>
    <row r="555" spans="1:1">
      <c r="A555" s="132"/>
    </row>
    <row r="556" spans="1:1">
      <c r="A556" s="132"/>
    </row>
    <row r="557" spans="1:1">
      <c r="A557" s="132"/>
    </row>
    <row r="558" spans="1:1">
      <c r="A558" s="132"/>
    </row>
    <row r="559" spans="1:1">
      <c r="A559" s="132"/>
    </row>
    <row r="560" spans="1:1">
      <c r="A560" s="132"/>
    </row>
    <row r="561" spans="1:1">
      <c r="A561" s="132"/>
    </row>
    <row r="562" spans="1:1">
      <c r="A562" s="132"/>
    </row>
    <row r="563" spans="1:1">
      <c r="A563" s="132"/>
    </row>
    <row r="564" spans="1:1">
      <c r="A564" s="132"/>
    </row>
    <row r="565" spans="1:1">
      <c r="A565" s="132"/>
    </row>
    <row r="566" spans="1:1">
      <c r="A566" s="132"/>
    </row>
    <row r="567" spans="1:1">
      <c r="A567" s="132"/>
    </row>
    <row r="568" spans="1:1">
      <c r="A568" s="132"/>
    </row>
    <row r="569" spans="1:1">
      <c r="A569" s="132"/>
    </row>
    <row r="570" spans="1:1">
      <c r="A570" s="132"/>
    </row>
    <row r="571" spans="1:1">
      <c r="A571" s="132"/>
    </row>
    <row r="572" spans="1:1">
      <c r="A572" s="132"/>
    </row>
    <row r="573" spans="1:1">
      <c r="A573" s="132"/>
    </row>
    <row r="574" spans="1:1">
      <c r="A574" s="132"/>
    </row>
    <row r="575" spans="1:1">
      <c r="A575" s="132"/>
    </row>
    <row r="576" spans="1:1">
      <c r="A576" s="132"/>
    </row>
    <row r="577" spans="1:1">
      <c r="A577" s="132"/>
    </row>
    <row r="578" spans="1:1">
      <c r="A578" s="132"/>
    </row>
    <row r="579" spans="1:1">
      <c r="A579" s="132"/>
    </row>
    <row r="580" spans="1:1">
      <c r="A580" s="132"/>
    </row>
    <row r="581" spans="1:1">
      <c r="A581" s="132"/>
    </row>
    <row r="582" spans="1:1">
      <c r="A582" s="132"/>
    </row>
    <row r="583" spans="1:1">
      <c r="A583" s="132"/>
    </row>
    <row r="584" spans="1:1">
      <c r="A584" s="132"/>
    </row>
    <row r="585" spans="1:1">
      <c r="A585" s="132"/>
    </row>
    <row r="586" spans="1:1">
      <c r="A586" s="132"/>
    </row>
    <row r="587" spans="1:1">
      <c r="A587" s="132"/>
    </row>
    <row r="588" spans="1:1">
      <c r="A588" s="132"/>
    </row>
    <row r="589" spans="1:1">
      <c r="A589" s="132"/>
    </row>
    <row r="590" spans="1:1">
      <c r="A590" s="132"/>
    </row>
    <row r="591" spans="1:1">
      <c r="A591" s="132"/>
    </row>
    <row r="592" spans="1:1">
      <c r="A592" s="132"/>
    </row>
    <row r="593" spans="1:1">
      <c r="A593" s="132"/>
    </row>
    <row r="594" spans="1:1">
      <c r="A594" s="132"/>
    </row>
    <row r="595" spans="1:1">
      <c r="A595" s="132"/>
    </row>
    <row r="596" spans="1:1">
      <c r="A596" s="132"/>
    </row>
    <row r="597" spans="1:1">
      <c r="A597" s="132"/>
    </row>
    <row r="598" spans="1:1">
      <c r="A598" s="132"/>
    </row>
    <row r="599" spans="1:1">
      <c r="A599" s="132"/>
    </row>
    <row r="600" spans="1:1">
      <c r="A600" s="132"/>
    </row>
    <row r="601" spans="1:1">
      <c r="A601" s="132"/>
    </row>
    <row r="602" spans="1:1">
      <c r="A602" s="132"/>
    </row>
    <row r="603" spans="1:1">
      <c r="A603" s="132"/>
    </row>
    <row r="604" spans="1:1">
      <c r="A604" s="132"/>
    </row>
    <row r="605" spans="1:1">
      <c r="A605" s="132"/>
    </row>
    <row r="606" spans="1:1">
      <c r="A606" s="132"/>
    </row>
    <row r="607" spans="1:1">
      <c r="A607" s="132"/>
    </row>
    <row r="608" spans="1:1">
      <c r="A608" s="132"/>
    </row>
    <row r="609" spans="1:1">
      <c r="A609" s="132"/>
    </row>
    <row r="610" spans="1:1">
      <c r="A610" s="132"/>
    </row>
    <row r="611" spans="1:1">
      <c r="A611" s="132"/>
    </row>
    <row r="612" spans="1:1">
      <c r="A612" s="132"/>
    </row>
    <row r="613" spans="1:1">
      <c r="A613" s="132"/>
    </row>
    <row r="614" spans="1:1">
      <c r="A614" s="132"/>
    </row>
    <row r="615" spans="1:1">
      <c r="A615" s="132"/>
    </row>
    <row r="616" spans="1:1">
      <c r="A616" s="132"/>
    </row>
    <row r="617" spans="1:1">
      <c r="A617" s="132"/>
    </row>
    <row r="618" spans="1:1">
      <c r="A618" s="132"/>
    </row>
    <row r="619" spans="1:1">
      <c r="A619" s="132"/>
    </row>
    <row r="620" spans="1:1">
      <c r="A620" s="132"/>
    </row>
    <row r="621" spans="1:1">
      <c r="A621" s="132"/>
    </row>
    <row r="622" spans="1:1">
      <c r="A622" s="132"/>
    </row>
    <row r="623" spans="1:1">
      <c r="A623" s="132"/>
    </row>
    <row r="624" spans="1:1">
      <c r="A624" s="132"/>
    </row>
    <row r="625" spans="1:1">
      <c r="A625" s="132"/>
    </row>
    <row r="626" spans="1:1">
      <c r="A626" s="132"/>
    </row>
    <row r="627" spans="1:1">
      <c r="A627" s="132"/>
    </row>
    <row r="628" spans="1:1">
      <c r="A628" s="132"/>
    </row>
    <row r="629" spans="1:1">
      <c r="A629" s="132"/>
    </row>
    <row r="630" spans="1:1">
      <c r="A630" s="132"/>
    </row>
    <row r="631" spans="1:1">
      <c r="A631" s="132"/>
    </row>
    <row r="632" spans="1:1">
      <c r="A632" s="132"/>
    </row>
    <row r="633" spans="1:1">
      <c r="A633" s="132"/>
    </row>
    <row r="634" spans="1:1">
      <c r="A634" s="132"/>
    </row>
    <row r="635" spans="1:1">
      <c r="A635" s="132"/>
    </row>
    <row r="636" spans="1:1">
      <c r="A636" s="132"/>
    </row>
    <row r="637" spans="1:1">
      <c r="A637" s="132"/>
    </row>
    <row r="638" spans="1:1">
      <c r="A638" s="132"/>
    </row>
    <row r="639" spans="1:1">
      <c r="A639" s="132"/>
    </row>
    <row r="640" spans="1:1">
      <c r="A640" s="132"/>
    </row>
    <row r="641" spans="1:1">
      <c r="A641" s="132"/>
    </row>
    <row r="642" spans="1:1">
      <c r="A642" s="132"/>
    </row>
    <row r="643" spans="1:1">
      <c r="A643" s="132"/>
    </row>
    <row r="644" spans="1:1">
      <c r="A644" s="132"/>
    </row>
    <row r="645" spans="1:1">
      <c r="A645" s="132"/>
    </row>
    <row r="646" spans="1:1">
      <c r="A646" s="132"/>
    </row>
    <row r="647" spans="1:1">
      <c r="A647" s="132"/>
    </row>
    <row r="648" spans="1:1">
      <c r="A648" s="132"/>
    </row>
    <row r="649" spans="1:1">
      <c r="A649" s="132"/>
    </row>
    <row r="650" spans="1:1">
      <c r="A650" s="132"/>
    </row>
    <row r="651" spans="1:1">
      <c r="A651" s="132"/>
    </row>
    <row r="652" spans="1:1">
      <c r="A652" s="132"/>
    </row>
    <row r="653" spans="1:1">
      <c r="A653" s="132"/>
    </row>
    <row r="654" spans="1:1">
      <c r="A654" s="132"/>
    </row>
    <row r="655" spans="1:1">
      <c r="A655" s="132"/>
    </row>
    <row r="656" spans="1:1">
      <c r="A656" s="132"/>
    </row>
    <row r="657" spans="1:1">
      <c r="A657" s="132"/>
    </row>
    <row r="658" spans="1:1">
      <c r="A658" s="132"/>
    </row>
    <row r="659" spans="1:1">
      <c r="A659" s="132"/>
    </row>
    <row r="660" spans="1:1">
      <c r="A660" s="132"/>
    </row>
    <row r="661" spans="1:1">
      <c r="A661" s="132"/>
    </row>
    <row r="662" spans="1:1">
      <c r="A662" s="132"/>
    </row>
    <row r="663" spans="1:1">
      <c r="A663" s="132"/>
    </row>
    <row r="664" spans="1:1">
      <c r="A664" s="132"/>
    </row>
    <row r="665" spans="1:1">
      <c r="A665" s="132"/>
    </row>
    <row r="666" spans="1:1">
      <c r="A666" s="132"/>
    </row>
    <row r="667" spans="1:1">
      <c r="A667" s="132"/>
    </row>
    <row r="668" spans="1:1">
      <c r="A668" s="132"/>
    </row>
    <row r="669" spans="1:1">
      <c r="A669" s="132"/>
    </row>
    <row r="670" spans="1:1">
      <c r="A670" s="132"/>
    </row>
    <row r="671" spans="1:1">
      <c r="A671" s="132"/>
    </row>
    <row r="672" spans="1:1">
      <c r="A672" s="132"/>
    </row>
    <row r="673" spans="1:1">
      <c r="A673" s="132"/>
    </row>
    <row r="674" spans="1:1">
      <c r="A674" s="132"/>
    </row>
    <row r="675" spans="1:1">
      <c r="A675" s="132"/>
    </row>
    <row r="676" spans="1:1">
      <c r="A676" s="132"/>
    </row>
    <row r="677" spans="1:1">
      <c r="A677" s="132"/>
    </row>
    <row r="678" spans="1:1">
      <c r="A678" s="132"/>
    </row>
    <row r="679" spans="1:1">
      <c r="A679" s="132"/>
    </row>
    <row r="680" spans="1:1">
      <c r="A680" s="132"/>
    </row>
    <row r="681" spans="1:1">
      <c r="A681" s="132"/>
    </row>
    <row r="682" spans="1:1">
      <c r="A682" s="132"/>
    </row>
    <row r="683" spans="1:1">
      <c r="A683" s="132"/>
    </row>
    <row r="684" spans="1:1">
      <c r="A684" s="132"/>
    </row>
    <row r="685" spans="1:1">
      <c r="A685" s="132"/>
    </row>
    <row r="686" spans="1:1">
      <c r="A686" s="132"/>
    </row>
    <row r="687" spans="1:1">
      <c r="A687" s="132"/>
    </row>
    <row r="688" spans="1:1">
      <c r="A688" s="132"/>
    </row>
    <row r="689" spans="1:1">
      <c r="A689" s="132"/>
    </row>
    <row r="690" spans="1:1">
      <c r="A690" s="132"/>
    </row>
    <row r="691" spans="1:1">
      <c r="A691" s="132"/>
    </row>
    <row r="692" spans="1:1">
      <c r="A692" s="132"/>
    </row>
    <row r="693" spans="1:1">
      <c r="A693" s="132"/>
    </row>
    <row r="694" spans="1:1">
      <c r="A694" s="132"/>
    </row>
    <row r="695" spans="1:1">
      <c r="A695" s="132"/>
    </row>
    <row r="696" spans="1:1">
      <c r="A696" s="132"/>
    </row>
    <row r="697" spans="1:1">
      <c r="A697" s="132"/>
    </row>
    <row r="698" spans="1:1">
      <c r="A698" s="132"/>
    </row>
    <row r="699" spans="1:1">
      <c r="A699" s="132"/>
    </row>
    <row r="700" spans="1:1">
      <c r="A700" s="132"/>
    </row>
    <row r="701" spans="1:1">
      <c r="A701" s="132"/>
    </row>
    <row r="702" spans="1:1">
      <c r="A702" s="132"/>
    </row>
    <row r="703" spans="1:1">
      <c r="A703" s="132"/>
    </row>
    <row r="704" spans="1:1">
      <c r="A704" s="132"/>
    </row>
    <row r="705" spans="1:1">
      <c r="A705" s="132"/>
    </row>
    <row r="706" spans="1:1">
      <c r="A706" s="132"/>
    </row>
    <row r="707" spans="1:1">
      <c r="A707" s="132"/>
    </row>
    <row r="708" spans="1:1">
      <c r="A708" s="132"/>
    </row>
    <row r="709" spans="1:1">
      <c r="A709" s="132"/>
    </row>
    <row r="710" spans="1:1">
      <c r="A710" s="132"/>
    </row>
    <row r="711" spans="1:1">
      <c r="A711" s="132"/>
    </row>
    <row r="712" spans="1:1">
      <c r="A712" s="132"/>
    </row>
    <row r="713" spans="1:1">
      <c r="A713" s="132"/>
    </row>
    <row r="714" spans="1:1">
      <c r="A714" s="132"/>
    </row>
    <row r="715" spans="1:1">
      <c r="A715" s="132"/>
    </row>
    <row r="716" spans="1:1">
      <c r="A716" s="132"/>
    </row>
    <row r="717" spans="1:1">
      <c r="A717" s="132"/>
    </row>
    <row r="718" spans="1:1">
      <c r="A718" s="132"/>
    </row>
    <row r="719" spans="1:1">
      <c r="A719" s="132"/>
    </row>
    <row r="720" spans="1:1">
      <c r="A720" s="132"/>
    </row>
    <row r="721" spans="1:1">
      <c r="A721" s="132"/>
    </row>
    <row r="722" spans="1:1">
      <c r="A722" s="132"/>
    </row>
    <row r="723" spans="1:1">
      <c r="A723" s="132"/>
    </row>
    <row r="724" spans="1:1">
      <c r="A724" s="132"/>
    </row>
    <row r="725" spans="1:1">
      <c r="A725" s="132"/>
    </row>
    <row r="726" spans="1:1">
      <c r="A726" s="132"/>
    </row>
    <row r="727" spans="1:1">
      <c r="A727" s="132"/>
    </row>
    <row r="728" spans="1:1">
      <c r="A728" s="132"/>
    </row>
    <row r="729" spans="1:1">
      <c r="A729" s="132"/>
    </row>
    <row r="730" spans="1:1">
      <c r="A730" s="132"/>
    </row>
    <row r="731" spans="1:1">
      <c r="A731" s="132"/>
    </row>
    <row r="732" spans="1:1">
      <c r="A732" s="132"/>
    </row>
    <row r="733" spans="1:1">
      <c r="A733" s="132"/>
    </row>
    <row r="734" spans="1:1">
      <c r="A734" s="132"/>
    </row>
    <row r="735" spans="1:1">
      <c r="A735" s="132"/>
    </row>
    <row r="736" spans="1:1">
      <c r="A736" s="132"/>
    </row>
    <row r="737" spans="1:1">
      <c r="A737" s="132"/>
    </row>
    <row r="738" spans="1:1">
      <c r="A738" s="132"/>
    </row>
    <row r="739" spans="1:1">
      <c r="A739" s="132"/>
    </row>
    <row r="740" spans="1:1">
      <c r="A740" s="132"/>
    </row>
    <row r="741" spans="1:1">
      <c r="A741" s="132"/>
    </row>
    <row r="742" spans="1:1">
      <c r="A742" s="132"/>
    </row>
    <row r="743" spans="1:1">
      <c r="A743" s="132"/>
    </row>
    <row r="744" spans="1:1">
      <c r="A744" s="132"/>
    </row>
    <row r="745" spans="1:1">
      <c r="A745" s="132"/>
    </row>
    <row r="746" spans="1:1">
      <c r="A746" s="132"/>
    </row>
    <row r="747" spans="1:1">
      <c r="A747" s="132"/>
    </row>
    <row r="748" spans="1:1">
      <c r="A748" s="132"/>
    </row>
    <row r="749" spans="1:1">
      <c r="A749" s="132"/>
    </row>
    <row r="750" spans="1:1">
      <c r="A750" s="132"/>
    </row>
    <row r="751" spans="1:1">
      <c r="A751" s="132"/>
    </row>
    <row r="752" spans="1:1">
      <c r="A752" s="132"/>
    </row>
    <row r="753" spans="1:1">
      <c r="A753" s="132"/>
    </row>
    <row r="754" spans="1:1">
      <c r="A754" s="132"/>
    </row>
    <row r="755" spans="1:1">
      <c r="A755" s="132"/>
    </row>
    <row r="756" spans="1:1">
      <c r="A756" s="132"/>
    </row>
    <row r="757" spans="1:1">
      <c r="A757" s="132"/>
    </row>
    <row r="758" spans="1:1">
      <c r="A758" s="132"/>
    </row>
    <row r="759" spans="1:1">
      <c r="A759" s="132"/>
    </row>
    <row r="760" spans="1:1">
      <c r="A760" s="132"/>
    </row>
    <row r="761" spans="1:1">
      <c r="A761" s="132"/>
    </row>
    <row r="762" spans="1:1">
      <c r="A762" s="132"/>
    </row>
    <row r="763" spans="1:1">
      <c r="A763" s="132"/>
    </row>
    <row r="764" spans="1:1">
      <c r="A764" s="132"/>
    </row>
    <row r="765" spans="1:1">
      <c r="A765" s="132"/>
    </row>
    <row r="766" spans="1:1">
      <c r="A766" s="132"/>
    </row>
    <row r="767" spans="1:1">
      <c r="A767" s="132"/>
    </row>
    <row r="768" spans="1:1">
      <c r="A768" s="132"/>
    </row>
    <row r="769" spans="1:1">
      <c r="A769" s="132"/>
    </row>
    <row r="770" spans="1:1">
      <c r="A770" s="132"/>
    </row>
    <row r="771" spans="1:1">
      <c r="A771" s="132"/>
    </row>
    <row r="772" spans="1:1">
      <c r="A772" s="132"/>
    </row>
    <row r="773" spans="1:1">
      <c r="A773" s="132"/>
    </row>
    <row r="774" spans="1:1">
      <c r="A774" s="132"/>
    </row>
    <row r="775" spans="1:1">
      <c r="A775" s="132"/>
    </row>
    <row r="776" spans="1:1">
      <c r="A776" s="132"/>
    </row>
    <row r="777" spans="1:1">
      <c r="A777" s="132"/>
    </row>
    <row r="778" spans="1:1">
      <c r="A778" s="132"/>
    </row>
    <row r="779" spans="1:1">
      <c r="A779" s="132"/>
    </row>
    <row r="780" spans="1:1">
      <c r="A780" s="132"/>
    </row>
    <row r="781" spans="1:1">
      <c r="A781" s="132"/>
    </row>
    <row r="782" spans="1:1">
      <c r="A782" s="132"/>
    </row>
    <row r="783" spans="1:1">
      <c r="A783" s="132"/>
    </row>
    <row r="784" spans="1:1">
      <c r="A784" s="132"/>
    </row>
    <row r="785" spans="1:1">
      <c r="A785" s="132"/>
    </row>
    <row r="786" spans="1:1">
      <c r="A786" s="132"/>
    </row>
    <row r="787" spans="1:1">
      <c r="A787" s="132"/>
    </row>
    <row r="788" spans="1:1">
      <c r="A788" s="132"/>
    </row>
    <row r="789" spans="1:1">
      <c r="A789" s="132"/>
    </row>
    <row r="790" spans="1:1">
      <c r="A790" s="132"/>
    </row>
    <row r="791" spans="1:1">
      <c r="A791" s="132"/>
    </row>
    <row r="792" spans="1:1">
      <c r="A792" s="132"/>
    </row>
    <row r="793" spans="1:1">
      <c r="A793" s="132"/>
    </row>
    <row r="794" spans="1:1">
      <c r="A794" s="132"/>
    </row>
    <row r="795" spans="1:1">
      <c r="A795" s="132"/>
    </row>
    <row r="796" spans="1:1">
      <c r="A796" s="132"/>
    </row>
    <row r="797" spans="1:1">
      <c r="A797" s="132"/>
    </row>
    <row r="798" spans="1:1">
      <c r="A798" s="132"/>
    </row>
    <row r="799" spans="1:1">
      <c r="A799" s="132"/>
    </row>
    <row r="800" spans="1:1">
      <c r="A800" s="132"/>
    </row>
    <row r="801" spans="1:1">
      <c r="A801" s="132"/>
    </row>
    <row r="802" spans="1:1">
      <c r="A802" s="132"/>
    </row>
    <row r="803" spans="1:1">
      <c r="A803" s="132"/>
    </row>
    <row r="804" spans="1:1">
      <c r="A804" s="132"/>
    </row>
    <row r="805" spans="1:1">
      <c r="A805" s="132"/>
    </row>
    <row r="806" spans="1:1">
      <c r="A806" s="132"/>
    </row>
    <row r="807" spans="1:1">
      <c r="A807" s="132"/>
    </row>
    <row r="808" spans="1:1">
      <c r="A808" s="132"/>
    </row>
    <row r="809" spans="1:1">
      <c r="A809" s="132"/>
    </row>
    <row r="810" spans="1:1">
      <c r="A810" s="132"/>
    </row>
    <row r="811" spans="1:1">
      <c r="A811" s="132"/>
    </row>
    <row r="812" spans="1:1">
      <c r="A812" s="132"/>
    </row>
    <row r="813" spans="1:1">
      <c r="A813" s="132"/>
    </row>
    <row r="814" spans="1:1">
      <c r="A814" s="132"/>
    </row>
    <row r="815" spans="1:1">
      <c r="A815" s="132"/>
    </row>
    <row r="816" spans="1:1">
      <c r="A816" s="132"/>
    </row>
    <row r="817" spans="1:1">
      <c r="A817" s="132"/>
    </row>
    <row r="818" spans="1:1">
      <c r="A818" s="132"/>
    </row>
    <row r="819" spans="1:1">
      <c r="A819" s="132"/>
    </row>
    <row r="820" spans="1:1">
      <c r="A820" s="132"/>
    </row>
    <row r="821" spans="1:1">
      <c r="A821" s="132"/>
    </row>
    <row r="822" spans="1:1">
      <c r="A822" s="132"/>
    </row>
    <row r="823" spans="1:1">
      <c r="A823" s="132"/>
    </row>
    <row r="824" spans="1:1">
      <c r="A824" s="132"/>
    </row>
    <row r="825" spans="1:1">
      <c r="A825" s="132"/>
    </row>
    <row r="826" spans="1:1">
      <c r="A826" s="132"/>
    </row>
    <row r="827" spans="1:1">
      <c r="A827" s="132"/>
    </row>
    <row r="828" spans="1:1">
      <c r="A828" s="132"/>
    </row>
    <row r="829" spans="1:1">
      <c r="A829" s="132"/>
    </row>
    <row r="830" spans="1:1">
      <c r="A830" s="132"/>
    </row>
    <row r="831" spans="1:1">
      <c r="A831" s="132"/>
    </row>
    <row r="832" spans="1:1">
      <c r="A832" s="132"/>
    </row>
    <row r="833" spans="1:1">
      <c r="A833" s="132"/>
    </row>
    <row r="834" spans="1:1">
      <c r="A834" s="132"/>
    </row>
    <row r="835" spans="1:1">
      <c r="A835" s="132"/>
    </row>
    <row r="836" spans="1:1">
      <c r="A836" s="132"/>
    </row>
    <row r="837" spans="1:1">
      <c r="A837" s="132"/>
    </row>
    <row r="838" spans="1:1">
      <c r="A838" s="132"/>
    </row>
    <row r="839" spans="1:1">
      <c r="A839" s="132"/>
    </row>
    <row r="840" spans="1:1">
      <c r="A840" s="132"/>
    </row>
    <row r="841" spans="1:1">
      <c r="A841" s="132"/>
    </row>
    <row r="842" spans="1:1">
      <c r="A842" s="132"/>
    </row>
    <row r="843" spans="1:1">
      <c r="A843" s="132"/>
    </row>
    <row r="844" spans="1:1">
      <c r="A844" s="132"/>
    </row>
    <row r="845" spans="1:1">
      <c r="A845" s="132"/>
    </row>
    <row r="846" spans="1:1">
      <c r="A846" s="132"/>
    </row>
    <row r="847" spans="1:1">
      <c r="A847" s="132"/>
    </row>
    <row r="848" spans="1:1">
      <c r="A848" s="132"/>
    </row>
    <row r="849" spans="1:1">
      <c r="A849" s="132"/>
    </row>
    <row r="850" spans="1:1">
      <c r="A850" s="132"/>
    </row>
    <row r="851" spans="1:1">
      <c r="A851" s="132"/>
    </row>
    <row r="852" spans="1:1">
      <c r="A852" s="132"/>
    </row>
    <row r="853" spans="1:1">
      <c r="A853" s="132"/>
    </row>
    <row r="854" spans="1:1">
      <c r="A854" s="132"/>
    </row>
    <row r="855" spans="1:1">
      <c r="A855" s="132"/>
    </row>
    <row r="856" spans="1:1">
      <c r="A856" s="132"/>
    </row>
    <row r="857" spans="1:1">
      <c r="A857" s="132"/>
    </row>
    <row r="858" spans="1:1">
      <c r="A858" s="132"/>
    </row>
    <row r="859" spans="1:1">
      <c r="A859" s="132"/>
    </row>
    <row r="860" spans="1:1">
      <c r="A860" s="132"/>
    </row>
    <row r="861" spans="1:1">
      <c r="A861" s="132"/>
    </row>
    <row r="862" spans="1:1">
      <c r="A862" s="132"/>
    </row>
    <row r="863" spans="1:1">
      <c r="A863" s="132"/>
    </row>
    <row r="864" spans="1:1">
      <c r="A864" s="132"/>
    </row>
    <row r="865" spans="1:1">
      <c r="A865" s="132"/>
    </row>
    <row r="866" spans="1:1">
      <c r="A866" s="132"/>
    </row>
    <row r="867" spans="1:1">
      <c r="A867" s="132"/>
    </row>
    <row r="868" spans="1:1">
      <c r="A868" s="132"/>
    </row>
    <row r="869" spans="1:1">
      <c r="A869" s="132"/>
    </row>
    <row r="870" spans="1:1">
      <c r="A870" s="132"/>
    </row>
    <row r="871" spans="1:1">
      <c r="A871" s="132"/>
    </row>
    <row r="872" spans="1:1">
      <c r="A872" s="132"/>
    </row>
    <row r="873" spans="1:1">
      <c r="A873" s="132"/>
    </row>
    <row r="874" spans="1:1">
      <c r="A874" s="132"/>
    </row>
    <row r="875" spans="1:1">
      <c r="A875" s="132"/>
    </row>
    <row r="876" spans="1:1">
      <c r="A876" s="132"/>
    </row>
    <row r="877" spans="1:1">
      <c r="A877" s="132"/>
    </row>
    <row r="878" spans="1:1">
      <c r="A878" s="132"/>
    </row>
    <row r="879" spans="1:1">
      <c r="A879" s="132"/>
    </row>
    <row r="880" spans="1:1">
      <c r="A880" s="132"/>
    </row>
    <row r="881" spans="1:1">
      <c r="A881" s="132"/>
    </row>
    <row r="882" spans="1:1">
      <c r="A882" s="132"/>
    </row>
    <row r="883" spans="1:1">
      <c r="A883" s="132"/>
    </row>
    <row r="884" spans="1:1">
      <c r="A884" s="132"/>
    </row>
    <row r="885" spans="1:1">
      <c r="A885" s="132"/>
    </row>
    <row r="886" spans="1:1">
      <c r="A886" s="132"/>
    </row>
    <row r="887" spans="1:1">
      <c r="A887" s="132"/>
    </row>
    <row r="888" spans="1:1">
      <c r="A888" s="132"/>
    </row>
    <row r="889" spans="1:1">
      <c r="A889" s="132"/>
    </row>
    <row r="890" spans="1:1">
      <c r="A890" s="132"/>
    </row>
    <row r="891" spans="1:1">
      <c r="A891" s="132"/>
    </row>
    <row r="892" spans="1:1">
      <c r="A892" s="132"/>
    </row>
    <row r="893" spans="1:1">
      <c r="A893" s="132"/>
    </row>
    <row r="894" spans="1:1">
      <c r="A894" s="132"/>
    </row>
    <row r="895" spans="1:1">
      <c r="A895" s="132"/>
    </row>
    <row r="896" spans="1:1">
      <c r="A896" s="132"/>
    </row>
    <row r="897" spans="1:1">
      <c r="A897" s="132"/>
    </row>
    <row r="898" spans="1:1">
      <c r="A898" s="132"/>
    </row>
    <row r="899" spans="1:1">
      <c r="A899" s="132"/>
    </row>
    <row r="900" spans="1:1">
      <c r="A900" s="132"/>
    </row>
    <row r="901" spans="1:1">
      <c r="A901" s="132"/>
    </row>
    <row r="902" spans="1:1">
      <c r="A902" s="132"/>
    </row>
    <row r="903" spans="1:1">
      <c r="A903" s="132"/>
    </row>
    <row r="904" spans="1:1">
      <c r="A904" s="132"/>
    </row>
    <row r="905" spans="1:1">
      <c r="A905" s="132"/>
    </row>
    <row r="906" spans="1:1">
      <c r="A906" s="132"/>
    </row>
    <row r="907" spans="1:1">
      <c r="A907" s="132"/>
    </row>
    <row r="908" spans="1:1">
      <c r="A908" s="132"/>
    </row>
    <row r="909" spans="1:1">
      <c r="A909" s="132"/>
    </row>
    <row r="910" spans="1:1">
      <c r="A910" s="132"/>
    </row>
    <row r="911" spans="1:1">
      <c r="A911" s="132"/>
    </row>
    <row r="912" spans="1:1">
      <c r="A912" s="132"/>
    </row>
    <row r="913" spans="1:1">
      <c r="A913" s="132"/>
    </row>
    <row r="914" spans="1:1">
      <c r="A914" s="132"/>
    </row>
    <row r="915" spans="1:1">
      <c r="A915" s="132"/>
    </row>
    <row r="916" spans="1:1">
      <c r="A916" s="132"/>
    </row>
    <row r="917" spans="1:1">
      <c r="A917" s="132"/>
    </row>
    <row r="918" spans="1:1">
      <c r="A918" s="132"/>
    </row>
    <row r="919" spans="1:1">
      <c r="A919" s="132"/>
    </row>
    <row r="920" spans="1:1">
      <c r="A920" s="132"/>
    </row>
    <row r="921" spans="1:1">
      <c r="A921" s="132"/>
    </row>
    <row r="922" spans="1:1">
      <c r="A922" s="132"/>
    </row>
    <row r="923" spans="1:1">
      <c r="A923" s="132"/>
    </row>
    <row r="924" spans="1:1">
      <c r="A924" s="132"/>
    </row>
    <row r="925" spans="1:1">
      <c r="A925" s="132"/>
    </row>
    <row r="926" spans="1:1">
      <c r="A926" s="132"/>
    </row>
    <row r="927" spans="1:1">
      <c r="A927" s="132"/>
    </row>
    <row r="928" spans="1:1">
      <c r="A928" s="132"/>
    </row>
    <row r="929" spans="1:1">
      <c r="A929" s="132"/>
    </row>
    <row r="930" spans="1:1">
      <c r="A930" s="132"/>
    </row>
    <row r="931" spans="1:1">
      <c r="A931" s="132"/>
    </row>
    <row r="932" spans="1:1">
      <c r="A932" s="132"/>
    </row>
    <row r="933" spans="1:1">
      <c r="A933" s="132"/>
    </row>
    <row r="934" spans="1:1">
      <c r="A934" s="132"/>
    </row>
    <row r="935" spans="1:1">
      <c r="A935" s="132"/>
    </row>
    <row r="936" spans="1:1">
      <c r="A936" s="132"/>
    </row>
    <row r="937" spans="1:1">
      <c r="A937" s="132"/>
    </row>
    <row r="938" spans="1:1">
      <c r="A938" s="132"/>
    </row>
    <row r="939" spans="1:1">
      <c r="A939" s="132"/>
    </row>
    <row r="940" spans="1:1">
      <c r="A940" s="132"/>
    </row>
    <row r="941" spans="1:1">
      <c r="A941" s="132"/>
    </row>
    <row r="942" spans="1:1">
      <c r="A942" s="132"/>
    </row>
    <row r="943" spans="1:1">
      <c r="A943" s="132"/>
    </row>
    <row r="944" spans="1:1">
      <c r="A944" s="132"/>
    </row>
    <row r="945" spans="1:1">
      <c r="A945" s="132"/>
    </row>
    <row r="946" spans="1:1">
      <c r="A946" s="132"/>
    </row>
    <row r="947" spans="1:1">
      <c r="A947" s="132"/>
    </row>
    <row r="948" spans="1:1">
      <c r="A948" s="132"/>
    </row>
    <row r="949" spans="1:1">
      <c r="A949" s="132"/>
    </row>
    <row r="950" spans="1:1">
      <c r="A950" s="132"/>
    </row>
    <row r="951" spans="1:1">
      <c r="A951" s="132"/>
    </row>
    <row r="952" spans="1:1">
      <c r="A952" s="132"/>
    </row>
    <row r="953" spans="1:1">
      <c r="A953" s="132"/>
    </row>
    <row r="954" spans="1:1">
      <c r="A954" s="132"/>
    </row>
    <row r="955" spans="1:1">
      <c r="A955" s="132"/>
    </row>
    <row r="956" spans="1:1">
      <c r="A956" s="132"/>
    </row>
    <row r="957" spans="1:1">
      <c r="A957" s="132"/>
    </row>
    <row r="958" spans="1:1">
      <c r="A958" s="132"/>
    </row>
    <row r="959" spans="1:1">
      <c r="A959" s="132"/>
    </row>
    <row r="960" spans="1:1">
      <c r="A960" s="132"/>
    </row>
    <row r="961" spans="1:1">
      <c r="A961" s="132"/>
    </row>
    <row r="962" spans="1:1">
      <c r="A962" s="132"/>
    </row>
    <row r="963" spans="1:1">
      <c r="A963" s="132"/>
    </row>
    <row r="964" spans="1:1">
      <c r="A964" s="132"/>
    </row>
    <row r="965" spans="1:1">
      <c r="A965" s="132"/>
    </row>
    <row r="966" spans="1:1">
      <c r="A966" s="132"/>
    </row>
    <row r="967" spans="1:1">
      <c r="A967" s="132"/>
    </row>
    <row r="968" spans="1:1">
      <c r="A968" s="132"/>
    </row>
    <row r="969" spans="1:1">
      <c r="A969" s="132"/>
    </row>
    <row r="970" spans="1:1">
      <c r="A970" s="132"/>
    </row>
    <row r="971" spans="1:1">
      <c r="A971" s="132"/>
    </row>
    <row r="972" spans="1:1">
      <c r="A972" s="132"/>
    </row>
    <row r="973" spans="1:1">
      <c r="A973" s="132"/>
    </row>
    <row r="974" spans="1:1">
      <c r="A974" s="132"/>
    </row>
    <row r="975" spans="1:1">
      <c r="A975" s="132"/>
    </row>
    <row r="976" spans="1:1">
      <c r="A976" s="132"/>
    </row>
    <row r="977" spans="1:1">
      <c r="A977" s="132"/>
    </row>
    <row r="978" spans="1:1">
      <c r="A978" s="132"/>
    </row>
    <row r="979" spans="1:1">
      <c r="A979" s="132"/>
    </row>
    <row r="980" spans="1:1">
      <c r="A980" s="132"/>
    </row>
    <row r="981" spans="1:1">
      <c r="A981" s="132"/>
    </row>
    <row r="982" spans="1:1">
      <c r="A982" s="132"/>
    </row>
    <row r="983" spans="1:1">
      <c r="A983" s="132"/>
    </row>
    <row r="984" spans="1:1">
      <c r="A984" s="132"/>
    </row>
    <row r="985" spans="1:1">
      <c r="A985" s="132"/>
    </row>
    <row r="986" spans="1:1">
      <c r="A986" s="132"/>
    </row>
    <row r="987" spans="1:1">
      <c r="A987" s="132"/>
    </row>
    <row r="988" spans="1:1">
      <c r="A988" s="132"/>
    </row>
    <row r="989" spans="1:1">
      <c r="A989" s="132"/>
    </row>
    <row r="990" spans="1:1">
      <c r="A990" s="132"/>
    </row>
    <row r="991" spans="1:1">
      <c r="A991" s="132"/>
    </row>
    <row r="992" spans="1:1">
      <c r="A992" s="132"/>
    </row>
    <row r="993" spans="1:1">
      <c r="A993" s="132"/>
    </row>
    <row r="994" spans="1:1">
      <c r="A994" s="132"/>
    </row>
    <row r="995" spans="1:1">
      <c r="A995" s="132"/>
    </row>
    <row r="996" spans="1:1">
      <c r="A996" s="132"/>
    </row>
    <row r="997" spans="1:1">
      <c r="A997" s="132"/>
    </row>
    <row r="998" spans="1:1">
      <c r="A998" s="132"/>
    </row>
    <row r="999" spans="1:1">
      <c r="A999" s="132"/>
    </row>
  </sheetData>
  <phoneticPr fontId="41" type="noConversion"/>
  <pageMargins left="0.5" right="0" top="0.75" bottom="0.75" header="0" footer="0.5"/>
  <pageSetup scale="84" fitToHeight="0" orientation="portrait" horizontalDpi="4294967292" verticalDpi="300" r:id="rId1"/>
  <headerFooter alignWithMargins="0">
    <oddFooter>&amp;L&amp;D  &amp;T&amp;CPage &amp;P&amp;R&amp;F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B1" workbookViewId="0">
      <selection activeCell="D23" sqref="D23"/>
    </sheetView>
  </sheetViews>
  <sheetFormatPr defaultRowHeight="13.2"/>
  <cols>
    <col min="1" max="1" width="18.5" style="176" customWidth="1"/>
    <col min="2" max="2" width="22" style="176" customWidth="1"/>
    <col min="3" max="3" width="51" style="176" customWidth="1"/>
    <col min="4" max="4" width="17.83203125" style="208" customWidth="1"/>
    <col min="5" max="5" width="19.5" style="209" customWidth="1"/>
    <col min="6" max="6" width="4.1640625" style="178" customWidth="1"/>
    <col min="7" max="16384" width="9.33203125" style="176"/>
  </cols>
  <sheetData>
    <row r="1" spans="1:5">
      <c r="A1" s="179" t="s">
        <v>298</v>
      </c>
      <c r="B1" s="178"/>
      <c r="C1" s="178"/>
      <c r="D1" s="202"/>
      <c r="E1" s="203"/>
    </row>
    <row r="2" spans="1:5">
      <c r="A2" s="177" t="s">
        <v>299</v>
      </c>
      <c r="B2" s="178"/>
      <c r="C2" s="178"/>
      <c r="D2" s="202"/>
      <c r="E2" s="203"/>
    </row>
    <row r="3" spans="1:5">
      <c r="A3" s="294" t="str">
        <f>twbs!B5</f>
        <v>August 31, 2001</v>
      </c>
      <c r="B3" s="178"/>
      <c r="C3" s="320">
        <f ca="1">NOW()</f>
        <v>37147.471379861112</v>
      </c>
      <c r="D3" s="202"/>
      <c r="E3" s="203"/>
    </row>
    <row r="4" spans="1:5">
      <c r="A4" s="178"/>
      <c r="B4" s="178"/>
      <c r="C4" s="178"/>
      <c r="D4" s="202"/>
      <c r="E4" s="203"/>
    </row>
    <row r="5" spans="1:5">
      <c r="A5" s="178"/>
      <c r="B5" s="178"/>
      <c r="C5" s="178"/>
      <c r="D5" s="204" t="s">
        <v>5</v>
      </c>
      <c r="E5" s="205" t="s">
        <v>300</v>
      </c>
    </row>
    <row r="6" spans="1:5">
      <c r="A6" s="178"/>
      <c r="B6" s="178"/>
      <c r="C6" s="178"/>
      <c r="D6" s="204"/>
      <c r="E6" s="205"/>
    </row>
    <row r="7" spans="1:5">
      <c r="A7" s="177" t="s">
        <v>308</v>
      </c>
      <c r="B7" s="178"/>
      <c r="C7" s="178"/>
      <c r="D7" s="202"/>
      <c r="E7" s="203"/>
    </row>
    <row r="8" spans="1:5">
      <c r="A8" s="178"/>
      <c r="C8" s="178"/>
      <c r="D8" s="206"/>
      <c r="E8" s="207"/>
    </row>
    <row r="9" spans="1:5">
      <c r="A9" s="178"/>
      <c r="B9" s="248" t="s">
        <v>418</v>
      </c>
      <c r="C9" s="178"/>
      <c r="D9" s="200">
        <f>_xll.HPVAL("060.inp","actual","tot_assets",$A$3,"ytd","gpg")</f>
        <v>901736336</v>
      </c>
      <c r="E9" s="181">
        <f t="shared" ref="E9:E17" si="0">-D9</f>
        <v>-901736336</v>
      </c>
    </row>
    <row r="10" spans="1:5">
      <c r="A10" s="178"/>
      <c r="B10" s="248" t="s">
        <v>386</v>
      </c>
      <c r="C10" s="180" t="s">
        <v>301</v>
      </c>
      <c r="D10" s="200">
        <f>-_xll.HPVAL("060.inp","actual",B10,$A$3,"ytd","gpg")</f>
        <v>182500</v>
      </c>
      <c r="E10" s="181">
        <f t="shared" si="0"/>
        <v>-182500</v>
      </c>
    </row>
    <row r="11" spans="1:5">
      <c r="A11" s="178"/>
      <c r="B11" s="248" t="s">
        <v>346</v>
      </c>
      <c r="C11" s="180" t="s">
        <v>301</v>
      </c>
      <c r="D11" s="200">
        <f>-_xll.HPVAL("060.inp","actual",B11,$A$3,"ytd","gpg")</f>
        <v>-4091666</v>
      </c>
      <c r="E11" s="181">
        <f t="shared" si="0"/>
        <v>4091666</v>
      </c>
    </row>
    <row r="12" spans="1:5">
      <c r="A12" s="178"/>
      <c r="B12" s="248" t="s">
        <v>324</v>
      </c>
      <c r="C12" s="180" t="s">
        <v>301</v>
      </c>
      <c r="D12" s="200">
        <f>-_xll.HPVAL("060.inp","actual",B12,$A$3,"ytd","gpg")</f>
        <v>172944475</v>
      </c>
      <c r="E12" s="181">
        <f t="shared" si="0"/>
        <v>-172944475</v>
      </c>
    </row>
    <row r="13" spans="1:5">
      <c r="A13" s="178"/>
      <c r="B13" s="248" t="s">
        <v>387</v>
      </c>
      <c r="C13" s="180" t="s">
        <v>301</v>
      </c>
      <c r="D13" s="200">
        <f>-_xll.HPVAL("060.inp","actual",B13,$A$3,"ytd","gpg")</f>
        <v>-55251817</v>
      </c>
      <c r="E13" s="181">
        <f t="shared" si="0"/>
        <v>55251817</v>
      </c>
    </row>
    <row r="14" spans="1:5">
      <c r="A14" s="178"/>
      <c r="B14" s="248" t="s">
        <v>372</v>
      </c>
      <c r="C14" s="183" t="s">
        <v>302</v>
      </c>
      <c r="D14" s="200">
        <f>-_xll.HPVAL("060.inp","actual",B14,$A$3,"ytd","gpg")</f>
        <v>5962094</v>
      </c>
      <c r="E14" s="181">
        <f t="shared" si="0"/>
        <v>-5962094</v>
      </c>
    </row>
    <row r="15" spans="1:5">
      <c r="A15" s="178"/>
      <c r="B15" s="249" t="s">
        <v>370</v>
      </c>
      <c r="C15" s="183" t="s">
        <v>302</v>
      </c>
      <c r="D15" s="200">
        <f>-_xll.HPVAL("060.inp","actual",B15,$A$3,"ytd","gpg")</f>
        <v>19067493</v>
      </c>
      <c r="E15" s="200">
        <f t="shared" si="0"/>
        <v>-19067493</v>
      </c>
    </row>
    <row r="16" spans="1:5">
      <c r="A16" s="178"/>
      <c r="B16" s="248" t="s">
        <v>375</v>
      </c>
      <c r="C16" s="180" t="s">
        <v>303</v>
      </c>
      <c r="D16" s="200">
        <f>-_xll.HPVAL("060.inp","actual",B16,$A$3,"ytd","gpg")</f>
        <v>1117285</v>
      </c>
      <c r="E16" s="200">
        <f t="shared" si="0"/>
        <v>-1117285</v>
      </c>
    </row>
    <row r="17" spans="1:5">
      <c r="A17" s="178"/>
      <c r="B17" s="249" t="s">
        <v>376</v>
      </c>
      <c r="C17" s="180" t="s">
        <v>303</v>
      </c>
      <c r="D17" s="271">
        <f>-_xll.HPVAL("060.inp","actual",B17,$A$3,"ytd","gpg")</f>
        <v>3752392</v>
      </c>
      <c r="E17" s="271">
        <f t="shared" si="0"/>
        <v>-3752392</v>
      </c>
    </row>
    <row r="18" spans="1:5">
      <c r="A18" s="178"/>
      <c r="B18" s="178"/>
      <c r="C18" s="178"/>
      <c r="D18" s="203">
        <f>SUM(D9:D17)</f>
        <v>1045419092</v>
      </c>
      <c r="E18" s="203">
        <f>SUM(E9:E17)</f>
        <v>-1045419092</v>
      </c>
    </row>
    <row r="19" spans="1:5">
      <c r="A19" s="178"/>
      <c r="B19" s="201" t="s">
        <v>388</v>
      </c>
      <c r="C19" s="178"/>
      <c r="D19" s="273">
        <v>1032960440</v>
      </c>
      <c r="E19" s="271">
        <f>-D19</f>
        <v>-1032960440</v>
      </c>
    </row>
    <row r="20" spans="1:5">
      <c r="A20" s="178"/>
      <c r="B20" s="178"/>
      <c r="C20" s="178"/>
      <c r="D20" s="202"/>
      <c r="E20" s="203"/>
    </row>
    <row r="21" spans="1:5" ht="13.5" customHeight="1" thickBot="1">
      <c r="A21" s="178"/>
      <c r="B21" s="184"/>
      <c r="C21" s="253" t="s">
        <v>63</v>
      </c>
      <c r="D21" s="272">
        <f>D18-D19</f>
        <v>12458652</v>
      </c>
      <c r="E21" s="272">
        <f>E18-E19</f>
        <v>-12458652</v>
      </c>
    </row>
    <row r="22" spans="1:5" ht="13.5" customHeight="1" thickTop="1">
      <c r="A22" s="178"/>
      <c r="B22" s="178"/>
      <c r="C22" s="178"/>
      <c r="D22" s="203"/>
      <c r="E22" s="203"/>
    </row>
    <row r="23" spans="1:5" ht="14.25" customHeight="1">
      <c r="A23" s="178"/>
      <c r="B23" s="178"/>
      <c r="C23" s="178"/>
      <c r="D23" s="202"/>
      <c r="E23" s="202"/>
    </row>
    <row r="24" spans="1:5">
      <c r="A24" s="186" t="s">
        <v>309</v>
      </c>
      <c r="B24" s="178"/>
      <c r="C24" s="178"/>
      <c r="D24" s="202"/>
      <c r="E24" s="203"/>
    </row>
    <row r="25" spans="1:5">
      <c r="A25" s="178"/>
      <c r="B25" s="201" t="s">
        <v>418</v>
      </c>
      <c r="C25" s="178"/>
      <c r="D25" s="200">
        <f>_xll.HPVAL("092T.inp","actual","tot_assets",$A$3,"ytd","gpg")</f>
        <v>296168778</v>
      </c>
      <c r="E25" s="181">
        <f>-D25</f>
        <v>-296168778</v>
      </c>
    </row>
    <row r="26" spans="1:5">
      <c r="A26" s="178"/>
      <c r="B26" s="248" t="s">
        <v>324</v>
      </c>
      <c r="C26" s="180" t="s">
        <v>301</v>
      </c>
      <c r="D26" s="200">
        <f>-_xll.HPVAL("092T.inp","actual",B26,$A$3,"ytd","gpg")</f>
        <v>-5227</v>
      </c>
      <c r="E26" s="200">
        <f>-D26</f>
        <v>5227</v>
      </c>
    </row>
    <row r="27" spans="1:5">
      <c r="A27" s="178"/>
      <c r="B27" s="248" t="s">
        <v>387</v>
      </c>
      <c r="C27" s="180" t="s">
        <v>301</v>
      </c>
      <c r="D27" s="271">
        <f>-_xll.HPVAL("092T.inp","actual",B27,$A$3,"ytd","gpg")</f>
        <v>0</v>
      </c>
      <c r="E27" s="271">
        <f>-D27</f>
        <v>0</v>
      </c>
    </row>
    <row r="28" spans="1:5">
      <c r="A28" s="178"/>
      <c r="B28" s="178"/>
      <c r="C28" s="178"/>
      <c r="D28" s="203">
        <f>SUM(D25:D26)</f>
        <v>296163551</v>
      </c>
      <c r="E28" s="203">
        <f>SUM(E25:E26)</f>
        <v>-296163551</v>
      </c>
    </row>
    <row r="29" spans="1:5">
      <c r="A29" s="178"/>
      <c r="B29" s="201" t="s">
        <v>388</v>
      </c>
      <c r="C29" s="178"/>
      <c r="D29" s="273">
        <v>296663551</v>
      </c>
      <c r="E29" s="271">
        <f>-D29</f>
        <v>-296663551</v>
      </c>
    </row>
    <row r="30" spans="1:5">
      <c r="A30" s="178"/>
      <c r="B30" s="178"/>
      <c r="C30" s="180"/>
      <c r="D30" s="185"/>
      <c r="E30" s="182"/>
    </row>
    <row r="31" spans="1:5" ht="13.8" thickBot="1">
      <c r="A31" s="178"/>
      <c r="B31" s="178"/>
      <c r="C31" s="210" t="s">
        <v>304</v>
      </c>
      <c r="D31" s="272">
        <f>D28-D29</f>
        <v>-500000</v>
      </c>
      <c r="E31" s="272">
        <f>E28-E29</f>
        <v>500000</v>
      </c>
    </row>
    <row r="32" spans="1:5" ht="13.8" thickTop="1">
      <c r="A32" s="178"/>
      <c r="B32" s="184"/>
      <c r="C32" s="210"/>
      <c r="D32" s="203"/>
      <c r="E32" s="203"/>
    </row>
    <row r="33" spans="1:5">
      <c r="A33" s="178"/>
      <c r="B33" s="184"/>
      <c r="C33" s="210"/>
      <c r="D33" s="203"/>
      <c r="E33" s="203"/>
    </row>
    <row r="34" spans="1:5">
      <c r="A34" s="178"/>
      <c r="B34" s="184"/>
      <c r="C34" s="210"/>
      <c r="D34" s="203"/>
      <c r="E34" s="203"/>
    </row>
    <row r="35" spans="1:5">
      <c r="A35" s="248"/>
      <c r="B35" s="184"/>
      <c r="C35" s="210"/>
      <c r="D35" s="203"/>
      <c r="E35" s="203"/>
    </row>
    <row r="36" spans="1:5">
      <c r="A36" s="254"/>
      <c r="B36" s="184"/>
      <c r="C36" s="210"/>
      <c r="D36" s="203"/>
      <c r="E36" s="203"/>
    </row>
    <row r="37" spans="1:5">
      <c r="A37" s="248"/>
      <c r="B37" s="184"/>
      <c r="C37" s="210"/>
      <c r="D37" s="203"/>
      <c r="E37" s="203"/>
    </row>
    <row r="38" spans="1:5">
      <c r="A38" s="178"/>
      <c r="B38" s="184"/>
      <c r="C38" s="210"/>
      <c r="D38" s="203"/>
      <c r="E38" s="203"/>
    </row>
    <row r="39" spans="1:5">
      <c r="A39" s="178"/>
      <c r="B39" s="178"/>
      <c r="C39" s="178"/>
      <c r="D39" s="203"/>
      <c r="E39" s="203"/>
    </row>
    <row r="40" spans="1:5" ht="11.25" customHeight="1">
      <c r="A40" s="248"/>
      <c r="B40" s="178"/>
      <c r="C40" s="178"/>
      <c r="D40" s="203"/>
      <c r="E40" s="203"/>
    </row>
    <row r="41" spans="1:5">
      <c r="A41" s="254"/>
    </row>
  </sheetData>
  <phoneticPr fontId="41" type="noConversion"/>
  <pageMargins left="0.75" right="0.75" top="1" bottom="1" header="0.5" footer="0.5"/>
  <pageSetup scale="82" fitToHeight="2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7"/>
  <sheetViews>
    <sheetView workbookViewId="0">
      <selection activeCell="D1" sqref="D1"/>
    </sheetView>
  </sheetViews>
  <sheetFormatPr defaultRowHeight="10.199999999999999"/>
  <cols>
    <col min="1" max="1" width="10.83203125" style="5" bestFit="1" customWidth="1"/>
    <col min="2" max="2" width="40.83203125" style="5" customWidth="1"/>
    <col min="3" max="5" width="12.83203125" style="5" customWidth="1"/>
    <col min="6" max="6" width="10.33203125" style="5" customWidth="1"/>
    <col min="7" max="8" width="9.33203125" style="5"/>
    <col min="9" max="9" width="10.83203125" style="5" customWidth="1"/>
    <col min="10" max="10" width="11.1640625" style="5" customWidth="1"/>
    <col min="11" max="16384" width="9.33203125" style="5"/>
  </cols>
  <sheetData>
    <row r="2" spans="1:11" ht="11.25" customHeight="1">
      <c r="A2" s="59"/>
      <c r="B2" s="61" t="s">
        <v>52</v>
      </c>
      <c r="C2" s="58"/>
      <c r="D2" s="164" t="s">
        <v>53</v>
      </c>
      <c r="E2" s="58"/>
      <c r="F2" s="58" t="s">
        <v>54</v>
      </c>
      <c r="G2" s="58" t="s">
        <v>53</v>
      </c>
      <c r="H2" s="58" t="s">
        <v>55</v>
      </c>
      <c r="I2" s="4"/>
      <c r="J2" s="14"/>
    </row>
    <row r="3" spans="1:11">
      <c r="A3" s="59"/>
      <c r="B3" s="61" t="s">
        <v>56</v>
      </c>
      <c r="C3" s="58"/>
      <c r="D3" s="60" t="str">
        <f>CHOOSE(mo,twbs!G153,twbs!G154,twbs!G155,twbs!G156,twbs!G157,twbs!G158,twbs!G159,twbs!G160,twbs!G161,twbs!G162,twbs!G163,twbs!G164)</f>
        <v>Aug 01</v>
      </c>
      <c r="E3" s="58"/>
      <c r="F3" s="58"/>
      <c r="G3" s="2"/>
      <c r="H3" s="2"/>
      <c r="J3" s="3"/>
    </row>
    <row r="4" spans="1:11" ht="10.8" thickBot="1">
      <c r="A4" s="63"/>
      <c r="B4" s="63">
        <f ca="1">NOW()</f>
        <v>37147.471379861112</v>
      </c>
      <c r="C4" s="58"/>
      <c r="D4" s="59"/>
      <c r="E4" s="58"/>
      <c r="F4" s="58"/>
      <c r="G4" s="1"/>
      <c r="H4" s="1"/>
      <c r="J4" s="3"/>
    </row>
    <row r="5" spans="1:11" ht="12">
      <c r="A5" s="51" t="s">
        <v>267</v>
      </c>
      <c r="B5" s="52" t="s">
        <v>268</v>
      </c>
      <c r="C5" s="51" t="s">
        <v>60</v>
      </c>
      <c r="D5" s="52" t="s">
        <v>61</v>
      </c>
      <c r="E5" s="52" t="s">
        <v>63</v>
      </c>
      <c r="F5" s="11"/>
      <c r="G5" s="2"/>
      <c r="H5" s="2"/>
      <c r="I5" s="11"/>
      <c r="J5" s="11"/>
      <c r="K5" s="12"/>
    </row>
    <row r="6" spans="1:11" ht="12">
      <c r="A6" s="150" t="s">
        <v>269</v>
      </c>
      <c r="B6" s="53"/>
      <c r="C6" s="47"/>
      <c r="D6" s="146"/>
      <c r="E6" s="146" t="s">
        <v>62</v>
      </c>
    </row>
    <row r="7" spans="1:11" ht="12.6" thickBot="1">
      <c r="A7" s="54"/>
      <c r="B7" s="55"/>
      <c r="C7" s="50" t="str">
        <f>+D3</f>
        <v>Aug 01</v>
      </c>
      <c r="D7" s="56" t="str">
        <f>+D3</f>
        <v>Aug 01</v>
      </c>
      <c r="E7" s="56"/>
      <c r="F7" s="11"/>
      <c r="I7" s="15"/>
      <c r="J7" s="15"/>
      <c r="K7" s="11"/>
    </row>
    <row r="8" spans="1:11">
      <c r="A8" s="84" t="s">
        <v>64</v>
      </c>
      <c r="B8" s="84" t="str">
        <f>_xll.HPHEA($A8,"gpg")</f>
        <v>Cash in Bank</v>
      </c>
      <c r="C8" s="75">
        <f>ROUND(_xll.HPVAL($D$2,"actual",$A8,$D$3,"ytd","gpg")/1000,0)</f>
        <v>0</v>
      </c>
      <c r="D8" s="58">
        <f>ROUND(_xll.HPVAL($D$2,"actual",$A8,$D$3,"ytd","corp")/1000,0)</f>
        <v>0</v>
      </c>
      <c r="E8" s="58">
        <f>C8-D8</f>
        <v>0</v>
      </c>
      <c r="G8" s="6"/>
      <c r="H8" s="6"/>
      <c r="I8" s="9"/>
    </row>
    <row r="9" spans="1:11">
      <c r="A9" s="84" t="s">
        <v>65</v>
      </c>
      <c r="B9" s="84" t="str">
        <f>_xll.HPHEA($A9,"gpg")</f>
        <v>Working Funds</v>
      </c>
      <c r="C9" s="75">
        <f>ROUND(_xll.HPVAL($D$2,"actual",$A9,$D$3,"ytd","gpg")/1000,0)</f>
        <v>3</v>
      </c>
      <c r="D9" s="58">
        <f>ROUND(_xll.HPVAL($D$2,"actual",$A9,$D$3,"ytd","corp")/1000,0)</f>
        <v>3</v>
      </c>
      <c r="E9" s="58">
        <f t="shared" ref="E9:E74" si="0">C9-D9</f>
        <v>0</v>
      </c>
      <c r="G9" s="6"/>
      <c r="H9" s="6"/>
      <c r="I9" s="9"/>
    </row>
    <row r="10" spans="1:11">
      <c r="A10" s="84" t="s">
        <v>72</v>
      </c>
      <c r="B10" s="84" t="str">
        <f>_xll.HPHEA($A10,"gpg")</f>
        <v>Notes Rec - Other</v>
      </c>
      <c r="C10" s="75">
        <f>ROUND(_xll.HPVAL($D$2,"actual",$A10,$D$3,"ytd","gpg")/1000,0)</f>
        <v>40</v>
      </c>
      <c r="D10" s="58">
        <f>ROUND(_xll.HPVAL($D$2,"actual",$A10,$D$3,"ytd","corp")/1000,0)</f>
        <v>40</v>
      </c>
      <c r="E10" s="58">
        <f t="shared" si="0"/>
        <v>0</v>
      </c>
      <c r="G10" s="6"/>
      <c r="H10" s="6"/>
      <c r="I10" s="9"/>
    </row>
    <row r="11" spans="1:11">
      <c r="A11" s="84" t="s">
        <v>66</v>
      </c>
      <c r="B11" s="84" t="str">
        <f>_xll.HPHEA($A11,"gpg")</f>
        <v>Accts Rec-Consolidated Subs</v>
      </c>
      <c r="C11" s="75">
        <f>ROUND(_xll.HPVAL($D$2,"actual",$A11,$D$3,"ytd","gpg")/1000,0)</f>
        <v>157933</v>
      </c>
      <c r="D11" s="58">
        <f>ROUND(_xll.HPVAL($D$2,"actual",$A11,$D$3,"ytd","corp")/1000,0)</f>
        <v>157933</v>
      </c>
      <c r="E11" s="58">
        <f t="shared" si="0"/>
        <v>0</v>
      </c>
      <c r="G11" s="6"/>
      <c r="H11" s="6"/>
      <c r="I11" s="9"/>
    </row>
    <row r="12" spans="1:11">
      <c r="A12" s="84" t="s">
        <v>68</v>
      </c>
      <c r="B12" s="84" t="str">
        <f>_xll.HPHEA($A12,"gpg")</f>
        <v>Accts Rec-Trade</v>
      </c>
      <c r="C12" s="75">
        <f>ROUND(_xll.HPVAL($D$2,"actual",$A12,$D$3,"ytd","gpg")/1000,0)</f>
        <v>17106</v>
      </c>
      <c r="D12" s="58">
        <f>ROUND(_xll.HPVAL($D$2,"actual",$A12,$D$3,"ytd","corp")/1000,0)</f>
        <v>17106</v>
      </c>
      <c r="E12" s="58">
        <f t="shared" si="0"/>
        <v>0</v>
      </c>
      <c r="G12" s="6"/>
      <c r="H12" s="6"/>
      <c r="I12" s="9"/>
    </row>
    <row r="13" spans="1:11">
      <c r="A13" s="84" t="s">
        <v>69</v>
      </c>
      <c r="B13" s="84" t="str">
        <f>_xll.HPHEA($A13,"gpg")</f>
        <v>Accts Rec-Unconsol Assoc Companies</v>
      </c>
      <c r="C13" s="75">
        <f>ROUND(_xll.HPVAL($D$2,"actual",$A13,$D$3,"ytd","gpg")/1000,0)</f>
        <v>62</v>
      </c>
      <c r="D13" s="58">
        <f>ROUND(_xll.HPVAL($D$2,"actual",$A13,$D$3,"ytd","corp")/1000,0)</f>
        <v>62</v>
      </c>
      <c r="E13" s="58">
        <f t="shared" si="0"/>
        <v>0</v>
      </c>
      <c r="G13" s="6"/>
      <c r="H13" s="6"/>
      <c r="I13" s="9"/>
    </row>
    <row r="14" spans="1:11">
      <c r="A14" s="84" t="s">
        <v>70</v>
      </c>
      <c r="B14" s="84" t="str">
        <f>_xll.HPHEA($A14,"gpg")</f>
        <v>Accts Rec-Officers and Employees</v>
      </c>
      <c r="C14" s="75">
        <f>ROUND(_xll.HPVAL($D$2,"actual",$A14,$D$3,"ytd","gpg")/1000,0)</f>
        <v>-1</v>
      </c>
      <c r="D14" s="58">
        <f>ROUND(_xll.HPVAL($D$2,"actual",$A14,$D$3,"ytd","corp")/1000,0)</f>
        <v>-1</v>
      </c>
      <c r="E14" s="58">
        <f t="shared" si="0"/>
        <v>0</v>
      </c>
      <c r="G14" s="6"/>
      <c r="H14" s="6"/>
      <c r="I14" s="9"/>
    </row>
    <row r="15" spans="1:11">
      <c r="A15" s="84" t="s">
        <v>71</v>
      </c>
      <c r="B15" s="84" t="str">
        <f>_xll.HPHEA($A15,"gpg")</f>
        <v>Accts Rec-Other</v>
      </c>
      <c r="C15" s="75">
        <f>ROUND(_xll.HPVAL($D$2,"actual",$A15,$D$3,"ytd","gpg")/1000,0)</f>
        <v>-47</v>
      </c>
      <c r="D15" s="58">
        <f>ROUND(_xll.HPVAL($D$2,"actual",$A15,$D$3,"ytd","corp")/1000,0)</f>
        <v>-47</v>
      </c>
      <c r="E15" s="58">
        <f t="shared" si="0"/>
        <v>0</v>
      </c>
      <c r="F15" s="58">
        <f>C45</f>
        <v>1198109</v>
      </c>
      <c r="G15" s="6" t="s">
        <v>621</v>
      </c>
    </row>
    <row r="16" spans="1:11">
      <c r="A16" s="84" t="s">
        <v>73</v>
      </c>
      <c r="B16" s="84" t="str">
        <f>_xll.HPHEA($A16,"gpg")</f>
        <v>A/R - Acc Prov Uncollect Accts (Contra)</v>
      </c>
      <c r="C16" s="75">
        <f>ROUND(_xll.HPVAL($D$2,"actual",$A16,$D$3,"ytd","gpg")/1000,0)</f>
        <v>0</v>
      </c>
      <c r="D16" s="58">
        <f>ROUND(_xll.HPVAL($D$2,"actual",$A16,$D$3,"ytd","corp")/1000,0)</f>
        <v>0</v>
      </c>
      <c r="E16" s="58">
        <f t="shared" si="0"/>
        <v>0</v>
      </c>
      <c r="F16" s="58">
        <f>tpami2_CorpDiff!C167</f>
        <v>183</v>
      </c>
      <c r="G16" s="6" t="s">
        <v>622</v>
      </c>
    </row>
    <row r="17" spans="1:9">
      <c r="A17" s="84" t="s">
        <v>74</v>
      </c>
      <c r="B17" s="84" t="str">
        <f>_xll.HPHEA($A17,"gpg")</f>
        <v>Unrecovered Purchased Gas Costs</v>
      </c>
      <c r="C17" s="75">
        <f>ROUND(_xll.HPVAL($D$2,"actual",$A17,$D$3,"ytd","gpg")/1000,0)</f>
        <v>0</v>
      </c>
      <c r="D17" s="58">
        <f>ROUND(_xll.HPVAL($D$2,"actual",$A17,$D$3,"ytd","corp")/1000,0)</f>
        <v>0</v>
      </c>
      <c r="E17" s="58">
        <f t="shared" si="0"/>
        <v>0</v>
      </c>
      <c r="F17" s="58">
        <f>tpami2_CorpDiff!C20</f>
        <v>117687</v>
      </c>
      <c r="G17" s="6" t="s">
        <v>623</v>
      </c>
    </row>
    <row r="18" spans="1:9">
      <c r="A18" s="84" t="s">
        <v>75</v>
      </c>
      <c r="B18" s="84" t="str">
        <f>_xll.HPHEA($A18,"gpg")</f>
        <v>Inventory-Gas in Storage</v>
      </c>
      <c r="C18" s="75">
        <f>ROUND(_xll.HPVAL($D$2,"actual",$A18,$D$3,"ytd","gpg")/1000,0)</f>
        <v>0</v>
      </c>
      <c r="D18" s="58">
        <f>ROUND(_xll.HPVAL($D$2,"actual",$A18,$D$3,"ytd","corp")/1000,0)</f>
        <v>0</v>
      </c>
      <c r="E18" s="58">
        <f t="shared" si="0"/>
        <v>0</v>
      </c>
      <c r="F18" s="96">
        <f>F21-SUM(F15:F17)</f>
        <v>0</v>
      </c>
      <c r="G18" s="5" t="s">
        <v>311</v>
      </c>
    </row>
    <row r="19" spans="1:9" ht="10.8" thickBot="1">
      <c r="A19" s="84" t="s">
        <v>76</v>
      </c>
      <c r="B19" s="84" t="str">
        <f>_xll.HPHEA($A19,"gpg")</f>
        <v>Materials and Supplies</v>
      </c>
      <c r="C19" s="75">
        <f>ROUND(_xll.HPVAL($D$2,"actual",$A19,$D$3,"ytd","gpg")/1000,0)</f>
        <v>4021</v>
      </c>
      <c r="D19" s="58">
        <f>ROUND(_xll.HPVAL($D$2,"actual",$A19,$D$3,"ytd","corp")/1000,0)</f>
        <v>4021</v>
      </c>
      <c r="E19" s="58">
        <f t="shared" si="0"/>
        <v>0</v>
      </c>
      <c r="F19" s="175">
        <f>SUM(F15:F18)</f>
        <v>1315979</v>
      </c>
    </row>
    <row r="20" spans="1:9" ht="10.8" thickTop="1">
      <c r="A20" s="84" t="s">
        <v>79</v>
      </c>
      <c r="B20" s="84" t="str">
        <f>_xll.HPHEA($A20,"gpg")</f>
        <v>Commodities Exchange Rec-Trade</v>
      </c>
      <c r="C20" s="75">
        <f>ROUND(_xll.HPVAL($D$2,"actual",$A20,$D$3,"ytd","gpg")/1000,0)</f>
        <v>15789</v>
      </c>
      <c r="D20" s="58">
        <f>ROUND(_xll.HPVAL($D$2,"actual",$A20,$D$3,"ytd","corp")/1000,0)</f>
        <v>15789</v>
      </c>
      <c r="E20" s="58">
        <f t="shared" si="0"/>
        <v>0</v>
      </c>
      <c r="F20" s="58"/>
    </row>
    <row r="21" spans="1:9">
      <c r="A21" s="84" t="s">
        <v>80</v>
      </c>
      <c r="B21" s="84" t="str">
        <f>_xll.HPHEA($A21,"gpg")</f>
        <v>Insurance Premiums</v>
      </c>
      <c r="C21" s="75">
        <f>ROUND(_xll.HPVAL($D$2,"actual",$A21,$D$3,"ytd","gpg")/1000,0)</f>
        <v>0</v>
      </c>
      <c r="D21" s="58">
        <f>ROUND(_xll.HPVAL($D$2,"actual",$A21,$D$3,"ytd","corp")/1000,0)</f>
        <v>0</v>
      </c>
      <c r="E21" s="58">
        <f t="shared" si="0"/>
        <v>0</v>
      </c>
      <c r="F21" s="58">
        <f>twbs!E70</f>
        <v>1315979</v>
      </c>
      <c r="G21" s="5" t="s">
        <v>624</v>
      </c>
    </row>
    <row r="22" spans="1:9" ht="10.8" thickBot="1">
      <c r="A22" s="84" t="s">
        <v>77</v>
      </c>
      <c r="B22" s="84" t="str">
        <f>_xll.HPHEA($A22,"gpg")</f>
        <v>Current Def'd Taxes Receivable - Federal</v>
      </c>
      <c r="C22" s="75">
        <f>ROUND(_xll.HPVAL($D$2,"actual",$A22,$D$3,"ytd","gpg")/1000,0)</f>
        <v>0</v>
      </c>
      <c r="D22" s="58">
        <f>ROUND(_xll.HPVAL($D$2,"actual",$A22,$D$3,"ytd","corp")/1000,0)</f>
        <v>0</v>
      </c>
      <c r="E22" s="58">
        <f t="shared" si="0"/>
        <v>0</v>
      </c>
      <c r="F22" s="175">
        <f>F21-F19</f>
        <v>0</v>
      </c>
    </row>
    <row r="23" spans="1:9" ht="10.8" thickTop="1">
      <c r="A23" s="84" t="s">
        <v>78</v>
      </c>
      <c r="B23" s="84" t="str">
        <f>_xll.HPHEA($A23,"gpg")</f>
        <v>Current Def'd Taxes Receivable - State</v>
      </c>
      <c r="C23" s="75">
        <f>ROUND(_xll.HPVAL($D$2,"actual",$A23,$D$3,"ytd","gpg")/1000,0)</f>
        <v>0</v>
      </c>
      <c r="D23" s="58">
        <f>ROUND(_xll.HPVAL($D$2,"actual",$A23,$D$3,"ytd","corp")/1000,0)</f>
        <v>0</v>
      </c>
      <c r="E23" s="58">
        <f t="shared" si="0"/>
        <v>0</v>
      </c>
      <c r="G23" s="6"/>
      <c r="H23" s="6"/>
      <c r="I23" s="9"/>
    </row>
    <row r="24" spans="1:9">
      <c r="A24" s="84" t="s">
        <v>81</v>
      </c>
      <c r="B24" s="84" t="str">
        <f>_xll.HPHEA($A24,"gpg")</f>
        <v>Special Deposits - Other</v>
      </c>
      <c r="C24" s="75">
        <f>ROUND(_xll.HPVAL($D$2,"actual",$A24,$D$3,"ytd","gpg")/1000,0)</f>
        <v>0</v>
      </c>
      <c r="D24" s="58">
        <f>ROUND(_xll.HPVAL($D$2,"actual",$A24,$D$3,"ytd","corp")/1000,0)</f>
        <v>0</v>
      </c>
      <c r="E24" s="58">
        <f t="shared" si="0"/>
        <v>0</v>
      </c>
      <c r="G24" s="6"/>
      <c r="H24" s="6"/>
      <c r="I24" s="9"/>
    </row>
    <row r="25" spans="1:9">
      <c r="A25" s="84" t="s">
        <v>82</v>
      </c>
      <c r="B25" s="84" t="str">
        <f>_xll.HPHEA($A25,"gpg")</f>
        <v>Prepayments - Prepaid Gas Purchases</v>
      </c>
      <c r="C25" s="75">
        <f>ROUND(_xll.HPVAL($D$2,"actual",$A25,$D$3,"ytd","gpg")/1000,0)</f>
        <v>0</v>
      </c>
      <c r="D25" s="58">
        <f>ROUND(_xll.HPVAL($D$2,"actual",$A25,$D$3,"ytd","corp")/1000,0)</f>
        <v>0</v>
      </c>
      <c r="E25" s="58">
        <f t="shared" si="0"/>
        <v>0</v>
      </c>
      <c r="G25" s="6"/>
      <c r="H25" s="6"/>
      <c r="I25" s="9"/>
    </row>
    <row r="26" spans="1:9">
      <c r="A26" s="84" t="s">
        <v>83</v>
      </c>
      <c r="B26" s="84" t="str">
        <f>_xll.HPHEA($A26,"gpg")</f>
        <v>Other</v>
      </c>
      <c r="C26" s="75">
        <f>ROUND(_xll.HPVAL($D$2,"actual",$A26,$D$3,"ytd","gpg")/1000,0)</f>
        <v>0</v>
      </c>
      <c r="D26" s="58">
        <f>ROUND(_xll.HPVAL($D$2,"actual",$A26,$D$3,"ytd","corp")/1000,0)</f>
        <v>0</v>
      </c>
      <c r="E26" s="58">
        <f>C26-D26</f>
        <v>0</v>
      </c>
      <c r="G26" s="6"/>
      <c r="H26" s="6"/>
      <c r="I26" s="9"/>
    </row>
    <row r="27" spans="1:9">
      <c r="A27" s="84" t="s">
        <v>569</v>
      </c>
      <c r="B27" s="84" t="str">
        <f>_xll.HPHEA($A27,"gpg")</f>
        <v>Price risk mgmnt activ-current assets</v>
      </c>
      <c r="C27" s="75">
        <f>ROUND(_xll.HPVAL($D$2,"actual",$A27,$D$3,"ytd","gpg")/1000,0)</f>
        <v>5383</v>
      </c>
      <c r="D27" s="58">
        <f>ROUND(_xll.HPVAL($D$2,"actual",$A27,$D$3,"ytd","corp")/1000,0)</f>
        <v>5383</v>
      </c>
      <c r="E27" s="58">
        <f t="shared" si="0"/>
        <v>0</v>
      </c>
      <c r="G27" s="6"/>
      <c r="H27" s="6"/>
      <c r="I27" s="9"/>
    </row>
    <row r="28" spans="1:9">
      <c r="A28" s="84" t="s">
        <v>108</v>
      </c>
      <c r="B28" s="84" t="str">
        <f>_xll.HPHEA($A28,"gpg")</f>
        <v>Miscellaneous Other Current Assets</v>
      </c>
      <c r="C28" s="75">
        <f>ROUND(_xll.HPVAL($D$2,"actual",$A28,$D$3,"ytd","gpg")/1000,0)</f>
        <v>5811</v>
      </c>
      <c r="D28" s="58">
        <f>ROUND(_xll.HPVAL($D$2,"actual",$A28,$D$3,"ytd","corp")/1000,0)</f>
        <v>152</v>
      </c>
      <c r="E28" s="58">
        <f t="shared" si="0"/>
        <v>5659</v>
      </c>
      <c r="G28" s="6"/>
      <c r="H28" s="6"/>
      <c r="I28" s="9"/>
    </row>
    <row r="29" spans="1:9">
      <c r="A29" s="84" t="s">
        <v>110</v>
      </c>
      <c r="B29" s="84" t="str">
        <f>_xll.HPHEA($A29,"gpg")</f>
        <v>Investment in Pipeline Partnerships</v>
      </c>
      <c r="C29" s="75">
        <f>ROUND(_xll.HPVAL($D$2,"actual",$A29,$D$3,"ytd","gpg")/1000,0)</f>
        <v>0</v>
      </c>
      <c r="D29" s="58">
        <f>ROUND(_xll.HPVAL($D$2,"actual",$A29,$D$3,"ytd","corp")/1000,0)</f>
        <v>0</v>
      </c>
      <c r="E29" s="58">
        <f t="shared" si="0"/>
        <v>0</v>
      </c>
      <c r="G29" s="6"/>
      <c r="H29" s="6"/>
      <c r="I29" s="9"/>
    </row>
    <row r="30" spans="1:9">
      <c r="A30" s="84" t="s">
        <v>111</v>
      </c>
      <c r="B30" s="84" t="str">
        <f>_xll.HPHEA($A30,"gpg")</f>
        <v>Noncurrent Notes Rec-Trade</v>
      </c>
      <c r="C30" s="75">
        <f>ROUND(_xll.HPVAL($D$2,"actual",$A30,$D$3,"ytd","gpg")/1000,0)</f>
        <v>0</v>
      </c>
      <c r="D30" s="58">
        <f>ROUND(_xll.HPVAL($D$2,"actual",$A30,$D$3,"ytd","corp")/1000,0)</f>
        <v>0</v>
      </c>
      <c r="E30" s="58">
        <f t="shared" si="0"/>
        <v>0</v>
      </c>
      <c r="G30" s="6"/>
      <c r="H30" s="6"/>
      <c r="I30" s="9"/>
    </row>
    <row r="31" spans="1:9">
      <c r="A31" s="84" t="s">
        <v>112</v>
      </c>
      <c r="B31" s="84" t="str">
        <f>_xll.HPHEA($A31,"gpg")</f>
        <v>Operating Equipment and Property</v>
      </c>
      <c r="C31" s="75">
        <f>ROUND(_xll.HPVAL($D$2,"actual",$A31,$D$3,"ytd","gpg")/1000,0)</f>
        <v>942978</v>
      </c>
      <c r="D31" s="58">
        <f>ROUND(_xll.HPVAL($D$2,"actual",$A31,$D$3,"ytd","corp")/1000,0)</f>
        <v>942978</v>
      </c>
      <c r="E31" s="58">
        <f t="shared" si="0"/>
        <v>0</v>
      </c>
      <c r="G31" s="6"/>
      <c r="H31" s="6"/>
      <c r="I31" s="9"/>
    </row>
    <row r="32" spans="1:9">
      <c r="A32" s="84" t="s">
        <v>113</v>
      </c>
      <c r="B32" s="84" t="str">
        <f>_xll.HPHEA($A32,"gpg")</f>
        <v>Construction Work in Progress</v>
      </c>
      <c r="C32" s="75">
        <f>ROUND(_xll.HPVAL($D$2,"actual",$A32,$D$3,"ytd","gpg")/1000,0)</f>
        <v>59429</v>
      </c>
      <c r="D32" s="58">
        <f>ROUND(_xll.HPVAL($D$2,"actual",$A32,$D$3,"ytd","corp")/1000,0)</f>
        <v>59429</v>
      </c>
      <c r="E32" s="58">
        <f t="shared" si="0"/>
        <v>0</v>
      </c>
      <c r="G32" s="6"/>
      <c r="H32" s="6"/>
      <c r="I32" s="9"/>
    </row>
    <row r="33" spans="1:11">
      <c r="A33" s="84" t="s">
        <v>114</v>
      </c>
      <c r="B33" s="84" t="str">
        <f>_xll.HPHEA($A33,"gpg")</f>
        <v>Prop Plant &amp; Equip - FVA</v>
      </c>
      <c r="C33" s="75">
        <f>ROUND(_xll.HPVAL($D$2,"actual",$A33,$D$3,"ytd","gpg")/1000,0)</f>
        <v>0</v>
      </c>
      <c r="D33" s="58">
        <f>ROUND(_xll.HPVAL($D$2,"actual",$A33,$D$3,"ytd","corp")/1000,0)</f>
        <v>0</v>
      </c>
      <c r="E33" s="58">
        <f t="shared" si="0"/>
        <v>0</v>
      </c>
      <c r="G33" s="6"/>
      <c r="H33" s="6"/>
      <c r="I33" s="9"/>
    </row>
    <row r="34" spans="1:11">
      <c r="A34" s="84" t="s">
        <v>317</v>
      </c>
      <c r="B34" s="84" t="str">
        <f>_xll.HPHEA($A34,"gpg")</f>
        <v>Intangible plant-other</v>
      </c>
      <c r="C34" s="75">
        <f>ROUND(_xll.HPVAL($D$2,"actual",$A34,$D$3,"ytd","gpg")/1000,0)</f>
        <v>12826</v>
      </c>
      <c r="D34" s="58">
        <f>ROUND(_xll.HPVAL($D$2,"actual",$A34,$D$3,"ytd","corp")/1000,0)</f>
        <v>12826</v>
      </c>
      <c r="E34" s="58">
        <f t="shared" si="0"/>
        <v>0</v>
      </c>
      <c r="G34" s="6"/>
      <c r="H34" s="6"/>
      <c r="I34" s="9"/>
    </row>
    <row r="35" spans="1:11">
      <c r="A35" s="84" t="s">
        <v>115</v>
      </c>
      <c r="B35" s="84" t="str">
        <f>_xll.HPHEA($A35,"gpg")</f>
        <v>Accum Deprec -Plnt in Service &amp; Non-Util</v>
      </c>
      <c r="C35" s="75">
        <f>ROUND(_xll.HPVAL($D$2,"actual",$A35,$D$3,"ytd","gpg")/1000,0)</f>
        <v>-110488</v>
      </c>
      <c r="D35" s="58">
        <f>ROUND(_xll.HPVAL($D$2,"actual",$A35,$D$3,"ytd","corp")/1000,0)</f>
        <v>-110488</v>
      </c>
      <c r="E35" s="58">
        <f t="shared" si="0"/>
        <v>0</v>
      </c>
      <c r="G35" s="6"/>
      <c r="H35" s="6"/>
      <c r="I35" s="9"/>
    </row>
    <row r="36" spans="1:11">
      <c r="A36" s="84" t="s">
        <v>116</v>
      </c>
      <c r="B36" s="84" t="str">
        <f>_xll.HPHEA($A36,"gpg")</f>
        <v>Accum Depreciation - FVA</v>
      </c>
      <c r="C36" s="75">
        <f>ROUND(_xll.HPVAL($D$2,"actual",$A36,$D$3,"ytd","gpg")/1000,0)</f>
        <v>0</v>
      </c>
      <c r="D36" s="58">
        <f>ROUND(_xll.HPVAL($D$2,"actual",$A36,$D$3,"ytd","corp")/1000,0)</f>
        <v>0</v>
      </c>
      <c r="E36" s="58">
        <f t="shared" si="0"/>
        <v>0</v>
      </c>
      <c r="G36" s="6"/>
      <c r="H36" s="6"/>
      <c r="I36" s="9"/>
    </row>
    <row r="37" spans="1:11">
      <c r="A37" s="84" t="s">
        <v>117</v>
      </c>
      <c r="B37" s="84" t="str">
        <f>_xll.HPHEA($A37,"gpg")</f>
        <v>Accumulated Depletion</v>
      </c>
      <c r="C37" s="75">
        <f>ROUND(_xll.HPVAL($D$2,"actual",$A37,$D$3,"ytd","gpg")/1000,0)</f>
        <v>0</v>
      </c>
      <c r="D37" s="58">
        <f>ROUND(_xll.HPVAL($D$2,"actual",$A37,$D$3,"ytd","corp")/1000,0)</f>
        <v>0</v>
      </c>
      <c r="E37" s="58">
        <f t="shared" si="0"/>
        <v>0</v>
      </c>
      <c r="G37" s="6"/>
      <c r="H37" s="6"/>
      <c r="I37" s="9"/>
    </row>
    <row r="38" spans="1:11">
      <c r="A38" s="84" t="s">
        <v>118</v>
      </c>
      <c r="B38" s="84" t="str">
        <f>_xll.HPHEA($A38,"gpg")</f>
        <v>Accumulated Amortization</v>
      </c>
      <c r="C38" s="75">
        <f>ROUND(_xll.HPVAL($D$2,"actual",$A38,$D$3,"ytd","gpg")/1000,0)</f>
        <v>-6500</v>
      </c>
      <c r="D38" s="58">
        <f>ROUND(_xll.HPVAL($D$2,"actual",$A38,$D$3,"ytd","corp")/1000,0)</f>
        <v>-6500</v>
      </c>
      <c r="E38" s="58">
        <f t="shared" si="0"/>
        <v>0</v>
      </c>
      <c r="G38" s="6"/>
      <c r="H38" s="6"/>
      <c r="I38" s="9"/>
    </row>
    <row r="39" spans="1:11">
      <c r="A39" s="84" t="s">
        <v>163</v>
      </c>
      <c r="B39" s="84" t="str">
        <f>_xll.HPHEA($A39,"gpg")</f>
        <v>Deferred charges-regulatory assets</v>
      </c>
      <c r="C39" s="75">
        <f>ROUND(_xll.HPVAL($D$2,"actual",$A39,$D$3,"ytd","gpg")/1000,0)</f>
        <v>75407</v>
      </c>
      <c r="D39" s="58">
        <f>ROUND(_xll.HPVAL($D$2,"actual",$A39,$D$3,"ytd","corp")/1000,0)</f>
        <v>81066</v>
      </c>
      <c r="E39" s="58">
        <f t="shared" si="0"/>
        <v>-5659</v>
      </c>
      <c r="G39" s="6"/>
      <c r="H39" s="6"/>
      <c r="I39" s="9"/>
    </row>
    <row r="40" spans="1:11">
      <c r="A40" s="84" t="s">
        <v>164</v>
      </c>
      <c r="B40" s="84" t="str">
        <f>_xll.HPHEA($A40,"gpg")</f>
        <v>Deferred Charges-Debt Expense</v>
      </c>
      <c r="C40" s="75">
        <f>ROUND(_xll.HPVAL($D$2,"actual",$A40,$D$3,"ytd","gpg")/1000,0)</f>
        <v>10</v>
      </c>
      <c r="D40" s="58">
        <f>ROUND(_xll.HPVAL($D$2,"actual",$A40,$D$3,"ytd","corp")/1000,0)</f>
        <v>10</v>
      </c>
      <c r="E40" s="58">
        <f t="shared" si="0"/>
        <v>0</v>
      </c>
      <c r="G40" s="6"/>
      <c r="H40" s="6"/>
      <c r="I40" s="9"/>
    </row>
    <row r="41" spans="1:11">
      <c r="A41" s="84" t="s">
        <v>165</v>
      </c>
      <c r="B41" s="84" t="str">
        <f>_xll.HPHEA($A41,"gpg")</f>
        <v>Misc Deferred Debits</v>
      </c>
      <c r="C41" s="75">
        <f>ROUND(_xll.HPVAL($D$2,"actual",$A41,$D$3,"ytd","gpg")/1000,0)</f>
        <v>2404</v>
      </c>
      <c r="D41" s="58">
        <f>ROUND(_xll.HPVAL($D$2,"actual",$A41,$D$3,"ytd","corp")/1000,0)</f>
        <v>2404</v>
      </c>
      <c r="E41" s="58">
        <f t="shared" si="0"/>
        <v>0</v>
      </c>
      <c r="G41" s="6"/>
      <c r="H41" s="6"/>
      <c r="I41" s="9"/>
    </row>
    <row r="42" spans="1:11">
      <c r="A42" s="84" t="s">
        <v>119</v>
      </c>
      <c r="B42" s="84" t="str">
        <f>_xll.HPHEA($A42,"gpg")</f>
        <v>Deferred Contract Reformation Costs</v>
      </c>
      <c r="C42" s="75">
        <f>ROUND(_xll.HPVAL($D$2,"actual",$A42,$D$3,"ytd","gpg")/1000,0)</f>
        <v>0</v>
      </c>
      <c r="D42" s="58">
        <f>ROUND(_xll.HPVAL($D$2,"actual",$A42,$D$3,"ytd","corp")/1000,0)</f>
        <v>0</v>
      </c>
      <c r="E42" s="58">
        <f t="shared" si="0"/>
        <v>0</v>
      </c>
      <c r="G42" s="6"/>
      <c r="H42" s="6"/>
      <c r="I42" s="9"/>
    </row>
    <row r="43" spans="1:11">
      <c r="A43" s="84" t="s">
        <v>430</v>
      </c>
      <c r="B43" s="84" t="str">
        <f>_xll.HPHEA($A43,"gpg")</f>
        <v>Deferred assets-risk mgmnt activities</v>
      </c>
      <c r="C43" s="75">
        <f>ROUND(_xll.HPVAL($D$2,"actual",$A43,$D$3,"ytd","gpg")/1000,0)</f>
        <v>14193</v>
      </c>
      <c r="D43" s="58">
        <f>ROUND(_xll.HPVAL($D$2,"actual",$A43,$D$3,"ytd","corp")/1000,0)</f>
        <v>14193</v>
      </c>
      <c r="E43" s="58">
        <f t="shared" si="0"/>
        <v>0</v>
      </c>
      <c r="G43" s="6"/>
      <c r="H43" s="6"/>
      <c r="I43" s="9"/>
    </row>
    <row r="44" spans="1:11">
      <c r="A44" s="84" t="s">
        <v>166</v>
      </c>
      <c r="B44" s="84" t="str">
        <f>_xll.HPHEA($A44,"gpg")</f>
        <v>Deferred Charges - Other</v>
      </c>
      <c r="C44" s="85">
        <f>ROUND(_xll.HPVAL($D$2,"actual",$A44,$D$3,"ytd","gpg")/1000,0)</f>
        <v>1750</v>
      </c>
      <c r="D44" s="85">
        <f>ROUND(_xll.HPVAL($D$2,"actual",$A44,$D$3,"ytd","corp")/1000,0)</f>
        <v>1750</v>
      </c>
      <c r="E44" s="58">
        <f t="shared" si="0"/>
        <v>0</v>
      </c>
      <c r="G44" s="6"/>
      <c r="H44" s="6"/>
      <c r="I44" s="9"/>
    </row>
    <row r="45" spans="1:11" ht="15.75" customHeight="1" thickBot="1">
      <c r="A45" s="58" t="s">
        <v>270</v>
      </c>
      <c r="B45" s="84" t="str">
        <f>_xll.HPHEA($A45,"gpg")</f>
        <v>TOTAL ASSETS</v>
      </c>
      <c r="C45" s="94">
        <f>ROUND(_xll.HPVAL($D$2,"actual",$A45,$D$3,"ytd","gpg")/1000,0)</f>
        <v>1198109</v>
      </c>
      <c r="D45" s="94">
        <f>ROUND(_xll.HPVAL($D$2,"actual",$A45,$D$3,"ytd","corp")/1000,0)</f>
        <v>1198109</v>
      </c>
      <c r="E45" s="58">
        <f t="shared" si="0"/>
        <v>0</v>
      </c>
      <c r="H45" s="6"/>
      <c r="I45" s="9"/>
      <c r="J45" s="9"/>
      <c r="K45" s="9"/>
    </row>
    <row r="46" spans="1:11" ht="10.8" thickTop="1">
      <c r="A46" s="149" t="s">
        <v>168</v>
      </c>
      <c r="B46" s="149" t="str">
        <f>_xll.HPHEA($A46,"gpg")</f>
        <v>Current Maturities of Long-Term Debt</v>
      </c>
      <c r="C46" s="75">
        <f>ROUND(_xll.HPVAL($D$2,"actual",$A46,$D$3,"ytd","gpg")/1000,0)</f>
        <v>3850</v>
      </c>
      <c r="D46" s="75">
        <f>ROUND(_xll.HPVAL($D$2,"actual",$A46,$D$3,"ytd","corp")/1000,0)</f>
        <v>3850</v>
      </c>
      <c r="E46" s="58">
        <f t="shared" si="0"/>
        <v>0</v>
      </c>
      <c r="G46" s="6"/>
      <c r="H46" s="6"/>
      <c r="I46" s="9"/>
    </row>
    <row r="47" spans="1:11">
      <c r="A47" s="84" t="s">
        <v>169</v>
      </c>
      <c r="B47" s="84" t="str">
        <f>_xll.HPHEA($A47,"gpg")</f>
        <v>Accounts Payable - Consolidated Subs</v>
      </c>
      <c r="C47" s="75">
        <f>ROUND(_xll.HPVAL($D$2,"actual",$A47,$D$3,"ytd","gpg")/1000,0)</f>
        <v>0</v>
      </c>
      <c r="D47" s="58">
        <f>ROUND(_xll.HPVAL($D$2,"actual",$A47,$D$3,"ytd","corp")/1000,0)</f>
        <v>0</v>
      </c>
      <c r="E47" s="58">
        <f t="shared" si="0"/>
        <v>0</v>
      </c>
      <c r="G47" s="6"/>
      <c r="H47" s="6"/>
      <c r="I47" s="9"/>
    </row>
    <row r="48" spans="1:11">
      <c r="A48" s="84" t="s">
        <v>170</v>
      </c>
      <c r="B48" s="84" t="str">
        <f>_xll.HPHEA($A48,"gpg")</f>
        <v>Accounts payable - corporate activities</v>
      </c>
      <c r="C48" s="75">
        <f>ROUND(_xll.HPVAL($D$2,"actual",$A48,$D$3,"ytd","gpg")/1000,0)</f>
        <v>0</v>
      </c>
      <c r="D48" s="58">
        <f>ROUND(_xll.HPVAL($D$2,"actual",$A48,$D$3,"ytd","corp")/1000,0)</f>
        <v>0</v>
      </c>
      <c r="E48" s="58">
        <f t="shared" si="0"/>
        <v>0</v>
      </c>
      <c r="G48" s="6"/>
      <c r="H48" s="6"/>
      <c r="I48" s="9"/>
    </row>
    <row r="49" spans="1:9">
      <c r="A49" s="84" t="s">
        <v>171</v>
      </c>
      <c r="B49" s="84" t="str">
        <f>_xll.HPHEA($A49,"gpg")</f>
        <v>Accounts rec. - corporate activities</v>
      </c>
      <c r="C49" s="75">
        <f>ROUND(-_xll.HPVAL($D$2,"actual",$A49,$D$3,"ytd","gpg")/1000,0)</f>
        <v>0</v>
      </c>
      <c r="D49" s="58">
        <f>ROUND(-_xll.HPVAL($D$2,"actual",$A49,$D$3,"ytd","corp")/1000,0)</f>
        <v>0</v>
      </c>
      <c r="E49" s="58">
        <f t="shared" si="0"/>
        <v>0</v>
      </c>
      <c r="G49" s="6"/>
      <c r="H49" s="6"/>
      <c r="I49" s="9"/>
    </row>
    <row r="50" spans="1:9">
      <c r="A50" s="84" t="s">
        <v>172</v>
      </c>
      <c r="B50" s="84" t="str">
        <f>_xll.HPHEA($A50,"gpg")</f>
        <v>Assigned Receivables-Contra Accts</v>
      </c>
      <c r="C50" s="75">
        <f>ROUND(-_xll.HPVAL($D$2,"actual",$A50,$D$3,"ytd","gpg")/1000,0)</f>
        <v>0</v>
      </c>
      <c r="D50" s="58">
        <f>ROUND(-_xll.HPVAL($D$2,"actual",$A50,$D$3,"ytd","corp")/1000,0)</f>
        <v>0</v>
      </c>
      <c r="E50" s="58">
        <f t="shared" si="0"/>
        <v>0</v>
      </c>
      <c r="G50" s="6"/>
      <c r="H50" s="6"/>
      <c r="I50" s="9"/>
    </row>
    <row r="51" spans="1:9">
      <c r="A51" s="84" t="s">
        <v>173</v>
      </c>
      <c r="B51" s="84" t="str">
        <f>_xll.HPHEA($A51,"gpg")</f>
        <v>Accts Payable - Trade</v>
      </c>
      <c r="C51" s="75">
        <f>ROUND(_xll.HPVAL($D$2,"actual",$A51,$D$3,"ytd","gpg")/1000,0)</f>
        <v>4292</v>
      </c>
      <c r="D51" s="58">
        <f>ROUND(_xll.HPVAL($D$2,"actual",$A51,$D$3,"ytd","corp")/1000,0)</f>
        <v>4292</v>
      </c>
      <c r="E51" s="58">
        <f t="shared" si="0"/>
        <v>0</v>
      </c>
      <c r="G51" s="6"/>
      <c r="H51" s="6"/>
      <c r="I51" s="9"/>
    </row>
    <row r="52" spans="1:9">
      <c r="A52" s="84" t="s">
        <v>174</v>
      </c>
      <c r="B52" s="84" t="str">
        <f>_xll.HPHEA($A52,"gpg")</f>
        <v>Commodities Exchange Payable - Trade</v>
      </c>
      <c r="C52" s="75">
        <f>ROUND(_xll.HPVAL($D$2,"actual",$A52,$D$3,"ytd","gpg")/1000,0)</f>
        <v>15142</v>
      </c>
      <c r="D52" s="58">
        <f>ROUND(_xll.HPVAL($D$2,"actual",$A52,$D$3,"ytd","corp")/1000,0)</f>
        <v>15142</v>
      </c>
      <c r="E52" s="58">
        <f t="shared" si="0"/>
        <v>0</v>
      </c>
      <c r="G52" s="6"/>
      <c r="H52" s="6"/>
      <c r="I52" s="9"/>
    </row>
    <row r="53" spans="1:9">
      <c r="A53" s="84" t="s">
        <v>177</v>
      </c>
      <c r="B53" s="84" t="str">
        <f>_xll.HPHEA($A53,"gpg")</f>
        <v>Income Taxes Payable - State</v>
      </c>
      <c r="C53" s="75">
        <f>ROUND(_xll.HPVAL($D$2,"actual",$A53,$D$3,"ytd","gpg")/1000,0)</f>
        <v>480</v>
      </c>
      <c r="D53" s="58">
        <f>ROUND(_xll.HPVAL($D$2,"actual",$A53,$D$3,"ytd","corp")/1000,0)</f>
        <v>480</v>
      </c>
      <c r="E53" s="58">
        <f t="shared" si="0"/>
        <v>0</v>
      </c>
      <c r="G53" s="6"/>
      <c r="H53" s="6"/>
      <c r="I53" s="9"/>
    </row>
    <row r="54" spans="1:9">
      <c r="A54" s="84" t="s">
        <v>178</v>
      </c>
      <c r="B54" s="84" t="str">
        <f>_xll.HPHEA($A54,"gpg")</f>
        <v>Income Taxes Payable - Federal</v>
      </c>
      <c r="C54" s="75">
        <f>ROUND(_xll.HPVAL($D$2,"actual",$A54,$D$3,"ytd","gpg")/1000,0)</f>
        <v>0</v>
      </c>
      <c r="D54" s="58">
        <f>ROUND(_xll.HPVAL($D$2,"actual",$A54,$D$3,"ytd","corp")/1000,0)</f>
        <v>0</v>
      </c>
      <c r="E54" s="58">
        <f t="shared" si="0"/>
        <v>0</v>
      </c>
      <c r="G54" s="6"/>
      <c r="H54" s="6"/>
      <c r="I54" s="9"/>
    </row>
    <row r="55" spans="1:9">
      <c r="A55" s="84" t="s">
        <v>176</v>
      </c>
      <c r="B55" s="84" t="str">
        <f>_xll.HPHEA($A55,"gpg")</f>
        <v>Accrued Taxes Payable - Other</v>
      </c>
      <c r="C55" s="75">
        <f>ROUND(_xll.HPVAL($D$2,"actual",$A55,$D$3,"ytd","gpg")/1000,0)</f>
        <v>6546</v>
      </c>
      <c r="D55" s="58">
        <f>ROUND(_xll.HPVAL($D$2,"actual",$A55,$D$3,"ytd","corp")/1000,0)</f>
        <v>6546</v>
      </c>
      <c r="E55" s="58">
        <f t="shared" si="0"/>
        <v>0</v>
      </c>
      <c r="G55" s="6"/>
      <c r="H55" s="6"/>
      <c r="I55" s="9"/>
    </row>
    <row r="56" spans="1:9">
      <c r="A56" s="84" t="s">
        <v>180</v>
      </c>
      <c r="B56" s="84" t="str">
        <f>_xll.HPHEA($A56,"gpg")</f>
        <v>Current Dfrd Taxes Payable-Federal</v>
      </c>
      <c r="C56" s="75">
        <f>ROUND(_xll.HPVAL($D$2,"actual",$A56,$D$3,"ytd","gpg")/1000,0)</f>
        <v>1794</v>
      </c>
      <c r="D56" s="58">
        <f>ROUND(_xll.HPVAL($D$2,"actual",$A56,$D$3,"ytd","corp")/1000,0)</f>
        <v>0</v>
      </c>
      <c r="E56" s="58">
        <f t="shared" si="0"/>
        <v>1794</v>
      </c>
      <c r="G56" s="6"/>
      <c r="H56" s="6"/>
      <c r="I56" s="9"/>
    </row>
    <row r="57" spans="1:9">
      <c r="A57" s="84" t="s">
        <v>181</v>
      </c>
      <c r="B57" s="84" t="str">
        <f>_xll.HPHEA($A57,"gpg")</f>
        <v>ADSIT current</v>
      </c>
      <c r="C57" s="75">
        <f>ROUND(_xll.HPVAL($D$2,"actual",$A57,$D$3,"ytd","gpg")/1000,0)</f>
        <v>325</v>
      </c>
      <c r="D57" s="58">
        <f>ROUND(_xll.HPVAL($D$2,"actual",$A57,$D$3,"ytd","corp")/1000,0)</f>
        <v>0</v>
      </c>
      <c r="E57" s="58">
        <f t="shared" si="0"/>
        <v>325</v>
      </c>
      <c r="G57" s="6"/>
      <c r="H57" s="6"/>
      <c r="I57" s="9"/>
    </row>
    <row r="58" spans="1:9">
      <c r="A58" s="84" t="s">
        <v>179</v>
      </c>
      <c r="B58" s="84" t="str">
        <f>_xll.HPHEA($A58,"gpg")</f>
        <v>Accrued Interest - Other</v>
      </c>
      <c r="C58" s="75">
        <f>ROUND(_xll.HPVAL($D$2,"actual",$A58,$D$3,"ytd","gpg")/1000,0)</f>
        <v>474</v>
      </c>
      <c r="D58" s="58">
        <f>ROUND(_xll.HPVAL($D$2,"actual",$A58,$D$3,"ytd","corp")/1000,0)</f>
        <v>474</v>
      </c>
      <c r="E58" s="58">
        <f t="shared" si="0"/>
        <v>0</v>
      </c>
      <c r="G58" s="6"/>
      <c r="H58" s="6"/>
      <c r="I58" s="9"/>
    </row>
    <row r="59" spans="1:9">
      <c r="A59" s="84" t="s">
        <v>316</v>
      </c>
      <c r="B59" s="84" t="str">
        <f>_xll.HPHEA($A59,"gpg")</f>
        <v>Net pay clearing</v>
      </c>
      <c r="C59" s="75">
        <f>ROUND(_xll.HPVAL($D$2,"actual",$A59,$D$3,"ytd","gpg")/1000,0)</f>
        <v>-10</v>
      </c>
      <c r="D59" s="58">
        <f>ROUND(_xll.HPVAL($D$2,"actual",$A59,$D$3,"ytd","corp")/1000,0)</f>
        <v>-10</v>
      </c>
      <c r="E59" s="58">
        <f t="shared" si="0"/>
        <v>0</v>
      </c>
      <c r="G59" s="6"/>
      <c r="H59" s="6"/>
      <c r="I59" s="9"/>
    </row>
    <row r="60" spans="1:9">
      <c r="A60" s="84" t="s">
        <v>397</v>
      </c>
      <c r="B60" s="84" t="str">
        <f>_xll.HPHEA($A60,"gpg")</f>
        <v>Misc Current &amp; Accrued Liabilities</v>
      </c>
      <c r="C60" s="75">
        <f>ROUND(_xll.HPVAL($D$2,"actual",$A60,$D$3,"ytd","gpg")/1000,0)</f>
        <v>33</v>
      </c>
      <c r="D60" s="58">
        <f>ROUND(_xll.HPVAL($D$2,"actual",$A60,$D$3,"ytd","corp")/1000,0)</f>
        <v>33</v>
      </c>
      <c r="E60" s="58">
        <f t="shared" si="0"/>
        <v>0</v>
      </c>
      <c r="G60" s="6"/>
      <c r="H60" s="6"/>
      <c r="I60" s="9"/>
    </row>
    <row r="61" spans="1:9">
      <c r="A61" s="84" t="s">
        <v>184</v>
      </c>
      <c r="B61" s="84" t="str">
        <f>_xll.HPHEA($A61,"gpg")</f>
        <v>Reserve for Regulatory Issues</v>
      </c>
      <c r="C61" s="75">
        <f>ROUND(_xll.HPVAL($D$2,"actual",$A61,$D$3,"ytd","gpg")/1000,0)</f>
        <v>0</v>
      </c>
      <c r="D61" s="58">
        <f>ROUND(_xll.HPVAL($D$2,"actual",$A61,$D$3,"ytd","corp")/1000,0)</f>
        <v>0</v>
      </c>
      <c r="E61" s="58">
        <f>C61-D61</f>
        <v>0</v>
      </c>
      <c r="G61" s="6"/>
      <c r="H61" s="6"/>
      <c r="I61" s="9"/>
    </row>
    <row r="62" spans="1:9">
      <c r="A62" s="84" t="s">
        <v>570</v>
      </c>
      <c r="B62" s="84" t="str">
        <f>_xll.HPHEA($A62,"gpg")</f>
        <v>Price risk management liab-current</v>
      </c>
      <c r="C62" s="75">
        <f>ROUND(_xll.HPVAL($D$2,"actual",$A62,$D$3,"ytd","gpg")/1000,0)</f>
        <v>-10</v>
      </c>
      <c r="D62" s="58">
        <f>ROUND(_xll.HPVAL($D$2,"actual",$A62,$D$3,"ytd","corp")/1000,0)</f>
        <v>-10</v>
      </c>
      <c r="E62" s="58">
        <f t="shared" si="0"/>
        <v>0</v>
      </c>
      <c r="G62" s="6"/>
      <c r="H62" s="6"/>
      <c r="I62" s="9"/>
    </row>
    <row r="63" spans="1:9">
      <c r="A63" s="84" t="s">
        <v>185</v>
      </c>
      <c r="B63" s="84" t="str">
        <f>_xll.HPHEA($A63,"gpg")</f>
        <v>Misc Current &amp; Accrued Liabilities-Other</v>
      </c>
      <c r="C63" s="75">
        <f>ROUND(_xll.HPVAL($D$2,"actual",$A63,$D$3,"ytd","gpg")/1000,0)</f>
        <v>12873</v>
      </c>
      <c r="D63" s="58">
        <f>ROUND(_xll.HPVAL($D$2,"actual",$A63,$D$3,"ytd","corp")/1000,0)</f>
        <v>12629</v>
      </c>
      <c r="E63" s="58">
        <f t="shared" si="0"/>
        <v>244</v>
      </c>
      <c r="G63" s="6"/>
      <c r="H63" s="6"/>
      <c r="I63" s="9"/>
    </row>
    <row r="64" spans="1:9">
      <c r="A64" s="84" t="s">
        <v>186</v>
      </c>
      <c r="B64" s="84" t="str">
        <f>_xll.HPHEA($A64,"gpg")</f>
        <v>Deferred Income Taxes - Federal</v>
      </c>
      <c r="C64" s="75">
        <f>ROUND(_xll.HPVAL($D$2,"actual",$A64,$D$3,"ytd","gpg")/1000,0)</f>
        <v>216086</v>
      </c>
      <c r="D64" s="58">
        <f>ROUND(_xll.HPVAL($D$2,"actual",$A64,$D$3,"ytd","corp")/1000,0)</f>
        <v>217880</v>
      </c>
      <c r="E64" s="58">
        <f t="shared" si="0"/>
        <v>-1794</v>
      </c>
      <c r="G64" s="6"/>
      <c r="H64" s="6"/>
      <c r="I64" s="9"/>
    </row>
    <row r="65" spans="1:9">
      <c r="A65" s="84" t="s">
        <v>187</v>
      </c>
      <c r="B65" s="84" t="str">
        <f>_xll.HPHEA($A65,"gpg")</f>
        <v>Deferred Inc Taxes - Fed'l - Fair Value</v>
      </c>
      <c r="C65" s="75">
        <f>ROUND(_xll.HPVAL($D$2,"actual",$A65,$D$3,"ytd","gpg")/1000,0)</f>
        <v>0</v>
      </c>
      <c r="D65" s="58">
        <f>ROUND(_xll.HPVAL($D$2,"actual",$A65,$D$3,"ytd","corp")/1000,0)</f>
        <v>0</v>
      </c>
      <c r="E65" s="58">
        <f t="shared" si="0"/>
        <v>0</v>
      </c>
      <c r="G65" s="6"/>
      <c r="H65" s="6"/>
      <c r="I65" s="9"/>
    </row>
    <row r="66" spans="1:9">
      <c r="A66" s="84" t="s">
        <v>188</v>
      </c>
      <c r="B66" s="84" t="str">
        <f>_xll.HPHEA($A66,"gpg")</f>
        <v>Deferred Income Taxes - State</v>
      </c>
      <c r="C66" s="75">
        <f>ROUND(_xll.HPVAL($D$2,"actual",$A66,$D$3,"ytd","gpg")/1000,0)</f>
        <v>19498</v>
      </c>
      <c r="D66" s="58">
        <f>ROUND(_xll.HPVAL($D$2,"actual",$A66,$D$3,"ytd","corp")/1000,0)</f>
        <v>19823</v>
      </c>
      <c r="E66" s="58">
        <f t="shared" si="0"/>
        <v>-325</v>
      </c>
      <c r="G66" s="6"/>
      <c r="H66" s="6"/>
      <c r="I66" s="9"/>
    </row>
    <row r="67" spans="1:9">
      <c r="A67" s="84" t="s">
        <v>189</v>
      </c>
      <c r="B67" s="84" t="str">
        <f>_xll.HPHEA($A67,"gpg")</f>
        <v>Deferred investment tax credits</v>
      </c>
      <c r="C67" s="75">
        <f>ROUND(_xll.HPVAL($D$2,"actual",$A67,$D$3,"ytd","gpg")/1000,0)</f>
        <v>0</v>
      </c>
      <c r="D67" s="58">
        <f>ROUND(_xll.HPVAL($D$2,"actual",$A67,$D$3,"ytd","corp")/1000,0)</f>
        <v>0</v>
      </c>
      <c r="E67" s="58">
        <f t="shared" si="0"/>
        <v>0</v>
      </c>
      <c r="G67" s="6"/>
      <c r="H67" s="6"/>
      <c r="I67" s="9"/>
    </row>
    <row r="68" spans="1:9">
      <c r="A68" s="84" t="s">
        <v>191</v>
      </c>
      <c r="B68" s="84" t="str">
        <f>_xll.HPHEA($A68,"gpg")</f>
        <v>Other Dfrd Cr-FERC Order 636</v>
      </c>
      <c r="C68" s="75">
        <f>ROUND(_xll.HPVAL($D$2,"actual",$A68,$D$3,"ytd","gpg")/1000,0)</f>
        <v>0</v>
      </c>
      <c r="D68" s="58">
        <f>ROUND(_xll.HPVAL($D$2,"actual",$A68,$D$3,"ytd","corp")/1000,0)</f>
        <v>0</v>
      </c>
      <c r="E68" s="58">
        <f t="shared" si="0"/>
        <v>0</v>
      </c>
      <c r="G68" s="6"/>
      <c r="H68" s="6"/>
      <c r="I68" s="9"/>
    </row>
    <row r="69" spans="1:9">
      <c r="A69" s="84" t="s">
        <v>192</v>
      </c>
      <c r="B69" s="84" t="str">
        <f>_xll.HPHEA($A69,"gpg")</f>
        <v>Other Dfrd Cr-Unam Gain Reacqd Debit</v>
      </c>
      <c r="C69" s="75">
        <f>ROUND(_xll.HPVAL($D$2,"actual",$A69,$D$3,"ytd","gpg")/1000,0)</f>
        <v>0</v>
      </c>
      <c r="D69" s="58">
        <f>ROUND(_xll.HPVAL($D$2,"actual",$A69,$D$3,"ytd","corp")/1000,0)</f>
        <v>0</v>
      </c>
      <c r="E69" s="58">
        <f t="shared" si="0"/>
        <v>0</v>
      </c>
      <c r="G69" s="6"/>
      <c r="H69" s="6"/>
      <c r="I69" s="9"/>
    </row>
    <row r="70" spans="1:9">
      <c r="A70" s="84" t="s">
        <v>421</v>
      </c>
      <c r="B70" s="84" t="str">
        <f>_xll.HPHEA($A70,"gpg")</f>
        <v>Price risk managment liabilities</v>
      </c>
      <c r="C70" s="75">
        <f>ROUND(_xll.HPVAL($D$2,"actual",$A70,$D$3,"ytd","gpg")/1000,0)</f>
        <v>0</v>
      </c>
      <c r="D70" s="58">
        <f>ROUND(_xll.HPVAL($D$2,"actual",$A70,$D$3,"ytd","corp")/1000,0)</f>
        <v>0</v>
      </c>
      <c r="E70" s="58">
        <f t="shared" si="0"/>
        <v>0</v>
      </c>
      <c r="G70" s="6"/>
      <c r="H70" s="6"/>
      <c r="I70" s="9"/>
    </row>
    <row r="71" spans="1:9">
      <c r="A71" s="84" t="s">
        <v>193</v>
      </c>
      <c r="B71" s="84" t="str">
        <f>_xll.HPHEA($A71,"gpg")</f>
        <v>Othr Dfrd Cr-Other</v>
      </c>
      <c r="C71" s="75">
        <f>ROUND(_xll.HPVAL($D$2,"actual",$A71,$D$3,"ytd","gpg")/1000,0)</f>
        <v>2473</v>
      </c>
      <c r="D71" s="58">
        <f>ROUND(_xll.HPVAL($D$2,"actual",$A71,$D$3,"ytd","corp")/1000,0)</f>
        <v>2473</v>
      </c>
      <c r="E71" s="58">
        <f t="shared" si="0"/>
        <v>0</v>
      </c>
      <c r="G71" s="6"/>
      <c r="H71" s="6"/>
      <c r="I71" s="9"/>
    </row>
    <row r="72" spans="1:9">
      <c r="A72" s="84" t="s">
        <v>67</v>
      </c>
      <c r="B72" s="84" t="str">
        <f>_xll.HPHEA($A72,"gpg")</f>
        <v>Long-term debt/notes payable - Enron</v>
      </c>
      <c r="C72" s="75">
        <f>ROUND(_xll.HPVAL($D$2,"actual",$A72,$D$3,"ytd","gpg")/1000,0)</f>
        <v>-117687</v>
      </c>
      <c r="D72" s="58">
        <f>ROUND(_xll.HPVAL($D$2,"actual",$A72,$D$3,"ytd","corp")/1000,0)</f>
        <v>-117687</v>
      </c>
      <c r="E72" s="58">
        <f t="shared" si="0"/>
        <v>0</v>
      </c>
      <c r="G72" s="6"/>
      <c r="H72" s="6"/>
      <c r="I72" s="9"/>
    </row>
    <row r="73" spans="1:9">
      <c r="A73" s="84" t="s">
        <v>313</v>
      </c>
      <c r="B73" s="84" t="str">
        <f>_xll.HPHEA($A73,"gpg")</f>
        <v>Long-term debt-assoc co-Enron Corp</v>
      </c>
      <c r="C73" s="75">
        <f>ROUND(_xll.HPVAL($D$2,"actual",$A73,$D$3,"ytd","gpg")/1000,0)</f>
        <v>0</v>
      </c>
      <c r="D73" s="58">
        <f>ROUND(_xll.HPVAL($D$2,"actual",$A73,$D$3,"ytd","corp")/1000,0)</f>
        <v>0</v>
      </c>
      <c r="E73" s="58">
        <f t="shared" si="0"/>
        <v>0</v>
      </c>
      <c r="G73" s="6"/>
      <c r="H73" s="6"/>
      <c r="I73" s="9"/>
    </row>
    <row r="74" spans="1:9">
      <c r="A74" s="84" t="s">
        <v>194</v>
      </c>
      <c r="B74" s="84" t="str">
        <f>_xll.HPHEA($A74,"gpg")</f>
        <v>Long-Term Debt</v>
      </c>
      <c r="C74" s="75">
        <f>ROUND(_xll.HPVAL($D$2,"actual",$A74,$D$3,"ytd","gpg")/1000,0)</f>
        <v>15450</v>
      </c>
      <c r="D74" s="58">
        <f>ROUND(_xll.HPVAL($D$2,"actual",$A74,$D$3,"ytd","corp")/1000,0)</f>
        <v>15450</v>
      </c>
      <c r="E74" s="58">
        <f t="shared" si="0"/>
        <v>0</v>
      </c>
      <c r="G74" s="6"/>
      <c r="H74" s="6"/>
      <c r="I74" s="9"/>
    </row>
    <row r="75" spans="1:9">
      <c r="A75" s="84" t="s">
        <v>195</v>
      </c>
      <c r="B75" s="84" t="str">
        <f>_xll.HPHEA($A75,"gpg")</f>
        <v>Unamortized Premium on L/T Debt - Debit</v>
      </c>
      <c r="C75" s="75">
        <f>ROUND(_xll.HPVAL($D$2,"actual",$A75,$D$3,"ytd","gpg")/1000,0)</f>
        <v>0</v>
      </c>
      <c r="D75" s="58">
        <f>ROUND(_xll.HPVAL($D$2,"actual",$A75,$D$3,"ytd","corp")/1000,0)</f>
        <v>0</v>
      </c>
      <c r="E75" s="58">
        <f t="shared" ref="E75:E87" si="1">C75-D75</f>
        <v>0</v>
      </c>
      <c r="G75" s="6"/>
      <c r="H75" s="6"/>
      <c r="I75" s="9"/>
    </row>
    <row r="76" spans="1:9">
      <c r="A76" s="84" t="s">
        <v>196</v>
      </c>
      <c r="B76" s="84" t="str">
        <f>_xll.HPHEA($A76,"gpg")</f>
        <v>Current Maturities of LT Debt - Contra</v>
      </c>
      <c r="C76" s="75">
        <f>ROUND(_xll.HPVAL($D$2,"actual",$A76,$D$3,"ytd","gpg")/1000,0)</f>
        <v>-3850</v>
      </c>
      <c r="D76" s="58">
        <f>ROUND(_xll.HPVAL($D$2,"actual",$A76,$D$3,"ytd","corp")/1000,0)</f>
        <v>-3850</v>
      </c>
      <c r="E76" s="58">
        <f t="shared" si="1"/>
        <v>0</v>
      </c>
      <c r="G76" s="6"/>
      <c r="H76" s="6"/>
      <c r="I76" s="9"/>
    </row>
    <row r="77" spans="1:9">
      <c r="A77" s="84" t="s">
        <v>197</v>
      </c>
      <c r="B77" s="84" t="str">
        <f>_xll.HPHEA($A77,"gpg")</f>
        <v>Common Stock Issued</v>
      </c>
      <c r="C77" s="75">
        <f>ROUND(_xll.HPVAL($D$2,"actual",$A77,$D$3,"ytd","gpg")/1000,0)</f>
        <v>1</v>
      </c>
      <c r="D77" s="58">
        <f>ROUND(_xll.HPVAL($D$2,"actual",$A77,$D$3,"ytd","corp")/1000,0)</f>
        <v>1</v>
      </c>
      <c r="E77" s="58">
        <f t="shared" si="1"/>
        <v>0</v>
      </c>
      <c r="G77" s="6"/>
      <c r="H77" s="6"/>
      <c r="I77" s="9"/>
    </row>
    <row r="78" spans="1:9">
      <c r="A78" s="84" t="s">
        <v>198</v>
      </c>
      <c r="B78" s="84" t="str">
        <f>_xll.HPHEA($A78,"gpg")</f>
        <v>Contribution Received From Parent</v>
      </c>
      <c r="C78" s="75">
        <f>ROUND(_xll.HPVAL($D$2,"actual",$A78,$D$3,"ytd","gpg")/1000,0)</f>
        <v>409191</v>
      </c>
      <c r="D78" s="58">
        <f>ROUND(_xll.HPVAL($D$2,"actual",$A78,$D$3,"ytd","corp")/1000,0)</f>
        <v>409191</v>
      </c>
      <c r="E78" s="58">
        <f t="shared" si="1"/>
        <v>0</v>
      </c>
      <c r="G78" s="6"/>
      <c r="H78" s="6"/>
      <c r="I78" s="9"/>
    </row>
    <row r="79" spans="1:9">
      <c r="A79" s="84" t="s">
        <v>519</v>
      </c>
      <c r="B79" s="84" t="str">
        <f>_xll.HPHEA($A79,"gpg")</f>
        <v>Ret Earn - Beg Bal - Enron Corp</v>
      </c>
      <c r="C79" s="75">
        <f>ROUND(_xll.HPVAL($D$2,"actual",$A79,$D$3,"ytd","gpg")/1000,0)</f>
        <v>0</v>
      </c>
      <c r="D79" s="58">
        <f>ROUND(_xll.HPVAL($D$2,"actual",$A79,$D$3,"ytd","corp")/1000,0)</f>
        <v>0</v>
      </c>
      <c r="E79" s="58">
        <f>C79-D79</f>
        <v>0</v>
      </c>
      <c r="G79" s="6"/>
      <c r="H79" s="6"/>
      <c r="I79" s="9"/>
    </row>
    <row r="80" spans="1:9">
      <c r="A80" s="84" t="s">
        <v>199</v>
      </c>
      <c r="B80" s="84" t="str">
        <f>_xll.HPHEA($A80,"gpg")</f>
        <v>Ret Earnings-Beg Bal - Consolidated Subs</v>
      </c>
      <c r="C80" s="75">
        <f>ROUND(_xll.HPVAL($D$2,"actual",$A80,$D$3,"ytd","gpg")/1000,0)</f>
        <v>533635</v>
      </c>
      <c r="D80" s="58">
        <f>ROUND(_xll.HPVAL($D$2,"actual",$A80,$D$3,"ytd","corp")/1000,0)</f>
        <v>533635</v>
      </c>
      <c r="E80" s="58">
        <f t="shared" si="1"/>
        <v>0</v>
      </c>
      <c r="G80" s="6"/>
      <c r="H80" s="6"/>
      <c r="I80" s="9"/>
    </row>
    <row r="81" spans="1:11">
      <c r="A81" s="84" t="s">
        <v>200</v>
      </c>
      <c r="B81" s="84" t="str">
        <f>_xll.HPHEA($A81,"gpg")</f>
        <v>Net Income</v>
      </c>
      <c r="C81" s="75">
        <f>ROUND(_xll.HPVAL($D$2,"actual",$A81,$D$3,"ytd","gpg")/1000,0)</f>
        <v>58071</v>
      </c>
      <c r="D81" s="58">
        <f>ROUND(_xll.HPVAL($D$2,"actual",$A81,$D$3,"ytd","corp")/1000,0)</f>
        <v>58316</v>
      </c>
      <c r="E81" s="58">
        <f t="shared" si="1"/>
        <v>-245</v>
      </c>
      <c r="G81" s="6"/>
      <c r="H81" s="6"/>
      <c r="I81" s="9"/>
    </row>
    <row r="82" spans="1:11">
      <c r="A82" s="84" t="s">
        <v>201</v>
      </c>
      <c r="B82" s="84" t="str">
        <f>_xll.HPHEA($A82,"corp")</f>
        <v>Net Income - Fair Value Adjustment</v>
      </c>
      <c r="C82" s="75">
        <f>ROUND(_xll.HPVAL($D$2,"actual",$A82,$D$3,"ytd","corp")/1000,0)</f>
        <v>0</v>
      </c>
      <c r="D82" s="58">
        <f>ROUND(_xll.HPVAL($D$2,"actual",$A82,$D$3,"ytd","corp")/1000,0)</f>
        <v>0</v>
      </c>
      <c r="E82" s="58">
        <f t="shared" si="1"/>
        <v>0</v>
      </c>
      <c r="G82" s="6"/>
      <c r="H82" s="6"/>
      <c r="I82" s="9"/>
    </row>
    <row r="83" spans="1:11">
      <c r="A83" s="84" t="s">
        <v>203</v>
      </c>
      <c r="B83" s="84" t="str">
        <f>_xll.HPHEA($A83,"gpg")</f>
        <v>Dividends Decl - Common Stk - Consol Sub</v>
      </c>
      <c r="C83" s="75">
        <f>ROUND(_xll.HPVAL($D$2,"actual",$A83,$D$3,"ytd","gpg")/1000,0)</f>
        <v>0</v>
      </c>
      <c r="D83" s="75">
        <f>ROUND(_xll.HPVAL($D$2,"actual",$A83,$D$3,"ytd","corp")/1000,0)</f>
        <v>0</v>
      </c>
      <c r="E83" s="58">
        <f>C83-D83</f>
        <v>0</v>
      </c>
      <c r="G83" s="6"/>
      <c r="H83" s="6"/>
      <c r="I83" s="9"/>
      <c r="J83" s="9"/>
      <c r="K83" s="9"/>
    </row>
    <row r="84" spans="1:11">
      <c r="A84" s="84" t="s">
        <v>567</v>
      </c>
      <c r="B84" s="84" t="str">
        <f>_xll.HPHEA($A84,"gpg")</f>
        <v>Cash flow hedges-gains/losses</v>
      </c>
      <c r="C84" s="75">
        <f>ROUND(_xll.HPVAL($D$2,"actual",$A84,$D$3,"ytd","gpg")/1000,0)</f>
        <v>19452</v>
      </c>
      <c r="D84" s="75">
        <f>ROUND(_xll.HPVAL($D$2,"actual",$A84,$D$3,"ytd","corp")/1000,0)</f>
        <v>19452</v>
      </c>
      <c r="E84" s="58">
        <f>C84-D84</f>
        <v>0</v>
      </c>
      <c r="G84" s="6"/>
      <c r="H84" s="6"/>
      <c r="I84" s="9"/>
      <c r="J84" s="9"/>
      <c r="K84" s="9"/>
    </row>
    <row r="85" spans="1:11">
      <c r="A85" s="84" t="s">
        <v>521</v>
      </c>
      <c r="B85" s="84" t="str">
        <f>_xll.HPHEA($A85,"gpg")</f>
        <v>Other comprehensive income</v>
      </c>
      <c r="C85" s="75">
        <f>ROUND(_xll.HPVAL($D$2,"actual",$A85,$D$3,"ytd","gpg")/1000,0)</f>
        <v>0</v>
      </c>
      <c r="D85" s="75">
        <f>ROUND(_xll.HPVAL($D$2,"actual",$A85,$D$3,"ytd","corp")/1000,0)</f>
        <v>0</v>
      </c>
      <c r="E85" s="58">
        <f t="shared" si="1"/>
        <v>0</v>
      </c>
      <c r="G85" s="6"/>
      <c r="H85" s="6"/>
      <c r="I85" s="9"/>
      <c r="J85" s="9"/>
      <c r="K85" s="9"/>
    </row>
    <row r="86" spans="1:11">
      <c r="A86" s="149" t="s">
        <v>204</v>
      </c>
      <c r="B86" s="149" t="str">
        <f>_xll.HPHEA($A86,"gpg")</f>
        <v>Investment in Subsidiary Plug Accounts</v>
      </c>
      <c r="C86" s="85">
        <f>ROUND(_xll.HPVAL($D$2,"actual",$A86,$D$3,"ytd","gpg")/1000,0)</f>
        <v>0</v>
      </c>
      <c r="D86" s="85">
        <f>ROUND(_xll.HPVAL($D$2,"actual",$A86,$D$3,"ytd","corp")/1000,0)</f>
        <v>0</v>
      </c>
      <c r="E86" s="58">
        <f t="shared" si="1"/>
        <v>0</v>
      </c>
      <c r="G86" s="6"/>
      <c r="H86" s="6"/>
      <c r="I86" s="9"/>
      <c r="J86" s="9"/>
      <c r="K86" s="9"/>
    </row>
    <row r="87" spans="1:11" ht="15.75" customHeight="1" thickBot="1">
      <c r="A87" s="58" t="s">
        <v>271</v>
      </c>
      <c r="B87" s="84" t="str">
        <f>_xll.HPHEA($A87,"gpg")</f>
        <v>Total Liabilities &amp; Shareholders' Equity</v>
      </c>
      <c r="C87" s="94">
        <f>ROUND(_xll.HPVAL($D$2,"actual",$A87,$D$3,"ytd","gpg")/1000,0)</f>
        <v>1198109</v>
      </c>
      <c r="D87" s="94">
        <f>ROUND(_xll.HPVAL($D$2,"actual",$A87,$D$3,"ytd","corp")/1000,0)</f>
        <v>1198109</v>
      </c>
      <c r="E87" s="175">
        <f t="shared" si="1"/>
        <v>0</v>
      </c>
      <c r="H87" s="6"/>
      <c r="I87" s="9"/>
      <c r="J87" s="9"/>
      <c r="K87" s="9"/>
    </row>
    <row r="88" spans="1:11" ht="10.8" thickTop="1">
      <c r="B88" s="89" t="s">
        <v>272</v>
      </c>
      <c r="C88" s="9">
        <f>SUM(C8:C44)</f>
        <v>1198109</v>
      </c>
      <c r="D88" s="9">
        <f>SUM(D8:D44)</f>
        <v>1198109</v>
      </c>
      <c r="I88" s="9"/>
      <c r="J88" s="9"/>
      <c r="K88" s="9"/>
    </row>
    <row r="89" spans="1:11">
      <c r="B89" s="84" t="s">
        <v>273</v>
      </c>
      <c r="C89" s="9">
        <f>SUM(C46:C86)</f>
        <v>1198109</v>
      </c>
      <c r="D89" s="9">
        <f>SUM(D46:D86)</f>
        <v>1198110</v>
      </c>
      <c r="I89" s="9"/>
      <c r="J89" s="9"/>
      <c r="K89" s="9"/>
    </row>
    <row r="90" spans="1:11">
      <c r="C90" s="9"/>
      <c r="I90" s="9"/>
    </row>
    <row r="91" spans="1:11">
      <c r="C91" s="9"/>
      <c r="I91" s="9"/>
    </row>
    <row r="92" spans="1:11">
      <c r="C92" s="9"/>
      <c r="I92" s="9"/>
    </row>
    <row r="93" spans="1:11">
      <c r="C93" s="9"/>
      <c r="I93" s="9"/>
    </row>
    <row r="94" spans="1:11">
      <c r="C94" s="9"/>
      <c r="I94" s="9"/>
    </row>
    <row r="95" spans="1:11">
      <c r="C95" s="9"/>
      <c r="I95" s="9"/>
    </row>
    <row r="96" spans="1:11">
      <c r="C96" s="9"/>
      <c r="I96" s="9"/>
    </row>
    <row r="97" spans="3:9">
      <c r="C97" s="9"/>
      <c r="I97" s="9"/>
    </row>
    <row r="98" spans="3:9">
      <c r="C98" s="9"/>
      <c r="I98" s="9"/>
    </row>
    <row r="99" spans="3:9">
      <c r="C99" s="9"/>
      <c r="I99" s="9"/>
    </row>
    <row r="100" spans="3:9">
      <c r="C100" s="9"/>
      <c r="I100" s="9"/>
    </row>
    <row r="101" spans="3:9">
      <c r="C101" s="9"/>
      <c r="I101" s="9"/>
    </row>
    <row r="102" spans="3:9">
      <c r="C102" s="9"/>
      <c r="I102" s="9"/>
    </row>
    <row r="103" spans="3:9">
      <c r="C103" s="9"/>
      <c r="I103" s="9"/>
    </row>
    <row r="104" spans="3:9">
      <c r="C104" s="9"/>
    </row>
    <row r="105" spans="3:9">
      <c r="C105" s="9"/>
    </row>
    <row r="106" spans="3:9">
      <c r="C106" s="9"/>
    </row>
    <row r="107" spans="3:9">
      <c r="C107" s="9"/>
    </row>
    <row r="108" spans="3:9">
      <c r="C108" s="9"/>
    </row>
    <row r="109" spans="3:9">
      <c r="C109" s="9"/>
    </row>
    <row r="110" spans="3:9">
      <c r="C110" s="9"/>
    </row>
    <row r="111" spans="3:9">
      <c r="C111" s="9"/>
    </row>
    <row r="112" spans="3:9">
      <c r="C112" s="9"/>
    </row>
    <row r="113" spans="3:3">
      <c r="C113" s="9"/>
    </row>
    <row r="114" spans="3:3">
      <c r="C114" s="9"/>
    </row>
    <row r="115" spans="3:3">
      <c r="C115" s="9"/>
    </row>
    <row r="116" spans="3:3">
      <c r="C116" s="9"/>
    </row>
    <row r="117" spans="3:3">
      <c r="C117" s="9"/>
    </row>
    <row r="118" spans="3:3">
      <c r="C118" s="9"/>
    </row>
    <row r="119" spans="3:3">
      <c r="C119" s="9"/>
    </row>
    <row r="120" spans="3:3">
      <c r="C120" s="9"/>
    </row>
    <row r="121" spans="3:3">
      <c r="C121" s="9"/>
    </row>
    <row r="122" spans="3:3">
      <c r="C122" s="9"/>
    </row>
    <row r="123" spans="3:3">
      <c r="C123" s="9"/>
    </row>
    <row r="124" spans="3:3">
      <c r="C124" s="9"/>
    </row>
    <row r="125" spans="3:3">
      <c r="C125" s="9"/>
    </row>
    <row r="126" spans="3:3">
      <c r="C126" s="9"/>
    </row>
    <row r="127" spans="3:3">
      <c r="C127" s="9"/>
    </row>
    <row r="128" spans="3:3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3:3">
      <c r="C145" s="9"/>
    </row>
    <row r="146" spans="3:3">
      <c r="C146" s="9"/>
    </row>
    <row r="147" spans="3:3">
      <c r="C147" s="9"/>
    </row>
    <row r="148" spans="3:3">
      <c r="C148" s="9"/>
    </row>
    <row r="149" spans="3:3">
      <c r="C149" s="9"/>
    </row>
    <row r="150" spans="3:3">
      <c r="C150" s="9"/>
    </row>
    <row r="151" spans="3:3">
      <c r="C151" s="9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  <row r="184" spans="3:3">
      <c r="C184" s="9"/>
    </row>
    <row r="185" spans="3:3">
      <c r="C185" s="9"/>
    </row>
    <row r="186" spans="3:3">
      <c r="C186" s="9"/>
    </row>
    <row r="187" spans="3:3">
      <c r="C187" s="9"/>
    </row>
    <row r="188" spans="3:3">
      <c r="C188" s="9"/>
    </row>
    <row r="189" spans="3:3">
      <c r="C189" s="9"/>
    </row>
    <row r="190" spans="3:3">
      <c r="C190" s="9"/>
    </row>
    <row r="191" spans="3:3">
      <c r="C191" s="9"/>
    </row>
    <row r="192" spans="3:3">
      <c r="C192" s="9"/>
    </row>
    <row r="193" spans="3:3">
      <c r="C193" s="9"/>
    </row>
    <row r="194" spans="3:3">
      <c r="C194" s="9"/>
    </row>
    <row r="195" spans="3:3">
      <c r="C195" s="9"/>
    </row>
    <row r="196" spans="3:3">
      <c r="C196" s="9"/>
    </row>
    <row r="197" spans="3:3">
      <c r="C197" s="9"/>
    </row>
    <row r="198" spans="3:3">
      <c r="C198" s="9"/>
    </row>
    <row r="199" spans="3:3">
      <c r="C199" s="9"/>
    </row>
    <row r="200" spans="3:3">
      <c r="C200" s="9"/>
    </row>
    <row r="201" spans="3:3">
      <c r="C201" s="9"/>
    </row>
    <row r="202" spans="3:3">
      <c r="C202" s="9"/>
    </row>
    <row r="203" spans="3:3">
      <c r="C203" s="9"/>
    </row>
    <row r="204" spans="3:3">
      <c r="C204" s="9"/>
    </row>
    <row r="205" spans="3:3">
      <c r="C205" s="9"/>
    </row>
    <row r="206" spans="3:3">
      <c r="C206" s="9"/>
    </row>
    <row r="207" spans="3:3">
      <c r="C207" s="9"/>
    </row>
  </sheetData>
  <phoneticPr fontId="41" type="noConversion"/>
  <printOptions horizontalCentered="1" gridLines="1" gridLinesSet="0"/>
  <pageMargins left="0.75" right="0.75" top="0.75" bottom="0.75" header="0.5" footer="0.5"/>
  <pageSetup scale="74" orientation="portrait" horizontalDpi="4294967292" verticalDpi="300" r:id="rId1"/>
  <headerFooter alignWithMargins="0">
    <oddFooter>&amp;L&amp;D   &amp;T&amp;C&amp;F 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30"/>
  <sheetViews>
    <sheetView zoomScale="75" workbookViewId="0">
      <selection activeCell="B1" sqref="B1"/>
    </sheetView>
  </sheetViews>
  <sheetFormatPr defaultRowHeight="10.199999999999999"/>
  <cols>
    <col min="1" max="1" width="1.83203125" style="5" customWidth="1"/>
    <col min="2" max="2" width="12.6640625" style="5" customWidth="1"/>
    <col min="3" max="3" width="45.33203125" style="5" bestFit="1" customWidth="1"/>
    <col min="4" max="4" width="17" style="5" customWidth="1"/>
    <col min="5" max="5" width="15.5" style="5" customWidth="1"/>
    <col min="6" max="6" width="14.33203125" style="5" customWidth="1"/>
    <col min="7" max="7" width="14.6640625" style="5" customWidth="1"/>
    <col min="8" max="16384" width="9.33203125" style="5"/>
  </cols>
  <sheetData>
    <row r="1" spans="2:10" ht="15.6">
      <c r="B1" s="165"/>
      <c r="C1" s="166" t="s">
        <v>276</v>
      </c>
      <c r="D1" s="167"/>
      <c r="E1" s="167"/>
      <c r="F1" s="167"/>
      <c r="G1" s="168"/>
    </row>
    <row r="2" spans="2:10">
      <c r="B2" s="66"/>
      <c r="C2" s="169"/>
      <c r="D2" s="170"/>
      <c r="E2" s="170"/>
      <c r="F2" s="170"/>
      <c r="G2" s="67"/>
    </row>
    <row r="3" spans="2:10">
      <c r="B3" s="66"/>
      <c r="C3" s="171" t="s">
        <v>56</v>
      </c>
      <c r="D3" s="277">
        <v>37103</v>
      </c>
      <c r="G3" s="67"/>
    </row>
    <row r="4" spans="2:10" ht="12.75" customHeight="1" thickBot="1">
      <c r="B4" s="172"/>
      <c r="C4" s="173"/>
      <c r="D4" s="173"/>
      <c r="E4" s="174"/>
      <c r="F4" s="173"/>
      <c r="G4" s="69"/>
    </row>
    <row r="5" spans="2:10" ht="12.75" customHeight="1">
      <c r="B5" s="215" t="s">
        <v>277</v>
      </c>
      <c r="C5" s="216" t="s">
        <v>268</v>
      </c>
      <c r="D5" s="217" t="s">
        <v>278</v>
      </c>
      <c r="E5" s="218" t="s">
        <v>279</v>
      </c>
      <c r="F5" s="219" t="s">
        <v>280</v>
      </c>
      <c r="G5" s="220" t="s">
        <v>63</v>
      </c>
    </row>
    <row r="6" spans="2:10" ht="12" customHeight="1" thickBot="1">
      <c r="B6" s="221" t="s">
        <v>281</v>
      </c>
      <c r="C6" s="222"/>
      <c r="D6" s="223" t="s">
        <v>54</v>
      </c>
      <c r="E6" s="224" t="s">
        <v>55</v>
      </c>
      <c r="F6" s="225" t="s">
        <v>53</v>
      </c>
      <c r="G6" s="226"/>
    </row>
    <row r="7" spans="2:10" ht="13.2">
      <c r="B7" s="227" t="s">
        <v>64</v>
      </c>
      <c r="C7" s="228" t="str">
        <f>_xll.HPHEA($B7,"gpg")</f>
        <v>Cash in Bank</v>
      </c>
      <c r="D7" s="229">
        <f>ROUND(_xll.HPVAL($D$6,"actual",$B7,$D$3,"ytd","gpg")/1000,0)</f>
        <v>0</v>
      </c>
      <c r="E7" s="229">
        <f>ROUND(_xll.HPVAL($E$6,"actual",$B7,$D$3,"ytd","gpg")/1000,0)</f>
        <v>0</v>
      </c>
      <c r="F7" s="229">
        <f>ROUND(_xll.HPVAL($F$6,"actual",$B7,$D$3,"ytd","gpg")/1000,0)</f>
        <v>0</v>
      </c>
      <c r="G7" s="230">
        <f>D7+E7-F7</f>
        <v>0</v>
      </c>
      <c r="J7" s="9"/>
    </row>
    <row r="8" spans="2:10" ht="13.2">
      <c r="B8" s="231" t="s">
        <v>65</v>
      </c>
      <c r="C8" s="232" t="str">
        <f>_xll.HPHEA($B8,"gpg")</f>
        <v>Working Funds</v>
      </c>
      <c r="D8" s="233">
        <f>ROUND(_xll.HPVAL($D$6,"actual",$B8,$D$3,"ytd","gpg")/1000,0)</f>
        <v>3</v>
      </c>
      <c r="E8" s="233">
        <f>ROUND(_xll.HPVAL($E$6,"actual",$B8,$D$3,"ytd","gpg")/1000,0)</f>
        <v>0</v>
      </c>
      <c r="F8" s="233">
        <f>ROUND(_xll.HPVAL($F$6,"actual",$B8,$D$3,"ytd","gpg")/1000,0)</f>
        <v>3</v>
      </c>
      <c r="G8" s="234">
        <f t="shared" ref="G8:G47" si="0">D8+E8-F8</f>
        <v>0</v>
      </c>
      <c r="J8" s="6"/>
    </row>
    <row r="9" spans="2:10" ht="13.2">
      <c r="B9" s="231" t="s">
        <v>67</v>
      </c>
      <c r="C9" s="232" t="str">
        <f>_xll.HPHEA($B9,"gpg")</f>
        <v>Long-term debt/notes payable - Enron</v>
      </c>
      <c r="D9" s="233">
        <f>ROUND(_xll.HPVAL($D$6,"actual",$B9,$D$3,"ytd","gpg")/1000,0)*-1</f>
        <v>119034</v>
      </c>
      <c r="E9" s="233">
        <f>ROUND(_xll.HPVAL($E$6,"actual",$B9,$D$3,"ytd","gpg")/1000,0)*-1</f>
        <v>-5</v>
      </c>
      <c r="F9" s="233">
        <f>ROUND(_xll.HPVAL($F$6,"actual",$B9,$D$3,"ytd","gpg")/1000,0)*-1</f>
        <v>119029</v>
      </c>
      <c r="G9" s="234">
        <f>D9+E9-F9</f>
        <v>0</v>
      </c>
      <c r="J9" s="6"/>
    </row>
    <row r="10" spans="2:10" ht="13.2">
      <c r="B10" s="231" t="s">
        <v>66</v>
      </c>
      <c r="C10" s="232" t="str">
        <f>_xll.HPHEA($B10,"gpg")</f>
        <v>Accts Rec-Consolidated Subs</v>
      </c>
      <c r="D10" s="233">
        <f>ROUND(_xll.HPVAL($D$6,"actual",$B10,$D$3,"ytd","gpg")/1000,0)</f>
        <v>142462</v>
      </c>
      <c r="E10" s="233">
        <f>ROUND(_xll.HPVAL($E$6,"actual",$B10,$D$3,"ytd","gpg")/1000,0)</f>
        <v>0</v>
      </c>
      <c r="F10" s="233">
        <f>ROUND(_xll.HPVAL($F$6,"actual",$B10,$D$3,"ytd","gpg")/1000,0)</f>
        <v>142462</v>
      </c>
      <c r="G10" s="234">
        <f t="shared" si="0"/>
        <v>0</v>
      </c>
      <c r="J10" s="6"/>
    </row>
    <row r="11" spans="2:10" ht="13.2">
      <c r="B11" s="231" t="s">
        <v>68</v>
      </c>
      <c r="C11" s="232" t="str">
        <f>_xll.HPHEA($B11,"gpg")</f>
        <v>Accts Rec-Trade</v>
      </c>
      <c r="D11" s="233">
        <f>ROUND(_xll.HPVAL($D$6,"actual",$B11,$D$3,"ytd","gpg")/1000,0)</f>
        <v>19374</v>
      </c>
      <c r="E11" s="233">
        <f>ROUND(_xll.HPVAL($E$6,"actual",$B11,$D$3,"ytd","gpg")/1000,0)</f>
        <v>0</v>
      </c>
      <c r="F11" s="233">
        <f>ROUND(_xll.HPVAL($F$6,"actual",$B11,$D$3,"ytd","gpg")/1000,0)</f>
        <v>19374</v>
      </c>
      <c r="G11" s="234">
        <f t="shared" si="0"/>
        <v>0</v>
      </c>
      <c r="J11" s="6"/>
    </row>
    <row r="12" spans="2:10" ht="13.2">
      <c r="B12" s="231" t="s">
        <v>69</v>
      </c>
      <c r="C12" s="232" t="str">
        <f>_xll.HPHEA($B12,"gpg")</f>
        <v>Accts Rec-Unconsol Assoc Companies</v>
      </c>
      <c r="D12" s="233">
        <f>ROUND(_xll.HPVAL($D$6,"actual",$B12,$D$3,"ytd","gpg")/1000,0)</f>
        <v>62</v>
      </c>
      <c r="E12" s="233">
        <f>ROUND(_xll.HPVAL($E$6,"actual",$B12,$D$3,"ytd","gpg")/1000,0)</f>
        <v>0</v>
      </c>
      <c r="F12" s="233">
        <f>ROUND(_xll.HPVAL($F$6,"actual",$B12,$D$3,"ytd","gpg")/1000,0)</f>
        <v>62</v>
      </c>
      <c r="G12" s="234">
        <f t="shared" si="0"/>
        <v>0</v>
      </c>
      <c r="J12" s="6"/>
    </row>
    <row r="13" spans="2:10" ht="13.2">
      <c r="B13" s="231" t="s">
        <v>70</v>
      </c>
      <c r="C13" s="232" t="str">
        <f>_xll.HPHEA($B13,"gpg")</f>
        <v>Accts Rec-Officers and Employees</v>
      </c>
      <c r="D13" s="233">
        <f>ROUND(_xll.HPVAL($D$6,"actual",$B13,$D$3,"ytd","gpg")/1000,0)</f>
        <v>-1</v>
      </c>
      <c r="E13" s="233">
        <f>ROUND(_xll.HPVAL($E$6,"actual",$B13,$D$3,"ytd","gpg")/1000,0)</f>
        <v>0</v>
      </c>
      <c r="F13" s="233">
        <f>ROUND(_xll.HPVAL($F$6,"actual",$B13,$D$3,"ytd","gpg")/1000,0)</f>
        <v>-1</v>
      </c>
      <c r="G13" s="234">
        <f t="shared" si="0"/>
        <v>0</v>
      </c>
      <c r="J13" s="6"/>
    </row>
    <row r="14" spans="2:10" ht="13.2">
      <c r="B14" s="231" t="s">
        <v>71</v>
      </c>
      <c r="C14" s="232" t="str">
        <f>_xll.HPHEA($B14,"gpg")</f>
        <v>Accts Rec-Other</v>
      </c>
      <c r="D14" s="233">
        <f>ROUND(_xll.HPVAL($D$6,"actual",$B14,$D$3,"ytd","gpg")/1000,0)</f>
        <v>9</v>
      </c>
      <c r="E14" s="233">
        <f>ROUND(_xll.HPVAL($E$6,"actual",$B14,$D$3,"ytd","gpg")/1000,0)</f>
        <v>0</v>
      </c>
      <c r="F14" s="233">
        <f>ROUND(_xll.HPVAL($F$6,"actual",$B14,$D$3,"ytd","gpg")/1000,0)</f>
        <v>9</v>
      </c>
      <c r="G14" s="234">
        <f t="shared" si="0"/>
        <v>0</v>
      </c>
      <c r="J14" s="6"/>
    </row>
    <row r="15" spans="2:10" ht="13.2">
      <c r="B15" s="231" t="s">
        <v>72</v>
      </c>
      <c r="C15" s="232" t="str">
        <f>_xll.HPHEA($B15,"gpg")</f>
        <v>Notes Rec - Other</v>
      </c>
      <c r="D15" s="233">
        <f>ROUND(_xll.HPVAL($D$6,"actual",$B15,$D$3,"ytd","gpg")/1000,0)</f>
        <v>41</v>
      </c>
      <c r="E15" s="233">
        <f>ROUND(_xll.HPVAL($E$6,"actual",$B15,$D$3,"ytd","gpg")/1000,0)</f>
        <v>0</v>
      </c>
      <c r="F15" s="233">
        <f>ROUND(_xll.HPVAL($F$6,"actual",$B15,$D$3,"ytd","gpg")/1000,0)</f>
        <v>41</v>
      </c>
      <c r="G15" s="234">
        <f t="shared" si="0"/>
        <v>0</v>
      </c>
      <c r="J15" s="6"/>
    </row>
    <row r="16" spans="2:10" ht="13.2">
      <c r="B16" s="231" t="s">
        <v>172</v>
      </c>
      <c r="C16" s="232" t="str">
        <f>_xll.HPHEA($B16,"gpg")</f>
        <v>Assigned Receivables-Contra Accts</v>
      </c>
      <c r="D16" s="233">
        <f>ROUND(_xll.HPVAL($D$6,"actual",$B16,$D$3,"ytd","gpg")/1000,0)</f>
        <v>0</v>
      </c>
      <c r="E16" s="233">
        <f>ROUND(_xll.HPVAL($E$6,"actual",$B16,$D$3,"ytd","gpg")/1000,0)</f>
        <v>0</v>
      </c>
      <c r="F16" s="233">
        <f>ROUND(_xll.HPVAL($F$6,"actual",$B16,$D$3,"ytd","gpg")/1000,0)</f>
        <v>0</v>
      </c>
      <c r="G16" s="234">
        <f>D16+E16-F16</f>
        <v>0</v>
      </c>
      <c r="J16" s="6"/>
    </row>
    <row r="17" spans="2:10" ht="13.2">
      <c r="B17" s="231" t="s">
        <v>73</v>
      </c>
      <c r="C17" s="232" t="str">
        <f>_xll.HPHEA($B17,"gpg")</f>
        <v>A/R - Acc Prov Uncollect Accts (Contra)</v>
      </c>
      <c r="D17" s="233">
        <f>ROUND(_xll.HPVAL($D$6,"actual",$B17,$D$3,"ytd","gpg")/1000,0)</f>
        <v>0</v>
      </c>
      <c r="E17" s="233">
        <f>ROUND(_xll.HPVAL($E$6,"actual",$B17,$D$3,"ytd","gpg")/1000,0)</f>
        <v>0</v>
      </c>
      <c r="F17" s="233">
        <f>ROUND(_xll.HPVAL($F$6,"actual",$B17,$D$3,"ytd","gpg")/1000,0)</f>
        <v>0</v>
      </c>
      <c r="G17" s="234">
        <f t="shared" si="0"/>
        <v>0</v>
      </c>
      <c r="J17" s="6"/>
    </row>
    <row r="18" spans="2:10" ht="13.2">
      <c r="B18" s="231" t="s">
        <v>74</v>
      </c>
      <c r="C18" s="232" t="str">
        <f>_xll.HPHEA($B18,"gpg")</f>
        <v>Unrecovered Purchased Gas Costs</v>
      </c>
      <c r="D18" s="233">
        <f>ROUND(_xll.HPVAL($D$6,"actual",$B18,$D$3,"ytd","gpg")/1000,0)</f>
        <v>0</v>
      </c>
      <c r="E18" s="233">
        <f>ROUND(_xll.HPVAL($E$6,"actual",$B18,$D$3,"ytd","gpg")/1000,0)</f>
        <v>0</v>
      </c>
      <c r="F18" s="233">
        <f>ROUND(_xll.HPVAL($F$6,"actual",$B18,$D$3,"ytd","gpg")/1000,0)</f>
        <v>0</v>
      </c>
      <c r="G18" s="234">
        <f t="shared" si="0"/>
        <v>0</v>
      </c>
      <c r="J18" s="6"/>
    </row>
    <row r="19" spans="2:10" ht="13.2">
      <c r="B19" s="231" t="s">
        <v>75</v>
      </c>
      <c r="C19" s="232" t="str">
        <f>_xll.HPHEA($B19,"gpg")</f>
        <v>Inventory-Gas in Storage</v>
      </c>
      <c r="D19" s="233">
        <f>ROUND(_xll.HPVAL($D$6,"actual",$B19,$D$3,"ytd","gpg")/1000,0)</f>
        <v>0</v>
      </c>
      <c r="E19" s="233">
        <f>ROUND(_xll.HPVAL($E$6,"actual",$B19,$D$3,"ytd","gpg")/1000,0)</f>
        <v>0</v>
      </c>
      <c r="F19" s="233">
        <f>ROUND(_xll.HPVAL($F$6,"actual",$B19,$D$3,"ytd","gpg")/1000,0)</f>
        <v>0</v>
      </c>
      <c r="G19" s="234">
        <f t="shared" si="0"/>
        <v>0</v>
      </c>
      <c r="J19" s="6"/>
    </row>
    <row r="20" spans="2:10" ht="13.2">
      <c r="B20" s="231" t="s">
        <v>76</v>
      </c>
      <c r="C20" s="232" t="str">
        <f>_xll.HPHEA($B20,"gpg")</f>
        <v>Materials and Supplies</v>
      </c>
      <c r="D20" s="233">
        <f>ROUND(_xll.HPVAL($D$6,"actual",$B20,$D$3,"ytd","gpg")/1000,0)</f>
        <v>4033</v>
      </c>
      <c r="E20" s="233">
        <f>ROUND(_xll.HPVAL($E$6,"actual",$B20,$D$3,"ytd","gpg")/1000,0)</f>
        <v>0</v>
      </c>
      <c r="F20" s="233">
        <f>ROUND(_xll.HPVAL($F$6,"actual",$B20,$D$3,"ytd","gpg")/1000,0)</f>
        <v>4033</v>
      </c>
      <c r="G20" s="234">
        <f t="shared" si="0"/>
        <v>0</v>
      </c>
      <c r="J20" s="6"/>
    </row>
    <row r="21" spans="2:10" ht="13.2">
      <c r="B21" s="231" t="s">
        <v>77</v>
      </c>
      <c r="C21" s="232" t="str">
        <f>_xll.HPHEA($B21,"gpg")</f>
        <v>Current Def'd Taxes Receivable - Federal</v>
      </c>
      <c r="D21" s="233">
        <f>ROUND(_xll.HPVAL($D$6,"actual",$B21,$D$3,"ytd","gpg")/1000,0)</f>
        <v>0</v>
      </c>
      <c r="E21" s="233">
        <f>ROUND(_xll.HPVAL($E$6,"actual",$B21,$D$3,"ytd","gpg")/1000,0)</f>
        <v>0</v>
      </c>
      <c r="F21" s="233">
        <f>ROUND(_xll.HPVAL($F$6,"actual",$B21,$D$3,"ytd","gpg")/1000,0)</f>
        <v>0</v>
      </c>
      <c r="G21" s="234">
        <f t="shared" si="0"/>
        <v>0</v>
      </c>
      <c r="J21" s="6"/>
    </row>
    <row r="22" spans="2:10" ht="13.2">
      <c r="B22" s="231" t="s">
        <v>78</v>
      </c>
      <c r="C22" s="232" t="str">
        <f>_xll.HPHEA($B22,"gpg")</f>
        <v>Current Def'd Taxes Receivable - State</v>
      </c>
      <c r="D22" s="233">
        <f>ROUND(_xll.HPVAL($D$6,"actual",$B22,$D$3,"ytd","gpg")/1000,0)</f>
        <v>0</v>
      </c>
      <c r="E22" s="233">
        <f>ROUND(_xll.HPVAL($E$6,"actual",$B22,$D$3,"ytd","gpg")/1000,0)</f>
        <v>0</v>
      </c>
      <c r="F22" s="233">
        <f>ROUND(_xll.HPVAL($F$6,"actual",$B22,$D$3,"ytd","gpg")/1000,0)</f>
        <v>0</v>
      </c>
      <c r="G22" s="234">
        <f t="shared" si="0"/>
        <v>0</v>
      </c>
      <c r="J22" s="6"/>
    </row>
    <row r="23" spans="2:10" ht="13.2">
      <c r="B23" s="231" t="s">
        <v>569</v>
      </c>
      <c r="C23" s="232" t="str">
        <f>_xll.HPHEA($B23,"gpg")</f>
        <v>Price risk mgmnt activ-current assets</v>
      </c>
      <c r="D23" s="233">
        <f>ROUND(_xll.HPVAL($D$6,"actual",$B23,$D$3,"ytd","gpg")/1000,0)</f>
        <v>5383</v>
      </c>
      <c r="E23" s="233">
        <f>ROUND(_xll.HPVAL($E$6,"actual",$B23,$D$3,"ytd","gpg")/1000,0)</f>
        <v>0</v>
      </c>
      <c r="F23" s="233">
        <f>ROUND(_xll.HPVAL($F$6,"actual",$B23,$D$3,"ytd","gpg")/1000,0)</f>
        <v>5383</v>
      </c>
      <c r="G23" s="234">
        <f>D23+E23-F23</f>
        <v>0</v>
      </c>
      <c r="J23" s="6"/>
    </row>
    <row r="24" spans="2:10" ht="13.2">
      <c r="B24" s="231" t="s">
        <v>79</v>
      </c>
      <c r="C24" s="232" t="str">
        <f>_xll.HPHEA($B24,"gpg")</f>
        <v>Commodities Exchange Rec-Trade</v>
      </c>
      <c r="D24" s="233">
        <f>ROUND(_xll.HPVAL($D$6,"actual",$B24,$D$3,"ytd","gpg")/1000,0)</f>
        <v>14543</v>
      </c>
      <c r="E24" s="233">
        <f>ROUND(_xll.HPVAL($E$6,"actual",$B24,$D$3,"ytd","gpg")/1000,0)</f>
        <v>0</v>
      </c>
      <c r="F24" s="233">
        <f>ROUND(_xll.HPVAL($F$6,"actual",$B24,$D$3,"ytd","gpg")/1000,0)</f>
        <v>14543</v>
      </c>
      <c r="G24" s="234">
        <f t="shared" si="0"/>
        <v>0</v>
      </c>
      <c r="J24" s="6"/>
    </row>
    <row r="25" spans="2:10" ht="13.2">
      <c r="B25" s="231" t="s">
        <v>80</v>
      </c>
      <c r="C25" s="232" t="str">
        <f>_xll.HPHEA($B25,"gpg")</f>
        <v>Insurance Premiums</v>
      </c>
      <c r="D25" s="233">
        <f>ROUND(_xll.HPVAL($D$6,"actual",$B25,$D$3,"ytd","gpg")/1000,0)</f>
        <v>0</v>
      </c>
      <c r="E25" s="233">
        <f>ROUND(_xll.HPVAL($E$6,"actual",$B25,$D$3,"ytd","gpg")/1000,0)</f>
        <v>0</v>
      </c>
      <c r="F25" s="233">
        <f>ROUND(_xll.HPVAL($F$6,"actual",$B25,$D$3,"ytd","gpg")/1000,0)</f>
        <v>0</v>
      </c>
      <c r="G25" s="234">
        <f t="shared" si="0"/>
        <v>0</v>
      </c>
      <c r="J25" s="6"/>
    </row>
    <row r="26" spans="2:10" ht="13.2">
      <c r="B26" s="231" t="s">
        <v>81</v>
      </c>
      <c r="C26" s="232" t="str">
        <f>_xll.HPHEA($B26,"gpg")</f>
        <v>Special Deposits - Other</v>
      </c>
      <c r="D26" s="233">
        <f>ROUND(_xll.HPVAL($D$6,"actual",$B26,$D$3,"ytd","gpg")/1000,0)</f>
        <v>0</v>
      </c>
      <c r="E26" s="233">
        <f>ROUND(_xll.HPVAL($E$6,"actual",$B26,$D$3,"ytd","gpg")/1000,0)</f>
        <v>0</v>
      </c>
      <c r="F26" s="233">
        <f>ROUND(_xll.HPVAL($F$6,"actual",$B26,$D$3,"ytd","gpg")/1000,0)</f>
        <v>0</v>
      </c>
      <c r="G26" s="234">
        <f t="shared" si="0"/>
        <v>0</v>
      </c>
      <c r="J26" s="6"/>
    </row>
    <row r="27" spans="2:10" ht="13.2">
      <c r="B27" s="231" t="s">
        <v>82</v>
      </c>
      <c r="C27" s="232" t="str">
        <f>_xll.HPHEA($B27,"gpg")</f>
        <v>Prepayments - Prepaid Gas Purchases</v>
      </c>
      <c r="D27" s="233">
        <f>ROUND(_xll.HPVAL($D$6,"actual",$B27,$D$3,"ytd","gpg")/1000,0)</f>
        <v>0</v>
      </c>
      <c r="E27" s="233">
        <f>ROUND(_xll.HPVAL($E$6,"actual",$B27,$D$3,"ytd","gpg")/1000,0)</f>
        <v>0</v>
      </c>
      <c r="F27" s="233">
        <f>ROUND(_xll.HPVAL($F$6,"actual",$B27,$D$3,"ytd","gpg")/1000,0)</f>
        <v>0</v>
      </c>
      <c r="G27" s="234">
        <f t="shared" si="0"/>
        <v>0</v>
      </c>
      <c r="J27" s="6"/>
    </row>
    <row r="28" spans="2:10" ht="13.2">
      <c r="B28" s="231" t="s">
        <v>83</v>
      </c>
      <c r="C28" s="232" t="str">
        <f>_xll.HPHEA($B28,"gpg")</f>
        <v>Other</v>
      </c>
      <c r="D28" s="233">
        <f>ROUND(_xll.HPVAL($D$6,"actual",$B28,$D$3,"ytd","gpg")/1000,0)</f>
        <v>0</v>
      </c>
      <c r="E28" s="233">
        <f>ROUND(_xll.HPVAL($E$6,"actual",$B28,$D$3,"ytd","gpg")/1000,0)</f>
        <v>0</v>
      </c>
      <c r="F28" s="233">
        <f>ROUND(_xll.HPVAL($F$6,"actual",$B28,$D$3,"ytd","gpg")/1000,0)</f>
        <v>0</v>
      </c>
      <c r="G28" s="234">
        <f t="shared" si="0"/>
        <v>0</v>
      </c>
      <c r="J28" s="6"/>
    </row>
    <row r="29" spans="2:10" ht="13.2">
      <c r="B29" s="231" t="s">
        <v>108</v>
      </c>
      <c r="C29" s="232" t="str">
        <f>_xll.HPHEA($B29,"gpg")</f>
        <v>Miscellaneous Other Current Assets</v>
      </c>
      <c r="D29" s="233">
        <f>ROUND(_xll.HPVAL($D$6,"actual",$B29,$D$3,"ytd","gpg")/1000,0)</f>
        <v>5661</v>
      </c>
      <c r="E29" s="233">
        <f>ROUND(_xll.HPVAL($E$6,"actual",$B29,$D$3,"ytd","gpg")/1000,0)</f>
        <v>0</v>
      </c>
      <c r="F29" s="233">
        <f>ROUND(_xll.HPVAL($F$6,"actual",$B29,$D$3,"ytd","gpg")/1000,0)</f>
        <v>5661</v>
      </c>
      <c r="G29" s="234">
        <f t="shared" si="0"/>
        <v>0</v>
      </c>
      <c r="J29" s="6"/>
    </row>
    <row r="30" spans="2:10" ht="13.2">
      <c r="B30" s="231" t="s">
        <v>110</v>
      </c>
      <c r="C30" s="232" t="str">
        <f>_xll.HPHEA($B30,"gpg")</f>
        <v>Investment in Pipeline Partnerships</v>
      </c>
      <c r="D30" s="233">
        <f>ROUND(_xll.HPVAL($D$6,"actual",$B30,$D$3,"ytd","gpg")/1000,0)</f>
        <v>0</v>
      </c>
      <c r="E30" s="233">
        <f>ROUND(_xll.HPVAL($E$6,"actual",$B30,$D$3,"ytd","gpg")/1000,0)</f>
        <v>0</v>
      </c>
      <c r="F30" s="233">
        <f>ROUND(_xll.HPVAL($F$6,"actual",$B30,$D$3,"ytd","gpg")/1000,0)</f>
        <v>0</v>
      </c>
      <c r="G30" s="234">
        <f t="shared" si="0"/>
        <v>0</v>
      </c>
      <c r="J30" s="6"/>
    </row>
    <row r="31" spans="2:10" ht="13.2">
      <c r="B31" s="231" t="s">
        <v>111</v>
      </c>
      <c r="C31" s="232" t="str">
        <f>_xll.HPHEA($B31,"gpg")</f>
        <v>Noncurrent Notes Rec-Trade</v>
      </c>
      <c r="D31" s="233">
        <f>ROUND(_xll.HPVAL($D$6,"actual",$B31,$D$3,"ytd","gpg")/1000,0)</f>
        <v>0</v>
      </c>
      <c r="E31" s="233">
        <f>ROUND(_xll.HPVAL($E$6,"actual",$B31,$D$3,"ytd","gpg")/1000,0)</f>
        <v>0</v>
      </c>
      <c r="F31" s="233">
        <f>ROUND(_xll.HPVAL($F$6,"actual",$B31,$D$3,"ytd","gpg")/1000,0)</f>
        <v>0</v>
      </c>
      <c r="G31" s="234">
        <f t="shared" si="0"/>
        <v>0</v>
      </c>
      <c r="J31" s="6"/>
    </row>
    <row r="32" spans="2:10" ht="13.2">
      <c r="B32" s="231" t="s">
        <v>112</v>
      </c>
      <c r="C32" s="232" t="str">
        <f>_xll.HPHEA($B32,"gpg")</f>
        <v>Operating Equipment and Property</v>
      </c>
      <c r="D32" s="233">
        <f>ROUND(_xll.HPVAL($D$6,"actual",$B32,$D$3,"ytd","gpg")/1000,0)</f>
        <v>866946</v>
      </c>
      <c r="E32" s="233">
        <f>ROUND(_xll.HPVAL($E$6,"actual",$B32,$D$3,"ytd","gpg")/1000,0)</f>
        <v>76024</v>
      </c>
      <c r="F32" s="233">
        <f>ROUND(_xll.HPVAL($F$6,"actual",$B32,$D$3,"ytd","gpg")/1000,0)</f>
        <v>942970</v>
      </c>
      <c r="G32" s="234">
        <f t="shared" si="0"/>
        <v>0</v>
      </c>
      <c r="J32" s="6"/>
    </row>
    <row r="33" spans="2:11" ht="13.2">
      <c r="B33" s="231" t="s">
        <v>113</v>
      </c>
      <c r="C33" s="232" t="str">
        <f>_xll.HPHEA($B33,"gpg")</f>
        <v>Construction Work in Progress</v>
      </c>
      <c r="D33" s="233">
        <f>ROUND(_xll.HPVAL($D$6,"actual",$B33,$D$3,"ytd","gpg")/1000,0)</f>
        <v>55288</v>
      </c>
      <c r="E33" s="233">
        <f>ROUND(_xll.HPVAL($E$6,"actual",$B33,$D$3,"ytd","gpg")/1000,0)</f>
        <v>0</v>
      </c>
      <c r="F33" s="233">
        <f>ROUND(_xll.HPVAL($F$6,"actual",$B33,$D$3,"ytd","gpg")/1000,0)</f>
        <v>55288</v>
      </c>
      <c r="G33" s="234">
        <f t="shared" si="0"/>
        <v>0</v>
      </c>
      <c r="J33" s="6"/>
    </row>
    <row r="34" spans="2:11" ht="13.2">
      <c r="B34" s="231" t="s">
        <v>114</v>
      </c>
      <c r="C34" s="232" t="str">
        <f>_xll.HPHEA($B34,"gpg")</f>
        <v>Prop Plant &amp; Equip - FVA</v>
      </c>
      <c r="D34" s="233">
        <f>ROUND(_xll.HPVAL($D$6,"actual",$B34,$D$3,"ytd","gpg")/1000,0)</f>
        <v>0</v>
      </c>
      <c r="E34" s="233">
        <f>ROUND(_xll.HPVAL($E$6,"actual",$B34,$D$3,"ytd","gpg")/1000,0)</f>
        <v>0</v>
      </c>
      <c r="F34" s="233">
        <f>ROUND(_xll.HPVAL($F$6,"actual",$B34,$D$3,"ytd","gpg")/1000,0)</f>
        <v>0</v>
      </c>
      <c r="G34" s="234">
        <f t="shared" si="0"/>
        <v>0</v>
      </c>
      <c r="J34" s="6"/>
    </row>
    <row r="35" spans="2:11" ht="13.2">
      <c r="B35" s="231" t="s">
        <v>317</v>
      </c>
      <c r="C35" s="232" t="str">
        <f>_xll.HPHEA($B35,"gpg")</f>
        <v>Intangible plant-other</v>
      </c>
      <c r="D35" s="233">
        <f>ROUND(_xll.HPVAL($D$6,"actual",$B35,$D$3,"ytd","gpg")/1000,0)</f>
        <v>12826</v>
      </c>
      <c r="E35" s="233">
        <f>ROUND(_xll.HPVAL($E$6,"actual",$B35,$D$3,"ytd","gpg")/1000,0)</f>
        <v>0</v>
      </c>
      <c r="F35" s="233">
        <f>ROUND(_xll.HPVAL($F$6,"actual",$B35,$D$3,"ytd","gpg")/1000,0)</f>
        <v>12826</v>
      </c>
      <c r="G35" s="234">
        <f>D35+E35-F35</f>
        <v>0</v>
      </c>
      <c r="J35" s="6"/>
      <c r="K35" s="10"/>
    </row>
    <row r="36" spans="2:11" ht="13.2">
      <c r="B36" s="231" t="s">
        <v>115</v>
      </c>
      <c r="C36" s="232" t="str">
        <f>_xll.HPHEA($B36,"gpg")</f>
        <v>Accum Deprec -Plnt in Service &amp; Non-Util</v>
      </c>
      <c r="D36" s="233">
        <f>ROUND(_xll.HPVAL($D$6,"actual",$B36,$D$3,"ytd","gpg")/1000,0)</f>
        <v>-329681</v>
      </c>
      <c r="E36" s="233">
        <f>ROUND(_xll.HPVAL($E$6,"actual",$B36,$D$3,"ytd","gpg")/1000,0)</f>
        <v>220645</v>
      </c>
      <c r="F36" s="233">
        <f>ROUND(_xll.HPVAL($F$6,"actual",$B36,$D$3,"ytd","gpg")/1000,0)</f>
        <v>-109037</v>
      </c>
      <c r="G36" s="234">
        <f t="shared" si="0"/>
        <v>1</v>
      </c>
      <c r="J36" s="6"/>
      <c r="K36" s="10"/>
    </row>
    <row r="37" spans="2:11" ht="13.2">
      <c r="B37" s="231" t="s">
        <v>116</v>
      </c>
      <c r="C37" s="232" t="str">
        <f>_xll.HPHEA($B37,"gpg")</f>
        <v>Accum Depreciation - FVA</v>
      </c>
      <c r="D37" s="233">
        <f>ROUND(_xll.HPVAL($D$6,"actual",$B37,$D$3,"ytd","gpg")/1000,0)</f>
        <v>0</v>
      </c>
      <c r="E37" s="233">
        <f>ROUND(_xll.HPVAL($E$6,"actual",$B37,$D$3,"ytd","gpg")/1000,0)</f>
        <v>0</v>
      </c>
      <c r="F37" s="233">
        <f>ROUND(_xll.HPVAL($F$6,"actual",$B37,$D$3,"ytd","gpg")/1000,0)</f>
        <v>0</v>
      </c>
      <c r="G37" s="234">
        <f>D37+E37-F37</f>
        <v>0</v>
      </c>
      <c r="J37" s="6"/>
    </row>
    <row r="38" spans="2:11" ht="13.2">
      <c r="B38" s="231" t="s">
        <v>117</v>
      </c>
      <c r="C38" s="232" t="str">
        <f>_xll.HPHEA($B38,"gpg")</f>
        <v>Accumulated Depletion</v>
      </c>
      <c r="D38" s="233">
        <f>ROUND(_xll.HPVAL($D$6,"actual",$B38,$D$3,"ytd","gpg")/1000,0)</f>
        <v>0</v>
      </c>
      <c r="E38" s="233">
        <f>ROUND(_xll.HPVAL($E$6,"actual",$B38,$D$3,"ytd","gpg")/1000,0)</f>
        <v>0</v>
      </c>
      <c r="F38" s="233">
        <f>ROUND(_xll.HPVAL($F$6,"actual",$B38,$D$3,"ytd","gpg")/1000,0)</f>
        <v>0</v>
      </c>
      <c r="G38" s="234">
        <f t="shared" si="0"/>
        <v>0</v>
      </c>
      <c r="J38" s="6"/>
    </row>
    <row r="39" spans="2:11" ht="13.2">
      <c r="B39" s="231" t="s">
        <v>118</v>
      </c>
      <c r="C39" s="232" t="str">
        <f>_xll.HPHEA($B39,"gpg")</f>
        <v>Accumulated Amortization</v>
      </c>
      <c r="D39" s="233">
        <f>ROUND(_xll.HPVAL($D$6,"actual",$B39,$D$3,"ytd","gpg")/1000,0)</f>
        <v>-6406</v>
      </c>
      <c r="E39" s="233">
        <f>ROUND(_xll.HPVAL($E$6,"actual",$B39,$D$3,"ytd","gpg")/1000,0)</f>
        <v>0</v>
      </c>
      <c r="F39" s="233">
        <f>ROUND(_xll.HPVAL($F$6,"actual",$B39,$D$3,"ytd","gpg")/1000,0)</f>
        <v>-6406</v>
      </c>
      <c r="G39" s="234">
        <f t="shared" si="0"/>
        <v>0</v>
      </c>
      <c r="J39" s="6"/>
    </row>
    <row r="40" spans="2:11" ht="13.2">
      <c r="B40" s="231" t="s">
        <v>164</v>
      </c>
      <c r="C40" s="232" t="str">
        <f>_xll.HPHEA($B40,"gpg")</f>
        <v>Deferred Charges-Debt Expense</v>
      </c>
      <c r="D40" s="233">
        <f>ROUND(_xll.HPVAL($D$6,"actual",$B40,$D$3,"ytd","gpg")/1000,0)</f>
        <v>10</v>
      </c>
      <c r="E40" s="233">
        <f>ROUND(_xll.HPVAL($E$6,"actual",$B40,$D$3,"ytd","gpg")/1000,0)</f>
        <v>0</v>
      </c>
      <c r="F40" s="233">
        <f>ROUND(_xll.HPVAL($F$6,"actual",$B40,$D$3,"ytd","gpg")/1000,0)</f>
        <v>10</v>
      </c>
      <c r="G40" s="234">
        <f t="shared" si="0"/>
        <v>0</v>
      </c>
      <c r="J40" s="6"/>
    </row>
    <row r="41" spans="2:11" ht="13.2">
      <c r="B41" s="231" t="s">
        <v>165</v>
      </c>
      <c r="C41" s="232" t="str">
        <f>_xll.HPHEA($B41,"gpg")</f>
        <v>Misc Deferred Debits</v>
      </c>
      <c r="D41" s="233">
        <f>ROUND(_xll.HPVAL($D$6,"actual",$B41,$D$3,"ytd","gpg")/1000,0)</f>
        <v>2103</v>
      </c>
      <c r="E41" s="233">
        <f>ROUND(_xll.HPVAL($E$6,"actual",$B41,$D$3,"ytd","gpg")/1000,0)</f>
        <v>0</v>
      </c>
      <c r="F41" s="233">
        <f>ROUND(_xll.HPVAL($F$6,"actual",$B41,$D$3,"ytd","gpg")/1000,0)</f>
        <v>2103</v>
      </c>
      <c r="G41" s="234">
        <f t="shared" si="0"/>
        <v>0</v>
      </c>
      <c r="J41" s="6"/>
    </row>
    <row r="42" spans="2:11" ht="13.2">
      <c r="B42" s="231" t="s">
        <v>119</v>
      </c>
      <c r="C42" s="232" t="str">
        <f>_xll.HPHEA($B42,"gpg")</f>
        <v>Deferred Contract Reformation Costs</v>
      </c>
      <c r="D42" s="233">
        <f>ROUND(_xll.HPVAL($D$6,"actual",$B42,$D$3,"ytd","gpg")/1000,0)</f>
        <v>0</v>
      </c>
      <c r="E42" s="233">
        <f>ROUND(_xll.HPVAL($E$6,"actual",$B42,$D$3,"ytd","gpg")/1000,0)</f>
        <v>0</v>
      </c>
      <c r="F42" s="233">
        <f>ROUND(_xll.HPVAL($F$6,"actual",$B42,$D$3,"ytd","gpg")/1000,0)</f>
        <v>0</v>
      </c>
      <c r="G42" s="234">
        <f t="shared" si="0"/>
        <v>0</v>
      </c>
      <c r="J42" s="6"/>
    </row>
    <row r="43" spans="2:11" ht="13.2">
      <c r="B43" s="231" t="s">
        <v>163</v>
      </c>
      <c r="C43" s="232" t="str">
        <f>_xll.HPHEA($B43,"gpg")</f>
        <v>Deferred charges-regulatory assets</v>
      </c>
      <c r="D43" s="233">
        <f>ROUND(_xll.HPVAL($D$6,"actual",$B43,$D$3,"ytd","gpg")/1000,0)</f>
        <v>75860</v>
      </c>
      <c r="E43" s="233">
        <f>ROUND(_xll.HPVAL($E$6,"actual",$B43,$D$3,"ytd","gpg")/1000,0)</f>
        <v>0</v>
      </c>
      <c r="F43" s="233">
        <f>ROUND(_xll.HPVAL($F$6,"actual",$B43,$D$3,"ytd","gpg")/1000,0)</f>
        <v>75860</v>
      </c>
      <c r="G43" s="234">
        <f t="shared" si="0"/>
        <v>0</v>
      </c>
      <c r="J43" s="6"/>
    </row>
    <row r="44" spans="2:11" ht="13.2">
      <c r="B44" s="231" t="s">
        <v>430</v>
      </c>
      <c r="C44" s="232" t="str">
        <f>_xll.HPHEA($B44,"gpg")</f>
        <v>Deferred assets-risk mgmnt activities</v>
      </c>
      <c r="D44" s="233">
        <f>ROUND(_xll.HPVAL($D$6,"actual",$B44,$D$3,"ytd","gpg")/1000,0)</f>
        <v>14193</v>
      </c>
      <c r="E44" s="233">
        <f>ROUND(_xll.HPVAL($E$6,"actual",$B44,$D$3,"ytd","gpg")/1000,0)</f>
        <v>0</v>
      </c>
      <c r="F44" s="233">
        <f>ROUND(_xll.HPVAL($F$6,"actual",$B44,$D$3,"ytd","gpg")/1000,0)</f>
        <v>14193</v>
      </c>
      <c r="G44" s="234">
        <f>D44+E44-F44</f>
        <v>0</v>
      </c>
      <c r="J44" s="6"/>
    </row>
    <row r="45" spans="2:11" ht="13.2">
      <c r="B45" s="231" t="s">
        <v>166</v>
      </c>
      <c r="C45" s="232" t="str">
        <f>_xll.HPHEA($B45,"gpg")</f>
        <v>Deferred Charges - Other</v>
      </c>
      <c r="D45" s="233">
        <f>ROUND(_xll.HPVAL($D$6,"actual",$B45,$D$3,"ytd","gpg")/1000,0)</f>
        <v>1913</v>
      </c>
      <c r="E45" s="233">
        <f>ROUND(_xll.HPVAL($E$6,"actual",$B45,$D$3,"ytd","gpg")/1000,0)</f>
        <v>0</v>
      </c>
      <c r="F45" s="233">
        <f>ROUND(_xll.HPVAL($F$6,"actual",$B45,$D$3,"ytd","gpg")/1000,0)</f>
        <v>1913</v>
      </c>
      <c r="G45" s="234">
        <f t="shared" si="0"/>
        <v>0</v>
      </c>
      <c r="J45" s="6"/>
    </row>
    <row r="46" spans="2:11" ht="13.2">
      <c r="B46" s="231"/>
      <c r="C46" s="235" t="s">
        <v>282</v>
      </c>
      <c r="D46" s="236">
        <v>0</v>
      </c>
      <c r="E46" s="236">
        <v>0</v>
      </c>
      <c r="F46" s="236">
        <v>0</v>
      </c>
      <c r="G46" s="234">
        <f t="shared" si="0"/>
        <v>0</v>
      </c>
      <c r="J46" s="6"/>
    </row>
    <row r="47" spans="2:11" ht="13.8" thickBot="1">
      <c r="B47" s="237"/>
      <c r="C47" s="238" t="s">
        <v>272</v>
      </c>
      <c r="D47" s="239">
        <f>SUM(D7:D46)</f>
        <v>1003656</v>
      </c>
      <c r="E47" s="239">
        <f>SUM(E7:E45)</f>
        <v>296664</v>
      </c>
      <c r="F47" s="239">
        <f>SUM(F7:F46)</f>
        <v>1300319</v>
      </c>
      <c r="G47" s="240">
        <f t="shared" si="0"/>
        <v>1</v>
      </c>
    </row>
    <row r="48" spans="2:11" ht="13.8" thickTop="1">
      <c r="B48" s="241"/>
      <c r="C48" s="242"/>
      <c r="D48" s="233"/>
      <c r="E48" s="233"/>
      <c r="F48" s="233"/>
      <c r="G48" s="234"/>
    </row>
    <row r="49" spans="2:10" ht="13.2">
      <c r="B49" s="231" t="s">
        <v>168</v>
      </c>
      <c r="C49" s="232" t="str">
        <f>_xll.HPHEA($B49,"gpg")</f>
        <v>Current Maturities of Long-Term Debt</v>
      </c>
      <c r="D49" s="233">
        <f>ROUND(_xll.HPVAL($D$6,"actual",$B49,$D$3,"ytd","gpg")/1000,0)</f>
        <v>3850</v>
      </c>
      <c r="E49" s="233">
        <f>ROUND(_xll.HPVAL($E$6,"actual",$B49,$D$3,"ytd","gpg")/1000,0)</f>
        <v>0</v>
      </c>
      <c r="F49" s="233">
        <f>ROUND(_xll.HPVAL($F$6,"actual",$B49,$D$3,"ytd","gpg")/1000,0)</f>
        <v>3850</v>
      </c>
      <c r="G49" s="234">
        <f t="shared" ref="G49:G89" si="1">D49+E49-F49</f>
        <v>0</v>
      </c>
      <c r="J49" s="6"/>
    </row>
    <row r="50" spans="2:10" ht="13.2">
      <c r="B50" s="231" t="s">
        <v>169</v>
      </c>
      <c r="C50" s="232" t="str">
        <f>_xll.HPHEA($B50,"gpg")</f>
        <v>Accounts Payable - Consolidated Subs</v>
      </c>
      <c r="D50" s="233">
        <f>ROUND(_xll.HPVAL($D$6,"actual",$B50,$D$3,"ytd","gpg")/1000,0)</f>
        <v>0</v>
      </c>
      <c r="E50" s="233">
        <f>ROUND(_xll.HPVAL($E$6,"actual",$B50,$D$3,"ytd","gpg")/1000,0)</f>
        <v>0</v>
      </c>
      <c r="F50" s="233">
        <f>ROUND(_xll.HPVAL($F$6,"actual",$B50,$D$3,"ytd","gpg")/1000,0)</f>
        <v>0</v>
      </c>
      <c r="G50" s="234">
        <f t="shared" si="1"/>
        <v>0</v>
      </c>
      <c r="J50" s="6"/>
    </row>
    <row r="51" spans="2:10" ht="13.2">
      <c r="B51" s="231" t="s">
        <v>170</v>
      </c>
      <c r="C51" s="232" t="str">
        <f>_xll.HPHEA($B51,"gpg")</f>
        <v>Accounts payable - corporate activities</v>
      </c>
      <c r="D51" s="233">
        <f>ROUND(_xll.HPVAL($D$6,"actual",$B51,$D$3,"ytd","gpg")/1000,0)</f>
        <v>0</v>
      </c>
      <c r="E51" s="233">
        <f>ROUND(_xll.HPVAL($E$6,"actual",$B51,$D$3,"ytd","gpg")/1000,0)</f>
        <v>0</v>
      </c>
      <c r="F51" s="233">
        <f>ROUND(_xll.HPVAL($F$6,"actual",$B51,$D$3,"ytd","gpg")/1000,0)</f>
        <v>0</v>
      </c>
      <c r="G51" s="234">
        <f t="shared" si="1"/>
        <v>0</v>
      </c>
      <c r="J51" s="6"/>
    </row>
    <row r="52" spans="2:10" ht="13.2">
      <c r="B52" s="231" t="s">
        <v>171</v>
      </c>
      <c r="C52" s="232" t="str">
        <f>_xll.HPHEA($B52,"gpg")</f>
        <v>Accounts rec. - corporate activities</v>
      </c>
      <c r="D52" s="233">
        <f>ROUND(_xll.HPVAL($D$6,"actual",$B52,$D$3,"ytd","gpg")/1000,0)</f>
        <v>0</v>
      </c>
      <c r="E52" s="233">
        <f>ROUND(_xll.HPVAL($E$6,"actual",$B52,$D$3,"ytd","gpg")/1000,0)</f>
        <v>0</v>
      </c>
      <c r="F52" s="233">
        <f>ROUND(_xll.HPVAL($F$6,"actual",$B52,$D$3,"ytd","gpg")/1000,0)</f>
        <v>0</v>
      </c>
      <c r="G52" s="234">
        <f t="shared" si="1"/>
        <v>0</v>
      </c>
      <c r="J52" s="6"/>
    </row>
    <row r="53" spans="2:10" ht="13.2">
      <c r="B53" s="231" t="s">
        <v>173</v>
      </c>
      <c r="C53" s="232" t="str">
        <f>_xll.HPHEA($B53,"gpg")</f>
        <v>Accts Payable - Trade</v>
      </c>
      <c r="D53" s="233">
        <f>ROUND(_xll.HPVAL($D$6,"actual",$B53,$D$3,"ytd","gpg")/1000,0)</f>
        <v>2297</v>
      </c>
      <c r="E53" s="233">
        <f>ROUND(_xll.HPVAL($E$6,"actual",$B53,$D$3,"ytd","gpg")/1000,0)</f>
        <v>0</v>
      </c>
      <c r="F53" s="233">
        <f>ROUND(_xll.HPVAL($F$6,"actual",$B53,$D$3,"ytd","gpg")/1000,0)</f>
        <v>2297</v>
      </c>
      <c r="G53" s="234">
        <f t="shared" si="1"/>
        <v>0</v>
      </c>
      <c r="J53" s="6"/>
    </row>
    <row r="54" spans="2:10" ht="13.2">
      <c r="B54" s="231" t="s">
        <v>174</v>
      </c>
      <c r="C54" s="232" t="str">
        <f>_xll.HPHEA($B54,"gpg")</f>
        <v>Commodities Exchange Payable - Trade</v>
      </c>
      <c r="D54" s="233">
        <f>ROUND(_xll.HPVAL($D$6,"actual",$B54,$D$3,"ytd","gpg")/1000,0)</f>
        <v>13191</v>
      </c>
      <c r="E54" s="233">
        <f>ROUND(_xll.HPVAL($E$6,"actual",$B54,$D$3,"ytd","gpg")/1000,0)</f>
        <v>0</v>
      </c>
      <c r="F54" s="233">
        <f>ROUND(_xll.HPVAL($F$6,"actual",$B54,$D$3,"ytd","gpg")/1000,0)</f>
        <v>13191</v>
      </c>
      <c r="G54" s="234">
        <f t="shared" si="1"/>
        <v>0</v>
      </c>
      <c r="J54" s="6"/>
    </row>
    <row r="55" spans="2:10" ht="13.2">
      <c r="B55" s="231" t="s">
        <v>175</v>
      </c>
      <c r="C55" s="232" t="str">
        <f>_xll.HPHEA($B55,"gpg")</f>
        <v>Commodities exchange payable-assoc co</v>
      </c>
      <c r="D55" s="233">
        <f>ROUND(_xll.HPVAL($D$6,"actual",$B55,$D$3,"ytd","gpg")/1000,0)</f>
        <v>0</v>
      </c>
      <c r="E55" s="233">
        <f>ROUND(_xll.HPVAL($E$6,"actual",$B55,$D$3,"ytd","gpg")/1000,0)</f>
        <v>0</v>
      </c>
      <c r="F55" s="233">
        <f>ROUND(_xll.HPVAL($F$6,"actual",$B55,$D$3,"ytd","gpg")/1000,0)</f>
        <v>0</v>
      </c>
      <c r="G55" s="234">
        <f t="shared" si="1"/>
        <v>0</v>
      </c>
      <c r="J55" s="6"/>
    </row>
    <row r="56" spans="2:10" ht="13.2">
      <c r="B56" s="231" t="s">
        <v>176</v>
      </c>
      <c r="C56" s="232" t="str">
        <f>_xll.HPHEA($B56,"gpg")</f>
        <v>Accrued Taxes Payable - Other</v>
      </c>
      <c r="D56" s="233">
        <f>ROUND(_xll.HPVAL($D$6,"actual",$B56,$D$3,"ytd","gpg")/1000,0)</f>
        <v>5950</v>
      </c>
      <c r="E56" s="233">
        <f>ROUND(_xll.HPVAL($E$6,"actual",$B56,$D$3,"ytd","gpg")/1000,0)</f>
        <v>0</v>
      </c>
      <c r="F56" s="233">
        <f>ROUND(_xll.HPVAL($F$6,"actual",$B56,$D$3,"ytd","gpg")/1000,0)</f>
        <v>5950</v>
      </c>
      <c r="G56" s="234">
        <f t="shared" si="1"/>
        <v>0</v>
      </c>
      <c r="J56" s="6"/>
    </row>
    <row r="57" spans="2:10" ht="13.2">
      <c r="B57" s="231" t="s">
        <v>177</v>
      </c>
      <c r="C57" s="232" t="str">
        <f>_xll.HPHEA($B57,"gpg")</f>
        <v>Income Taxes Payable - State</v>
      </c>
      <c r="D57" s="233">
        <f>ROUND(_xll.HPVAL($D$6,"actual",$B57,$D$3,"ytd","gpg")/1000,0)</f>
        <v>480</v>
      </c>
      <c r="E57" s="233">
        <f>ROUND(_xll.HPVAL($E$6,"actual",$B57,$D$3,"ytd","gpg")/1000,0)</f>
        <v>0</v>
      </c>
      <c r="F57" s="233">
        <f>ROUND(_xll.HPVAL($F$6,"actual",$B57,$D$3,"ytd","gpg")/1000,0)</f>
        <v>480</v>
      </c>
      <c r="G57" s="234">
        <f t="shared" si="1"/>
        <v>0</v>
      </c>
      <c r="J57" s="6"/>
    </row>
    <row r="58" spans="2:10" ht="13.2">
      <c r="B58" s="231" t="s">
        <v>178</v>
      </c>
      <c r="C58" s="232" t="str">
        <f>_xll.HPHEA($B58,"gpg")</f>
        <v>Income Taxes Payable - Federal</v>
      </c>
      <c r="D58" s="233">
        <f>ROUND(_xll.HPVAL($D$6,"actual",$B58,$D$3,"ytd","gpg")/1000,0)</f>
        <v>0</v>
      </c>
      <c r="E58" s="233">
        <f>ROUND(_xll.HPVAL($E$6,"actual",$B58,$D$3,"ytd","gpg")/1000,0)</f>
        <v>0</v>
      </c>
      <c r="F58" s="233">
        <f>ROUND(_xll.HPVAL($F$6,"actual",$B58,$D$3,"ytd","gpg")/1000,0)</f>
        <v>0</v>
      </c>
      <c r="G58" s="234">
        <f t="shared" si="1"/>
        <v>0</v>
      </c>
      <c r="J58" s="6"/>
    </row>
    <row r="59" spans="2:10" ht="13.2">
      <c r="B59" s="231" t="s">
        <v>179</v>
      </c>
      <c r="C59" s="232" t="str">
        <f>_xll.HPHEA($B59,"gpg")</f>
        <v>Accrued Interest - Other</v>
      </c>
      <c r="D59" s="233">
        <f>ROUND(_xll.HPVAL($D$6,"actual",$B59,$D$3,"ytd","gpg")/1000,0)</f>
        <v>355</v>
      </c>
      <c r="E59" s="233">
        <f>ROUND(_xll.HPVAL($E$6,"actual",$B59,$D$3,"ytd","gpg")/1000,0)</f>
        <v>0</v>
      </c>
      <c r="F59" s="233">
        <f>ROUND(_xll.HPVAL($F$6,"actual",$B59,$D$3,"ytd","gpg")/1000,0)</f>
        <v>355</v>
      </c>
      <c r="G59" s="234">
        <f t="shared" si="1"/>
        <v>0</v>
      </c>
      <c r="J59" s="6"/>
    </row>
    <row r="60" spans="2:10" ht="13.2">
      <c r="B60" s="231" t="s">
        <v>180</v>
      </c>
      <c r="C60" s="232" t="str">
        <f>_xll.HPHEA($B60,"gpg")</f>
        <v>Current Dfrd Taxes Payable-Federal</v>
      </c>
      <c r="D60" s="233">
        <f>ROUND(_xll.HPVAL($D$6,"actual",$B60,$D$3,"ytd","gpg")/1000,0)</f>
        <v>1794</v>
      </c>
      <c r="E60" s="233">
        <f>ROUND(_xll.HPVAL($E$6,"actual",$B60,$D$3,"ytd","gpg")/1000,0)</f>
        <v>0</v>
      </c>
      <c r="F60" s="233">
        <f>ROUND(_xll.HPVAL($F$6,"actual",$B60,$D$3,"ytd","gpg")/1000,0)</f>
        <v>1794</v>
      </c>
      <c r="G60" s="234">
        <f>D60+E60-F60</f>
        <v>0</v>
      </c>
      <c r="J60" s="6"/>
    </row>
    <row r="61" spans="2:10" ht="13.2">
      <c r="B61" s="231" t="s">
        <v>397</v>
      </c>
      <c r="C61" s="232" t="str">
        <f>_xll.HPHEA($B61,"gpg")</f>
        <v>Misc Current &amp; Accrued Liabilities</v>
      </c>
      <c r="D61" s="233">
        <f>ROUND(_xll.HPVAL($D$6,"actual",$B61,$D$3,"ytd","gpg")/1000,0)</f>
        <v>31</v>
      </c>
      <c r="E61" s="233">
        <f>ROUND(_xll.HPVAL($E$6,"actual",$B61,$D$3,"ytd","gpg")/1000,0)</f>
        <v>0</v>
      </c>
      <c r="F61" s="233">
        <f>ROUND(_xll.HPVAL($F$6,"actual",$B61,$D$3,"ytd","gpg")/1000,0)</f>
        <v>31</v>
      </c>
      <c r="G61" s="234">
        <f t="shared" si="1"/>
        <v>0</v>
      </c>
      <c r="J61" s="6"/>
    </row>
    <row r="62" spans="2:10" ht="13.2">
      <c r="B62" s="231" t="s">
        <v>181</v>
      </c>
      <c r="C62" s="232" t="str">
        <f>_xll.HPHEA($B62,"gpg")</f>
        <v>ADSIT current</v>
      </c>
      <c r="D62" s="233">
        <f>ROUND(_xll.HPVAL($D$6,"actual",$B62,$D$3,"ytd","gpg")/1000,0)</f>
        <v>325</v>
      </c>
      <c r="E62" s="233">
        <f>ROUND(_xll.HPVAL($E$6,"actual",$B62,$D$3,"ytd","gpg")/1000,0)</f>
        <v>0</v>
      </c>
      <c r="F62" s="233">
        <f>ROUND(_xll.HPVAL($F$6,"actual",$B62,$D$3,"ytd","gpg")/1000,0)</f>
        <v>325</v>
      </c>
      <c r="G62" s="234">
        <f t="shared" si="1"/>
        <v>0</v>
      </c>
      <c r="J62" s="6"/>
    </row>
    <row r="63" spans="2:10" ht="13.2">
      <c r="B63" s="231" t="s">
        <v>316</v>
      </c>
      <c r="C63" s="232" t="str">
        <f>_xll.HPHEA($B63,"gpg")</f>
        <v>Net pay clearing</v>
      </c>
      <c r="D63" s="233">
        <f>ROUND(_xll.HPVAL($D$6,"actual",$B63,$D$3,"ytd","gpg")/1000,0)</f>
        <v>-10</v>
      </c>
      <c r="E63" s="233">
        <f>ROUND(_xll.HPVAL($E$6,"actual",$B63,$D$3,"ytd","gpg")/1000,0)</f>
        <v>0</v>
      </c>
      <c r="F63" s="233">
        <f>ROUND(_xll.HPVAL($F$6,"actual",$B63,$D$3,"ytd","gpg")/1000,0)</f>
        <v>-10</v>
      </c>
      <c r="G63" s="234">
        <f>D63+E63-F63</f>
        <v>0</v>
      </c>
      <c r="J63" s="6"/>
    </row>
    <row r="64" spans="2:10" ht="13.2">
      <c r="B64" s="231" t="s">
        <v>184</v>
      </c>
      <c r="C64" s="232" t="str">
        <f>_xll.HPHEA($B64,"gpg")</f>
        <v>Reserve for Regulatory Issues</v>
      </c>
      <c r="D64" s="233">
        <f>ROUND(_xll.HPVAL($D$6,"actual",$B64,$D$3,"ytd","gpg")/1000,0)</f>
        <v>0</v>
      </c>
      <c r="E64" s="233">
        <f>ROUND(_xll.HPVAL($E$6,"actual",$B64,$D$3,"ytd","gpg")/1000,0)</f>
        <v>0</v>
      </c>
      <c r="F64" s="233">
        <f>ROUND(_xll.HPVAL($F$6,"actual",$B64,$D$3,"ytd","gpg")/1000,0)</f>
        <v>0</v>
      </c>
      <c r="G64" s="234">
        <f t="shared" si="1"/>
        <v>0</v>
      </c>
      <c r="J64" s="6"/>
    </row>
    <row r="65" spans="2:10" ht="13.2">
      <c r="B65" s="231" t="s">
        <v>570</v>
      </c>
      <c r="C65" s="232" t="str">
        <f>_xll.HPHEA($B65,"gpg")</f>
        <v>Price risk management liab-current</v>
      </c>
      <c r="D65" s="233">
        <f>ROUND(_xll.HPVAL($D$6,"actual",$B65,$D$3,"ytd","gpg")/1000,0)</f>
        <v>-10</v>
      </c>
      <c r="E65" s="233">
        <f>ROUND(_xll.HPVAL($E$6,"actual",$B65,$D$3,"ytd","gpg")/1000,0)</f>
        <v>0</v>
      </c>
      <c r="F65" s="233">
        <f>ROUND(_xll.HPVAL($F$6,"actual",$B65,$D$3,"ytd","gpg")/1000,0)</f>
        <v>-10</v>
      </c>
      <c r="G65" s="234">
        <f>D65+E65-F65</f>
        <v>0</v>
      </c>
      <c r="J65" s="6"/>
    </row>
    <row r="66" spans="2:10" ht="13.2">
      <c r="B66" s="231" t="s">
        <v>185</v>
      </c>
      <c r="C66" s="232" t="str">
        <f>_xll.HPHEA($B66,"gpg")</f>
        <v>Misc Current &amp; Accrued Liabilities-Other</v>
      </c>
      <c r="D66" s="233">
        <f>ROUND(_xll.HPVAL($D$6,"actual",$B66,$D$3,"ytd","gpg")/1000,0)</f>
        <v>12624</v>
      </c>
      <c r="E66" s="233">
        <f>ROUND(_xll.HPVAL($E$6,"actual",$B66,$D$3,"ytd","gpg")/1000,0)</f>
        <v>0</v>
      </c>
      <c r="F66" s="233">
        <f>ROUND(_xll.HPVAL($F$6,"actual",$B66,$D$3,"ytd","gpg")/1000,0)</f>
        <v>12624</v>
      </c>
      <c r="G66" s="234">
        <f t="shared" si="1"/>
        <v>0</v>
      </c>
      <c r="J66" s="6"/>
    </row>
    <row r="67" spans="2:10" ht="13.2">
      <c r="B67" s="231" t="s">
        <v>186</v>
      </c>
      <c r="C67" s="232" t="str">
        <f>_xll.HPHEA($B67,"gpg")</f>
        <v>Deferred Income Taxes - Federal</v>
      </c>
      <c r="D67" s="233">
        <f>ROUND(_xll.HPVAL($D$6,"actual",$B67,$D$3,"ytd","gpg")/1000,0)</f>
        <v>112257</v>
      </c>
      <c r="E67" s="233">
        <f>ROUND(_xll.HPVAL($E$6,"actual",$B67,$D$3,"ytd","gpg")/1000,0)</f>
        <v>103829</v>
      </c>
      <c r="F67" s="233">
        <f>ROUND(_xll.HPVAL($F$6,"actual",$B67,$D$3,"ytd","gpg")/1000,0)</f>
        <v>216086</v>
      </c>
      <c r="G67" s="234">
        <f t="shared" si="1"/>
        <v>0</v>
      </c>
      <c r="J67" s="6"/>
    </row>
    <row r="68" spans="2:10" ht="13.2">
      <c r="B68" s="231" t="s">
        <v>187</v>
      </c>
      <c r="C68" s="232" t="str">
        <f>_xll.HPHEA($B68,"gpg")</f>
        <v>Deferred Inc Taxes - Fed'l - Fair Value</v>
      </c>
      <c r="D68" s="233">
        <f>ROUND(_xll.HPVAL($D$6,"actual",$B68,$D$3,"ytd","gpg")/1000,0)</f>
        <v>0</v>
      </c>
      <c r="E68" s="233">
        <f>ROUND(_xll.HPVAL($E$6,"actual",$B68,$D$3,"ytd","gpg")/1000,0)</f>
        <v>0</v>
      </c>
      <c r="F68" s="233">
        <f>ROUND(_xll.HPVAL($F$6,"actual",$B68,$D$3,"ytd","gpg")/1000,0)</f>
        <v>0</v>
      </c>
      <c r="G68" s="234">
        <f t="shared" si="1"/>
        <v>0</v>
      </c>
      <c r="J68" s="6"/>
    </row>
    <row r="69" spans="2:10" ht="13.2">
      <c r="B69" s="231" t="s">
        <v>188</v>
      </c>
      <c r="C69" s="232" t="str">
        <f>_xll.HPHEA($B69,"gpg")</f>
        <v>Deferred Income Taxes - State</v>
      </c>
      <c r="D69" s="233">
        <f>ROUND(_xll.HPVAL($D$6,"actual",$B69,$D$3,"ytd","gpg")/1000,0)</f>
        <v>19498</v>
      </c>
      <c r="E69" s="233">
        <f>ROUND(_xll.HPVAL($E$6,"actual",$B69,$D$3,"ytd","gpg")/1000,0)</f>
        <v>0</v>
      </c>
      <c r="F69" s="233">
        <f>ROUND(_xll.HPVAL($F$6,"actual",$B69,$D$3,"ytd","gpg")/1000,0)</f>
        <v>19498</v>
      </c>
      <c r="G69" s="234">
        <f t="shared" si="1"/>
        <v>0</v>
      </c>
      <c r="J69" s="6"/>
    </row>
    <row r="70" spans="2:10" ht="13.2">
      <c r="B70" s="231" t="s">
        <v>189</v>
      </c>
      <c r="C70" s="232" t="str">
        <f>_xll.HPHEA($B70,"gpg")</f>
        <v>Deferred investment tax credits</v>
      </c>
      <c r="D70" s="233">
        <f>ROUND(_xll.HPVAL($D$6,"actual",$B70,$D$3,"ytd","gpg")/1000,0)</f>
        <v>0</v>
      </c>
      <c r="E70" s="233">
        <f>ROUND(_xll.HPVAL($E$6,"actual",$B70,$D$3,"ytd","gpg")/1000,0)</f>
        <v>0</v>
      </c>
      <c r="F70" s="233">
        <f>ROUND(_xll.HPVAL($F$6,"actual",$B70,$D$3,"ytd","gpg")/1000,0)</f>
        <v>0</v>
      </c>
      <c r="G70" s="234">
        <f t="shared" si="1"/>
        <v>0</v>
      </c>
      <c r="J70" s="6"/>
    </row>
    <row r="71" spans="2:10" ht="13.2">
      <c r="B71" s="231" t="s">
        <v>192</v>
      </c>
      <c r="C71" s="232" t="str">
        <f>_xll.HPHEA($B71,"gpg")</f>
        <v>Other Dfrd Cr-Unam Gain Reacqd Debit</v>
      </c>
      <c r="D71" s="233">
        <f>ROUND(_xll.HPVAL($D$6,"actual",$B71,$D$3,"ytd","gpg")/1000,0)</f>
        <v>0</v>
      </c>
      <c r="E71" s="233">
        <f>ROUND(_xll.HPVAL($E$6,"actual",$B71,$D$3,"ytd","gpg")/1000,0)</f>
        <v>0</v>
      </c>
      <c r="F71" s="233">
        <f>ROUND(_xll.HPVAL($F$6,"actual",$B71,$D$3,"ytd","gpg")/1000,0)</f>
        <v>0</v>
      </c>
      <c r="G71" s="234">
        <f t="shared" si="1"/>
        <v>0</v>
      </c>
      <c r="J71" s="6"/>
    </row>
    <row r="72" spans="2:10" ht="13.2">
      <c r="B72" s="231" t="s">
        <v>191</v>
      </c>
      <c r="C72" s="232" t="str">
        <f>_xll.HPHEA($B72,"gpg")</f>
        <v>Other Dfrd Cr-FERC Order 636</v>
      </c>
      <c r="D72" s="233">
        <f>ROUND(_xll.HPVAL($D$6,"actual",$B72,$D$3,"ytd","gpg")/1000,0)</f>
        <v>0</v>
      </c>
      <c r="E72" s="233">
        <f>ROUND(_xll.HPVAL($E$6,"actual",$B72,$D$3,"ytd","gpg")/1000,0)</f>
        <v>0</v>
      </c>
      <c r="F72" s="233">
        <f>ROUND(_xll.HPVAL($F$6,"actual",$B72,$D$3,"ytd","gpg")/1000,0)</f>
        <v>0</v>
      </c>
      <c r="G72" s="234">
        <f>D72+E72-F72</f>
        <v>0</v>
      </c>
      <c r="J72" s="6"/>
    </row>
    <row r="73" spans="2:10" ht="13.2">
      <c r="B73" s="231" t="s">
        <v>421</v>
      </c>
      <c r="C73" s="232" t="str">
        <f>_xll.HPHEA($B73,"gpg")</f>
        <v>Price risk managment liabilities</v>
      </c>
      <c r="D73" s="233">
        <f>ROUND(_xll.HPVAL($D$6,"actual",$B73,$D$3,"ytd","gpg")/1000,0)</f>
        <v>0</v>
      </c>
      <c r="E73" s="233">
        <f>ROUND(_xll.HPVAL($E$6,"actual",$B73,$D$3,"ytd","gpg")/1000,0)</f>
        <v>0</v>
      </c>
      <c r="F73" s="233">
        <f>ROUND(_xll.HPVAL($F$6,"actual",$B73,$D$3,"ytd","gpg")/1000,0)</f>
        <v>0</v>
      </c>
      <c r="G73" s="234">
        <f>D73+E73-F73</f>
        <v>0</v>
      </c>
      <c r="J73" s="6"/>
    </row>
    <row r="74" spans="2:10" ht="13.2">
      <c r="B74" s="231" t="s">
        <v>193</v>
      </c>
      <c r="C74" s="232" t="str">
        <f>_xll.HPHEA($B74,"gpg")</f>
        <v>Othr Dfrd Cr-Other</v>
      </c>
      <c r="D74" s="233">
        <f>ROUND(_xll.HPVAL($D$6,"actual",$B74,$D$3,"ytd","gpg")/1000,0)</f>
        <v>2497</v>
      </c>
      <c r="E74" s="233">
        <f>ROUND(_xll.HPVAL($E$6,"actual",$B74,$D$3,"ytd","gpg")/1000,0)</f>
        <v>0</v>
      </c>
      <c r="F74" s="233">
        <f>ROUND(_xll.HPVAL($F$6,"actual",$B74,$D$3,"ytd","gpg")/1000,0)</f>
        <v>2497</v>
      </c>
      <c r="G74" s="234">
        <f t="shared" si="1"/>
        <v>0</v>
      </c>
      <c r="J74" s="6"/>
    </row>
    <row r="75" spans="2:10" ht="13.2">
      <c r="B75" s="231" t="s">
        <v>313</v>
      </c>
      <c r="C75" s="232" t="str">
        <f>_xll.HPHEA($B75,"gpg")</f>
        <v>Long-term debt-assoc co-Enron Corp</v>
      </c>
      <c r="D75" s="233">
        <f>ROUND(_xll.HPVAL($D$6,"actual",$B75,$D$3,"ytd","gpg")/1000,0)</f>
        <v>0</v>
      </c>
      <c r="E75" s="233">
        <f>ROUND(_xll.HPVAL($E$6,"actual",$B75,$D$3,"ytd","gpg")/1000,0)</f>
        <v>0</v>
      </c>
      <c r="F75" s="233">
        <f>ROUND(_xll.HPVAL($F$6,"actual",$B75,$D$3,"ytd","gpg")/1000,0)</f>
        <v>0</v>
      </c>
      <c r="G75" s="234">
        <f t="shared" si="1"/>
        <v>0</v>
      </c>
      <c r="J75" s="6"/>
    </row>
    <row r="76" spans="2:10" ht="13.2">
      <c r="B76" s="231" t="s">
        <v>194</v>
      </c>
      <c r="C76" s="232" t="str">
        <f>_xll.HPHEA($B76,"gpg")</f>
        <v>Long-Term Debt</v>
      </c>
      <c r="D76" s="233">
        <f>ROUND(_xll.HPVAL($D$6,"actual",$B76,$D$3,"ytd","gpg")/1000,0)</f>
        <v>15450</v>
      </c>
      <c r="E76" s="233">
        <f>ROUND(_xll.HPVAL($E$6,"actual",$B76,$D$3,"ytd","gpg")/1000,0)</f>
        <v>0</v>
      </c>
      <c r="F76" s="233">
        <f>ROUND(_xll.HPVAL($F$6,"actual",$B76,$D$3,"ytd","gpg")/1000,0)</f>
        <v>15450</v>
      </c>
      <c r="G76" s="234">
        <f t="shared" si="1"/>
        <v>0</v>
      </c>
      <c r="J76" s="6"/>
    </row>
    <row r="77" spans="2:10" ht="13.2">
      <c r="B77" s="231" t="s">
        <v>195</v>
      </c>
      <c r="C77" s="232" t="str">
        <f>_xll.HPHEA($B77,"gpg")</f>
        <v>Unamortized Premium on L/T Debt - Debit</v>
      </c>
      <c r="D77" s="233">
        <f>ROUND(_xll.HPVAL($D$6,"actual",$B77,$D$3,"ytd","gpg")/1000,0)</f>
        <v>0</v>
      </c>
      <c r="E77" s="233">
        <f>ROUND(_xll.HPVAL($E$6,"actual",$B77,$D$3,"ytd","gpg")/1000,0)</f>
        <v>0</v>
      </c>
      <c r="F77" s="233">
        <f>ROUND(_xll.HPVAL($F$6,"actual",$B77,$D$3,"ytd","gpg")/1000,0)</f>
        <v>0</v>
      </c>
      <c r="G77" s="234">
        <f t="shared" si="1"/>
        <v>0</v>
      </c>
    </row>
    <row r="78" spans="2:10" ht="13.2">
      <c r="B78" s="231" t="s">
        <v>196</v>
      </c>
      <c r="C78" s="232" t="str">
        <f>_xll.HPHEA($B78,"gpg")</f>
        <v>Current Maturities of LT Debt - Contra</v>
      </c>
      <c r="D78" s="233">
        <f>ROUND(_xll.HPVAL($D$6,"actual",$B78,$D$3,"ytd","gpg")/1000,0)</f>
        <v>-3850</v>
      </c>
      <c r="E78" s="233">
        <f>ROUND(_xll.HPVAL($E$6,"actual",$B78,$D$3,"ytd","gpg")/1000,0)</f>
        <v>0</v>
      </c>
      <c r="F78" s="233">
        <f>ROUND(_xll.HPVAL($F$6,"actual",$B78,$D$3,"ytd","gpg")/1000,0)</f>
        <v>-3850</v>
      </c>
      <c r="G78" s="234">
        <f t="shared" si="1"/>
        <v>0</v>
      </c>
    </row>
    <row r="79" spans="2:10" ht="13.2">
      <c r="B79" s="231" t="s">
        <v>567</v>
      </c>
      <c r="C79" s="232" t="str">
        <f>_xll.HPHEA($B79,"gpg")</f>
        <v>Cash flow hedges-gains/losses</v>
      </c>
      <c r="D79" s="233">
        <f>ROUND(_xll.HPVAL($D$6,"actual",$B79,$D$3,"ytd","gpg")/1000,0)</f>
        <v>19452</v>
      </c>
      <c r="E79" s="233">
        <f>ROUND(_xll.HPVAL($E$6,"actual",$B79,$D$3,"ytd","gpg")/1000,0)</f>
        <v>0</v>
      </c>
      <c r="F79" s="233">
        <f>ROUND(_xll.HPVAL($F$6,"actual",$B79,$D$3,"ytd","gpg")/1000,0)</f>
        <v>19452</v>
      </c>
      <c r="G79" s="234">
        <f>D79+E79-F79</f>
        <v>0</v>
      </c>
    </row>
    <row r="80" spans="2:10" ht="13.2">
      <c r="B80" s="231" t="s">
        <v>521</v>
      </c>
      <c r="C80" s="232" t="str">
        <f>_xll.HPHEA($B80,"gpg")</f>
        <v>Other comprehensive income</v>
      </c>
      <c r="D80" s="233">
        <f>ROUND(_xll.HPVAL($D$6,"actual",$B80,$D$3,"ytd","gpg")/1000,0)</f>
        <v>0</v>
      </c>
      <c r="E80" s="233">
        <f>ROUND(_xll.HPVAL($E$6,"actual",$B80,$D$3,"ytd","gpg")/1000,0)</f>
        <v>0</v>
      </c>
      <c r="F80" s="233">
        <f>ROUND(_xll.HPVAL($F$6,"actual",$B80,$D$3,"ytd","gpg")/1000,0)</f>
        <v>0</v>
      </c>
      <c r="G80" s="234">
        <f>D80+E80-F80</f>
        <v>0</v>
      </c>
    </row>
    <row r="81" spans="2:7" ht="13.2">
      <c r="B81" s="231" t="s">
        <v>197</v>
      </c>
      <c r="C81" s="232" t="str">
        <f>_xll.HPHEA($B81,"gpg")</f>
        <v>Common Stock Issued</v>
      </c>
      <c r="D81" s="233">
        <f>ROUND(_xll.HPVAL($D$6,"actual",$B81,$D$3,"ytd","gpg")/1000,0)</f>
        <v>1</v>
      </c>
      <c r="E81" s="233">
        <f>ROUND(_xll.HPVAL($E$6,"actual",$B81,$D$3,"ytd","gpg")/1000,0)</f>
        <v>0</v>
      </c>
      <c r="F81" s="233">
        <f>ROUND(_xll.HPVAL($F$6,"actual",$B81,$D$3,"ytd","gpg")/1000,0)</f>
        <v>1</v>
      </c>
      <c r="G81" s="234">
        <f t="shared" si="1"/>
        <v>0</v>
      </c>
    </row>
    <row r="82" spans="2:7" ht="13.2">
      <c r="B82" s="231" t="s">
        <v>198</v>
      </c>
      <c r="C82" s="232" t="str">
        <f>_xll.HPHEA($B82,"gpg")</f>
        <v>Contribution Received From Parent</v>
      </c>
      <c r="D82" s="233">
        <f>ROUND(_xll.HPVAL($D$6,"actual",$B82,$D$3,"ytd","gpg")/1000,0)</f>
        <v>201356</v>
      </c>
      <c r="E82" s="233">
        <f>ROUND(_xll.HPVAL($E$6,"actual",$B82,$D$3,"ytd","gpg")/1000,0)</f>
        <v>207835</v>
      </c>
      <c r="F82" s="233">
        <f>ROUND(_xll.HPVAL($F$6,"actual",$B82,$D$3,"ytd","gpg")/1000,0)</f>
        <v>409191</v>
      </c>
      <c r="G82" s="234">
        <f t="shared" si="1"/>
        <v>0</v>
      </c>
    </row>
    <row r="83" spans="2:7" ht="13.2">
      <c r="B83" s="231" t="s">
        <v>519</v>
      </c>
      <c r="C83" s="232" t="str">
        <f>_xll.HPHEA($B83,"gpg")</f>
        <v>Ret Earn - Beg Bal - Enron Corp</v>
      </c>
      <c r="D83" s="233">
        <f>ROUND(_xll.HPVAL($D$6,"actual",$B83,$D$3,"ytd","gpg")/1000,0)</f>
        <v>0</v>
      </c>
      <c r="E83" s="233">
        <f>ROUND(_xll.HPVAL($E$6,"actual",$B83,$D$3,"ytd","gpg")/1000,0)</f>
        <v>0</v>
      </c>
      <c r="F83" s="233">
        <f>ROUND(_xll.HPVAL($F$6,"actual",$B83,$D$3,"ytd","gpg")/1000,0)</f>
        <v>0</v>
      </c>
      <c r="G83" s="234">
        <f>D83+E83-F83</f>
        <v>0</v>
      </c>
    </row>
    <row r="84" spans="2:7" ht="13.2">
      <c r="B84" s="231" t="s">
        <v>199</v>
      </c>
      <c r="C84" s="232" t="str">
        <f>_xll.HPHEA($B81,"gpg")</f>
        <v>Common Stock Issued</v>
      </c>
      <c r="D84" s="233">
        <f>ROUND(_xll.HPVAL($D$6,"actual",$B84,$D$3,"ytd","gpg")/1000,0)</f>
        <v>546360</v>
      </c>
      <c r="E84" s="233">
        <f>ROUND(_xll.HPVAL($E$6,"actual",$B84,$D$3,"ytd","gpg")/1000,0)</f>
        <v>-12725</v>
      </c>
      <c r="F84" s="233">
        <f>ROUND(_xll.HPVAL($F$6,"actual",$B84,$D$3,"ytd","gpg")/1000,0)</f>
        <v>533635</v>
      </c>
      <c r="G84" s="234">
        <f t="shared" si="1"/>
        <v>0</v>
      </c>
    </row>
    <row r="85" spans="2:7" ht="13.2">
      <c r="B85" s="231" t="s">
        <v>200</v>
      </c>
      <c r="C85" s="232" t="str">
        <f>_xll.HPHEA($B82,"gpg")</f>
        <v>Contribution Received From Parent</v>
      </c>
      <c r="D85" s="233">
        <f>ROUND(_xll.HPVAL($D$6,"actual",$B85,$D$3,"ytd","gpg")/1000,0)</f>
        <v>49757</v>
      </c>
      <c r="E85" s="233">
        <f>ROUND(_xll.HPVAL($E$6,"actual",$B85,$D$3,"ytd","gpg")/1000,0)</f>
        <v>-2275</v>
      </c>
      <c r="F85" s="233">
        <f>ROUND(_xll.HPVAL($F$6,"actual",$B85,$D$3,"ytd","gpg")/1000,0)</f>
        <v>47482</v>
      </c>
      <c r="G85" s="234">
        <f t="shared" si="1"/>
        <v>0</v>
      </c>
    </row>
    <row r="86" spans="2:7" ht="13.2">
      <c r="B86" s="231" t="s">
        <v>203</v>
      </c>
      <c r="C86" s="232" t="str">
        <f>_xll.HPHEA($B85,"gpg")</f>
        <v>Net Income</v>
      </c>
      <c r="D86" s="233">
        <f>ROUND(_xll.HPVAL($D$6,"actual",$B86,$D$3,"ytd","gpg")/1000,0)</f>
        <v>0</v>
      </c>
      <c r="E86" s="233">
        <f>ROUND(_xll.HPVAL($E$6,"actual",$B86,$D$3,"ytd","gpg")/1000,0)</f>
        <v>0</v>
      </c>
      <c r="F86" s="233">
        <f>ROUND(_xll.HPVAL($F$6,"actual",$B86,$D$3,"ytd","gpg")/1000,0)</f>
        <v>0</v>
      </c>
      <c r="G86" s="234">
        <f t="shared" si="1"/>
        <v>0</v>
      </c>
    </row>
    <row r="87" spans="2:7" ht="13.2">
      <c r="B87" s="231" t="s">
        <v>204</v>
      </c>
      <c r="C87" s="232" t="str">
        <f>_xll.HPHEA($B86,"gpg")</f>
        <v>Dividends Decl - Common Stk - Consol Sub</v>
      </c>
      <c r="D87" s="233">
        <f>ROUND(_xll.HPVAL($D$6,"actual",$B87,$D$3,"ytd","gpg")/1000,0)</f>
        <v>0</v>
      </c>
      <c r="E87" s="233">
        <f>ROUND(_xll.HPVAL($E$6,"actual",$B87,$D$3,"ytd","gpg")/1000,0)</f>
        <v>0</v>
      </c>
      <c r="F87" s="233">
        <f>ROUND(_xll.HPVAL($F$6,"actual",$B87,$D$3,"ytd","gpg")/1000,0)</f>
        <v>0</v>
      </c>
      <c r="G87" s="234">
        <f t="shared" si="1"/>
        <v>0</v>
      </c>
    </row>
    <row r="88" spans="2:7" ht="13.2">
      <c r="B88" s="231"/>
      <c r="C88" s="235" t="s">
        <v>282</v>
      </c>
      <c r="D88" s="236">
        <v>1</v>
      </c>
      <c r="E88" s="236">
        <v>0</v>
      </c>
      <c r="F88" s="236">
        <v>0</v>
      </c>
      <c r="G88" s="234">
        <f t="shared" si="1"/>
        <v>1</v>
      </c>
    </row>
    <row r="89" spans="2:7" ht="13.8" thickBot="1">
      <c r="B89" s="237"/>
      <c r="C89" s="238" t="s">
        <v>283</v>
      </c>
      <c r="D89" s="239">
        <f>SUM(D49:D88)</f>
        <v>1003656</v>
      </c>
      <c r="E89" s="239">
        <f>SUM(E49:E88)</f>
        <v>296664</v>
      </c>
      <c r="F89" s="239">
        <f>SUM(F49:F88)</f>
        <v>1300319</v>
      </c>
      <c r="G89" s="240">
        <f t="shared" si="1"/>
        <v>1</v>
      </c>
    </row>
    <row r="90" spans="2:7" ht="14.4" thickTop="1" thickBot="1">
      <c r="B90" s="243"/>
      <c r="C90" s="244"/>
      <c r="D90" s="244"/>
      <c r="E90" s="244"/>
      <c r="F90" s="244"/>
      <c r="G90" s="245"/>
    </row>
    <row r="91" spans="2:7" ht="13.2">
      <c r="B91" s="246"/>
      <c r="C91" s="246" t="s">
        <v>63</v>
      </c>
      <c r="D91" s="246">
        <f>D47-D89</f>
        <v>0</v>
      </c>
      <c r="E91" s="246">
        <f>E47-E89</f>
        <v>0</v>
      </c>
      <c r="F91" s="246">
        <f>F47-F89</f>
        <v>0</v>
      </c>
      <c r="G91" s="247"/>
    </row>
    <row r="92" spans="2:7" ht="7.5" customHeight="1">
      <c r="B92" s="246"/>
      <c r="C92" s="246"/>
      <c r="D92" s="246"/>
      <c r="E92" s="246"/>
      <c r="F92" s="246"/>
      <c r="G92" s="247"/>
    </row>
    <row r="93" spans="2:7">
      <c r="C93" s="58" t="s">
        <v>625</v>
      </c>
      <c r="D93" s="58">
        <f>twbs!E70</f>
        <v>1315979</v>
      </c>
      <c r="E93" s="58"/>
      <c r="F93" s="58"/>
      <c r="G93" s="9"/>
    </row>
    <row r="94" spans="2:7">
      <c r="C94" s="84" t="s">
        <v>386</v>
      </c>
      <c r="D94" s="58">
        <f>-tpami2_CorpDiff!C167</f>
        <v>-183</v>
      </c>
      <c r="E94" s="84" t="s">
        <v>626</v>
      </c>
      <c r="F94" s="58"/>
      <c r="G94" s="9"/>
    </row>
    <row r="95" spans="2:7">
      <c r="C95" s="58" t="s">
        <v>311</v>
      </c>
      <c r="D95" s="58">
        <f>F89-SUM(D93:D94)</f>
        <v>-15477</v>
      </c>
      <c r="E95" s="58"/>
      <c r="F95" s="58"/>
      <c r="G95" s="9"/>
    </row>
    <row r="96" spans="2:7" ht="10.8" thickBot="1">
      <c r="D96" s="24">
        <f>SUM(D93:D95)</f>
        <v>1300319</v>
      </c>
      <c r="G96" s="9"/>
    </row>
    <row r="97" spans="4:10" ht="10.8" thickTop="1">
      <c r="D97" s="5">
        <f>F89</f>
        <v>1300319</v>
      </c>
      <c r="G97" s="9"/>
    </row>
    <row r="98" spans="4:10">
      <c r="D98" s="321">
        <f>D97-D96</f>
        <v>0</v>
      </c>
      <c r="G98" s="9"/>
    </row>
    <row r="99" spans="4:10">
      <c r="G99" s="9"/>
    </row>
    <row r="100" spans="4:10">
      <c r="G100" s="9"/>
    </row>
    <row r="101" spans="4:10">
      <c r="G101" s="9"/>
    </row>
    <row r="102" spans="4:10">
      <c r="G102" s="9"/>
    </row>
    <row r="103" spans="4:10">
      <c r="G103" s="9"/>
      <c r="J103" s="6"/>
    </row>
    <row r="104" spans="4:10">
      <c r="G104" s="9"/>
      <c r="J104" s="16"/>
    </row>
    <row r="105" spans="4:10">
      <c r="J105" s="16"/>
    </row>
    <row r="106" spans="4:10">
      <c r="J106" s="6"/>
    </row>
    <row r="107" spans="4:10">
      <c r="J107" s="6"/>
    </row>
    <row r="108" spans="4:10">
      <c r="J108" s="6"/>
    </row>
    <row r="109" spans="4:10">
      <c r="J109" s="6"/>
    </row>
    <row r="110" spans="4:10">
      <c r="J110" s="6"/>
    </row>
    <row r="113" spans="10:10">
      <c r="J113" s="6"/>
    </row>
    <row r="114" spans="10:10">
      <c r="J114" s="6"/>
    </row>
    <row r="115" spans="10:10">
      <c r="J115" s="6"/>
    </row>
    <row r="116" spans="10:10">
      <c r="J116" s="6"/>
    </row>
    <row r="117" spans="10:10">
      <c r="J117" s="6"/>
    </row>
    <row r="118" spans="10:10">
      <c r="J118" s="6"/>
    </row>
    <row r="119" spans="10:10">
      <c r="J119" s="6"/>
    </row>
    <row r="120" spans="10:10">
      <c r="J120" s="6"/>
    </row>
    <row r="122" spans="10:10">
      <c r="J122" s="6"/>
    </row>
    <row r="125" spans="10:10">
      <c r="J125" s="6"/>
    </row>
    <row r="128" spans="10:10">
      <c r="J128" s="6"/>
    </row>
    <row r="131" spans="10:10">
      <c r="J131" s="6"/>
    </row>
    <row r="132" spans="10:10">
      <c r="J132" s="6"/>
    </row>
    <row r="133" spans="10:10">
      <c r="J133" s="6"/>
    </row>
    <row r="134" spans="10:10">
      <c r="J134" s="6"/>
    </row>
    <row r="135" spans="10:10">
      <c r="J135" s="16"/>
    </row>
    <row r="136" spans="10:10">
      <c r="J136" s="6"/>
    </row>
    <row r="137" spans="10:10">
      <c r="J137" s="6"/>
    </row>
    <row r="139" spans="10:10">
      <c r="J139" s="6"/>
    </row>
    <row r="140" spans="10:10">
      <c r="J140" s="6"/>
    </row>
    <row r="141" spans="10:10">
      <c r="J141" s="6"/>
    </row>
    <row r="143" spans="10:10">
      <c r="J143" s="6"/>
    </row>
    <row r="144" spans="10:10">
      <c r="J144" s="6"/>
    </row>
    <row r="145" spans="10:10">
      <c r="J145" s="6"/>
    </row>
    <row r="146" spans="10:10">
      <c r="J146" s="6"/>
    </row>
    <row r="152" spans="10:10">
      <c r="J152" s="6"/>
    </row>
    <row r="207" spans="10:10">
      <c r="J207" s="6"/>
    </row>
    <row r="209" spans="10:10">
      <c r="J209" s="6"/>
    </row>
    <row r="210" spans="10:10">
      <c r="J210" s="6"/>
    </row>
    <row r="211" spans="10:10">
      <c r="J211" s="6"/>
    </row>
    <row r="212" spans="10:10">
      <c r="J212" s="6"/>
    </row>
    <row r="213" spans="10:10">
      <c r="J213" s="6"/>
    </row>
    <row r="214" spans="10:10">
      <c r="J214" s="10"/>
    </row>
    <row r="217" spans="10:10">
      <c r="J217" s="6"/>
    </row>
    <row r="218" spans="10:10">
      <c r="J218" s="6"/>
    </row>
    <row r="219" spans="10:10">
      <c r="J219" s="6"/>
    </row>
    <row r="222" spans="10:10">
      <c r="J222" s="6"/>
    </row>
    <row r="224" spans="10:10">
      <c r="J224" s="6"/>
    </row>
    <row r="226" spans="10:10">
      <c r="J226" s="6"/>
    </row>
    <row r="227" spans="10:10">
      <c r="J227" s="6"/>
    </row>
    <row r="228" spans="10:10">
      <c r="J228" s="6"/>
    </row>
    <row r="229" spans="10:10">
      <c r="J229" s="6"/>
    </row>
    <row r="230" spans="10:10">
      <c r="J230" s="6"/>
    </row>
  </sheetData>
  <phoneticPr fontId="41" type="noConversion"/>
  <printOptions horizontalCentered="1" verticalCentered="1" gridLines="1"/>
  <pageMargins left="0.75" right="0.75" top="0.75" bottom="0.75" header="0.5" footer="0.5"/>
  <pageSetup scale="59" orientation="portrait" horizontalDpi="4294967292" verticalDpi="300" r:id="rId1"/>
  <headerFooter alignWithMargins="0">
    <oddFooter>&amp;L&amp;D  &amp;T&amp;R&amp;F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size="40" baseType="lpstr">
      <vt:lpstr>CheckList </vt:lpstr>
      <vt:lpstr>twbs</vt:lpstr>
      <vt:lpstr>tpami2_CorpDiff</vt:lpstr>
      <vt:lpstr>twdetailbs</vt:lpstr>
      <vt:lpstr>Variance</vt:lpstr>
      <vt:lpstr>gl-hyp recon</vt:lpstr>
      <vt:lpstr>eoc_corpDiff</vt:lpstr>
      <vt:lpstr>Kleb's BS</vt:lpstr>
      <vt:lpstr>\E</vt:lpstr>
      <vt:lpstr>\I</vt:lpstr>
      <vt:lpstr>\Q</vt:lpstr>
      <vt:lpstr>\U</vt:lpstr>
      <vt:lpstr>\W</vt:lpstr>
      <vt:lpstr>balsht</vt:lpstr>
      <vt:lpstr>BLANKOUTPUT</vt:lpstr>
      <vt:lpstr>CM</vt:lpstr>
      <vt:lpstr>CMCHANGE</vt:lpstr>
      <vt:lpstr>DATE</vt:lpstr>
      <vt:lpstr>jan_dec</vt:lpstr>
      <vt:lpstr>jan_feb</vt:lpstr>
      <vt:lpstr>mo</vt:lpstr>
      <vt:lpstr>OUTPUT</vt:lpstr>
      <vt:lpstr>PG1</vt:lpstr>
      <vt:lpstr>PM</vt:lpstr>
      <vt:lpstr>'CheckList '!Print_Area</vt:lpstr>
      <vt:lpstr>eoc_corpDiff!Print_Area</vt:lpstr>
      <vt:lpstr>'gl-hyp recon'!Print_Area</vt:lpstr>
      <vt:lpstr>'Kleb''s BS'!Print_Area</vt:lpstr>
      <vt:lpstr>tpami2_CorpDiff!Print_Area</vt:lpstr>
      <vt:lpstr>twbs!Print_Area</vt:lpstr>
      <vt:lpstr>twdetailbs!Print_Area</vt:lpstr>
      <vt:lpstr>Variance!Print_Area</vt:lpstr>
      <vt:lpstr>tpami2_CorpDiff!Print_Titles</vt:lpstr>
      <vt:lpstr>twdetailbs!Print_Titles</vt:lpstr>
      <vt:lpstr>Variance!Print_Titles</vt:lpstr>
      <vt:lpstr>PRMONTH</vt:lpstr>
      <vt:lpstr>PRTEPSON</vt:lpstr>
      <vt:lpstr>TIMEDATE1</vt:lpstr>
      <vt:lpstr>TITLE1</vt:lpstr>
      <vt:lpstr>TITLE2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Havlíček Jan</cp:lastModifiedBy>
  <cp:lastPrinted>2001-09-13T14:04:37Z</cp:lastPrinted>
  <dcterms:created xsi:type="dcterms:W3CDTF">1998-02-03T13:26:35Z</dcterms:created>
  <dcterms:modified xsi:type="dcterms:W3CDTF">2023-09-13T22:49:13Z</dcterms:modified>
</cp:coreProperties>
</file>