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32" yWindow="60" windowWidth="14160" windowHeight="7176" tabRatio="804" activeTab="6"/>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ification" sheetId="15" r:id="rId8"/>
  </sheets>
  <externalReferences>
    <externalReference r:id="rId9"/>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mar01">#REF!</definedName>
    <definedName name="database_nov">#REF!</definedName>
    <definedName name="_xlnm.Print_Area" localSheetId="5">'Cert Apr-01'!$A$1:$G$129</definedName>
    <definedName name="_xlnm.Print_Area" localSheetId="1">'Cert Dec-00'!$A$1:$G$88</definedName>
    <definedName name="_xlnm.Print_Area" localSheetId="3">'Cert Feb-01'!$A$1:$G$129</definedName>
    <definedName name="_xlnm.Print_Area" localSheetId="2">'Cert Jan-01'!$A$1:$G$97</definedName>
    <definedName name="_xlnm.Print_Area" localSheetId="4">'Cert Mar-01'!$A$1:$G$137</definedName>
    <definedName name="_xlnm.Print_Area" localSheetId="6">'Cert May-01'!$A$1:$G$134</definedName>
    <definedName name="_xlnm.Print_Area" localSheetId="0">'Cert Nov-00'!$A$1:$G$77</definedName>
  </definedNames>
  <calcPr calcId="92512"/>
</workbook>
</file>

<file path=xl/calcChain.xml><?xml version="1.0" encoding="utf-8"?>
<calcChain xmlns="http://schemas.openxmlformats.org/spreadsheetml/2006/main">
  <c r="G10" i="26" l="1"/>
  <c r="G20" i="26"/>
  <c r="G21" i="26"/>
  <c r="G22" i="26"/>
  <c r="G23" i="26"/>
  <c r="G24" i="26"/>
  <c r="G25" i="26"/>
  <c r="G26" i="26"/>
  <c r="G27" i="26"/>
  <c r="G28" i="26"/>
  <c r="I28" i="26"/>
  <c r="G29" i="26"/>
  <c r="G30" i="26"/>
  <c r="G31" i="26"/>
  <c r="G32" i="26"/>
  <c r="G33" i="26"/>
  <c r="G34" i="26"/>
  <c r="G35" i="26"/>
  <c r="G36" i="26"/>
  <c r="G37" i="26"/>
  <c r="G38" i="26"/>
  <c r="G39" i="26"/>
  <c r="G40" i="26"/>
  <c r="G41" i="26"/>
  <c r="G42" i="26"/>
  <c r="G43" i="26"/>
  <c r="G44" i="26"/>
  <c r="G45" i="26"/>
  <c r="I45" i="26"/>
  <c r="G46" i="26"/>
  <c r="G47" i="26"/>
  <c r="G48" i="26"/>
  <c r="B52" i="26"/>
  <c r="B54" i="26"/>
  <c r="G62" i="26"/>
  <c r="G63" i="26"/>
  <c r="G64" i="26"/>
  <c r="G65" i="26"/>
  <c r="G66" i="26"/>
  <c r="G67" i="26"/>
  <c r="G68" i="26"/>
  <c r="F70" i="26"/>
  <c r="G70" i="26"/>
  <c r="B76" i="26"/>
  <c r="B78" i="26"/>
  <c r="G83" i="26"/>
  <c r="G84" i="26"/>
  <c r="F85" i="26"/>
  <c r="G85" i="26"/>
  <c r="F88" i="26"/>
  <c r="F90" i="26"/>
  <c r="G90" i="26"/>
  <c r="F95" i="26"/>
  <c r="F98" i="26"/>
  <c r="G98" i="26"/>
  <c r="G100" i="26"/>
  <c r="F102" i="26"/>
  <c r="G102" i="26"/>
  <c r="I102" i="26"/>
  <c r="G107" i="26"/>
  <c r="G108" i="26"/>
  <c r="F109" i="26"/>
  <c r="G109" i="26"/>
  <c r="F114" i="26"/>
  <c r="G114" i="26"/>
  <c r="F121" i="26"/>
  <c r="F126" i="26"/>
  <c r="G126" i="26"/>
  <c r="F128" i="26"/>
  <c r="G128" i="26"/>
  <c r="I128" i="26"/>
  <c r="G10" i="13"/>
  <c r="G20" i="13"/>
  <c r="G21" i="13"/>
  <c r="G22" i="13"/>
  <c r="G23" i="13"/>
  <c r="G24" i="13"/>
  <c r="G25" i="13"/>
  <c r="G26" i="13"/>
  <c r="G27" i="13"/>
  <c r="F29" i="13"/>
  <c r="G29" i="13"/>
  <c r="B36" i="13"/>
  <c r="G42" i="13"/>
  <c r="G43" i="13"/>
  <c r="F44" i="13"/>
  <c r="G44" i="13"/>
  <c r="F46" i="13"/>
  <c r="F49" i="13"/>
  <c r="F50" i="13"/>
  <c r="G50" i="13"/>
  <c r="F52" i="13"/>
  <c r="F54" i="13"/>
  <c r="F55" i="13"/>
  <c r="F56" i="13"/>
  <c r="F57" i="13"/>
  <c r="F58" i="13"/>
  <c r="F61" i="13"/>
  <c r="G61" i="13"/>
  <c r="F63" i="13"/>
  <c r="G63" i="13"/>
  <c r="H63" i="13"/>
  <c r="F67" i="13"/>
  <c r="G67" i="13"/>
  <c r="G68" i="13"/>
  <c r="F69" i="13"/>
  <c r="G69" i="13"/>
  <c r="F76" i="13"/>
  <c r="G76" i="13"/>
  <c r="F78" i="13"/>
  <c r="H78" i="13"/>
  <c r="F79" i="13"/>
  <c r="F80" i="13"/>
  <c r="F81" i="13"/>
  <c r="F85" i="13"/>
  <c r="G85" i="13"/>
  <c r="F87" i="13"/>
  <c r="G87" i="13"/>
  <c r="H87" i="13"/>
  <c r="G10" i="22"/>
  <c r="G20" i="22"/>
  <c r="G21" i="22"/>
  <c r="G22" i="22"/>
  <c r="G23" i="22"/>
  <c r="G24" i="22"/>
  <c r="G25" i="22"/>
  <c r="G26" i="22"/>
  <c r="G27" i="22"/>
  <c r="G28" i="22"/>
  <c r="I28" i="22"/>
  <c r="G29" i="22"/>
  <c r="G30" i="22"/>
  <c r="G31" i="22"/>
  <c r="G32" i="22"/>
  <c r="G33" i="22"/>
  <c r="G34" i="22"/>
  <c r="G35" i="22"/>
  <c r="G36" i="22"/>
  <c r="G37" i="22"/>
  <c r="G38" i="22"/>
  <c r="G39" i="22"/>
  <c r="G40" i="22"/>
  <c r="G41" i="22"/>
  <c r="G42" i="22"/>
  <c r="G43" i="22"/>
  <c r="B46" i="22"/>
  <c r="G56" i="22"/>
  <c r="G57" i="22"/>
  <c r="I57" i="22"/>
  <c r="G58" i="22"/>
  <c r="G59" i="22"/>
  <c r="G60" i="22"/>
  <c r="G61" i="22"/>
  <c r="G62" i="22"/>
  <c r="G63" i="22"/>
  <c r="G64" i="22"/>
  <c r="G65" i="22"/>
  <c r="G66" i="22"/>
  <c r="G67" i="22"/>
  <c r="G68" i="22"/>
  <c r="G69" i="22"/>
  <c r="F71" i="22"/>
  <c r="G71" i="22"/>
  <c r="B77" i="22"/>
  <c r="B79" i="22"/>
  <c r="G83" i="22"/>
  <c r="G84" i="22"/>
  <c r="F85" i="22"/>
  <c r="G85" i="22"/>
  <c r="F93" i="22"/>
  <c r="G93" i="22"/>
  <c r="F98" i="22"/>
  <c r="F99" i="22"/>
  <c r="F100" i="22"/>
  <c r="F102" i="22"/>
  <c r="G102" i="22"/>
  <c r="G104" i="22"/>
  <c r="F106" i="22"/>
  <c r="G106" i="22"/>
  <c r="I106" i="22"/>
  <c r="G111" i="22"/>
  <c r="G112" i="22"/>
  <c r="F113" i="22"/>
  <c r="G113" i="22"/>
  <c r="F119" i="22"/>
  <c r="G119" i="22"/>
  <c r="F121" i="22"/>
  <c r="F122" i="22"/>
  <c r="F123" i="22"/>
  <c r="F124" i="22"/>
  <c r="F127" i="22"/>
  <c r="G127" i="22"/>
  <c r="F129" i="22"/>
  <c r="G129" i="22"/>
  <c r="I129" i="22"/>
  <c r="G10" i="17"/>
  <c r="G20" i="17"/>
  <c r="G21" i="17"/>
  <c r="G22" i="17"/>
  <c r="G23" i="17"/>
  <c r="I23" i="17"/>
  <c r="G24" i="17"/>
  <c r="G25" i="17"/>
  <c r="G26" i="17"/>
  <c r="G27" i="17"/>
  <c r="G28" i="17"/>
  <c r="G29" i="17"/>
  <c r="F30" i="17"/>
  <c r="G30" i="17"/>
  <c r="G31" i="17"/>
  <c r="G32" i="17"/>
  <c r="I32" i="17"/>
  <c r="G33" i="17"/>
  <c r="G34" i="17"/>
  <c r="G35" i="17"/>
  <c r="F37" i="17"/>
  <c r="G37" i="17"/>
  <c r="B47" i="17"/>
  <c r="G53" i="17"/>
  <c r="G54" i="17"/>
  <c r="F55" i="17"/>
  <c r="G55" i="17"/>
  <c r="F59" i="17"/>
  <c r="G59" i="17"/>
  <c r="F62" i="17"/>
  <c r="F64" i="17"/>
  <c r="I64" i="17"/>
  <c r="F65" i="17"/>
  <c r="G65" i="17"/>
  <c r="G67" i="17"/>
  <c r="F69" i="17"/>
  <c r="G69" i="17"/>
  <c r="I69" i="17"/>
  <c r="G73" i="17"/>
  <c r="G74" i="17"/>
  <c r="F75" i="17"/>
  <c r="G75" i="17"/>
  <c r="F79" i="17"/>
  <c r="G79" i="17"/>
  <c r="F81" i="17"/>
  <c r="I81" i="17"/>
  <c r="F82" i="17"/>
  <c r="F83" i="17"/>
  <c r="I83" i="17"/>
  <c r="F84" i="17"/>
  <c r="F85" i="17"/>
  <c r="F87" i="17"/>
  <c r="F89" i="17"/>
  <c r="G89" i="17"/>
  <c r="F91" i="17"/>
  <c r="G91" i="17"/>
  <c r="I91" i="17"/>
  <c r="F95" i="17"/>
  <c r="F96" i="17"/>
  <c r="F97" i="17"/>
  <c r="G10" i="25"/>
  <c r="G20" i="25"/>
  <c r="G21" i="25"/>
  <c r="G22" i="25"/>
  <c r="G23" i="25"/>
  <c r="G24" i="25"/>
  <c r="G25" i="25"/>
  <c r="G26" i="25"/>
  <c r="G27" i="25"/>
  <c r="G28" i="25"/>
  <c r="G29" i="25"/>
  <c r="G30" i="25"/>
  <c r="G31" i="25"/>
  <c r="G32" i="25"/>
  <c r="G33" i="25"/>
  <c r="I33" i="25"/>
  <c r="G34" i="25"/>
  <c r="G35" i="25"/>
  <c r="G36" i="25"/>
  <c r="G37" i="25"/>
  <c r="G38" i="25"/>
  <c r="G39" i="25"/>
  <c r="G40" i="25"/>
  <c r="G41" i="25"/>
  <c r="G42" i="25"/>
  <c r="G43" i="25"/>
  <c r="G44" i="25"/>
  <c r="G45" i="25"/>
  <c r="G46" i="25"/>
  <c r="G47" i="25"/>
  <c r="G48" i="25"/>
  <c r="B52" i="25"/>
  <c r="B54" i="25"/>
  <c r="G62" i="25"/>
  <c r="G63" i="25"/>
  <c r="G64" i="25"/>
  <c r="G65" i="25"/>
  <c r="G66" i="25"/>
  <c r="G67" i="25"/>
  <c r="I67" i="25"/>
  <c r="G68" i="25"/>
  <c r="G69" i="25"/>
  <c r="G70" i="25"/>
  <c r="G71" i="25"/>
  <c r="G72" i="25"/>
  <c r="G73" i="25"/>
  <c r="F75" i="25"/>
  <c r="G75" i="25"/>
  <c r="B81" i="25"/>
  <c r="B83" i="25"/>
  <c r="G88" i="25"/>
  <c r="G89" i="25"/>
  <c r="F90" i="25"/>
  <c r="G90" i="25"/>
  <c r="F94" i="25"/>
  <c r="F95" i="25"/>
  <c r="G95" i="25"/>
  <c r="F105" i="25"/>
  <c r="G105" i="25"/>
  <c r="G107" i="25"/>
  <c r="F109" i="25"/>
  <c r="G109" i="25"/>
  <c r="I109" i="25"/>
  <c r="G114" i="25"/>
  <c r="G115" i="25"/>
  <c r="F116" i="25"/>
  <c r="G116" i="25"/>
  <c r="F120" i="25"/>
  <c r="G120" i="25"/>
  <c r="F130" i="25"/>
  <c r="G130" i="25"/>
  <c r="F132" i="25"/>
  <c r="G132" i="25"/>
  <c r="I132" i="25"/>
  <c r="F136" i="25"/>
  <c r="F137" i="25"/>
  <c r="G10" i="28"/>
  <c r="G20" i="28"/>
  <c r="G21" i="28"/>
  <c r="G22" i="28"/>
  <c r="G23" i="28"/>
  <c r="G24" i="28"/>
  <c r="G25" i="28"/>
  <c r="I25" i="28"/>
  <c r="G26" i="28"/>
  <c r="G27" i="28"/>
  <c r="G28" i="28"/>
  <c r="G29" i="28"/>
  <c r="G30" i="28"/>
  <c r="G31" i="28"/>
  <c r="G32" i="28"/>
  <c r="G33" i="28"/>
  <c r="G34" i="28"/>
  <c r="G35" i="28"/>
  <c r="G36" i="28"/>
  <c r="G37" i="28"/>
  <c r="G38" i="28"/>
  <c r="G39" i="28"/>
  <c r="G40" i="28"/>
  <c r="G41" i="28"/>
  <c r="G42" i="28"/>
  <c r="G43" i="28"/>
  <c r="G44" i="28"/>
  <c r="G45" i="28"/>
  <c r="G46" i="28"/>
  <c r="G47" i="28"/>
  <c r="B51" i="28"/>
  <c r="B53" i="28"/>
  <c r="G61" i="28"/>
  <c r="G62" i="28"/>
  <c r="G63" i="28"/>
  <c r="G64" i="28"/>
  <c r="G65" i="28"/>
  <c r="G66" i="28"/>
  <c r="G67" i="28"/>
  <c r="G68" i="28"/>
  <c r="G69" i="28"/>
  <c r="G70" i="28"/>
  <c r="G71" i="28"/>
  <c r="G72" i="28"/>
  <c r="I72" i="28"/>
  <c r="G73" i="28"/>
  <c r="G74" i="28"/>
  <c r="G75" i="28"/>
  <c r="G76" i="28"/>
  <c r="F78" i="28"/>
  <c r="G78" i="28"/>
  <c r="B86" i="28"/>
  <c r="B88" i="28"/>
  <c r="G93" i="28"/>
  <c r="G94" i="28"/>
  <c r="F95" i="28"/>
  <c r="G95" i="28"/>
  <c r="F99" i="28"/>
  <c r="G99" i="28"/>
  <c r="F104" i="28"/>
  <c r="G104" i="28"/>
  <c r="G106" i="28"/>
  <c r="F108" i="28"/>
  <c r="G108" i="28"/>
  <c r="I108" i="28"/>
  <c r="G113" i="28"/>
  <c r="G114" i="28"/>
  <c r="F115" i="28"/>
  <c r="G115" i="28"/>
  <c r="F118" i="28"/>
  <c r="G118" i="28"/>
  <c r="F126" i="28"/>
  <c r="G126" i="28"/>
  <c r="F128" i="28"/>
  <c r="G128" i="28"/>
  <c r="I128" i="28"/>
  <c r="F132" i="28"/>
  <c r="F133" i="28"/>
  <c r="G10" i="11"/>
  <c r="G20" i="11"/>
  <c r="G21" i="11"/>
  <c r="F23" i="11"/>
  <c r="G23" i="11"/>
  <c r="B25" i="11"/>
  <c r="G31" i="11"/>
  <c r="F32" i="11"/>
  <c r="G32" i="11"/>
  <c r="F33" i="11"/>
  <c r="G33" i="11"/>
  <c r="F39" i="11"/>
  <c r="G39" i="11"/>
  <c r="F42" i="11"/>
  <c r="F43" i="11"/>
  <c r="G43" i="11"/>
  <c r="F45" i="11"/>
  <c r="G45" i="11"/>
  <c r="G50" i="11"/>
  <c r="G51" i="11"/>
  <c r="F52" i="11"/>
  <c r="G52" i="11"/>
  <c r="F59" i="11"/>
  <c r="G59" i="11"/>
  <c r="F65" i="11"/>
  <c r="F69" i="11"/>
  <c r="F74" i="11"/>
  <c r="G74" i="11"/>
  <c r="F76" i="11"/>
  <c r="G76" i="11"/>
  <c r="I76" i="11"/>
</calcChain>
</file>

<file path=xl/sharedStrings.xml><?xml version="1.0" encoding="utf-8"?>
<sst xmlns="http://schemas.openxmlformats.org/spreadsheetml/2006/main" count="820" uniqueCount="207">
  <si>
    <t>British Columbia Power Exchange</t>
  </si>
  <si>
    <t>City of Anaheim</t>
  </si>
  <si>
    <t>City of Glendale</t>
  </si>
  <si>
    <t>Idaho Power Company</t>
  </si>
  <si>
    <t>Koch Energy Trading</t>
  </si>
  <si>
    <t>Public Service Company of New Mexico</t>
  </si>
  <si>
    <t>Puget Sound Energy</t>
  </si>
  <si>
    <t>Salt River Project</t>
  </si>
  <si>
    <t>Seattle City Light</t>
  </si>
  <si>
    <t>Sierra Pacific Power Company</t>
  </si>
  <si>
    <t>Unpaid Balance</t>
  </si>
  <si>
    <t xml:space="preserve"> #</t>
  </si>
  <si>
    <t>Date</t>
  </si>
  <si>
    <t>Customer Name</t>
  </si>
  <si>
    <t>California Power Exchange</t>
  </si>
  <si>
    <t>Type</t>
  </si>
  <si>
    <t>Mkt</t>
  </si>
  <si>
    <t>Inv #</t>
  </si>
  <si>
    <t>Total Due From SCs (Debtors)</t>
  </si>
  <si>
    <t>ISO Creditors to whom amounts are Owed</t>
  </si>
  <si>
    <t xml:space="preserve">Signature: </t>
  </si>
  <si>
    <t>Certification: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</si>
  <si>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</si>
  <si>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</si>
  <si>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</si>
  <si>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</si>
  <si>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</si>
  <si>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</si>
  <si>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</si>
  <si>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</si>
  <si>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</si>
  <si>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</si>
  <si>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</si>
  <si>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</si>
  <si>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</si>
  <si>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</si>
  <si>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</si>
  <si>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Illinova Energy Partners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</si>
  <si>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</si>
  <si>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</si>
  <si>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</si>
  <si>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</si>
  <si>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</si>
  <si>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</si>
  <si>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</si>
  <si>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</si>
  <si>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</si>
  <si>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</si>
  <si>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</si>
  <si>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</si>
  <si>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</si>
  <si>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</si>
  <si>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</si>
  <si>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</si>
  <si>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</si>
  <si>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</si>
  <si>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</si>
  <si>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</si>
  <si>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</si>
  <si>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</si>
  <si>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Constellation Power Source</t>
  </si>
  <si>
    <t>Dynegy Power Marketing</t>
  </si>
  <si>
    <t>Reliant Energy Services</t>
  </si>
  <si>
    <t>Southern California Edison</t>
  </si>
  <si>
    <t>Turlock Irrigation District</t>
  </si>
  <si>
    <t>Summary of activity for Trade Month of November 2000:</t>
  </si>
  <si>
    <t>Collected 3/9/01</t>
  </si>
  <si>
    <t>Paid 3/97/01</t>
  </si>
  <si>
    <t>Salt River project</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</si>
  <si>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</si>
  <si>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</si>
  <si>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</si>
  <si>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</si>
  <si>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</si>
  <si>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</si>
  <si>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</si>
  <si>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</si>
  <si>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</si>
  <si>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</si>
  <si>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</si>
  <si>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</si>
  <si>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</si>
  <si>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</si>
  <si>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</si>
  <si>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</si>
  <si>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</si>
  <si>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</si>
  <si>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</si>
  <si>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</si>
  <si>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</si>
  <si>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</si>
  <si>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</si>
  <si>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</si>
  <si>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Los Angeles Department of Water and Power</t>
  </si>
  <si>
    <t>City of Azuza</t>
  </si>
  <si>
    <t>Amounts owed by ISO Debtor that remain unpaid (continued):</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</si>
  <si>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</si>
  <si>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</si>
  <si>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</si>
  <si>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</si>
  <si>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</si>
  <si>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</si>
  <si>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</si>
  <si>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</si>
  <si>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</si>
  <si>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</si>
  <si>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</si>
  <si>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</si>
  <si>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</si>
  <si>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</si>
  <si>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</si>
  <si>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</si>
  <si>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</si>
  <si>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</si>
  <si>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</si>
  <si>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</si>
  <si>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</si>
  <si>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</si>
  <si>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</si>
  <si>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</si>
  <si>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</si>
  <si>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Mirant</t>
  </si>
  <si>
    <t>Louisville Gans and Electric</t>
  </si>
  <si>
    <t>Collected 6/29/01</t>
  </si>
  <si>
    <t>Paid 6/29/01</t>
  </si>
  <si>
    <t>Paid 7/24/01</t>
  </si>
  <si>
    <t>Certification for Market Settlement August 24, 2001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</si>
  <si>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</si>
  <si>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</si>
  <si>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</si>
  <si>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</si>
  <si>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</si>
  <si>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</si>
  <si>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</si>
  <si>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</si>
  <si>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</si>
  <si>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</si>
  <si>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Offsets against Apr-01 AR</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</si>
  <si>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</si>
  <si>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</si>
  <si>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</si>
  <si>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</si>
  <si>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</si>
  <si>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</si>
  <si>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</si>
  <si>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</si>
  <si>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</si>
  <si>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</si>
  <si>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</si>
  <si>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</si>
  <si>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</si>
  <si>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</si>
  <si>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</si>
  <si>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</si>
  <si>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</si>
  <si>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</si>
  <si>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</si>
  <si>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</si>
  <si>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</si>
  <si>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</si>
  <si>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</si>
  <si>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</si>
  <si>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</si>
  <si>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</si>
  <si>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</si>
  <si>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</si>
  <si>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</si>
  <si>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</si>
  <si>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</si>
  <si>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</si>
  <si>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</si>
  <si>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</si>
  <si>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April-00 Market AP</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</si>
  <si>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</si>
  <si>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</si>
  <si>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</si>
  <si>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</si>
  <si>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</si>
  <si>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</si>
  <si>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</si>
  <si>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</si>
  <si>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</si>
  <si>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</si>
  <si>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</si>
  <si>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</si>
  <si>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</si>
  <si>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</si>
  <si>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</si>
  <si>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</si>
  <si>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</si>
  <si>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</si>
  <si>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</si>
  <si>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</si>
  <si>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Pacific Gas and Electric (California Power Exchange) (a)</t>
  </si>
  <si>
    <t>Pacific Gas and Electric Company (a)</t>
  </si>
  <si>
    <t xml:space="preserve">Coral Power, LLC </t>
  </si>
  <si>
    <t>Pacific Gas and Electric (California PX) (a)</t>
  </si>
  <si>
    <t>(b) - paid 8/23/01</t>
  </si>
  <si>
    <t>Mirant (b)</t>
  </si>
  <si>
    <t>Collected 8/1/01</t>
  </si>
  <si>
    <t>Collected 8/21/01</t>
  </si>
  <si>
    <t xml:space="preserve">Add Uncollected May-01 GMC </t>
  </si>
  <si>
    <t xml:space="preserve">Offset against Apr-01 Market AP </t>
  </si>
  <si>
    <t xml:space="preserve">Certification for Market Settlement August 24, 2001 </t>
  </si>
  <si>
    <t>May 2001</t>
  </si>
  <si>
    <t>Dated:  August 24, 2001</t>
  </si>
  <si>
    <t>Preliminary and final invoices were provided in August's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</si>
</sst>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78" formatCode="0.0000%"/>
    <numFmt numFmtId="181" formatCode="0.000%"/>
    <numFmt numFmtId="183" formatCode="dd\-mmm\-yy"/>
  </numFmts>
  <fonts count="12"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7">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14" fontId="6" fillId="0" borderId="3" xfId="0" applyNumberFormat="1" applyFont="1" applyBorder="1" applyAlignment="1">
      <alignment wrapText="1"/>
    </xf>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78" fontId="0" fillId="0" borderId="0" xfId="0" applyNumberFormat="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4" fontId="2" fillId="0" borderId="0" xfId="1" applyNumberFormat="1" applyFont="1" applyBorder="1"/>
    <xf numFmtId="14" fontId="6" fillId="0" borderId="0" xfId="0" applyNumberFormat="1" applyFont="1" applyBorder="1" applyAlignment="1">
      <alignment wrapText="1"/>
    </xf>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44" fontId="0" fillId="0" borderId="0" xfId="0" applyNumberFormat="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77"/>
  <sheetViews>
    <sheetView zoomScaleNormal="100" zoomScaleSheetLayoutView="100" workbookViewId="0">
      <selection activeCell="A10" sqref="A10:IV10"/>
    </sheetView>
  </sheetViews>
  <sheetFormatPr defaultRowHeight="13.2" x14ac:dyDescent="0.25"/>
  <cols>
    <col min="1" max="1" width="5" style="8" bestFit="1" customWidth="1"/>
    <col min="2" max="2" width="47" customWidth="1"/>
    <col min="3" max="3" width="8.109375" style="8" bestFit="1" customWidth="1"/>
    <col min="4" max="4" width="6" style="12" bestFit="1" customWidth="1"/>
    <col min="5" max="5" width="5" style="12" customWidth="1"/>
    <col min="6" max="6" width="16.6640625" customWidth="1"/>
    <col min="7" max="7" width="9.33203125" customWidth="1"/>
    <col min="9" max="9" width="10.88671875" bestFit="1" customWidth="1"/>
  </cols>
  <sheetData>
    <row r="1" spans="1:7" ht="15.6" x14ac:dyDescent="0.3">
      <c r="B1" s="54" t="s">
        <v>126</v>
      </c>
    </row>
    <row r="2" spans="1:7" ht="15.6" x14ac:dyDescent="0.3">
      <c r="B2" s="42"/>
    </row>
    <row r="3" spans="1:7" ht="15.6" x14ac:dyDescent="0.3">
      <c r="B3" s="54" t="s">
        <v>50</v>
      </c>
    </row>
    <row r="4" spans="1:7" ht="15.6" x14ac:dyDescent="0.3">
      <c r="B4" s="42"/>
    </row>
    <row r="5" spans="1:7" ht="15.6" x14ac:dyDescent="0.3">
      <c r="B5" s="42"/>
    </row>
    <row r="6" spans="1:7" ht="15.6" x14ac:dyDescent="0.3">
      <c r="B6" s="42"/>
    </row>
    <row r="7" spans="1:7" ht="16.2" thickBot="1" x14ac:dyDescent="0.35">
      <c r="A7" s="10" t="s">
        <v>19</v>
      </c>
    </row>
    <row r="8" spans="1:7" s="5" customFormat="1" ht="31.8"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127</v>
      </c>
      <c r="C10" s="11"/>
      <c r="D10" s="14"/>
      <c r="E10" s="14"/>
      <c r="F10" s="30">
        <v>498275053.57999998</v>
      </c>
      <c r="G10" s="20">
        <f>+F10/F$10</f>
        <v>1</v>
      </c>
    </row>
    <row r="11" spans="1:7" ht="16.2" thickTop="1" x14ac:dyDescent="0.3">
      <c r="B11" s="42"/>
    </row>
    <row r="12" spans="1:7" ht="15.6" x14ac:dyDescent="0.3">
      <c r="B12" s="42"/>
    </row>
    <row r="13" spans="1:7" ht="15.6" x14ac:dyDescent="0.3">
      <c r="B13" s="42"/>
    </row>
    <row r="14" spans="1:7" ht="15.6" x14ac:dyDescent="0.3">
      <c r="B14" s="42"/>
    </row>
    <row r="15" spans="1:7" ht="15.6" x14ac:dyDescent="0.3">
      <c r="B15" s="42"/>
    </row>
    <row r="16" spans="1:7" ht="15.6" x14ac:dyDescent="0.3">
      <c r="A16" s="10" t="s">
        <v>49</v>
      </c>
    </row>
    <row r="17" spans="1:7" ht="16.2" thickBot="1" x14ac:dyDescent="0.35">
      <c r="A17" s="10" t="s">
        <v>87</v>
      </c>
    </row>
    <row r="18" spans="1:7" s="5" customFormat="1" ht="31.8" thickTop="1" thickBot="1" x14ac:dyDescent="0.3">
      <c r="A18" s="15" t="s">
        <v>11</v>
      </c>
      <c r="B18" s="15" t="s">
        <v>13</v>
      </c>
      <c r="C18" s="15" t="s">
        <v>12</v>
      </c>
      <c r="D18" s="15" t="s">
        <v>17</v>
      </c>
      <c r="E18" s="15" t="s">
        <v>15</v>
      </c>
      <c r="F18" s="16" t="s">
        <v>10</v>
      </c>
      <c r="G18" s="16" t="s">
        <v>56</v>
      </c>
    </row>
    <row r="19" spans="1:7" ht="13.8" thickTop="1" x14ac:dyDescent="0.25"/>
    <row r="20" spans="1:7" s="26" customFormat="1" x14ac:dyDescent="0.25">
      <c r="A20" s="22">
        <v>2769</v>
      </c>
      <c r="B20" s="23" t="s">
        <v>14</v>
      </c>
      <c r="C20" s="68">
        <v>36936</v>
      </c>
      <c r="D20" s="22">
        <v>14006</v>
      </c>
      <c r="E20" s="24" t="s">
        <v>16</v>
      </c>
      <c r="F20" s="27">
        <v>93414.8</v>
      </c>
      <c r="G20" s="28">
        <f>+F20/F23</f>
        <v>1.8402380808507624E-4</v>
      </c>
    </row>
    <row r="21" spans="1:7" x14ac:dyDescent="0.25">
      <c r="A21" s="22">
        <v>1243</v>
      </c>
      <c r="B21" s="23" t="s">
        <v>14</v>
      </c>
      <c r="C21" s="69">
        <v>36917</v>
      </c>
      <c r="D21" s="31">
        <v>13881</v>
      </c>
      <c r="E21" s="24" t="s">
        <v>16</v>
      </c>
      <c r="F21" s="56">
        <v>507530033.33999997</v>
      </c>
      <c r="G21" s="57">
        <f>+F21/F23</f>
        <v>0.99981597619191487</v>
      </c>
    </row>
    <row r="22" spans="1:7" x14ac:dyDescent="0.25">
      <c r="A22" s="7"/>
      <c r="B22" s="2"/>
      <c r="C22" s="9"/>
      <c r="D22" s="7"/>
      <c r="E22" s="13"/>
      <c r="F22" s="6"/>
      <c r="G22" s="21"/>
    </row>
    <row r="23" spans="1:7" ht="13.8" thickBot="1" x14ac:dyDescent="0.3">
      <c r="B23" s="1" t="s">
        <v>18</v>
      </c>
      <c r="F23" s="30">
        <f>SUM(F20:F22)</f>
        <v>507623448.13999999</v>
      </c>
      <c r="G23" s="20">
        <f>+F23/F23</f>
        <v>1</v>
      </c>
    </row>
    <row r="24" spans="1:7" ht="13.8" thickTop="1" x14ac:dyDescent="0.25"/>
    <row r="25" spans="1:7" ht="15.6" x14ac:dyDescent="0.3">
      <c r="B25" s="54" t="str">
        <f>+B1</f>
        <v>Certification for Market Settlement August 24, 2001</v>
      </c>
    </row>
    <row r="26" spans="1:7" ht="15.6" x14ac:dyDescent="0.3">
      <c r="B26" s="42"/>
    </row>
    <row r="27" spans="1:7" ht="15.6" x14ac:dyDescent="0.3">
      <c r="B27" s="10" t="s">
        <v>65</v>
      </c>
    </row>
    <row r="28" spans="1:7" ht="15.6" x14ac:dyDescent="0.3">
      <c r="B28" s="10"/>
    </row>
    <row r="29" spans="1:7" ht="15.6" x14ac:dyDescent="0.3">
      <c r="B29" s="10" t="s">
        <v>27</v>
      </c>
      <c r="G29" s="21"/>
    </row>
    <row r="30" spans="1:7" ht="15.6" x14ac:dyDescent="0.3">
      <c r="B30" s="10"/>
      <c r="G30" s="21"/>
    </row>
    <row r="31" spans="1:7" x14ac:dyDescent="0.25">
      <c r="B31" s="21" t="s">
        <v>26</v>
      </c>
      <c r="C31" s="32"/>
      <c r="D31" s="33"/>
      <c r="E31" s="33"/>
      <c r="F31" s="34">
        <v>669272884</v>
      </c>
      <c r="G31" s="58">
        <f>+F31/F33</f>
        <v>0.99531074726458513</v>
      </c>
    </row>
    <row r="32" spans="1:7" x14ac:dyDescent="0.25">
      <c r="B32" s="21" t="s">
        <v>28</v>
      </c>
      <c r="C32" s="32"/>
      <c r="D32" s="33"/>
      <c r="E32" s="33"/>
      <c r="F32" s="39">
        <f>3153175.74</f>
        <v>3153175.74</v>
      </c>
      <c r="G32" s="58">
        <f>+F32/F33</f>
        <v>4.6892527354148138E-3</v>
      </c>
    </row>
    <row r="33" spans="2:7" x14ac:dyDescent="0.25">
      <c r="B33" s="35" t="s">
        <v>29</v>
      </c>
      <c r="C33" s="32"/>
      <c r="D33" s="33"/>
      <c r="E33" s="33"/>
      <c r="F33" s="52">
        <f>+F32+F31</f>
        <v>672426059.74000001</v>
      </c>
      <c r="G33" s="59">
        <f>+F33/F33</f>
        <v>1</v>
      </c>
    </row>
    <row r="34" spans="2:7" ht="15.6" x14ac:dyDescent="0.3">
      <c r="B34" s="10"/>
      <c r="G34" s="21"/>
    </row>
    <row r="35" spans="2:7" x14ac:dyDescent="0.25">
      <c r="B35" s="21" t="s">
        <v>30</v>
      </c>
      <c r="C35" s="32"/>
      <c r="D35" s="33"/>
      <c r="E35" s="33"/>
      <c r="F35" s="6">
        <v>2983589.97</v>
      </c>
      <c r="G35" s="33"/>
    </row>
    <row r="36" spans="2:7" x14ac:dyDescent="0.25">
      <c r="B36" s="21" t="s">
        <v>31</v>
      </c>
      <c r="C36" s="32"/>
      <c r="D36" s="33"/>
      <c r="E36" s="33"/>
      <c r="F36" s="6">
        <v>144397659.30000001</v>
      </c>
      <c r="G36" s="33"/>
    </row>
    <row r="37" spans="2:7" x14ac:dyDescent="0.25">
      <c r="B37" s="21" t="s">
        <v>76</v>
      </c>
      <c r="C37" s="32"/>
      <c r="D37" s="33"/>
      <c r="E37" s="33"/>
      <c r="F37" s="6">
        <v>62787.65</v>
      </c>
      <c r="G37" s="33"/>
    </row>
    <row r="38" spans="2:7" x14ac:dyDescent="0.25">
      <c r="B38" s="21" t="s">
        <v>32</v>
      </c>
      <c r="C38" s="32"/>
      <c r="D38" s="33"/>
      <c r="E38" s="33"/>
      <c r="F38" s="39">
        <v>352934.19</v>
      </c>
      <c r="G38" s="33"/>
    </row>
    <row r="39" spans="2:7" x14ac:dyDescent="0.25">
      <c r="B39" s="35" t="s">
        <v>33</v>
      </c>
      <c r="C39" s="32"/>
      <c r="D39" s="33"/>
      <c r="E39" s="33"/>
      <c r="F39" s="52">
        <f>SUM(F35:F38)</f>
        <v>147796971.11000001</v>
      </c>
      <c r="G39" s="59">
        <f>+F39/F33</f>
        <v>0.21979661402050232</v>
      </c>
    </row>
    <row r="40" spans="2:7" ht="15.6" x14ac:dyDescent="0.3">
      <c r="B40" s="10"/>
      <c r="G40" s="21"/>
    </row>
    <row r="41" spans="2:7" x14ac:dyDescent="0.25">
      <c r="B41" s="21" t="s">
        <v>128</v>
      </c>
      <c r="C41" s="32"/>
      <c r="D41" s="33"/>
      <c r="E41" s="33"/>
      <c r="F41" s="6">
        <v>16925215.710000001</v>
      </c>
      <c r="G41" s="33"/>
    </row>
    <row r="42" spans="2:7" x14ac:dyDescent="0.25">
      <c r="B42" s="21" t="s">
        <v>143</v>
      </c>
      <c r="C42" s="32"/>
      <c r="D42" s="33"/>
      <c r="E42" s="33"/>
      <c r="F42" s="39">
        <f>80424.78</f>
        <v>80424.78</v>
      </c>
      <c r="G42" s="33"/>
    </row>
    <row r="43" spans="2:7" x14ac:dyDescent="0.25">
      <c r="B43" s="35" t="s">
        <v>54</v>
      </c>
      <c r="C43" s="32"/>
      <c r="D43" s="33"/>
      <c r="E43" s="33"/>
      <c r="F43" s="53">
        <f>SUM(F41:F42)</f>
        <v>17005640.490000002</v>
      </c>
      <c r="G43" s="59">
        <f>+F43/F33</f>
        <v>2.5289978345835372E-2</v>
      </c>
    </row>
    <row r="44" spans="2:7" ht="15.6" x14ac:dyDescent="0.3">
      <c r="B44" s="10"/>
      <c r="G44" s="21"/>
    </row>
    <row r="45" spans="2:7" ht="16.2" thickBot="1" x14ac:dyDescent="0.35">
      <c r="B45" s="45" t="s">
        <v>35</v>
      </c>
      <c r="C45" s="49"/>
      <c r="D45" s="50"/>
      <c r="E45" s="50"/>
      <c r="F45" s="51">
        <f>+F33-F39-F43</f>
        <v>507623448.13999999</v>
      </c>
      <c r="G45" s="60">
        <f>+F45/F33</f>
        <v>0.75491340763366233</v>
      </c>
    </row>
    <row r="46" spans="2:7" ht="15.6" x14ac:dyDescent="0.3">
      <c r="B46" s="37"/>
      <c r="C46" s="32"/>
      <c r="D46" s="33"/>
      <c r="E46" s="33"/>
      <c r="F46" s="38"/>
      <c r="G46" s="21"/>
    </row>
    <row r="47" spans="2:7" ht="15.6" x14ac:dyDescent="0.3">
      <c r="B47" s="37"/>
      <c r="C47" s="32"/>
      <c r="D47" s="33"/>
      <c r="E47" s="33"/>
      <c r="F47" s="38"/>
      <c r="G47" s="21"/>
    </row>
    <row r="48" spans="2:7" ht="15.6" x14ac:dyDescent="0.3">
      <c r="B48" s="37" t="s">
        <v>34</v>
      </c>
      <c r="C48" s="32"/>
      <c r="D48" s="33"/>
      <c r="E48" s="33"/>
      <c r="F48" s="21"/>
      <c r="G48" s="21"/>
    </row>
    <row r="49" spans="2:7" ht="15.6" x14ac:dyDescent="0.3">
      <c r="B49" s="37"/>
      <c r="C49" s="32"/>
      <c r="D49" s="33"/>
      <c r="E49" s="33"/>
      <c r="F49" s="21"/>
      <c r="G49" s="21"/>
    </row>
    <row r="50" spans="2:7" x14ac:dyDescent="0.25">
      <c r="B50" s="21" t="s">
        <v>26</v>
      </c>
      <c r="C50" s="32"/>
      <c r="D50" s="33"/>
      <c r="E50" s="33"/>
      <c r="F50" s="34">
        <v>669155560.77999997</v>
      </c>
      <c r="G50" s="58">
        <f>+F50/F52</f>
        <v>0.97444799717499142</v>
      </c>
    </row>
    <row r="51" spans="2:7" x14ac:dyDescent="0.25">
      <c r="B51" s="21" t="s">
        <v>28</v>
      </c>
      <c r="C51" s="32"/>
      <c r="D51" s="33"/>
      <c r="E51" s="33"/>
      <c r="F51" s="39">
        <v>17546615.960000001</v>
      </c>
      <c r="G51" s="58">
        <f>+F51/F52</f>
        <v>2.5552002825008552E-2</v>
      </c>
    </row>
    <row r="52" spans="2:7" x14ac:dyDescent="0.25">
      <c r="B52" s="35" t="s">
        <v>29</v>
      </c>
      <c r="C52" s="32"/>
      <c r="D52" s="33"/>
      <c r="E52" s="33"/>
      <c r="F52" s="52">
        <f>+F51+F50</f>
        <v>686702176.74000001</v>
      </c>
      <c r="G52" s="59">
        <f>+F52/F52</f>
        <v>1</v>
      </c>
    </row>
    <row r="53" spans="2:7" ht="15.6" x14ac:dyDescent="0.3">
      <c r="B53" s="10"/>
      <c r="G53" s="21"/>
    </row>
    <row r="54" spans="2:7" x14ac:dyDescent="0.25">
      <c r="B54" s="21" t="s">
        <v>39</v>
      </c>
      <c r="C54" s="32"/>
      <c r="D54" s="33"/>
      <c r="E54" s="33"/>
      <c r="F54" s="6">
        <v>12113244.289999999</v>
      </c>
      <c r="G54" s="33"/>
    </row>
    <row r="55" spans="2:7" x14ac:dyDescent="0.25">
      <c r="B55" s="21" t="s">
        <v>40</v>
      </c>
      <c r="C55" s="32"/>
      <c r="D55" s="33"/>
      <c r="E55" s="33"/>
      <c r="F55" s="6">
        <v>149333046.53999999</v>
      </c>
      <c r="G55" s="33"/>
    </row>
    <row r="56" spans="2:7" x14ac:dyDescent="0.25">
      <c r="B56" s="21" t="s">
        <v>41</v>
      </c>
      <c r="C56" s="32"/>
      <c r="D56" s="33"/>
      <c r="E56" s="33"/>
      <c r="F56" s="6">
        <v>62787.65</v>
      </c>
      <c r="G56" s="33"/>
    </row>
    <row r="57" spans="2:7" x14ac:dyDescent="0.25">
      <c r="B57" s="21" t="s">
        <v>43</v>
      </c>
      <c r="C57" s="32"/>
      <c r="D57" s="33"/>
      <c r="E57" s="33"/>
      <c r="F57" s="6">
        <v>352693.64</v>
      </c>
      <c r="G57" s="33"/>
    </row>
    <row r="58" spans="2:7" x14ac:dyDescent="0.25">
      <c r="B58" s="21" t="s">
        <v>71</v>
      </c>
      <c r="C58" s="32"/>
      <c r="D58" s="33"/>
      <c r="E58" s="33"/>
      <c r="F58" s="39">
        <v>5209.76</v>
      </c>
      <c r="G58" s="33"/>
    </row>
    <row r="59" spans="2:7" x14ac:dyDescent="0.25">
      <c r="B59" s="35" t="s">
        <v>42</v>
      </c>
      <c r="C59" s="32"/>
      <c r="D59" s="33"/>
      <c r="E59" s="33"/>
      <c r="F59" s="52">
        <f>SUM(F54:F58)</f>
        <v>161866981.87999997</v>
      </c>
      <c r="G59" s="59">
        <f>+F59/F52</f>
        <v>0.23571642462011044</v>
      </c>
    </row>
    <row r="60" spans="2:7" ht="15.6" x14ac:dyDescent="0.3">
      <c r="B60" s="10"/>
      <c r="G60" s="21"/>
    </row>
    <row r="61" spans="2:7" x14ac:dyDescent="0.25">
      <c r="B61" s="21" t="s">
        <v>131</v>
      </c>
      <c r="C61" s="32"/>
      <c r="D61" s="33"/>
      <c r="E61" s="33"/>
      <c r="F61" s="36">
        <v>957235.81</v>
      </c>
      <c r="G61" s="33"/>
    </row>
    <row r="62" spans="2:7" x14ac:dyDescent="0.25">
      <c r="B62" s="21" t="s">
        <v>130</v>
      </c>
      <c r="C62" s="32"/>
      <c r="D62" s="33"/>
      <c r="E62" s="33"/>
      <c r="F62" s="36">
        <v>443900.1</v>
      </c>
      <c r="G62" s="33"/>
    </row>
    <row r="63" spans="2:7" x14ac:dyDescent="0.25">
      <c r="B63" s="21" t="s">
        <v>129</v>
      </c>
      <c r="C63" s="32"/>
      <c r="D63" s="33"/>
      <c r="E63" s="33"/>
      <c r="F63" s="6">
        <v>16925215.710000001</v>
      </c>
      <c r="G63" s="33"/>
    </row>
    <row r="64" spans="2:7" x14ac:dyDescent="0.25">
      <c r="B64" s="21" t="s">
        <v>133</v>
      </c>
      <c r="C64" s="32"/>
      <c r="D64" s="33"/>
      <c r="E64" s="33"/>
      <c r="F64" s="6">
        <v>240.55</v>
      </c>
      <c r="G64" s="33"/>
    </row>
    <row r="65" spans="1:9" x14ac:dyDescent="0.25">
      <c r="B65" s="21" t="s">
        <v>132</v>
      </c>
      <c r="C65" s="32"/>
      <c r="D65" s="33"/>
      <c r="E65" s="33"/>
      <c r="F65" s="6">
        <f>2463.45+9045.05</f>
        <v>11508.5</v>
      </c>
      <c r="G65" s="33"/>
    </row>
    <row r="66" spans="1:9" s="21" customFormat="1" x14ac:dyDescent="0.25">
      <c r="A66" s="32"/>
      <c r="B66" s="21" t="s">
        <v>134</v>
      </c>
      <c r="C66" s="32"/>
      <c r="D66" s="33"/>
      <c r="E66" s="33"/>
      <c r="F66" s="6">
        <v>4918.46</v>
      </c>
      <c r="G66" s="33"/>
    </row>
    <row r="67" spans="1:9" x14ac:dyDescent="0.25">
      <c r="B67" s="21" t="s">
        <v>135</v>
      </c>
      <c r="C67" s="32"/>
      <c r="D67" s="33"/>
      <c r="E67" s="33"/>
      <c r="F67" s="6">
        <v>7683.69</v>
      </c>
      <c r="G67" s="33"/>
    </row>
    <row r="68" spans="1:9" x14ac:dyDescent="0.25">
      <c r="B68" s="21" t="s">
        <v>140</v>
      </c>
      <c r="C68" s="32"/>
      <c r="D68" s="33"/>
      <c r="E68" s="33"/>
      <c r="F68" s="6">
        <v>252.41</v>
      </c>
      <c r="G68" s="33"/>
    </row>
    <row r="69" spans="1:9" x14ac:dyDescent="0.25">
      <c r="B69" s="70" t="s">
        <v>138</v>
      </c>
      <c r="C69" s="32"/>
      <c r="D69" s="33"/>
      <c r="E69" s="33"/>
      <c r="F69" s="6">
        <f>1321875.76+25515.38</f>
        <v>1347391.14</v>
      </c>
      <c r="G69" s="33"/>
    </row>
    <row r="70" spans="1:9" x14ac:dyDescent="0.25">
      <c r="B70" s="70" t="s">
        <v>139</v>
      </c>
      <c r="C70" s="32"/>
      <c r="D70" s="33"/>
      <c r="E70" s="33"/>
      <c r="F70" s="6">
        <v>7117.71</v>
      </c>
      <c r="G70" s="33"/>
    </row>
    <row r="71" spans="1:9" x14ac:dyDescent="0.25">
      <c r="B71" s="70" t="s">
        <v>136</v>
      </c>
      <c r="C71" s="32"/>
      <c r="D71" s="33"/>
      <c r="E71" s="33"/>
      <c r="F71" s="6">
        <v>89223.57</v>
      </c>
      <c r="G71" s="33"/>
    </row>
    <row r="72" spans="1:9" x14ac:dyDescent="0.25">
      <c r="B72" s="70" t="s">
        <v>137</v>
      </c>
      <c r="C72" s="32"/>
      <c r="D72" s="33"/>
      <c r="E72" s="33"/>
      <c r="F72" s="6">
        <v>56858.77</v>
      </c>
      <c r="G72" s="33"/>
    </row>
    <row r="73" spans="1:9" x14ac:dyDescent="0.25">
      <c r="B73" s="70" t="s">
        <v>142</v>
      </c>
      <c r="C73" s="32"/>
      <c r="D73" s="33"/>
      <c r="E73" s="33"/>
      <c r="F73" s="39">
        <v>6708594.8600000003</v>
      </c>
      <c r="G73" s="33"/>
    </row>
    <row r="74" spans="1:9" x14ac:dyDescent="0.25">
      <c r="B74" s="35" t="s">
        <v>54</v>
      </c>
      <c r="C74" s="32"/>
      <c r="D74" s="33"/>
      <c r="E74" s="33"/>
      <c r="F74" s="53">
        <f>SUM(F61:F73)</f>
        <v>26560141.280000005</v>
      </c>
      <c r="G74" s="59">
        <f>+F74/F52</f>
        <v>3.8677817225059176E-2</v>
      </c>
    </row>
    <row r="75" spans="1:9" ht="15.6" x14ac:dyDescent="0.3">
      <c r="B75" s="10"/>
      <c r="G75" s="21"/>
    </row>
    <row r="76" spans="1:9" ht="16.2" thickBot="1" x14ac:dyDescent="0.35">
      <c r="B76" s="45" t="s">
        <v>36</v>
      </c>
      <c r="C76" s="49"/>
      <c r="D76" s="50"/>
      <c r="E76" s="50"/>
      <c r="F76" s="51">
        <f>+F52-F59-F74</f>
        <v>498275053.57999998</v>
      </c>
      <c r="G76" s="60">
        <f>+F76/F52</f>
        <v>0.7256057581548303</v>
      </c>
      <c r="I76" s="75">
        <f>+F10-F76</f>
        <v>0</v>
      </c>
    </row>
    <row r="77" spans="1:9" ht="15.6" x14ac:dyDescent="0.3">
      <c r="B77" s="10"/>
    </row>
  </sheetData>
  <phoneticPr fontId="0" type="noConversion"/>
  <pageMargins left="0.5" right="0.25" top="1" bottom="0.5" header="0.5" footer="0"/>
  <pageSetup scale="95" orientation="portrait" verticalDpi="0" r:id="rId1"/>
  <headerFooter alignWithMargins="0">
    <oddFooter>&amp;LCertification August 24, 2001&amp;CPage &amp;P of &amp;N&amp;RTrade Month November 2000</oddFooter>
  </headerFooter>
  <rowBreaks count="1" manualBreakCount="1">
    <brk id="2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88"/>
  <sheetViews>
    <sheetView zoomScaleNormal="100" workbookViewId="0">
      <selection activeCell="A16" sqref="A16"/>
    </sheetView>
  </sheetViews>
  <sheetFormatPr defaultRowHeight="13.2" x14ac:dyDescent="0.25"/>
  <cols>
    <col min="1" max="1" width="5" style="8" customWidth="1"/>
    <col min="2" max="2" width="50" customWidth="1"/>
    <col min="3" max="3" width="8.109375" style="8" customWidth="1"/>
    <col min="4" max="4" width="6" style="12" customWidth="1"/>
    <col min="5" max="5" width="5" style="12" customWidth="1"/>
    <col min="6" max="6" width="17.44140625" customWidth="1"/>
    <col min="7" max="7" width="9.33203125" customWidth="1"/>
    <col min="8" max="8" width="11.88671875" bestFit="1" customWidth="1"/>
  </cols>
  <sheetData>
    <row r="1" spans="1:7" ht="15.6" x14ac:dyDescent="0.3">
      <c r="B1" s="54" t="s">
        <v>126</v>
      </c>
    </row>
    <row r="2" spans="1:7" ht="15.6" x14ac:dyDescent="0.3">
      <c r="B2" s="10"/>
    </row>
    <row r="3" spans="1:7" ht="15.6" x14ac:dyDescent="0.3">
      <c r="B3" s="10" t="s">
        <v>55</v>
      </c>
    </row>
    <row r="4" spans="1:7" ht="15.6" x14ac:dyDescent="0.3">
      <c r="B4" s="10"/>
    </row>
    <row r="5" spans="1:7" ht="15.6" x14ac:dyDescent="0.3">
      <c r="B5" s="10"/>
    </row>
    <row r="6" spans="1:7" ht="15.6" x14ac:dyDescent="0.3">
      <c r="B6" s="10"/>
    </row>
    <row r="7" spans="1:7" ht="16.2" thickBot="1" x14ac:dyDescent="0.35">
      <c r="A7" s="10" t="s">
        <v>57</v>
      </c>
    </row>
    <row r="8" spans="1:7" s="5" customFormat="1" ht="31.8"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141</v>
      </c>
      <c r="C10" s="11"/>
      <c r="D10" s="14"/>
      <c r="E10" s="14"/>
      <c r="F10" s="30">
        <v>1471079852.9000001</v>
      </c>
      <c r="G10" s="20">
        <f>+F10/F$10</f>
        <v>1</v>
      </c>
    </row>
    <row r="11" spans="1:7" ht="16.2" thickTop="1" x14ac:dyDescent="0.3">
      <c r="B11" s="10"/>
    </row>
    <row r="12" spans="1:7" ht="15.6" x14ac:dyDescent="0.3">
      <c r="B12" s="10"/>
    </row>
    <row r="13" spans="1:7" ht="15.6" x14ac:dyDescent="0.3">
      <c r="B13" s="10"/>
    </row>
    <row r="14" spans="1:7" ht="15.6" x14ac:dyDescent="0.3">
      <c r="B14" s="10"/>
    </row>
    <row r="15" spans="1:7" ht="15.6" x14ac:dyDescent="0.3">
      <c r="B15" s="10"/>
    </row>
    <row r="16" spans="1:7" ht="15.6" x14ac:dyDescent="0.3">
      <c r="A16" s="10" t="s">
        <v>49</v>
      </c>
    </row>
    <row r="17" spans="1:7" ht="16.2" thickBot="1" x14ac:dyDescent="0.35">
      <c r="A17" s="10" t="s">
        <v>88</v>
      </c>
    </row>
    <row r="18" spans="1:7" s="5" customFormat="1" ht="31.8" thickTop="1" thickBot="1" x14ac:dyDescent="0.3">
      <c r="A18" s="15" t="s">
        <v>11</v>
      </c>
      <c r="B18" s="15" t="s">
        <v>13</v>
      </c>
      <c r="C18" s="15" t="s">
        <v>12</v>
      </c>
      <c r="D18" s="15" t="s">
        <v>17</v>
      </c>
      <c r="E18" s="15" t="s">
        <v>15</v>
      </c>
      <c r="F18" s="16" t="s">
        <v>10</v>
      </c>
      <c r="G18" s="16" t="s">
        <v>56</v>
      </c>
    </row>
    <row r="19" spans="1:7" ht="13.8" thickTop="1" x14ac:dyDescent="0.25"/>
    <row r="20" spans="1:7" x14ac:dyDescent="0.25">
      <c r="A20" s="24">
        <v>1243</v>
      </c>
      <c r="B20" s="23" t="s">
        <v>14</v>
      </c>
      <c r="C20" s="71">
        <v>36949</v>
      </c>
      <c r="D20" s="31">
        <v>14163</v>
      </c>
      <c r="E20" s="24" t="s">
        <v>16</v>
      </c>
      <c r="F20" s="27">
        <v>1430114437.6500001</v>
      </c>
      <c r="G20" s="28">
        <f t="shared" ref="G20:G27" si="0">+F20/$F$29</f>
        <v>0.94436743651920307</v>
      </c>
    </row>
    <row r="21" spans="1:7" x14ac:dyDescent="0.25">
      <c r="A21" s="24">
        <v>1243</v>
      </c>
      <c r="B21" s="23" t="s">
        <v>14</v>
      </c>
      <c r="C21" s="71">
        <v>36965</v>
      </c>
      <c r="D21" s="31">
        <v>14323</v>
      </c>
      <c r="E21" s="24" t="s">
        <v>16</v>
      </c>
      <c r="F21" s="29">
        <v>54594957.950000003</v>
      </c>
      <c r="G21" s="28">
        <f t="shared" si="0"/>
        <v>3.6051450939014427E-2</v>
      </c>
    </row>
    <row r="22" spans="1:7" x14ac:dyDescent="0.25">
      <c r="A22" s="24">
        <v>2769</v>
      </c>
      <c r="B22" s="23" t="s">
        <v>14</v>
      </c>
      <c r="C22" s="71">
        <v>36949</v>
      </c>
      <c r="D22" s="31">
        <v>14126</v>
      </c>
      <c r="E22" s="24" t="s">
        <v>16</v>
      </c>
      <c r="F22" s="29">
        <v>12171363.359999999</v>
      </c>
      <c r="G22" s="28">
        <f t="shared" si="0"/>
        <v>8.0372863266205304E-3</v>
      </c>
    </row>
    <row r="23" spans="1:7" x14ac:dyDescent="0.25">
      <c r="A23" s="24">
        <v>2769</v>
      </c>
      <c r="B23" s="23" t="s">
        <v>14</v>
      </c>
      <c r="C23" s="71">
        <v>36965</v>
      </c>
      <c r="D23" s="31">
        <v>14286</v>
      </c>
      <c r="E23" s="24" t="s">
        <v>16</v>
      </c>
      <c r="F23" s="29">
        <v>235652.69</v>
      </c>
      <c r="G23" s="28">
        <f t="shared" si="0"/>
        <v>1.5561183140689233E-4</v>
      </c>
    </row>
    <row r="24" spans="1:7" x14ac:dyDescent="0.25">
      <c r="A24" s="24">
        <v>1011</v>
      </c>
      <c r="B24" s="23" t="s">
        <v>192</v>
      </c>
      <c r="C24" s="71">
        <v>36949</v>
      </c>
      <c r="D24" s="31">
        <v>14183</v>
      </c>
      <c r="E24" s="24" t="s">
        <v>16</v>
      </c>
      <c r="F24" s="29">
        <v>11394577.6</v>
      </c>
      <c r="G24" s="28">
        <f t="shared" si="0"/>
        <v>7.5243405387986524E-3</v>
      </c>
    </row>
    <row r="25" spans="1:7" x14ac:dyDescent="0.25">
      <c r="A25" s="24">
        <v>1008</v>
      </c>
      <c r="B25" s="23" t="s">
        <v>68</v>
      </c>
      <c r="C25" s="71">
        <v>36965</v>
      </c>
      <c r="D25" s="31">
        <v>14345</v>
      </c>
      <c r="E25" s="24" t="s">
        <v>16</v>
      </c>
      <c r="F25" s="29">
        <v>1721998.72</v>
      </c>
      <c r="G25" s="28">
        <f t="shared" si="0"/>
        <v>1.1371114605121817E-3</v>
      </c>
    </row>
    <row r="26" spans="1:7" x14ac:dyDescent="0.25">
      <c r="A26" s="24">
        <v>1010</v>
      </c>
      <c r="B26" s="23" t="s">
        <v>63</v>
      </c>
      <c r="C26" s="71">
        <v>36965</v>
      </c>
      <c r="D26" s="31">
        <v>14344</v>
      </c>
      <c r="E26" s="24" t="s">
        <v>16</v>
      </c>
      <c r="F26" s="29">
        <v>3337442.11</v>
      </c>
      <c r="G26" s="28">
        <f t="shared" si="0"/>
        <v>2.2038597520426481E-3</v>
      </c>
    </row>
    <row r="27" spans="1:7" x14ac:dyDescent="0.25">
      <c r="A27" s="24">
        <v>2465</v>
      </c>
      <c r="B27" s="23" t="s">
        <v>25</v>
      </c>
      <c r="C27" s="71">
        <v>36965</v>
      </c>
      <c r="D27" s="31">
        <v>14298</v>
      </c>
      <c r="E27" s="24" t="s">
        <v>16</v>
      </c>
      <c r="F27" s="56">
        <v>791864.03</v>
      </c>
      <c r="G27" s="57">
        <f t="shared" si="0"/>
        <v>5.229026324017024E-4</v>
      </c>
    </row>
    <row r="28" spans="1:7" x14ac:dyDescent="0.25">
      <c r="A28" s="7"/>
      <c r="B28" s="2"/>
      <c r="C28" s="9"/>
      <c r="D28" s="7"/>
      <c r="E28" s="13"/>
      <c r="F28" s="6"/>
      <c r="G28" s="21"/>
    </row>
    <row r="29" spans="1:7" ht="13.8" thickBot="1" x14ac:dyDescent="0.3">
      <c r="B29" s="1" t="s">
        <v>18</v>
      </c>
      <c r="F29" s="30">
        <f>SUM(F20:F28)</f>
        <v>1514362294.1099999</v>
      </c>
      <c r="G29" s="20">
        <f>+F29/F29</f>
        <v>1</v>
      </c>
    </row>
    <row r="30" spans="1:7" ht="13.8" thickTop="1" x14ac:dyDescent="0.25"/>
    <row r="32" spans="1:7" x14ac:dyDescent="0.25">
      <c r="B32" s="85" t="s">
        <v>191</v>
      </c>
    </row>
    <row r="36" spans="1:9" ht="15.6" x14ac:dyDescent="0.3">
      <c r="B36" s="10" t="str">
        <f>+B1</f>
        <v>Certification for Market Settlement August 24, 2001</v>
      </c>
    </row>
    <row r="37" spans="1:9" ht="15.6" x14ac:dyDescent="0.3">
      <c r="B37" s="10"/>
    </row>
    <row r="38" spans="1:9" ht="15.6" x14ac:dyDescent="0.3">
      <c r="B38" s="10" t="s">
        <v>74</v>
      </c>
    </row>
    <row r="39" spans="1:9" ht="15.6" x14ac:dyDescent="0.3">
      <c r="B39" s="10"/>
    </row>
    <row r="40" spans="1:9" ht="15.6" x14ac:dyDescent="0.3">
      <c r="B40" s="10" t="s">
        <v>27</v>
      </c>
    </row>
    <row r="41" spans="1:9" ht="15.6" x14ac:dyDescent="0.3">
      <c r="B41" s="10"/>
    </row>
    <row r="42" spans="1:9" x14ac:dyDescent="0.25">
      <c r="B42" s="21" t="s">
        <v>26</v>
      </c>
      <c r="C42" s="32"/>
      <c r="D42" s="33"/>
      <c r="E42" s="33"/>
      <c r="F42" s="34">
        <v>1503186210.21</v>
      </c>
      <c r="G42" s="62">
        <f>+F42/$F$44</f>
        <v>0.95379607150099743</v>
      </c>
      <c r="I42" s="61"/>
    </row>
    <row r="43" spans="1:9" x14ac:dyDescent="0.25">
      <c r="B43" s="21" t="s">
        <v>28</v>
      </c>
      <c r="C43" s="32"/>
      <c r="D43" s="33"/>
      <c r="E43" s="33"/>
      <c r="F43" s="39">
        <v>72817565.780000001</v>
      </c>
      <c r="G43" s="62">
        <f>+F43/$F$44</f>
        <v>4.6203928499002553E-2</v>
      </c>
    </row>
    <row r="44" spans="1:9" x14ac:dyDescent="0.25">
      <c r="B44" s="35" t="s">
        <v>29</v>
      </c>
      <c r="C44" s="32"/>
      <c r="D44" s="33"/>
      <c r="E44" s="33"/>
      <c r="F44" s="52">
        <f>SUM(F42:F43)</f>
        <v>1576003775.99</v>
      </c>
      <c r="G44" s="63">
        <f>+F44/$F$44</f>
        <v>1</v>
      </c>
    </row>
    <row r="45" spans="1:9" ht="15.6" x14ac:dyDescent="0.3">
      <c r="B45" s="10"/>
    </row>
    <row r="46" spans="1:9" x14ac:dyDescent="0.25">
      <c r="B46" s="21" t="s">
        <v>32</v>
      </c>
      <c r="C46" s="32"/>
      <c r="D46" s="33"/>
      <c r="E46" s="33"/>
      <c r="F46" s="6">
        <f>46371366.56-352934.19</f>
        <v>46018432.370000005</v>
      </c>
    </row>
    <row r="47" spans="1:9" x14ac:dyDescent="0.25">
      <c r="B47" s="21" t="s">
        <v>66</v>
      </c>
      <c r="C47" s="32"/>
      <c r="D47" s="33"/>
      <c r="E47" s="33"/>
      <c r="F47" s="6">
        <v>1095680.05</v>
      </c>
    </row>
    <row r="48" spans="1:9" s="21" customFormat="1" x14ac:dyDescent="0.25">
      <c r="A48" s="32"/>
      <c r="B48" s="21" t="s">
        <v>69</v>
      </c>
      <c r="C48" s="32"/>
      <c r="D48" s="33"/>
      <c r="E48" s="33"/>
      <c r="F48" s="6">
        <v>4668657.91</v>
      </c>
    </row>
    <row r="49" spans="1:8" x14ac:dyDescent="0.25">
      <c r="B49" s="21" t="s">
        <v>75</v>
      </c>
      <c r="C49" s="32"/>
      <c r="D49" s="33"/>
      <c r="E49" s="33"/>
      <c r="F49" s="39">
        <f>31.56-0.54</f>
        <v>31.02</v>
      </c>
    </row>
    <row r="50" spans="1:8" x14ac:dyDescent="0.25">
      <c r="B50" s="35" t="s">
        <v>33</v>
      </c>
      <c r="C50" s="32"/>
      <c r="D50" s="33"/>
      <c r="E50" s="33"/>
      <c r="F50" s="52">
        <f>SUM(F46:F49)</f>
        <v>51782801.350000001</v>
      </c>
      <c r="G50" s="63">
        <f>+F50/$F$44</f>
        <v>3.2857028732352841E-2</v>
      </c>
    </row>
    <row r="51" spans="1:8" ht="15.6" x14ac:dyDescent="0.3">
      <c r="B51" s="10"/>
    </row>
    <row r="52" spans="1:8" s="21" customFormat="1" x14ac:dyDescent="0.25">
      <c r="A52" s="32"/>
      <c r="B52" s="21" t="s">
        <v>144</v>
      </c>
      <c r="C52" s="32"/>
      <c r="D52" s="33"/>
      <c r="E52" s="33"/>
      <c r="F52" s="6">
        <f>2463.45+9045.05</f>
        <v>11508.5</v>
      </c>
    </row>
    <row r="53" spans="1:8" s="21" customFormat="1" x14ac:dyDescent="0.25">
      <c r="A53" s="32"/>
      <c r="B53" s="21" t="s">
        <v>145</v>
      </c>
      <c r="C53" s="32"/>
      <c r="D53" s="33"/>
      <c r="E53" s="33"/>
      <c r="F53" s="6">
        <v>147750</v>
      </c>
    </row>
    <row r="54" spans="1:8" s="21" customFormat="1" x14ac:dyDescent="0.25">
      <c r="A54" s="32"/>
      <c r="B54" s="21" t="s">
        <v>147</v>
      </c>
      <c r="C54" s="32"/>
      <c r="D54" s="33"/>
      <c r="E54" s="33"/>
      <c r="F54" s="6">
        <f>6905278.69+1077709.33</f>
        <v>7982988.0200000005</v>
      </c>
    </row>
    <row r="55" spans="1:8" s="21" customFormat="1" x14ac:dyDescent="0.25">
      <c r="A55" s="32"/>
      <c r="B55" s="21" t="s">
        <v>148</v>
      </c>
      <c r="C55" s="32"/>
      <c r="D55" s="33"/>
      <c r="E55" s="33"/>
      <c r="F55" s="6">
        <f>792.51+51555.14</f>
        <v>52347.65</v>
      </c>
    </row>
    <row r="56" spans="1:8" s="21" customFormat="1" x14ac:dyDescent="0.25">
      <c r="A56" s="32"/>
      <c r="B56" s="21" t="s">
        <v>146</v>
      </c>
      <c r="C56" s="32"/>
      <c r="D56" s="33"/>
      <c r="E56" s="33"/>
      <c r="F56" s="6">
        <f>21483.12+118120.46+21.04</f>
        <v>139624.62000000002</v>
      </c>
    </row>
    <row r="57" spans="1:8" s="21" customFormat="1" x14ac:dyDescent="0.25">
      <c r="A57" s="32"/>
      <c r="B57" s="21" t="s">
        <v>149</v>
      </c>
      <c r="C57" s="32"/>
      <c r="D57" s="33"/>
      <c r="E57" s="33"/>
      <c r="F57" s="6">
        <f>1476860.84+1284.97+6534.54-5100.63</f>
        <v>1479579.7200000002</v>
      </c>
    </row>
    <row r="58" spans="1:8" s="21" customFormat="1" x14ac:dyDescent="0.25">
      <c r="A58" s="32"/>
      <c r="B58" s="21" t="s">
        <v>152</v>
      </c>
      <c r="C58" s="32"/>
      <c r="D58" s="33"/>
      <c r="E58" s="33"/>
      <c r="F58" s="6">
        <f>1202.39+5100.63</f>
        <v>6303.02</v>
      </c>
    </row>
    <row r="59" spans="1:8" s="21" customFormat="1" x14ac:dyDescent="0.25">
      <c r="A59" s="32"/>
      <c r="B59" s="21" t="s">
        <v>150</v>
      </c>
      <c r="C59" s="32"/>
      <c r="D59" s="33"/>
      <c r="E59" s="33"/>
      <c r="F59" s="6">
        <v>24782.38</v>
      </c>
    </row>
    <row r="60" spans="1:8" s="21" customFormat="1" x14ac:dyDescent="0.25">
      <c r="A60" s="32"/>
      <c r="B60" s="21" t="s">
        <v>151</v>
      </c>
      <c r="C60" s="32"/>
      <c r="D60" s="33"/>
      <c r="E60" s="33"/>
      <c r="F60" s="39">
        <v>13796.62</v>
      </c>
    </row>
    <row r="61" spans="1:8" x14ac:dyDescent="0.25">
      <c r="B61" s="1" t="s">
        <v>54</v>
      </c>
      <c r="F61" s="53">
        <f>SUM(F52:F60)</f>
        <v>9858680.5300000012</v>
      </c>
      <c r="G61" s="63">
        <f>+F61/$F$44</f>
        <v>6.2554929627672137E-3</v>
      </c>
    </row>
    <row r="62" spans="1:8" ht="15.6" x14ac:dyDescent="0.3">
      <c r="B62" s="10"/>
    </row>
    <row r="63" spans="1:8" ht="16.2" thickBot="1" x14ac:dyDescent="0.35">
      <c r="B63" s="45" t="s">
        <v>35</v>
      </c>
      <c r="C63" s="49"/>
      <c r="D63" s="50"/>
      <c r="E63" s="50"/>
      <c r="F63" s="51">
        <f>+F44-F50-F61</f>
        <v>1514362294.1100001</v>
      </c>
      <c r="G63" s="64">
        <f>+F63/$F$44</f>
        <v>0.96088747830487997</v>
      </c>
      <c r="H63" s="75">
        <f>+F29-F63</f>
        <v>0</v>
      </c>
    </row>
    <row r="64" spans="1:8" ht="15.6" x14ac:dyDescent="0.3">
      <c r="B64" s="37"/>
      <c r="C64" s="32"/>
      <c r="D64" s="33"/>
      <c r="E64" s="33"/>
      <c r="F64" s="38"/>
    </row>
    <row r="65" spans="1:8" ht="15.6" x14ac:dyDescent="0.3">
      <c r="B65" s="37" t="s">
        <v>34</v>
      </c>
      <c r="C65" s="32"/>
      <c r="D65" s="33"/>
      <c r="E65" s="33"/>
      <c r="F65" s="21"/>
    </row>
    <row r="66" spans="1:8" ht="15.6" x14ac:dyDescent="0.3">
      <c r="B66" s="37"/>
      <c r="C66" s="32"/>
      <c r="D66" s="33"/>
      <c r="E66" s="33"/>
      <c r="F66" s="21"/>
    </row>
    <row r="67" spans="1:8" s="21" customFormat="1" x14ac:dyDescent="0.25">
      <c r="A67" s="32"/>
      <c r="B67" s="21" t="s">
        <v>26</v>
      </c>
      <c r="C67" s="32"/>
      <c r="D67" s="33"/>
      <c r="E67" s="33"/>
      <c r="F67" s="34">
        <f>1490781469.67</f>
        <v>1490781469.6700001</v>
      </c>
      <c r="G67" s="62">
        <f>+F67/$F$69</f>
        <v>0.94812611918699385</v>
      </c>
    </row>
    <row r="68" spans="1:8" x14ac:dyDescent="0.25">
      <c r="B68" s="21" t="s">
        <v>28</v>
      </c>
      <c r="C68" s="32"/>
      <c r="D68" s="33"/>
      <c r="E68" s="33"/>
      <c r="F68" s="39">
        <v>81563642.969999999</v>
      </c>
      <c r="G68" s="62">
        <f>+F68/$F$69</f>
        <v>5.187388081300609E-2</v>
      </c>
    </row>
    <row r="69" spans="1:8" x14ac:dyDescent="0.25">
      <c r="B69" s="35" t="s">
        <v>29</v>
      </c>
      <c r="C69" s="32"/>
      <c r="D69" s="33"/>
      <c r="E69" s="33"/>
      <c r="F69" s="52">
        <f>SUM(F67:F68)</f>
        <v>1572345112.6400001</v>
      </c>
      <c r="G69" s="63">
        <f>+F69/$F$69</f>
        <v>1</v>
      </c>
    </row>
    <row r="70" spans="1:8" ht="15.6" x14ac:dyDescent="0.3">
      <c r="B70" s="10"/>
    </row>
    <row r="71" spans="1:8" x14ac:dyDescent="0.25">
      <c r="B71" s="21" t="s">
        <v>43</v>
      </c>
      <c r="C71" s="32"/>
      <c r="D71" s="33"/>
      <c r="E71" s="33"/>
      <c r="F71" s="6">
        <v>45426874.329999998</v>
      </c>
    </row>
    <row r="72" spans="1:8" s="21" customFormat="1" x14ac:dyDescent="0.25">
      <c r="A72" s="32"/>
      <c r="B72" s="21" t="s">
        <v>67</v>
      </c>
      <c r="C72" s="32"/>
      <c r="D72" s="33"/>
      <c r="E72" s="33"/>
      <c r="F72" s="6">
        <v>1095680.05</v>
      </c>
    </row>
    <row r="73" spans="1:8" s="21" customFormat="1" x14ac:dyDescent="0.25">
      <c r="A73" s="32"/>
      <c r="B73" s="21" t="s">
        <v>70</v>
      </c>
      <c r="C73" s="32"/>
      <c r="D73" s="33"/>
      <c r="E73" s="33"/>
      <c r="F73" s="6">
        <v>4660365.5</v>
      </c>
    </row>
    <row r="74" spans="1:8" s="21" customFormat="1" x14ac:dyDescent="0.25">
      <c r="A74" s="32"/>
      <c r="B74" s="21" t="s">
        <v>77</v>
      </c>
      <c r="C74" s="32"/>
      <c r="D74" s="33"/>
      <c r="E74" s="33"/>
      <c r="F74" s="6">
        <v>8292.41</v>
      </c>
    </row>
    <row r="75" spans="1:8" x14ac:dyDescent="0.25">
      <c r="B75" s="21" t="s">
        <v>78</v>
      </c>
      <c r="C75" s="32"/>
      <c r="D75" s="33"/>
      <c r="E75" s="33"/>
      <c r="F75" s="39">
        <v>1243.6099999999999</v>
      </c>
    </row>
    <row r="76" spans="1:8" x14ac:dyDescent="0.25">
      <c r="B76" s="35" t="s">
        <v>42</v>
      </c>
      <c r="C76" s="32"/>
      <c r="D76" s="33"/>
      <c r="E76" s="33"/>
      <c r="F76" s="52">
        <f>SUM(F71:F75)</f>
        <v>51192455.899999991</v>
      </c>
      <c r="G76" s="63">
        <f>+F76/$F$69</f>
        <v>3.2558027807296573E-2</v>
      </c>
    </row>
    <row r="77" spans="1:8" ht="15.6" x14ac:dyDescent="0.3">
      <c r="B77" s="10"/>
    </row>
    <row r="78" spans="1:8" x14ac:dyDescent="0.25">
      <c r="B78" s="21" t="s">
        <v>153</v>
      </c>
      <c r="C78" s="32"/>
      <c r="D78" s="33"/>
      <c r="E78" s="33"/>
      <c r="F78" s="36">
        <f>554063.09+1911.84+35583.11</f>
        <v>591558.03999999992</v>
      </c>
      <c r="H78" s="25">
        <f>591558.04-F78</f>
        <v>0</v>
      </c>
    </row>
    <row r="79" spans="1:8" x14ac:dyDescent="0.25">
      <c r="B79" s="21" t="s">
        <v>154</v>
      </c>
      <c r="C79" s="32"/>
      <c r="D79" s="33"/>
      <c r="E79" s="33"/>
      <c r="F79" s="36">
        <f>6905278.69+1113292.44-35583.11</f>
        <v>7982988.0200000005</v>
      </c>
    </row>
    <row r="80" spans="1:8" s="21" customFormat="1" x14ac:dyDescent="0.25">
      <c r="A80" s="32"/>
      <c r="B80" s="21" t="s">
        <v>155</v>
      </c>
      <c r="C80" s="32"/>
      <c r="D80" s="33"/>
      <c r="E80" s="33"/>
      <c r="F80" s="36">
        <f>28270373.25+147750</f>
        <v>28418123.25</v>
      </c>
    </row>
    <row r="81" spans="1:8" s="21" customFormat="1" x14ac:dyDescent="0.25">
      <c r="A81" s="32"/>
      <c r="B81" s="21" t="s">
        <v>156</v>
      </c>
      <c r="C81" s="32"/>
      <c r="D81" s="33"/>
      <c r="E81" s="33"/>
      <c r="F81" s="36">
        <f>4703426.9+3872000+13.44+217315.41</f>
        <v>8792755.75</v>
      </c>
    </row>
    <row r="82" spans="1:8" s="21" customFormat="1" x14ac:dyDescent="0.25">
      <c r="A82" s="32"/>
      <c r="B82" s="70" t="s">
        <v>160</v>
      </c>
      <c r="C82" s="32"/>
      <c r="D82" s="33"/>
      <c r="E82" s="33"/>
      <c r="F82" s="36">
        <v>33196.74</v>
      </c>
    </row>
    <row r="83" spans="1:8" s="21" customFormat="1" x14ac:dyDescent="0.25">
      <c r="A83" s="32"/>
      <c r="B83" s="70" t="s">
        <v>159</v>
      </c>
      <c r="C83" s="32"/>
      <c r="D83" s="33"/>
      <c r="E83" s="33"/>
      <c r="F83" s="36">
        <v>2962776.9</v>
      </c>
    </row>
    <row r="84" spans="1:8" s="21" customFormat="1" x14ac:dyDescent="0.25">
      <c r="A84" s="32"/>
      <c r="B84" s="70" t="s">
        <v>157</v>
      </c>
      <c r="C84" s="32"/>
      <c r="D84" s="33"/>
      <c r="E84" s="33"/>
      <c r="F84" s="40">
        <v>1291405.1399999999</v>
      </c>
    </row>
    <row r="85" spans="1:8" x14ac:dyDescent="0.25">
      <c r="B85" s="1" t="s">
        <v>54</v>
      </c>
      <c r="C85" s="32"/>
      <c r="D85" s="33"/>
      <c r="E85" s="33"/>
      <c r="F85" s="53">
        <f>SUM(F78:F84)</f>
        <v>50072803.840000004</v>
      </c>
      <c r="G85" s="63">
        <f>+F85/$F$69</f>
        <v>3.1845937280223884E-2</v>
      </c>
    </row>
    <row r="86" spans="1:8" ht="15.6" x14ac:dyDescent="0.3">
      <c r="B86" s="10"/>
    </row>
    <row r="87" spans="1:8" ht="16.2" thickBot="1" x14ac:dyDescent="0.35">
      <c r="B87" s="45" t="s">
        <v>36</v>
      </c>
      <c r="C87" s="49"/>
      <c r="D87" s="50"/>
      <c r="E87" s="50"/>
      <c r="F87" s="51">
        <f>+F69-F76-F85</f>
        <v>1471079852.9000001</v>
      </c>
      <c r="G87" s="64">
        <f>+F87/$F$69</f>
        <v>0.93559603491247956</v>
      </c>
      <c r="H87" s="75">
        <f>+F10-F87</f>
        <v>0</v>
      </c>
    </row>
    <row r="88" spans="1:8" ht="15.6" x14ac:dyDescent="0.3">
      <c r="B88" s="10"/>
    </row>
  </sheetData>
  <phoneticPr fontId="0" type="noConversion"/>
  <pageMargins left="0.5" right="0.25" top="1" bottom="0.5" header="0.5" footer="0"/>
  <pageSetup scale="88" orientation="portrait" verticalDpi="0" r:id="rId1"/>
  <headerFooter alignWithMargins="0">
    <oddFooter>&amp;LCertification August 24, 2001&amp;CPage &amp;P of &amp;N&amp;RTrade Month December 2000</oddFooter>
  </headerFooter>
  <rowBreaks count="1" manualBreakCount="1">
    <brk id="35"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9"/>
  <sheetViews>
    <sheetView zoomScaleNormal="100" workbookViewId="0">
      <selection activeCell="B16" sqref="B16"/>
    </sheetView>
  </sheetViews>
  <sheetFormatPr defaultRowHeight="13.2" x14ac:dyDescent="0.25"/>
  <cols>
    <col min="1" max="1" width="5" style="8" customWidth="1"/>
    <col min="2" max="2" width="50" customWidth="1"/>
    <col min="3" max="3" width="8.109375" style="8" customWidth="1"/>
    <col min="4" max="4" width="6" style="12" customWidth="1"/>
    <col min="5" max="5" width="5" style="12" customWidth="1"/>
    <col min="6" max="6" width="17.44140625" customWidth="1"/>
    <col min="7" max="7" width="9.33203125" customWidth="1"/>
    <col min="9" max="9" width="14" bestFit="1" customWidth="1"/>
  </cols>
  <sheetData>
    <row r="1" spans="1:7" ht="15.6" x14ac:dyDescent="0.3">
      <c r="B1" s="54" t="s">
        <v>126</v>
      </c>
    </row>
    <row r="2" spans="1:7" ht="15.6" x14ac:dyDescent="0.3">
      <c r="B2" s="10"/>
    </row>
    <row r="3" spans="1:7" ht="15.6" x14ac:dyDescent="0.3">
      <c r="B3" s="10" t="s">
        <v>72</v>
      </c>
    </row>
    <row r="4" spans="1:7" ht="15.6" x14ac:dyDescent="0.3">
      <c r="B4" s="10"/>
    </row>
    <row r="5" spans="1:7" ht="15.6" x14ac:dyDescent="0.3">
      <c r="B5" s="10"/>
    </row>
    <row r="6" spans="1:7" ht="15.6" x14ac:dyDescent="0.3">
      <c r="B6" s="10"/>
    </row>
    <row r="7" spans="1:7" ht="16.2" thickBot="1" x14ac:dyDescent="0.35">
      <c r="A7" s="10" t="s">
        <v>57</v>
      </c>
    </row>
    <row r="8" spans="1:7" s="5" customFormat="1" ht="31.8"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161</v>
      </c>
      <c r="C10" s="11"/>
      <c r="D10" s="14"/>
      <c r="E10" s="14"/>
      <c r="F10" s="30">
        <v>824310305.36000001</v>
      </c>
      <c r="G10" s="20">
        <f>+F10/F$10</f>
        <v>1</v>
      </c>
    </row>
    <row r="11" spans="1:7" ht="16.2" thickTop="1" x14ac:dyDescent="0.3">
      <c r="B11" s="10"/>
    </row>
    <row r="12" spans="1:7" ht="15.6" x14ac:dyDescent="0.3">
      <c r="B12" s="10"/>
    </row>
    <row r="13" spans="1:7" ht="15.6" x14ac:dyDescent="0.3">
      <c r="B13" s="10"/>
    </row>
    <row r="14" spans="1:7" ht="15.6" x14ac:dyDescent="0.3">
      <c r="B14" s="10"/>
    </row>
    <row r="15" spans="1:7" ht="15.6" x14ac:dyDescent="0.3">
      <c r="B15" s="10"/>
    </row>
    <row r="16" spans="1:7" ht="15.6" x14ac:dyDescent="0.3">
      <c r="A16" s="10" t="s">
        <v>49</v>
      </c>
    </row>
    <row r="17" spans="1:9" ht="16.2" thickBot="1" x14ac:dyDescent="0.35">
      <c r="A17" s="10" t="s">
        <v>89</v>
      </c>
    </row>
    <row r="18" spans="1:9" s="5" customFormat="1" ht="31.8" thickTop="1" thickBot="1" x14ac:dyDescent="0.3">
      <c r="A18" s="15" t="s">
        <v>11</v>
      </c>
      <c r="B18" s="15" t="s">
        <v>13</v>
      </c>
      <c r="C18" s="15" t="s">
        <v>12</v>
      </c>
      <c r="D18" s="15" t="s">
        <v>17</v>
      </c>
      <c r="E18" s="15" t="s">
        <v>15</v>
      </c>
      <c r="F18" s="16" t="s">
        <v>10</v>
      </c>
      <c r="G18" s="16" t="s">
        <v>56</v>
      </c>
    </row>
    <row r="19" spans="1:9" ht="13.8" thickTop="1" x14ac:dyDescent="0.25"/>
    <row r="20" spans="1:9" x14ac:dyDescent="0.25">
      <c r="A20" s="24">
        <v>1924</v>
      </c>
      <c r="B20" s="23" t="s">
        <v>58</v>
      </c>
      <c r="C20" s="71">
        <v>36977</v>
      </c>
      <c r="D20" s="31">
        <v>14426</v>
      </c>
      <c r="E20" s="24" t="s">
        <v>80</v>
      </c>
      <c r="F20" s="27">
        <v>2271.96</v>
      </c>
      <c r="G20" s="28">
        <f>+F20/$F$37</f>
        <v>2.8203353815814172E-6</v>
      </c>
    </row>
    <row r="21" spans="1:9" x14ac:dyDescent="0.25">
      <c r="A21" s="24">
        <v>2606</v>
      </c>
      <c r="B21" s="23" t="s">
        <v>81</v>
      </c>
      <c r="C21" s="71">
        <v>36977</v>
      </c>
      <c r="D21" s="31">
        <v>14415</v>
      </c>
      <c r="E21" s="24" t="s">
        <v>80</v>
      </c>
      <c r="F21" s="29">
        <v>145848.15</v>
      </c>
      <c r="G21" s="28">
        <f>+F21/$F$37</f>
        <v>1.8105102985228338E-4</v>
      </c>
    </row>
    <row r="22" spans="1:9" x14ac:dyDescent="0.25">
      <c r="A22" s="24">
        <v>1544</v>
      </c>
      <c r="B22" s="23" t="s">
        <v>3</v>
      </c>
      <c r="C22" s="71">
        <v>36977</v>
      </c>
      <c r="D22" s="31">
        <v>14431</v>
      </c>
      <c r="E22" s="24" t="s">
        <v>80</v>
      </c>
      <c r="F22" s="29">
        <v>80164.399999999994</v>
      </c>
      <c r="G22" s="28">
        <f>+F22/$F$37</f>
        <v>9.9513412940036516E-5</v>
      </c>
    </row>
    <row r="23" spans="1:9" x14ac:dyDescent="0.25">
      <c r="A23" s="24">
        <v>2528</v>
      </c>
      <c r="B23" s="23" t="s">
        <v>79</v>
      </c>
      <c r="C23" s="71">
        <v>36977</v>
      </c>
      <c r="D23" s="31">
        <v>14418</v>
      </c>
      <c r="E23" s="24" t="s">
        <v>80</v>
      </c>
      <c r="F23" s="29">
        <v>159458.66</v>
      </c>
      <c r="G23" s="28">
        <f>+F23/$F$37</f>
        <v>1.9794666310038976E-4</v>
      </c>
      <c r="I23" s="75">
        <f>SUM(F20:F25)-3066490.71</f>
        <v>0</v>
      </c>
    </row>
    <row r="24" spans="1:9" x14ac:dyDescent="0.25">
      <c r="A24" s="24">
        <v>1010</v>
      </c>
      <c r="B24" s="23" t="s">
        <v>63</v>
      </c>
      <c r="C24" s="71">
        <v>36977</v>
      </c>
      <c r="D24" s="31">
        <v>14459</v>
      </c>
      <c r="E24" s="24" t="s">
        <v>80</v>
      </c>
      <c r="F24" s="29">
        <v>2678130.4300000002</v>
      </c>
      <c r="G24" s="28">
        <f>+F24/$F$37</f>
        <v>3.3245418089309915E-3</v>
      </c>
    </row>
    <row r="25" spans="1:9" x14ac:dyDescent="0.25">
      <c r="A25" s="24">
        <v>2966</v>
      </c>
      <c r="B25" s="23" t="s">
        <v>64</v>
      </c>
      <c r="C25" s="71">
        <v>36994</v>
      </c>
      <c r="D25" s="31">
        <v>14602</v>
      </c>
      <c r="E25" s="24" t="s">
        <v>80</v>
      </c>
      <c r="F25" s="29">
        <v>617.11</v>
      </c>
      <c r="G25" s="28">
        <f t="shared" ref="G25:G35" si="0">+F25/$F$37</f>
        <v>7.6605977540436828E-7</v>
      </c>
    </row>
    <row r="26" spans="1:9" x14ac:dyDescent="0.25">
      <c r="A26" s="24">
        <v>1924</v>
      </c>
      <c r="B26" s="23" t="s">
        <v>58</v>
      </c>
      <c r="C26" s="71">
        <v>36977</v>
      </c>
      <c r="D26" s="31">
        <v>14495</v>
      </c>
      <c r="E26" s="24" t="s">
        <v>16</v>
      </c>
      <c r="F26" s="29">
        <v>361251.6</v>
      </c>
      <c r="G26" s="28">
        <f t="shared" si="0"/>
        <v>4.4844568968331199E-4</v>
      </c>
    </row>
    <row r="27" spans="1:9" x14ac:dyDescent="0.25">
      <c r="A27" s="24">
        <v>2606</v>
      </c>
      <c r="B27" s="23" t="s">
        <v>0</v>
      </c>
      <c r="C27" s="71">
        <v>36977</v>
      </c>
      <c r="D27" s="31">
        <v>14483</v>
      </c>
      <c r="E27" s="24" t="s">
        <v>16</v>
      </c>
      <c r="F27" s="29">
        <v>2008731.95</v>
      </c>
      <c r="G27" s="28">
        <f t="shared" si="0"/>
        <v>2.4935728581040309E-3</v>
      </c>
    </row>
    <row r="28" spans="1:9" x14ac:dyDescent="0.25">
      <c r="A28" s="24">
        <v>1243</v>
      </c>
      <c r="B28" s="23" t="s">
        <v>14</v>
      </c>
      <c r="C28" s="71">
        <v>36977</v>
      </c>
      <c r="D28" s="31">
        <v>14510</v>
      </c>
      <c r="E28" s="24" t="s">
        <v>16</v>
      </c>
      <c r="F28" s="29">
        <v>415999776.30000001</v>
      </c>
      <c r="G28" s="28">
        <f t="shared" si="0"/>
        <v>0.51640825006991531</v>
      </c>
    </row>
    <row r="29" spans="1:9" x14ac:dyDescent="0.25">
      <c r="A29" s="24">
        <v>1243</v>
      </c>
      <c r="B29" s="23" t="s">
        <v>14</v>
      </c>
      <c r="C29" s="71">
        <v>36994</v>
      </c>
      <c r="D29" s="31">
        <v>14709</v>
      </c>
      <c r="E29" s="24" t="s">
        <v>16</v>
      </c>
      <c r="F29" s="29">
        <v>14624579.52</v>
      </c>
      <c r="G29" s="28">
        <f t="shared" si="0"/>
        <v>1.8154465334339943E-2</v>
      </c>
    </row>
    <row r="30" spans="1:9" x14ac:dyDescent="0.25">
      <c r="A30" s="24">
        <v>2769</v>
      </c>
      <c r="B30" s="23" t="s">
        <v>193</v>
      </c>
      <c r="C30" s="71">
        <v>36977</v>
      </c>
      <c r="D30" s="31">
        <v>14475</v>
      </c>
      <c r="E30" s="24" t="s">
        <v>16</v>
      </c>
      <c r="F30" s="29">
        <f>206727081.73-2136592.33</f>
        <v>204590489.39999998</v>
      </c>
      <c r="G30" s="28">
        <f t="shared" si="0"/>
        <v>0.25397181111898004</v>
      </c>
    </row>
    <row r="31" spans="1:9" x14ac:dyDescent="0.25">
      <c r="A31" s="24">
        <v>2769</v>
      </c>
      <c r="B31" s="23" t="s">
        <v>14</v>
      </c>
      <c r="C31" s="71">
        <v>36977</v>
      </c>
      <c r="D31" s="31">
        <v>14475</v>
      </c>
      <c r="E31" s="24" t="s">
        <v>16</v>
      </c>
      <c r="F31" s="29">
        <v>2136592.33</v>
      </c>
      <c r="G31" s="28">
        <f t="shared" si="0"/>
        <v>2.6522944701114809E-3</v>
      </c>
    </row>
    <row r="32" spans="1:9" x14ac:dyDescent="0.25">
      <c r="A32" s="24">
        <v>1544</v>
      </c>
      <c r="B32" s="23" t="s">
        <v>3</v>
      </c>
      <c r="C32" s="71">
        <v>36977</v>
      </c>
      <c r="D32" s="31">
        <v>14500</v>
      </c>
      <c r="E32" s="24" t="s">
        <v>16</v>
      </c>
      <c r="F32" s="29">
        <v>1844911.74</v>
      </c>
      <c r="G32" s="28">
        <f t="shared" si="0"/>
        <v>2.2902119122770368E-3</v>
      </c>
      <c r="I32" s="75">
        <f>SUM(F26:F35)-802497278.35</f>
        <v>0</v>
      </c>
    </row>
    <row r="33" spans="1:7" x14ac:dyDescent="0.25">
      <c r="A33" s="24">
        <v>1011</v>
      </c>
      <c r="B33" s="23" t="s">
        <v>194</v>
      </c>
      <c r="C33" s="71">
        <v>36977</v>
      </c>
      <c r="D33" s="31">
        <v>14531</v>
      </c>
      <c r="E33" s="24" t="s">
        <v>16</v>
      </c>
      <c r="F33" s="29">
        <v>3798392.4</v>
      </c>
      <c r="G33" s="28">
        <f t="shared" si="0"/>
        <v>4.7151976614244768E-3</v>
      </c>
    </row>
    <row r="34" spans="1:7" x14ac:dyDescent="0.25">
      <c r="A34" s="24">
        <v>1010</v>
      </c>
      <c r="B34" s="23" t="s">
        <v>63</v>
      </c>
      <c r="C34" s="71">
        <v>36977</v>
      </c>
      <c r="D34" s="31">
        <v>14532</v>
      </c>
      <c r="E34" s="24" t="s">
        <v>16</v>
      </c>
      <c r="F34" s="29">
        <v>155833733.33000001</v>
      </c>
      <c r="G34" s="28">
        <f t="shared" si="0"/>
        <v>0.1934468000116738</v>
      </c>
    </row>
    <row r="35" spans="1:7" x14ac:dyDescent="0.25">
      <c r="A35" s="24">
        <v>2465</v>
      </c>
      <c r="B35" s="23" t="s">
        <v>25</v>
      </c>
      <c r="C35" s="71">
        <v>36977</v>
      </c>
      <c r="D35" s="31">
        <v>14489</v>
      </c>
      <c r="E35" s="24" t="s">
        <v>16</v>
      </c>
      <c r="F35" s="56">
        <v>1298819.78</v>
      </c>
      <c r="G35" s="28">
        <f t="shared" si="0"/>
        <v>1.6123115635098297E-3</v>
      </c>
    </row>
    <row r="36" spans="1:7" x14ac:dyDescent="0.25">
      <c r="A36" s="7"/>
      <c r="B36" s="2"/>
      <c r="C36" s="9"/>
      <c r="D36" s="7"/>
      <c r="E36" s="13"/>
      <c r="F36" s="6"/>
      <c r="G36" s="21"/>
    </row>
    <row r="37" spans="1:7" ht="13.8" thickBot="1" x14ac:dyDescent="0.3">
      <c r="B37" s="1" t="s">
        <v>18</v>
      </c>
      <c r="F37" s="30">
        <f>SUM(F20:F36)</f>
        <v>805563769.06000006</v>
      </c>
      <c r="G37" s="20">
        <f>+F37/F37</f>
        <v>1</v>
      </c>
    </row>
    <row r="38" spans="1:7" ht="13.8" thickTop="1" x14ac:dyDescent="0.25"/>
    <row r="41" spans="1:7" x14ac:dyDescent="0.25">
      <c r="B41" s="85" t="s">
        <v>191</v>
      </c>
    </row>
    <row r="47" spans="1:7" ht="15.6" x14ac:dyDescent="0.3">
      <c r="B47" s="10" t="str">
        <f>+B1</f>
        <v>Certification for Market Settlement August 24, 2001</v>
      </c>
    </row>
    <row r="48" spans="1:7" ht="15.6" x14ac:dyDescent="0.3">
      <c r="B48" s="10"/>
    </row>
    <row r="49" spans="1:9" ht="15.6" x14ac:dyDescent="0.3">
      <c r="B49" s="10" t="s">
        <v>73</v>
      </c>
    </row>
    <row r="50" spans="1:9" ht="15.6" x14ac:dyDescent="0.3">
      <c r="B50" s="10"/>
    </row>
    <row r="51" spans="1:9" ht="15.6" x14ac:dyDescent="0.3">
      <c r="B51" s="10" t="s">
        <v>27</v>
      </c>
    </row>
    <row r="52" spans="1:9" ht="15.6" x14ac:dyDescent="0.3">
      <c r="B52" s="10"/>
    </row>
    <row r="53" spans="1:9" x14ac:dyDescent="0.25">
      <c r="B53" s="21" t="s">
        <v>26</v>
      </c>
      <c r="C53" s="32"/>
      <c r="D53" s="33"/>
      <c r="E53" s="33"/>
      <c r="F53" s="34">
        <v>852880070.61000001</v>
      </c>
      <c r="G53" s="62">
        <f>+F53/F55</f>
        <v>0.94701907326548973</v>
      </c>
    </row>
    <row r="54" spans="1:9" x14ac:dyDescent="0.25">
      <c r="B54" s="21" t="s">
        <v>28</v>
      </c>
      <c r="C54" s="32"/>
      <c r="D54" s="33"/>
      <c r="E54" s="33"/>
      <c r="F54" s="39">
        <v>47714325.729999997</v>
      </c>
      <c r="G54" s="62">
        <f>+F54/F55</f>
        <v>5.2980926734510214E-2</v>
      </c>
    </row>
    <row r="55" spans="1:9" x14ac:dyDescent="0.25">
      <c r="B55" s="35" t="s">
        <v>29</v>
      </c>
      <c r="C55" s="32"/>
      <c r="D55" s="33"/>
      <c r="E55" s="33"/>
      <c r="F55" s="39">
        <f>SUM(F53:F54)</f>
        <v>900594396.34000003</v>
      </c>
      <c r="G55" s="63">
        <f>+F55/F55</f>
        <v>1</v>
      </c>
    </row>
    <row r="56" spans="1:9" ht="15.6" x14ac:dyDescent="0.3">
      <c r="B56" s="10"/>
    </row>
    <row r="57" spans="1:9" x14ac:dyDescent="0.25">
      <c r="B57" s="21" t="s">
        <v>82</v>
      </c>
      <c r="C57" s="32"/>
      <c r="D57" s="33"/>
      <c r="E57" s="33"/>
      <c r="F57" s="6">
        <v>12952984.789999999</v>
      </c>
    </row>
    <row r="58" spans="1:9" x14ac:dyDescent="0.25">
      <c r="B58" s="21" t="s">
        <v>75</v>
      </c>
      <c r="C58" s="32"/>
      <c r="D58" s="33"/>
      <c r="E58" s="33"/>
      <c r="F58" s="39">
        <v>1948770.11</v>
      </c>
    </row>
    <row r="59" spans="1:9" x14ac:dyDescent="0.25">
      <c r="B59" s="35" t="s">
        <v>33</v>
      </c>
      <c r="C59" s="32"/>
      <c r="D59" s="33"/>
      <c r="E59" s="33"/>
      <c r="F59" s="39">
        <f>SUM(F57:F58)</f>
        <v>14901754.899999999</v>
      </c>
      <c r="G59" s="63">
        <f>+F59/F55</f>
        <v>1.654657741660449E-2</v>
      </c>
    </row>
    <row r="60" spans="1:9" ht="15.6" x14ac:dyDescent="0.3">
      <c r="B60" s="10"/>
    </row>
    <row r="61" spans="1:9" s="21" customFormat="1" x14ac:dyDescent="0.25">
      <c r="A61" s="32"/>
      <c r="B61" s="21" t="s">
        <v>144</v>
      </c>
      <c r="C61" s="32"/>
      <c r="D61" s="33"/>
      <c r="E61" s="33"/>
      <c r="F61" s="6">
        <v>7683.69</v>
      </c>
    </row>
    <row r="62" spans="1:9" s="21" customFormat="1" x14ac:dyDescent="0.25">
      <c r="A62" s="32"/>
      <c r="B62" s="21" t="s">
        <v>164</v>
      </c>
      <c r="C62" s="32"/>
      <c r="D62" s="33"/>
      <c r="E62" s="33"/>
      <c r="F62" s="6">
        <f>5033877.99+13.44+217315.41</f>
        <v>5251206.8400000008</v>
      </c>
    </row>
    <row r="63" spans="1:9" s="21" customFormat="1" x14ac:dyDescent="0.25">
      <c r="A63" s="32"/>
      <c r="B63" s="21" t="s">
        <v>163</v>
      </c>
      <c r="C63" s="32"/>
      <c r="D63" s="33"/>
      <c r="E63" s="33"/>
      <c r="F63" s="6">
        <v>30344780.579999998</v>
      </c>
    </row>
    <row r="64" spans="1:9" s="21" customFormat="1" x14ac:dyDescent="0.25">
      <c r="A64" s="32"/>
      <c r="B64" s="21" t="s">
        <v>146</v>
      </c>
      <c r="C64" s="32"/>
      <c r="D64" s="33"/>
      <c r="E64" s="33"/>
      <c r="F64" s="39">
        <f>46774875.92+816816.06</f>
        <v>47591691.980000004</v>
      </c>
      <c r="I64" s="36">
        <f>+F64-47591691.98</f>
        <v>0</v>
      </c>
    </row>
    <row r="65" spans="1:9" x14ac:dyDescent="0.25">
      <c r="B65" s="1" t="s">
        <v>54</v>
      </c>
      <c r="F65" s="40">
        <f>SUM(F61:F64)</f>
        <v>83195363.090000004</v>
      </c>
      <c r="G65" s="63">
        <f>+F65/F55</f>
        <v>9.2378281974776336E-2</v>
      </c>
    </row>
    <row r="66" spans="1:9" x14ac:dyDescent="0.25">
      <c r="B66" s="1"/>
      <c r="F66" s="36"/>
      <c r="G66" s="63"/>
    </row>
    <row r="67" spans="1:9" s="21" customFormat="1" x14ac:dyDescent="0.25">
      <c r="A67" s="32"/>
      <c r="B67" s="21" t="s">
        <v>162</v>
      </c>
      <c r="C67" s="32"/>
      <c r="D67" s="33"/>
      <c r="E67" s="33"/>
      <c r="F67" s="39">
        <v>3066490.71</v>
      </c>
      <c r="G67" s="63">
        <f>+F67/F55</f>
        <v>3.4049631248674931E-3</v>
      </c>
    </row>
    <row r="68" spans="1:9" ht="15.6" x14ac:dyDescent="0.3">
      <c r="B68" s="10"/>
    </row>
    <row r="69" spans="1:9" ht="16.2" thickBot="1" x14ac:dyDescent="0.35">
      <c r="B69" s="45" t="s">
        <v>35</v>
      </c>
      <c r="C69" s="49"/>
      <c r="D69" s="50"/>
      <c r="E69" s="50"/>
      <c r="F69" s="51">
        <f>+F55-F59-F65+F67</f>
        <v>805563769.06000006</v>
      </c>
      <c r="G69" s="64">
        <f>+F69/F55</f>
        <v>0.89448010373348674</v>
      </c>
      <c r="I69" s="75">
        <f>+F37-F69</f>
        <v>0</v>
      </c>
    </row>
    <row r="70" spans="1:9" ht="15.6" x14ac:dyDescent="0.3">
      <c r="B70" s="37"/>
      <c r="C70" s="32"/>
      <c r="D70" s="33"/>
      <c r="E70" s="33"/>
      <c r="F70" s="38"/>
    </row>
    <row r="71" spans="1:9" ht="15.6" x14ac:dyDescent="0.3">
      <c r="B71" s="37" t="s">
        <v>34</v>
      </c>
      <c r="C71" s="32"/>
      <c r="D71" s="33"/>
      <c r="E71" s="33"/>
      <c r="F71" s="21"/>
    </row>
    <row r="72" spans="1:9" ht="15.6" x14ac:dyDescent="0.3">
      <c r="B72" s="37"/>
      <c r="C72" s="32"/>
      <c r="D72" s="33"/>
      <c r="E72" s="33"/>
      <c r="F72" s="21"/>
    </row>
    <row r="73" spans="1:9" s="21" customFormat="1" x14ac:dyDescent="0.25">
      <c r="A73" s="32"/>
      <c r="B73" s="21" t="s">
        <v>26</v>
      </c>
      <c r="C73" s="32"/>
      <c r="D73" s="33"/>
      <c r="E73" s="33"/>
      <c r="F73" s="34">
        <v>835450696.79999995</v>
      </c>
      <c r="G73" s="65">
        <f>+F73/F75</f>
        <v>0.94566217633351235</v>
      </c>
    </row>
    <row r="74" spans="1:9" x14ac:dyDescent="0.25">
      <c r="B74" s="21" t="s">
        <v>28</v>
      </c>
      <c r="C74" s="32"/>
      <c r="D74" s="33"/>
      <c r="E74" s="33"/>
      <c r="F74" s="39">
        <v>48005063.310000002</v>
      </c>
      <c r="G74" s="65">
        <f>+F74/F75</f>
        <v>5.4337823666487664E-2</v>
      </c>
    </row>
    <row r="75" spans="1:9" x14ac:dyDescent="0.25">
      <c r="B75" s="35" t="s">
        <v>29</v>
      </c>
      <c r="C75" s="32"/>
      <c r="D75" s="33"/>
      <c r="E75" s="33"/>
      <c r="F75" s="39">
        <f>SUM(F73:F74)</f>
        <v>883455760.1099999</v>
      </c>
      <c r="G75" s="63">
        <f>+F75/F75</f>
        <v>1</v>
      </c>
    </row>
    <row r="76" spans="1:9" ht="15.6" x14ac:dyDescent="0.3">
      <c r="B76" s="10"/>
    </row>
    <row r="77" spans="1:9" x14ac:dyDescent="0.25">
      <c r="B77" s="21" t="s">
        <v>83</v>
      </c>
      <c r="C77" s="32"/>
      <c r="D77" s="33"/>
      <c r="E77" s="33"/>
      <c r="F77" s="6">
        <v>5980329.0499999998</v>
      </c>
    </row>
    <row r="78" spans="1:9" x14ac:dyDescent="0.25">
      <c r="B78" s="21" t="s">
        <v>84</v>
      </c>
      <c r="C78" s="32"/>
      <c r="D78" s="33"/>
      <c r="E78" s="33"/>
      <c r="F78" s="39">
        <v>3500845.61</v>
      </c>
    </row>
    <row r="79" spans="1:9" x14ac:dyDescent="0.25">
      <c r="B79" s="35" t="s">
        <v>42</v>
      </c>
      <c r="C79" s="32"/>
      <c r="D79" s="33"/>
      <c r="E79" s="33"/>
      <c r="F79" s="39">
        <f>SUM(F77:F78)</f>
        <v>9481174.6600000001</v>
      </c>
      <c r="G79" s="63">
        <f>+F79/F75</f>
        <v>1.073191787081618E-2</v>
      </c>
    </row>
    <row r="80" spans="1:9" ht="15.6" x14ac:dyDescent="0.3">
      <c r="B80" s="10"/>
    </row>
    <row r="81" spans="2:9" x14ac:dyDescent="0.25">
      <c r="B81" s="21" t="s">
        <v>165</v>
      </c>
      <c r="C81" s="32"/>
      <c r="D81" s="33"/>
      <c r="E81" s="33"/>
      <c r="F81" s="36">
        <f>122896.33-4775.87+21.04+21483.12</f>
        <v>139624.62</v>
      </c>
      <c r="I81" s="25">
        <f>139624.62-F81</f>
        <v>0</v>
      </c>
    </row>
    <row r="82" spans="2:9" x14ac:dyDescent="0.25">
      <c r="B82" s="21" t="s">
        <v>148</v>
      </c>
      <c r="C82" s="32"/>
      <c r="D82" s="33"/>
      <c r="E82" s="33"/>
      <c r="F82" s="36">
        <f>2355642.34+4780.7</f>
        <v>2360423.04</v>
      </c>
    </row>
    <row r="83" spans="2:9" x14ac:dyDescent="0.25">
      <c r="B83" s="21" t="s">
        <v>166</v>
      </c>
      <c r="C83" s="32"/>
      <c r="D83" s="33"/>
      <c r="E83" s="33"/>
      <c r="F83" s="36">
        <f>46774875.92+838299.18-21483.12</f>
        <v>47591691.980000004</v>
      </c>
      <c r="I83" s="25">
        <f>47591691.98-F83</f>
        <v>0</v>
      </c>
    </row>
    <row r="84" spans="2:9" x14ac:dyDescent="0.25">
      <c r="B84" s="21" t="s">
        <v>168</v>
      </c>
      <c r="C84" s="32"/>
      <c r="D84" s="33"/>
      <c r="E84" s="33"/>
      <c r="F84" s="36">
        <f>-5855172.13+4097000</f>
        <v>-1758172.13</v>
      </c>
    </row>
    <row r="85" spans="2:9" x14ac:dyDescent="0.25">
      <c r="B85" s="21" t="s">
        <v>167</v>
      </c>
      <c r="C85" s="32"/>
      <c r="D85" s="33"/>
      <c r="E85" s="33"/>
      <c r="F85" s="36">
        <f>4388030.55-4097000</f>
        <v>291030.54999999981</v>
      </c>
    </row>
    <row r="86" spans="2:9" x14ac:dyDescent="0.25">
      <c r="B86" s="70" t="s">
        <v>160</v>
      </c>
      <c r="C86" s="32"/>
      <c r="D86" s="33"/>
      <c r="E86" s="33"/>
      <c r="F86" s="36">
        <v>127265.99</v>
      </c>
    </row>
    <row r="87" spans="2:9" x14ac:dyDescent="0.25">
      <c r="B87" s="70" t="s">
        <v>159</v>
      </c>
      <c r="F87" s="25">
        <f>882262.79+6706.48</f>
        <v>888969.27</v>
      </c>
    </row>
    <row r="88" spans="2:9" x14ac:dyDescent="0.25">
      <c r="B88" s="70" t="s">
        <v>169</v>
      </c>
      <c r="C88" s="32"/>
      <c r="D88" s="33"/>
      <c r="E88" s="33"/>
      <c r="F88" s="40">
        <v>23446.77</v>
      </c>
    </row>
    <row r="89" spans="2:9" x14ac:dyDescent="0.25">
      <c r="B89" s="1" t="s">
        <v>54</v>
      </c>
      <c r="C89" s="32"/>
      <c r="D89" s="33"/>
      <c r="E89" s="33"/>
      <c r="F89" s="40">
        <f>SUM(F81:F88)</f>
        <v>49664280.090000004</v>
      </c>
      <c r="G89" s="63">
        <f>+F89/F75</f>
        <v>5.6215921987781546E-2</v>
      </c>
    </row>
    <row r="90" spans="2:9" ht="15.6" x14ac:dyDescent="0.3">
      <c r="B90" s="10"/>
    </row>
    <row r="91" spans="2:9" ht="16.2" thickBot="1" x14ac:dyDescent="0.35">
      <c r="B91" s="45" t="s">
        <v>36</v>
      </c>
      <c r="C91" s="49"/>
      <c r="D91" s="50"/>
      <c r="E91" s="50"/>
      <c r="F91" s="51">
        <f>+F75-F79-F89</f>
        <v>824310305.3599999</v>
      </c>
      <c r="G91" s="64">
        <f>+F91/F75</f>
        <v>0.93305216014140224</v>
      </c>
      <c r="I91" s="75">
        <f>+F91-F10</f>
        <v>0</v>
      </c>
    </row>
    <row r="92" spans="2:9" ht="15.6" x14ac:dyDescent="0.3">
      <c r="B92" s="37"/>
      <c r="C92" s="32"/>
      <c r="D92" s="33"/>
      <c r="E92" s="33"/>
      <c r="F92" s="38"/>
      <c r="G92" s="72"/>
    </row>
    <row r="93" spans="2:9" ht="15.6" x14ac:dyDescent="0.3">
      <c r="B93" s="37" t="s">
        <v>102</v>
      </c>
      <c r="C93" s="32"/>
      <c r="D93" s="33"/>
      <c r="E93" s="33"/>
      <c r="G93" s="72"/>
    </row>
    <row r="94" spans="2:9" ht="15.6" x14ac:dyDescent="0.3">
      <c r="B94" s="37"/>
      <c r="C94" s="32"/>
      <c r="D94" s="33"/>
      <c r="E94" s="33"/>
      <c r="G94" s="72"/>
    </row>
    <row r="95" spans="2:9" x14ac:dyDescent="0.25">
      <c r="B95" s="73" t="s">
        <v>100</v>
      </c>
      <c r="C95" s="32"/>
      <c r="D95" s="33"/>
      <c r="E95" s="33"/>
      <c r="F95" s="34">
        <f>+'Cert Nov-00'!F45-'Cert Nov-00'!F76</f>
        <v>9348394.5600000024</v>
      </c>
      <c r="G95" s="72"/>
    </row>
    <row r="96" spans="2:9" x14ac:dyDescent="0.25">
      <c r="B96" s="73" t="s">
        <v>103</v>
      </c>
      <c r="C96" s="32"/>
      <c r="D96" s="33"/>
      <c r="E96" s="33"/>
      <c r="F96" s="39">
        <f>+F97-F95</f>
        <v>9398141.7399998307</v>
      </c>
      <c r="G96" s="72"/>
    </row>
    <row r="97" spans="2:6" ht="16.2" thickBot="1" x14ac:dyDescent="0.35">
      <c r="B97" s="37" t="s">
        <v>101</v>
      </c>
      <c r="F97" s="74">
        <f>+F91-F69</f>
        <v>18746536.299999833</v>
      </c>
    </row>
    <row r="98" spans="2:6" ht="13.8" thickTop="1" x14ac:dyDescent="0.25"/>
    <row r="99" spans="2:6" x14ac:dyDescent="0.25">
      <c r="F99" s="12"/>
    </row>
  </sheetData>
  <phoneticPr fontId="0" type="noConversion"/>
  <pageMargins left="0.5" right="0.25" top="0.5" bottom="0.5" header="0.5" footer="0"/>
  <pageSetup scale="96" orientation="portrait" verticalDpi="0" r:id="rId1"/>
  <headerFooter alignWithMargins="0">
    <oddFooter>&amp;LCertification August 24,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30"/>
  <sheetViews>
    <sheetView zoomScaleNormal="100" workbookViewId="0">
      <selection activeCell="B16" sqref="B16"/>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 min="9" max="9" width="13.33203125" customWidth="1"/>
  </cols>
  <sheetData>
    <row r="1" spans="1:7" ht="15.6" x14ac:dyDescent="0.3">
      <c r="B1" s="54" t="s">
        <v>126</v>
      </c>
    </row>
    <row r="2" spans="1:7" ht="15.6" x14ac:dyDescent="0.3">
      <c r="B2" s="10"/>
    </row>
    <row r="3" spans="1:7" ht="15.6" x14ac:dyDescent="0.3">
      <c r="B3" s="10" t="s">
        <v>92</v>
      </c>
    </row>
    <row r="4" spans="1:7" ht="15.6" x14ac:dyDescent="0.3">
      <c r="B4" s="10"/>
    </row>
    <row r="5" spans="1:7" ht="15.6" x14ac:dyDescent="0.3">
      <c r="B5" s="10"/>
    </row>
    <row r="6" spans="1:7" ht="15.6" x14ac:dyDescent="0.3">
      <c r="B6" s="10"/>
    </row>
    <row r="7" spans="1:7" ht="16.2" thickBot="1" x14ac:dyDescent="0.35">
      <c r="A7" s="10" t="s">
        <v>57</v>
      </c>
    </row>
    <row r="8" spans="1:7" s="5" customFormat="1" ht="31.8"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107</v>
      </c>
      <c r="C10" s="11"/>
      <c r="D10" s="14"/>
      <c r="E10" s="14"/>
      <c r="F10" s="30">
        <v>978964496.17999995</v>
      </c>
      <c r="G10" s="20">
        <f>+F10/F$10</f>
        <v>1</v>
      </c>
    </row>
    <row r="11" spans="1:7" s="1" customFormat="1" ht="13.8" thickTop="1" x14ac:dyDescent="0.25">
      <c r="A11" s="11"/>
      <c r="C11" s="11"/>
      <c r="D11" s="14"/>
      <c r="E11" s="14"/>
      <c r="F11" s="66"/>
      <c r="G11" s="59"/>
    </row>
    <row r="12" spans="1:7" s="1" customFormat="1" x14ac:dyDescent="0.25">
      <c r="A12" s="11"/>
      <c r="C12" s="11"/>
      <c r="D12" s="14"/>
      <c r="E12" s="14"/>
      <c r="F12" s="66"/>
      <c r="G12" s="59"/>
    </row>
    <row r="13" spans="1:7" s="1" customFormat="1" x14ac:dyDescent="0.25">
      <c r="A13" s="11"/>
      <c r="B13" s="11"/>
      <c r="D13" s="14"/>
      <c r="E13" s="14"/>
      <c r="F13" s="66"/>
      <c r="G13" s="59"/>
    </row>
    <row r="14" spans="1:7" ht="15.6" x14ac:dyDescent="0.3">
      <c r="B14" s="10"/>
    </row>
    <row r="15" spans="1:7" ht="15.6" x14ac:dyDescent="0.3">
      <c r="B15" s="10"/>
    </row>
    <row r="16" spans="1:7" ht="15.6" x14ac:dyDescent="0.3">
      <c r="A16" s="10" t="s">
        <v>49</v>
      </c>
    </row>
    <row r="17" spans="1:9" ht="16.2" thickBot="1" x14ac:dyDescent="0.35">
      <c r="A17" s="10" t="s">
        <v>115</v>
      </c>
    </row>
    <row r="18" spans="1:9" s="5" customFormat="1" ht="31.8" thickTop="1" thickBot="1" x14ac:dyDescent="0.3">
      <c r="A18" s="15" t="s">
        <v>11</v>
      </c>
      <c r="B18" s="15" t="s">
        <v>13</v>
      </c>
      <c r="C18" s="15" t="s">
        <v>12</v>
      </c>
      <c r="D18" s="15" t="s">
        <v>17</v>
      </c>
      <c r="E18" s="15" t="s">
        <v>15</v>
      </c>
      <c r="F18" s="16" t="s">
        <v>10</v>
      </c>
      <c r="G18" s="16" t="s">
        <v>56</v>
      </c>
    </row>
    <row r="19" spans="1:9" ht="13.8" thickTop="1" x14ac:dyDescent="0.25"/>
    <row r="20" spans="1:9" x14ac:dyDescent="0.25">
      <c r="A20" s="24">
        <v>1924</v>
      </c>
      <c r="B20" s="23" t="s">
        <v>58</v>
      </c>
      <c r="C20" s="71">
        <v>37005</v>
      </c>
      <c r="D20" s="31">
        <v>14803</v>
      </c>
      <c r="E20" s="24" t="s">
        <v>80</v>
      </c>
      <c r="F20" s="27">
        <v>9619.33</v>
      </c>
      <c r="G20" s="28">
        <f t="shared" ref="G20:G43" si="0">+F20/$F$71</f>
        <v>9.6246833175814778E-6</v>
      </c>
    </row>
    <row r="21" spans="1:9" x14ac:dyDescent="0.25">
      <c r="A21" s="24">
        <v>1007</v>
      </c>
      <c r="B21" s="23" t="s">
        <v>59</v>
      </c>
      <c r="C21" s="71">
        <v>37005</v>
      </c>
      <c r="D21" s="31">
        <v>14832</v>
      </c>
      <c r="E21" s="24" t="s">
        <v>80</v>
      </c>
      <c r="F21" s="29">
        <v>20569.830000000002</v>
      </c>
      <c r="G21" s="28">
        <f t="shared" si="0"/>
        <v>2.0581277453469943E-5</v>
      </c>
    </row>
    <row r="22" spans="1:9" x14ac:dyDescent="0.25">
      <c r="A22" s="24">
        <v>2606</v>
      </c>
      <c r="B22" s="23" t="s">
        <v>0</v>
      </c>
      <c r="C22" s="71">
        <v>37005</v>
      </c>
      <c r="D22" s="31">
        <v>14792</v>
      </c>
      <c r="E22" s="24" t="s">
        <v>80</v>
      </c>
      <c r="F22" s="29">
        <v>275048.65999999997</v>
      </c>
      <c r="G22" s="28">
        <f t="shared" si="0"/>
        <v>2.7520172916670286E-4</v>
      </c>
    </row>
    <row r="23" spans="1:9" x14ac:dyDescent="0.25">
      <c r="A23" s="24">
        <v>2606</v>
      </c>
      <c r="B23" s="23" t="s">
        <v>0</v>
      </c>
      <c r="C23" s="71">
        <v>37021</v>
      </c>
      <c r="D23" s="31">
        <v>14992</v>
      </c>
      <c r="E23" s="24" t="s">
        <v>80</v>
      </c>
      <c r="F23" s="29">
        <v>684.97</v>
      </c>
      <c r="G23" s="28">
        <f t="shared" si="0"/>
        <v>6.8535119722930646E-7</v>
      </c>
    </row>
    <row r="24" spans="1:9" x14ac:dyDescent="0.25">
      <c r="A24" s="24">
        <v>1243</v>
      </c>
      <c r="B24" s="23" t="s">
        <v>14</v>
      </c>
      <c r="C24" s="71">
        <v>37005</v>
      </c>
      <c r="D24" s="31">
        <v>14812</v>
      </c>
      <c r="E24" s="24" t="s">
        <v>80</v>
      </c>
      <c r="F24" s="29">
        <v>1793.36</v>
      </c>
      <c r="G24" s="28">
        <f t="shared" si="0"/>
        <v>1.7943580347506446E-6</v>
      </c>
    </row>
    <row r="25" spans="1:9" x14ac:dyDescent="0.25">
      <c r="A25" s="24">
        <v>2769</v>
      </c>
      <c r="B25" s="23" t="s">
        <v>193</v>
      </c>
      <c r="C25" s="71">
        <v>37005</v>
      </c>
      <c r="D25" s="31">
        <v>14788</v>
      </c>
      <c r="E25" s="24" t="s">
        <v>80</v>
      </c>
      <c r="F25" s="29">
        <v>3568650.18</v>
      </c>
      <c r="G25" s="28">
        <f t="shared" si="0"/>
        <v>3.5706361933450811E-3</v>
      </c>
    </row>
    <row r="26" spans="1:9" x14ac:dyDescent="0.25">
      <c r="A26" s="24">
        <v>2769</v>
      </c>
      <c r="B26" s="23" t="s">
        <v>193</v>
      </c>
      <c r="C26" s="71">
        <v>37021</v>
      </c>
      <c r="D26" s="31">
        <v>14988</v>
      </c>
      <c r="E26" s="24" t="s">
        <v>80</v>
      </c>
      <c r="F26" s="29">
        <v>90679.93</v>
      </c>
      <c r="G26" s="28">
        <f t="shared" si="0"/>
        <v>9.0730394893454749E-5</v>
      </c>
    </row>
    <row r="27" spans="1:9" x14ac:dyDescent="0.25">
      <c r="A27" s="24">
        <v>1544</v>
      </c>
      <c r="B27" s="23" t="s">
        <v>3</v>
      </c>
      <c r="C27" s="71">
        <v>37005</v>
      </c>
      <c r="D27" s="31">
        <v>14807</v>
      </c>
      <c r="E27" s="24" t="s">
        <v>80</v>
      </c>
      <c r="F27" s="29">
        <v>105256.55</v>
      </c>
      <c r="G27" s="28">
        <f t="shared" si="0"/>
        <v>1.0531512702560164E-4</v>
      </c>
    </row>
    <row r="28" spans="1:9" x14ac:dyDescent="0.25">
      <c r="A28" s="24">
        <v>1544</v>
      </c>
      <c r="B28" s="23" t="s">
        <v>3</v>
      </c>
      <c r="C28" s="71">
        <v>37021</v>
      </c>
      <c r="D28" s="31">
        <v>15007</v>
      </c>
      <c r="E28" s="24" t="s">
        <v>80</v>
      </c>
      <c r="F28" s="29">
        <v>207.76</v>
      </c>
      <c r="G28" s="28">
        <f t="shared" si="0"/>
        <v>2.0787562190513557E-7</v>
      </c>
      <c r="I28" s="75">
        <f>SUM(F20:F33)-14303508.27</f>
        <v>0</v>
      </c>
    </row>
    <row r="29" spans="1:9" x14ac:dyDescent="0.25">
      <c r="A29" s="24">
        <v>3106</v>
      </c>
      <c r="B29" s="23" t="s">
        <v>192</v>
      </c>
      <c r="C29" s="71">
        <v>37005</v>
      </c>
      <c r="D29" s="31">
        <v>14781</v>
      </c>
      <c r="E29" s="24" t="s">
        <v>80</v>
      </c>
      <c r="F29" s="29">
        <v>4291209.47</v>
      </c>
      <c r="G29" s="28">
        <f t="shared" si="0"/>
        <v>4.293597599641207E-3</v>
      </c>
    </row>
    <row r="30" spans="1:9" x14ac:dyDescent="0.25">
      <c r="A30" s="24">
        <v>1011</v>
      </c>
      <c r="B30" s="23" t="s">
        <v>192</v>
      </c>
      <c r="C30" s="71">
        <v>37005</v>
      </c>
      <c r="D30" s="31">
        <v>14829</v>
      </c>
      <c r="E30" s="24" t="s">
        <v>80</v>
      </c>
      <c r="F30" s="29">
        <v>639755.47</v>
      </c>
      <c r="G30" s="28">
        <f t="shared" si="0"/>
        <v>6.401115045892486E-4</v>
      </c>
    </row>
    <row r="31" spans="1:9" x14ac:dyDescent="0.25">
      <c r="A31" s="24">
        <v>2528</v>
      </c>
      <c r="B31" s="23" t="s">
        <v>79</v>
      </c>
      <c r="C31" s="71">
        <v>37005</v>
      </c>
      <c r="D31" s="31">
        <v>14795</v>
      </c>
      <c r="E31" s="24" t="s">
        <v>80</v>
      </c>
      <c r="F31" s="29">
        <v>157012.97</v>
      </c>
      <c r="G31" s="28">
        <f t="shared" si="0"/>
        <v>1.5710035033655368E-4</v>
      </c>
    </row>
    <row r="32" spans="1:9" x14ac:dyDescent="0.25">
      <c r="A32" s="24">
        <v>1024</v>
      </c>
      <c r="B32" s="23" t="s">
        <v>8</v>
      </c>
      <c r="C32" s="71">
        <v>37005</v>
      </c>
      <c r="D32" s="31">
        <v>14821</v>
      </c>
      <c r="E32" s="24" t="s">
        <v>80</v>
      </c>
      <c r="F32" s="29">
        <v>885.39</v>
      </c>
      <c r="G32" s="28">
        <f t="shared" si="0"/>
        <v>8.8588273430202146E-7</v>
      </c>
    </row>
    <row r="33" spans="1:7" x14ac:dyDescent="0.25">
      <c r="A33" s="24">
        <v>1010</v>
      </c>
      <c r="B33" s="23" t="s">
        <v>63</v>
      </c>
      <c r="C33" s="71">
        <v>37005</v>
      </c>
      <c r="D33" s="31">
        <v>14830</v>
      </c>
      <c r="E33" s="24" t="s">
        <v>80</v>
      </c>
      <c r="F33" s="29">
        <v>5142134.4000000004</v>
      </c>
      <c r="G33" s="28">
        <f t="shared" si="0"/>
        <v>5.1449960835569467E-3</v>
      </c>
    </row>
    <row r="34" spans="1:7" x14ac:dyDescent="0.25">
      <c r="A34" s="24">
        <v>1924</v>
      </c>
      <c r="B34" s="23" t="s">
        <v>58</v>
      </c>
      <c r="C34" s="71">
        <v>37005</v>
      </c>
      <c r="D34" s="31">
        <v>14870</v>
      </c>
      <c r="E34" s="24" t="s">
        <v>16</v>
      </c>
      <c r="F34" s="29">
        <v>508508.33</v>
      </c>
      <c r="G34" s="28">
        <f t="shared" si="0"/>
        <v>5.0879132336682667E-4</v>
      </c>
    </row>
    <row r="35" spans="1:7" x14ac:dyDescent="0.25">
      <c r="A35" s="24">
        <v>1924</v>
      </c>
      <c r="B35" s="23" t="s">
        <v>58</v>
      </c>
      <c r="C35" s="71">
        <v>37021</v>
      </c>
      <c r="D35" s="31">
        <v>15070</v>
      </c>
      <c r="E35" s="24" t="s">
        <v>16</v>
      </c>
      <c r="F35" s="29">
        <v>45068.84</v>
      </c>
      <c r="G35" s="28">
        <f t="shared" si="0"/>
        <v>4.5093921561142905E-5</v>
      </c>
    </row>
    <row r="36" spans="1:7" x14ac:dyDescent="0.25">
      <c r="A36" s="24">
        <v>1007</v>
      </c>
      <c r="B36" s="23" t="s">
        <v>59</v>
      </c>
      <c r="C36" s="71">
        <v>37005</v>
      </c>
      <c r="D36" s="31">
        <v>14908</v>
      </c>
      <c r="E36" s="24" t="s">
        <v>16</v>
      </c>
      <c r="F36" s="29">
        <v>1024112.25</v>
      </c>
      <c r="G36" s="28">
        <f t="shared" si="0"/>
        <v>1.0246821855478326E-3</v>
      </c>
    </row>
    <row r="37" spans="1:7" x14ac:dyDescent="0.25">
      <c r="A37" s="24">
        <v>2606</v>
      </c>
      <c r="B37" s="23" t="s">
        <v>0</v>
      </c>
      <c r="C37" s="71">
        <v>37005</v>
      </c>
      <c r="D37" s="31">
        <v>14857</v>
      </c>
      <c r="E37" s="24" t="s">
        <v>16</v>
      </c>
      <c r="F37" s="29">
        <v>6897234.6200000001</v>
      </c>
      <c r="G37" s="28">
        <f t="shared" si="0"/>
        <v>6.9010730461019033E-3</v>
      </c>
    </row>
    <row r="38" spans="1:7" x14ac:dyDescent="0.25">
      <c r="A38" s="24">
        <v>2606</v>
      </c>
      <c r="B38" s="23" t="s">
        <v>0</v>
      </c>
      <c r="C38" s="71">
        <v>37021</v>
      </c>
      <c r="D38" s="31">
        <v>15057</v>
      </c>
      <c r="E38" s="24" t="s">
        <v>16</v>
      </c>
      <c r="F38" s="29">
        <v>1350389.95</v>
      </c>
      <c r="G38" s="28">
        <f t="shared" si="0"/>
        <v>1.3511414645297215E-3</v>
      </c>
    </row>
    <row r="39" spans="1:7" x14ac:dyDescent="0.25">
      <c r="A39" s="24">
        <v>1243</v>
      </c>
      <c r="B39" s="23" t="s">
        <v>14</v>
      </c>
      <c r="C39" s="71">
        <v>37005</v>
      </c>
      <c r="D39" s="31">
        <v>14884</v>
      </c>
      <c r="E39" s="24" t="s">
        <v>16</v>
      </c>
      <c r="F39" s="29">
        <v>9016270.5199999996</v>
      </c>
      <c r="G39" s="28">
        <f t="shared" si="0"/>
        <v>9.0212882249226991E-3</v>
      </c>
    </row>
    <row r="40" spans="1:7" x14ac:dyDescent="0.25">
      <c r="A40" s="24">
        <v>2769</v>
      </c>
      <c r="B40" s="23" t="s">
        <v>193</v>
      </c>
      <c r="C40" s="71">
        <v>37005</v>
      </c>
      <c r="D40" s="31">
        <v>14850</v>
      </c>
      <c r="E40" s="24" t="s">
        <v>16</v>
      </c>
      <c r="F40" s="29">
        <v>298219558.92000002</v>
      </c>
      <c r="G40" s="28">
        <f t="shared" si="0"/>
        <v>0.29838552307840888</v>
      </c>
    </row>
    <row r="41" spans="1:7" x14ac:dyDescent="0.25">
      <c r="A41" s="24">
        <v>2769</v>
      </c>
      <c r="B41" s="23" t="s">
        <v>193</v>
      </c>
      <c r="C41" s="71">
        <v>37021</v>
      </c>
      <c r="D41" s="31">
        <v>15050</v>
      </c>
      <c r="E41" s="24" t="s">
        <v>16</v>
      </c>
      <c r="F41" s="29">
        <v>22318778.210000001</v>
      </c>
      <c r="G41" s="28">
        <f t="shared" si="0"/>
        <v>2.2331198982318726E-2</v>
      </c>
    </row>
    <row r="42" spans="1:7" x14ac:dyDescent="0.25">
      <c r="A42" s="24">
        <v>1584</v>
      </c>
      <c r="B42" s="23" t="s">
        <v>1</v>
      </c>
      <c r="C42" s="71">
        <v>37005</v>
      </c>
      <c r="D42" s="31">
        <v>14876</v>
      </c>
      <c r="E42" s="24" t="s">
        <v>16</v>
      </c>
      <c r="F42" s="29">
        <v>291092.84999999998</v>
      </c>
      <c r="G42" s="28">
        <f t="shared" si="0"/>
        <v>2.9125484802603168E-4</v>
      </c>
    </row>
    <row r="43" spans="1:7" x14ac:dyDescent="0.25">
      <c r="A43" s="24">
        <v>1684</v>
      </c>
      <c r="B43" s="23" t="s">
        <v>94</v>
      </c>
      <c r="C43" s="71">
        <v>37005</v>
      </c>
      <c r="D43" s="31">
        <v>14873</v>
      </c>
      <c r="E43" s="24" t="s">
        <v>16</v>
      </c>
      <c r="F43" s="29">
        <v>66990.38</v>
      </c>
      <c r="G43" s="28">
        <f t="shared" si="0"/>
        <v>6.7027661263772411E-5</v>
      </c>
    </row>
    <row r="46" spans="1:7" ht="15.6" x14ac:dyDescent="0.3">
      <c r="A46" s="19"/>
      <c r="B46" s="10" t="str">
        <f>+B1</f>
        <v>Certification for Market Settlement August 24, 2001</v>
      </c>
      <c r="C46" s="67"/>
      <c r="D46" s="32"/>
      <c r="E46" s="19"/>
      <c r="F46" s="6"/>
      <c r="G46" s="58"/>
    </row>
    <row r="47" spans="1:7" ht="15.6" x14ac:dyDescent="0.3">
      <c r="A47" s="19"/>
      <c r="B47" s="10"/>
      <c r="C47" s="67"/>
      <c r="D47" s="32"/>
      <c r="E47" s="19"/>
      <c r="F47" s="6"/>
      <c r="G47" s="58"/>
    </row>
    <row r="48" spans="1:7" ht="15.6" x14ac:dyDescent="0.3">
      <c r="A48" s="19"/>
      <c r="B48" s="10" t="s">
        <v>92</v>
      </c>
      <c r="C48" s="67"/>
      <c r="D48" s="32"/>
      <c r="E48" s="19"/>
      <c r="F48" s="6"/>
      <c r="G48" s="58"/>
    </row>
    <row r="49" spans="1:9" x14ac:dyDescent="0.25">
      <c r="A49" s="19"/>
      <c r="B49" s="18"/>
      <c r="C49" s="67"/>
      <c r="D49" s="32"/>
      <c r="E49" s="19"/>
      <c r="F49" s="6"/>
      <c r="G49" s="58"/>
    </row>
    <row r="50" spans="1:9" x14ac:dyDescent="0.25">
      <c r="A50" s="19"/>
      <c r="B50" s="18"/>
      <c r="C50" s="67"/>
      <c r="D50" s="32"/>
      <c r="E50" s="19"/>
      <c r="F50" s="6"/>
      <c r="G50" s="58"/>
    </row>
    <row r="51" spans="1:9" x14ac:dyDescent="0.25">
      <c r="A51" s="19"/>
      <c r="B51" s="18"/>
      <c r="C51" s="67"/>
      <c r="D51" s="32"/>
      <c r="E51" s="19"/>
      <c r="F51" s="6"/>
      <c r="G51" s="58"/>
    </row>
    <row r="52" spans="1:9" ht="15.6" x14ac:dyDescent="0.3">
      <c r="A52" s="10" t="s">
        <v>95</v>
      </c>
    </row>
    <row r="53" spans="1:9" ht="16.2" thickBot="1" x14ac:dyDescent="0.35">
      <c r="A53" s="10" t="s">
        <v>115</v>
      </c>
    </row>
    <row r="54" spans="1:9" s="5" customFormat="1" ht="31.8" thickTop="1" thickBot="1" x14ac:dyDescent="0.3">
      <c r="A54" s="15" t="s">
        <v>11</v>
      </c>
      <c r="B54" s="15" t="s">
        <v>13</v>
      </c>
      <c r="C54" s="15" t="s">
        <v>12</v>
      </c>
      <c r="D54" s="15" t="s">
        <v>17</v>
      </c>
      <c r="E54" s="15" t="s">
        <v>15</v>
      </c>
      <c r="F54" s="16" t="s">
        <v>10</v>
      </c>
      <c r="G54" s="16" t="s">
        <v>56</v>
      </c>
    </row>
    <row r="55" spans="1:9" ht="13.8" thickTop="1" x14ac:dyDescent="0.25">
      <c r="A55" s="24"/>
      <c r="B55" s="23"/>
      <c r="C55" s="41"/>
      <c r="D55" s="31"/>
      <c r="E55" s="24"/>
      <c r="F55" s="29"/>
      <c r="G55" s="28"/>
    </row>
    <row r="56" spans="1:9" x14ac:dyDescent="0.25">
      <c r="A56" s="24">
        <v>1103</v>
      </c>
      <c r="B56" s="23" t="s">
        <v>24</v>
      </c>
      <c r="C56" s="71">
        <v>37021</v>
      </c>
      <c r="D56" s="31">
        <v>15093</v>
      </c>
      <c r="E56" s="24" t="s">
        <v>16</v>
      </c>
      <c r="F56" s="29">
        <v>189667.55</v>
      </c>
      <c r="G56" s="28">
        <f t="shared" ref="G56:G69" si="1">+F56/$F$71</f>
        <v>1.8977310315495473E-4</v>
      </c>
    </row>
    <row r="57" spans="1:9" x14ac:dyDescent="0.25">
      <c r="A57" s="24">
        <v>1544</v>
      </c>
      <c r="B57" s="23" t="s">
        <v>3</v>
      </c>
      <c r="C57" s="71">
        <v>37005</v>
      </c>
      <c r="D57" s="31">
        <v>14875</v>
      </c>
      <c r="E57" s="24" t="s">
        <v>16</v>
      </c>
      <c r="F57" s="29">
        <v>1784223.49</v>
      </c>
      <c r="G57" s="28">
        <f t="shared" si="1"/>
        <v>1.7852164401304458E-3</v>
      </c>
      <c r="I57" s="75">
        <f>SUM(F34:F69)-985140284.59</f>
        <v>0</v>
      </c>
    </row>
    <row r="58" spans="1:9" x14ac:dyDescent="0.25">
      <c r="A58" s="24">
        <v>1544</v>
      </c>
      <c r="B58" s="23" t="s">
        <v>3</v>
      </c>
      <c r="C58" s="71">
        <v>37021</v>
      </c>
      <c r="D58" s="31">
        <v>15075</v>
      </c>
      <c r="E58" s="24" t="s">
        <v>16</v>
      </c>
      <c r="F58" s="29">
        <v>357475.41</v>
      </c>
      <c r="G58" s="28">
        <f t="shared" si="1"/>
        <v>3.5767435102783651E-4</v>
      </c>
    </row>
    <row r="59" spans="1:9" x14ac:dyDescent="0.25">
      <c r="A59" s="24">
        <v>3106</v>
      </c>
      <c r="B59" s="23" t="s">
        <v>192</v>
      </c>
      <c r="C59" s="71">
        <v>37005</v>
      </c>
      <c r="D59" s="31">
        <v>14839</v>
      </c>
      <c r="E59" s="24" t="s">
        <v>16</v>
      </c>
      <c r="F59" s="29">
        <v>156420353.66</v>
      </c>
      <c r="G59" s="28">
        <f t="shared" si="1"/>
        <v>0.15650740419567649</v>
      </c>
    </row>
    <row r="60" spans="1:9" x14ac:dyDescent="0.25">
      <c r="A60" s="24">
        <v>3106</v>
      </c>
      <c r="B60" s="23" t="s">
        <v>192</v>
      </c>
      <c r="C60" s="71">
        <v>37021</v>
      </c>
      <c r="D60" s="31">
        <v>15039</v>
      </c>
      <c r="E60" s="24" t="s">
        <v>16</v>
      </c>
      <c r="F60" s="29">
        <v>10964758.17</v>
      </c>
      <c r="G60" s="28">
        <f t="shared" si="1"/>
        <v>1.0970860240797874E-2</v>
      </c>
    </row>
    <row r="61" spans="1:9" x14ac:dyDescent="0.25">
      <c r="A61" s="24">
        <v>1011</v>
      </c>
      <c r="B61" s="23" t="s">
        <v>192</v>
      </c>
      <c r="C61" s="71">
        <v>37005</v>
      </c>
      <c r="D61" s="31">
        <v>14905</v>
      </c>
      <c r="E61" s="24" t="s">
        <v>16</v>
      </c>
      <c r="F61" s="29">
        <v>16247132.24</v>
      </c>
      <c r="G61" s="28">
        <f t="shared" si="1"/>
        <v>1.6256174040070171E-2</v>
      </c>
    </row>
    <row r="62" spans="1:9" x14ac:dyDescent="0.25">
      <c r="A62" s="24">
        <v>1011</v>
      </c>
      <c r="B62" s="23" t="s">
        <v>192</v>
      </c>
      <c r="C62" s="71">
        <v>37021</v>
      </c>
      <c r="D62" s="31">
        <v>15105</v>
      </c>
      <c r="E62" s="24" t="s">
        <v>16</v>
      </c>
      <c r="F62" s="29">
        <v>2153805.64</v>
      </c>
      <c r="G62" s="28">
        <f t="shared" si="1"/>
        <v>2.1550042687610155E-3</v>
      </c>
    </row>
    <row r="63" spans="1:9" x14ac:dyDescent="0.25">
      <c r="A63" s="24">
        <v>2528</v>
      </c>
      <c r="B63" s="23" t="s">
        <v>79</v>
      </c>
      <c r="C63" s="71">
        <v>37005</v>
      </c>
      <c r="D63" s="31">
        <v>14861</v>
      </c>
      <c r="E63" s="24" t="s">
        <v>16</v>
      </c>
      <c r="F63" s="29">
        <v>1223.99</v>
      </c>
      <c r="G63" s="28">
        <f t="shared" si="1"/>
        <v>1.2246711708493785E-6</v>
      </c>
    </row>
    <row r="64" spans="1:9" x14ac:dyDescent="0.25">
      <c r="A64" s="24">
        <v>1008</v>
      </c>
      <c r="B64" s="23" t="s">
        <v>7</v>
      </c>
      <c r="C64" s="71">
        <v>37005</v>
      </c>
      <c r="D64" s="31">
        <v>14907</v>
      </c>
      <c r="E64" s="24" t="s">
        <v>16</v>
      </c>
      <c r="F64" s="29">
        <v>38142.15</v>
      </c>
      <c r="G64" s="28">
        <f t="shared" si="1"/>
        <v>3.8163376742630765E-5</v>
      </c>
    </row>
    <row r="65" spans="1:7" x14ac:dyDescent="0.25">
      <c r="A65" s="24">
        <v>1008</v>
      </c>
      <c r="B65" s="23" t="s">
        <v>7</v>
      </c>
      <c r="C65" s="71">
        <v>37021</v>
      </c>
      <c r="D65" s="31">
        <v>15107</v>
      </c>
      <c r="E65" s="24" t="s">
        <v>16</v>
      </c>
      <c r="F65" s="29">
        <v>8419.49</v>
      </c>
      <c r="G65" s="28">
        <f t="shared" si="1"/>
        <v>8.4241755866098857E-6</v>
      </c>
    </row>
    <row r="66" spans="1:7" x14ac:dyDescent="0.25">
      <c r="A66" s="24">
        <v>1024</v>
      </c>
      <c r="B66" s="23" t="s">
        <v>8</v>
      </c>
      <c r="C66" s="71">
        <v>37005</v>
      </c>
      <c r="D66" s="31">
        <v>14896</v>
      </c>
      <c r="E66" s="24" t="s">
        <v>16</v>
      </c>
      <c r="F66" s="29">
        <v>203919.45</v>
      </c>
      <c r="G66" s="28">
        <f t="shared" si="1"/>
        <v>2.0403293457500578E-4</v>
      </c>
    </row>
    <row r="67" spans="1:7" x14ac:dyDescent="0.25">
      <c r="A67" s="24">
        <v>1024</v>
      </c>
      <c r="B67" s="23" t="s">
        <v>8</v>
      </c>
      <c r="C67" s="71">
        <v>37021</v>
      </c>
      <c r="D67" s="31">
        <v>15096</v>
      </c>
      <c r="E67" s="24" t="s">
        <v>16</v>
      </c>
      <c r="F67" s="29">
        <v>18881.310000000001</v>
      </c>
      <c r="G67" s="28">
        <f t="shared" si="1"/>
        <v>1.8891817763927876E-5</v>
      </c>
    </row>
    <row r="68" spans="1:7" x14ac:dyDescent="0.25">
      <c r="A68" s="24">
        <v>1010</v>
      </c>
      <c r="B68" s="23" t="s">
        <v>63</v>
      </c>
      <c r="C68" s="71">
        <v>37005</v>
      </c>
      <c r="D68" s="31">
        <v>14906</v>
      </c>
      <c r="E68" s="24" t="s">
        <v>16</v>
      </c>
      <c r="F68" s="29">
        <v>420279224.39999998</v>
      </c>
      <c r="G68" s="28">
        <f t="shared" si="1"/>
        <v>0.42051311679802666</v>
      </c>
    </row>
    <row r="69" spans="1:7" x14ac:dyDescent="0.25">
      <c r="A69" s="24">
        <v>1010</v>
      </c>
      <c r="B69" s="23" t="s">
        <v>63</v>
      </c>
      <c r="C69" s="71">
        <v>37021</v>
      </c>
      <c r="D69" s="31">
        <v>15106</v>
      </c>
      <c r="E69" s="24" t="s">
        <v>16</v>
      </c>
      <c r="F69" s="56">
        <v>36735052.770000003</v>
      </c>
      <c r="G69" s="57">
        <f t="shared" si="1"/>
        <v>3.6755496439553927E-2</v>
      </c>
    </row>
    <row r="70" spans="1:7" x14ac:dyDescent="0.25">
      <c r="A70" s="7"/>
      <c r="B70" s="2"/>
      <c r="C70" s="9"/>
      <c r="D70" s="7"/>
      <c r="E70" s="13"/>
      <c r="F70" s="6"/>
      <c r="G70" s="21"/>
    </row>
    <row r="71" spans="1:7" ht="13.8" thickBot="1" x14ac:dyDescent="0.3">
      <c r="B71" s="1" t="s">
        <v>18</v>
      </c>
      <c r="F71" s="30">
        <f>SUM(F20:F70)</f>
        <v>999443792.86000001</v>
      </c>
      <c r="G71" s="20">
        <f>+F71/F71</f>
        <v>1</v>
      </c>
    </row>
    <row r="72" spans="1:7" ht="13.8" thickTop="1" x14ac:dyDescent="0.25"/>
    <row r="75" spans="1:7" x14ac:dyDescent="0.25">
      <c r="B75" s="85" t="s">
        <v>191</v>
      </c>
    </row>
    <row r="77" spans="1:7" ht="15.6" x14ac:dyDescent="0.3">
      <c r="B77" s="10" t="str">
        <f>+B1</f>
        <v>Certification for Market Settlement August 24, 2001</v>
      </c>
    </row>
    <row r="78" spans="1:7" ht="15.6" x14ac:dyDescent="0.3">
      <c r="B78" s="10"/>
    </row>
    <row r="79" spans="1:7" ht="15.6" x14ac:dyDescent="0.3">
      <c r="B79" s="10" t="str">
        <f>+B48</f>
        <v>For the Trade Month of February 2001</v>
      </c>
    </row>
    <row r="80" spans="1:7" ht="15.6" x14ac:dyDescent="0.3">
      <c r="B80" s="10"/>
    </row>
    <row r="81" spans="1:7" ht="15.6" x14ac:dyDescent="0.3">
      <c r="B81" s="10" t="s">
        <v>27</v>
      </c>
    </row>
    <row r="82" spans="1:7" ht="15.6" x14ac:dyDescent="0.3">
      <c r="B82" s="10"/>
    </row>
    <row r="83" spans="1:7" x14ac:dyDescent="0.25">
      <c r="B83" s="21" t="s">
        <v>26</v>
      </c>
      <c r="C83" s="32"/>
      <c r="D83" s="33"/>
      <c r="E83" s="33"/>
      <c r="F83" s="34">
        <v>972588030.84000003</v>
      </c>
      <c r="G83" s="62">
        <f>+F83/F85</f>
        <v>0.92227598723775517</v>
      </c>
    </row>
    <row r="84" spans="1:7" x14ac:dyDescent="0.25">
      <c r="B84" s="21" t="s">
        <v>28</v>
      </c>
      <c r="C84" s="32"/>
      <c r="D84" s="33"/>
      <c r="E84" s="33"/>
      <c r="F84" s="39">
        <v>81964016.810000002</v>
      </c>
      <c r="G84" s="62">
        <f>+F84/F85</f>
        <v>7.7724012762244804E-2</v>
      </c>
    </row>
    <row r="85" spans="1:7" x14ac:dyDescent="0.25">
      <c r="B85" s="35" t="s">
        <v>29</v>
      </c>
      <c r="C85" s="32"/>
      <c r="D85" s="33"/>
      <c r="E85" s="33"/>
      <c r="F85" s="39">
        <f>SUM(F83:F84)</f>
        <v>1054552047.6500001</v>
      </c>
      <c r="G85" s="63">
        <f>+F85/F85</f>
        <v>1</v>
      </c>
    </row>
    <row r="86" spans="1:7" ht="15.6" x14ac:dyDescent="0.3">
      <c r="B86" s="10"/>
    </row>
    <row r="87" spans="1:7" x14ac:dyDescent="0.25">
      <c r="B87" s="21" t="s">
        <v>96</v>
      </c>
      <c r="C87" s="32"/>
      <c r="D87" s="33"/>
      <c r="E87" s="33"/>
      <c r="F87" s="6">
        <v>59861543.329999998</v>
      </c>
    </row>
    <row r="88" spans="1:7" x14ac:dyDescent="0.25">
      <c r="B88" s="21" t="s">
        <v>97</v>
      </c>
      <c r="C88" s="32"/>
      <c r="D88" s="33"/>
      <c r="E88" s="33"/>
      <c r="F88" s="6">
        <v>1703105.49</v>
      </c>
    </row>
    <row r="89" spans="1:7" x14ac:dyDescent="0.25">
      <c r="B89" s="21" t="s">
        <v>106</v>
      </c>
      <c r="C89" s="32"/>
      <c r="D89" s="33"/>
      <c r="E89" s="33"/>
      <c r="F89" s="6">
        <v>171667.35</v>
      </c>
    </row>
    <row r="90" spans="1:7" x14ac:dyDescent="0.25">
      <c r="B90" s="21" t="s">
        <v>105</v>
      </c>
      <c r="C90" s="32"/>
      <c r="D90" s="33"/>
      <c r="E90" s="33"/>
      <c r="F90" s="6">
        <v>2754904.04</v>
      </c>
    </row>
    <row r="91" spans="1:7" x14ac:dyDescent="0.25">
      <c r="B91" s="21" t="s">
        <v>117</v>
      </c>
      <c r="C91" s="32"/>
      <c r="D91" s="33"/>
      <c r="E91" s="33"/>
      <c r="F91" s="6">
        <v>459411.62</v>
      </c>
    </row>
    <row r="92" spans="1:7" x14ac:dyDescent="0.25">
      <c r="B92" s="21" t="s">
        <v>170</v>
      </c>
      <c r="C92" s="32"/>
      <c r="D92" s="33"/>
      <c r="E92" s="33"/>
      <c r="F92" s="39">
        <v>24932.27</v>
      </c>
    </row>
    <row r="93" spans="1:7" x14ac:dyDescent="0.25">
      <c r="B93" s="35" t="s">
        <v>33</v>
      </c>
      <c r="C93" s="32"/>
      <c r="D93" s="33"/>
      <c r="E93" s="33"/>
      <c r="F93" s="39">
        <f>SUM(F87:F92)</f>
        <v>64975564.100000001</v>
      </c>
      <c r="G93" s="63">
        <f>+F93/F85</f>
        <v>6.1614373842233554E-2</v>
      </c>
    </row>
    <row r="94" spans="1:7" ht="15.6" x14ac:dyDescent="0.3">
      <c r="B94" s="10"/>
    </row>
    <row r="95" spans="1:7" s="21" customFormat="1" x14ac:dyDescent="0.25">
      <c r="A95" s="32"/>
      <c r="B95" s="21" t="s">
        <v>144</v>
      </c>
      <c r="C95" s="32"/>
      <c r="D95" s="33"/>
      <c r="E95" s="33"/>
      <c r="F95" s="6">
        <v>25515.38</v>
      </c>
    </row>
    <row r="96" spans="1:7" s="21" customFormat="1" x14ac:dyDescent="0.25">
      <c r="A96" s="32"/>
      <c r="B96" s="21" t="s">
        <v>164</v>
      </c>
      <c r="C96" s="32"/>
      <c r="D96" s="33"/>
      <c r="E96" s="33"/>
      <c r="F96" s="6">
        <v>33196.74</v>
      </c>
    </row>
    <row r="97" spans="1:9" s="21" customFormat="1" x14ac:dyDescent="0.25">
      <c r="A97" s="32"/>
      <c r="B97" s="21" t="s">
        <v>173</v>
      </c>
      <c r="C97" s="32"/>
      <c r="D97" s="33"/>
      <c r="E97" s="33"/>
      <c r="F97" s="6">
        <v>127265.99</v>
      </c>
    </row>
    <row r="98" spans="1:9" s="21" customFormat="1" x14ac:dyDescent="0.25">
      <c r="A98" s="32"/>
      <c r="B98" s="21" t="s">
        <v>149</v>
      </c>
      <c r="C98" s="32"/>
      <c r="D98" s="33"/>
      <c r="E98" s="33"/>
      <c r="F98" s="6">
        <f>12423.05+4221121.69+5615.29</f>
        <v>4239160.03</v>
      </c>
    </row>
    <row r="99" spans="1:9" s="21" customFormat="1" x14ac:dyDescent="0.25">
      <c r="A99" s="32"/>
      <c r="B99" s="21" t="s">
        <v>174</v>
      </c>
      <c r="C99" s="32"/>
      <c r="D99" s="33"/>
      <c r="E99" s="33"/>
      <c r="F99" s="6">
        <f>22.1-9.19</f>
        <v>12.910000000000002</v>
      </c>
    </row>
    <row r="100" spans="1:9" s="21" customFormat="1" x14ac:dyDescent="0.25">
      <c r="A100" s="32"/>
      <c r="B100" s="21" t="s">
        <v>152</v>
      </c>
      <c r="C100" s="32"/>
      <c r="D100" s="33"/>
      <c r="E100" s="33"/>
      <c r="F100" s="6">
        <f>522.23</f>
        <v>522.23</v>
      </c>
    </row>
    <row r="101" spans="1:9" s="21" customFormat="1" x14ac:dyDescent="0.25">
      <c r="A101" s="32"/>
      <c r="B101" s="21" t="s">
        <v>172</v>
      </c>
      <c r="C101" s="32"/>
      <c r="D101" s="33"/>
      <c r="E101" s="33"/>
      <c r="F101" s="39">
        <v>10525.68</v>
      </c>
    </row>
    <row r="102" spans="1:9" x14ac:dyDescent="0.25">
      <c r="B102" s="1" t="s">
        <v>54</v>
      </c>
      <c r="F102" s="40">
        <f>SUM(F95:F101)</f>
        <v>4436198.9600000009</v>
      </c>
      <c r="G102" s="63">
        <f>+F102/F85</f>
        <v>4.2067140923824275E-3</v>
      </c>
    </row>
    <row r="103" spans="1:9" x14ac:dyDescent="0.25">
      <c r="B103" s="1"/>
      <c r="F103" s="36"/>
      <c r="G103" s="63"/>
    </row>
    <row r="104" spans="1:9" s="21" customFormat="1" x14ac:dyDescent="0.25">
      <c r="A104" s="32"/>
      <c r="B104" s="21" t="s">
        <v>171</v>
      </c>
      <c r="C104" s="32"/>
      <c r="D104" s="33"/>
      <c r="E104" s="33"/>
      <c r="F104" s="39">
        <v>14303508.27</v>
      </c>
      <c r="G104" s="63">
        <f>+F104/F85</f>
        <v>1.3563586834689124E-2</v>
      </c>
    </row>
    <row r="105" spans="1:9" ht="15.6" x14ac:dyDescent="0.3">
      <c r="B105" s="10"/>
    </row>
    <row r="106" spans="1:9" ht="16.2" thickBot="1" x14ac:dyDescent="0.35">
      <c r="B106" s="45" t="s">
        <v>35</v>
      </c>
      <c r="C106" s="49"/>
      <c r="D106" s="50"/>
      <c r="E106" s="50"/>
      <c r="F106" s="51">
        <f>+F85-F93-F102+F104</f>
        <v>999443792.86000001</v>
      </c>
      <c r="G106" s="64">
        <f>+F106/F85</f>
        <v>0.94774249890007312</v>
      </c>
      <c r="I106" s="75">
        <f>+F71-F106</f>
        <v>0</v>
      </c>
    </row>
    <row r="107" spans="1:9" ht="15.6" x14ac:dyDescent="0.3">
      <c r="B107" s="37"/>
      <c r="C107" s="32"/>
      <c r="D107" s="33"/>
      <c r="E107" s="33"/>
      <c r="F107" s="38"/>
    </row>
    <row r="108" spans="1:9" ht="15.6" x14ac:dyDescent="0.3">
      <c r="B108" s="10"/>
    </row>
    <row r="109" spans="1:9" ht="15.6" x14ac:dyDescent="0.3">
      <c r="B109" s="37" t="s">
        <v>34</v>
      </c>
      <c r="C109" s="32"/>
      <c r="D109" s="33"/>
      <c r="E109" s="33"/>
      <c r="F109" s="21"/>
    </row>
    <row r="110" spans="1:9" ht="15.6" x14ac:dyDescent="0.3">
      <c r="B110" s="37"/>
      <c r="C110" s="32"/>
      <c r="D110" s="33"/>
      <c r="E110" s="33"/>
      <c r="F110" s="21"/>
    </row>
    <row r="111" spans="1:9" s="21" customFormat="1" x14ac:dyDescent="0.25">
      <c r="A111" s="32"/>
      <c r="B111" s="21" t="s">
        <v>26</v>
      </c>
      <c r="C111" s="32"/>
      <c r="D111" s="33"/>
      <c r="E111" s="33"/>
      <c r="F111" s="34">
        <v>952742085.5</v>
      </c>
      <c r="G111" s="65">
        <f>+F111/F113</f>
        <v>0.92078371675781356</v>
      </c>
    </row>
    <row r="112" spans="1:9" x14ac:dyDescent="0.25">
      <c r="B112" s="21" t="s">
        <v>28</v>
      </c>
      <c r="C112" s="32"/>
      <c r="D112" s="33"/>
      <c r="E112" s="33"/>
      <c r="F112" s="39">
        <v>81965705.439999998</v>
      </c>
      <c r="G112" s="65">
        <f>+F112/F113</f>
        <v>7.9216283242186367E-2</v>
      </c>
    </row>
    <row r="113" spans="2:7" x14ac:dyDescent="0.25">
      <c r="B113" s="35" t="s">
        <v>29</v>
      </c>
      <c r="C113" s="32"/>
      <c r="D113" s="33"/>
      <c r="E113" s="33"/>
      <c r="F113" s="39">
        <f>SUM(F111:F112)</f>
        <v>1034707790.9400001</v>
      </c>
      <c r="G113" s="63">
        <f>+F113/F113</f>
        <v>1</v>
      </c>
    </row>
    <row r="114" spans="2:7" ht="15.6" x14ac:dyDescent="0.3">
      <c r="B114" s="10"/>
    </row>
    <row r="115" spans="2:7" x14ac:dyDescent="0.25">
      <c r="B115" s="21" t="s">
        <v>98</v>
      </c>
      <c r="C115" s="32"/>
      <c r="D115" s="33"/>
      <c r="E115" s="33"/>
      <c r="F115" s="6">
        <v>42468820.18</v>
      </c>
    </row>
    <row r="116" spans="2:7" x14ac:dyDescent="0.25">
      <c r="B116" s="21" t="s">
        <v>99</v>
      </c>
      <c r="C116" s="32"/>
      <c r="D116" s="33"/>
      <c r="E116" s="33"/>
      <c r="F116" s="6">
        <v>3857696.65</v>
      </c>
    </row>
    <row r="117" spans="2:7" x14ac:dyDescent="0.25">
      <c r="B117" s="21" t="s">
        <v>104</v>
      </c>
      <c r="C117" s="32"/>
      <c r="D117" s="33"/>
      <c r="E117" s="33"/>
      <c r="F117" s="6">
        <v>2755696.19</v>
      </c>
    </row>
    <row r="118" spans="2:7" x14ac:dyDescent="0.25">
      <c r="B118" s="21" t="s">
        <v>182</v>
      </c>
      <c r="C118" s="32"/>
      <c r="D118" s="33"/>
      <c r="E118" s="33"/>
      <c r="F118" s="39">
        <v>24932.27</v>
      </c>
    </row>
    <row r="119" spans="2:7" x14ac:dyDescent="0.25">
      <c r="B119" s="35" t="s">
        <v>42</v>
      </c>
      <c r="C119" s="32"/>
      <c r="D119" s="33"/>
      <c r="E119" s="33"/>
      <c r="F119" s="39">
        <f>SUM(F115:F118)</f>
        <v>49107145.289999999</v>
      </c>
      <c r="G119" s="63">
        <f>+F119/F113</f>
        <v>4.7459916432433233E-2</v>
      </c>
    </row>
    <row r="120" spans="2:7" ht="15.6" x14ac:dyDescent="0.3">
      <c r="B120" s="10"/>
    </row>
    <row r="121" spans="2:7" x14ac:dyDescent="0.25">
      <c r="B121" s="21" t="s">
        <v>165</v>
      </c>
      <c r="C121" s="32"/>
      <c r="D121" s="33"/>
      <c r="E121" s="33"/>
      <c r="F121" s="36">
        <f>1476860.84+1433.91+1284.97</f>
        <v>1479579.72</v>
      </c>
    </row>
    <row r="122" spans="2:7" x14ac:dyDescent="0.25">
      <c r="B122" s="21" t="s">
        <v>148</v>
      </c>
      <c r="C122" s="32"/>
      <c r="D122" s="33"/>
      <c r="E122" s="33"/>
      <c r="F122" s="36">
        <f>17369.41+1655.43</f>
        <v>19024.84</v>
      </c>
    </row>
    <row r="123" spans="2:7" x14ac:dyDescent="0.25">
      <c r="B123" s="21" t="s">
        <v>175</v>
      </c>
      <c r="C123" s="32"/>
      <c r="D123" s="33"/>
      <c r="E123" s="33"/>
      <c r="F123" s="36">
        <f>945185.16-85589.52+4188.11+1737.61</f>
        <v>865521.36</v>
      </c>
    </row>
    <row r="124" spans="2:7" x14ac:dyDescent="0.25">
      <c r="B124" s="21" t="s">
        <v>160</v>
      </c>
      <c r="C124" s="32"/>
      <c r="D124" s="33"/>
      <c r="E124" s="33"/>
      <c r="F124" s="36">
        <f>4221121.69+12423.05</f>
        <v>4233544.74</v>
      </c>
    </row>
    <row r="125" spans="2:7" x14ac:dyDescent="0.25">
      <c r="B125" s="21" t="s">
        <v>159</v>
      </c>
      <c r="C125" s="32"/>
      <c r="D125" s="33"/>
      <c r="E125" s="33"/>
      <c r="F125" s="36">
        <v>19892.77</v>
      </c>
    </row>
    <row r="126" spans="2:7" x14ac:dyDescent="0.25">
      <c r="B126" s="21" t="s">
        <v>169</v>
      </c>
      <c r="C126" s="32"/>
      <c r="D126" s="33"/>
      <c r="E126" s="33"/>
      <c r="F126" s="40">
        <v>18586.04</v>
      </c>
    </row>
    <row r="127" spans="2:7" x14ac:dyDescent="0.25">
      <c r="B127" s="1" t="s">
        <v>54</v>
      </c>
      <c r="C127" s="32"/>
      <c r="D127" s="33"/>
      <c r="E127" s="33"/>
      <c r="F127" s="40">
        <f>SUM(F121:F126)</f>
        <v>6636149.4699999997</v>
      </c>
      <c r="G127" s="63">
        <f>+F127/F113</f>
        <v>6.4135493403130392E-3</v>
      </c>
    </row>
    <row r="128" spans="2:7" ht="15.6" x14ac:dyDescent="0.3">
      <c r="B128" s="10"/>
    </row>
    <row r="129" spans="2:9" ht="16.2" thickBot="1" x14ac:dyDescent="0.35">
      <c r="B129" s="45" t="s">
        <v>36</v>
      </c>
      <c r="C129" s="49"/>
      <c r="D129" s="50"/>
      <c r="E129" s="50"/>
      <c r="F129" s="51">
        <f>+F113-F119-F127</f>
        <v>978964496.18000007</v>
      </c>
      <c r="G129" s="64">
        <f>+F129/F113</f>
        <v>0.94612653422725379</v>
      </c>
      <c r="I129" s="75">
        <f>+F129-F10</f>
        <v>0</v>
      </c>
    </row>
    <row r="130" spans="2:9" ht="15.6" x14ac:dyDescent="0.3">
      <c r="B130" s="37"/>
      <c r="C130" s="32"/>
      <c r="D130" s="33"/>
      <c r="E130" s="33"/>
      <c r="F130" s="38"/>
      <c r="G130" s="72"/>
    </row>
  </sheetData>
  <phoneticPr fontId="0" type="noConversion"/>
  <pageMargins left="0.5" right="0.25" top="0.5" bottom="0.5" header="0.5" footer="0"/>
  <pageSetup scale="96" orientation="portrait" verticalDpi="0" r:id="rId1"/>
  <headerFooter alignWithMargins="0">
    <oddFooter>&amp;LCertification August 24, 2001&amp;CPage &amp;P of &amp;N&amp;RTrade Month February 2001</oddFooter>
  </headerFooter>
  <rowBreaks count="2" manualBreakCount="2">
    <brk id="45" max="6" man="1"/>
    <brk id="76"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38"/>
  <sheetViews>
    <sheetView zoomScaleNormal="100" workbookViewId="0">
      <selection activeCell="B17" sqref="B17"/>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 min="8" max="8" width="11.109375" customWidth="1"/>
    <col min="9" max="9" width="16.5546875" bestFit="1" customWidth="1"/>
  </cols>
  <sheetData>
    <row r="1" spans="1:7" ht="15.6" x14ac:dyDescent="0.3">
      <c r="B1" s="54" t="s">
        <v>126</v>
      </c>
    </row>
    <row r="2" spans="1:7" ht="15.6" x14ac:dyDescent="0.3">
      <c r="B2" s="10"/>
    </row>
    <row r="3" spans="1:7" ht="15.6" x14ac:dyDescent="0.3">
      <c r="B3" s="10" t="s">
        <v>108</v>
      </c>
    </row>
    <row r="4" spans="1:7" ht="15.6" x14ac:dyDescent="0.3">
      <c r="B4" s="10"/>
    </row>
    <row r="5" spans="1:7" ht="15.6" x14ac:dyDescent="0.3">
      <c r="B5" s="10"/>
    </row>
    <row r="6" spans="1:7" ht="15.6" x14ac:dyDescent="0.3">
      <c r="B6" s="10"/>
    </row>
    <row r="7" spans="1:7" ht="16.2" thickBot="1" x14ac:dyDescent="0.35">
      <c r="A7" s="10" t="s">
        <v>57</v>
      </c>
    </row>
    <row r="8" spans="1:7" s="5" customFormat="1" ht="31.8"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107</v>
      </c>
      <c r="C10" s="78"/>
      <c r="D10" s="14"/>
      <c r="E10" s="14"/>
      <c r="F10" s="30">
        <v>849216710.90999997</v>
      </c>
      <c r="G10" s="20">
        <f>+F10/F$10</f>
        <v>1</v>
      </c>
    </row>
    <row r="11" spans="1:7" s="1" customFormat="1" ht="13.8" thickTop="1" x14ac:dyDescent="0.25">
      <c r="A11" s="11"/>
      <c r="C11" s="78"/>
      <c r="D11" s="14"/>
      <c r="E11" s="14"/>
      <c r="F11" s="66"/>
      <c r="G11" s="59"/>
    </row>
    <row r="12" spans="1:7" s="1" customFormat="1" x14ac:dyDescent="0.25">
      <c r="A12" s="11"/>
      <c r="C12" s="78"/>
      <c r="D12" s="14"/>
      <c r="E12" s="14"/>
      <c r="F12" s="66"/>
      <c r="G12" s="59"/>
    </row>
    <row r="13" spans="1:7" s="1" customFormat="1" x14ac:dyDescent="0.25">
      <c r="A13" s="11"/>
      <c r="B13" s="11"/>
      <c r="C13" s="79"/>
      <c r="D13" s="14"/>
      <c r="E13" s="14"/>
      <c r="F13" s="66"/>
      <c r="G13" s="59"/>
    </row>
    <row r="14" spans="1:7" ht="15.6" x14ac:dyDescent="0.3">
      <c r="B14" s="10"/>
      <c r="C14" s="80"/>
    </row>
    <row r="15" spans="1:7" ht="15.6" x14ac:dyDescent="0.3">
      <c r="B15" s="10"/>
      <c r="C15" s="80"/>
    </row>
    <row r="16" spans="1:7" ht="15.6" x14ac:dyDescent="0.3">
      <c r="A16" s="10" t="s">
        <v>49</v>
      </c>
      <c r="C16" s="80"/>
    </row>
    <row r="17" spans="1:7" ht="16.2" thickBot="1" x14ac:dyDescent="0.35">
      <c r="A17" s="10" t="s">
        <v>118</v>
      </c>
      <c r="C17" s="80"/>
    </row>
    <row r="18" spans="1:7" s="5" customFormat="1" ht="31.8" thickTop="1" thickBot="1" x14ac:dyDescent="0.3">
      <c r="A18" s="15" t="s">
        <v>11</v>
      </c>
      <c r="B18" s="15" t="s">
        <v>13</v>
      </c>
      <c r="C18" s="81" t="s">
        <v>12</v>
      </c>
      <c r="D18" s="15" t="s">
        <v>17</v>
      </c>
      <c r="E18" s="15" t="s">
        <v>15</v>
      </c>
      <c r="F18" s="16" t="s">
        <v>10</v>
      </c>
      <c r="G18" s="16" t="s">
        <v>56</v>
      </c>
    </row>
    <row r="19" spans="1:7" ht="13.8" thickTop="1" x14ac:dyDescent="0.25">
      <c r="C19" s="80"/>
    </row>
    <row r="20" spans="1:7" x14ac:dyDescent="0.25">
      <c r="A20" s="24">
        <v>1924</v>
      </c>
      <c r="B20" s="23" t="s">
        <v>86</v>
      </c>
      <c r="C20" s="71">
        <v>37035</v>
      </c>
      <c r="D20" s="31">
        <v>15176</v>
      </c>
      <c r="E20" s="24" t="s">
        <v>80</v>
      </c>
      <c r="F20" s="27">
        <v>1891.9</v>
      </c>
      <c r="G20" s="28">
        <f t="shared" ref="G20:G48" si="0">+F20/$F$75</f>
        <v>2.2788367393444854E-6</v>
      </c>
    </row>
    <row r="21" spans="1:7" x14ac:dyDescent="0.25">
      <c r="A21" s="24">
        <v>1007</v>
      </c>
      <c r="B21" s="23" t="s">
        <v>59</v>
      </c>
      <c r="C21" s="71">
        <v>37035</v>
      </c>
      <c r="D21" s="31">
        <v>15204</v>
      </c>
      <c r="E21" s="24" t="s">
        <v>80</v>
      </c>
      <c r="F21" s="29">
        <v>5887.54</v>
      </c>
      <c r="G21" s="28">
        <f t="shared" si="0"/>
        <v>7.0916763340346904E-6</v>
      </c>
    </row>
    <row r="22" spans="1:7" x14ac:dyDescent="0.25">
      <c r="A22" s="24">
        <v>1007</v>
      </c>
      <c r="B22" s="23" t="s">
        <v>59</v>
      </c>
      <c r="C22" s="71">
        <v>37054</v>
      </c>
      <c r="D22" s="31">
        <v>15404</v>
      </c>
      <c r="E22" s="24" t="s">
        <v>80</v>
      </c>
      <c r="F22" s="29">
        <v>8.3000000000000007</v>
      </c>
      <c r="G22" s="28">
        <f t="shared" si="0"/>
        <v>9.9975394770121198E-9</v>
      </c>
    </row>
    <row r="23" spans="1:7" x14ac:dyDescent="0.25">
      <c r="A23" s="24">
        <v>2606</v>
      </c>
      <c r="B23" s="23" t="s">
        <v>0</v>
      </c>
      <c r="C23" s="71">
        <v>37035</v>
      </c>
      <c r="D23" s="31">
        <v>15168</v>
      </c>
      <c r="E23" s="24" t="s">
        <v>80</v>
      </c>
      <c r="F23" s="29">
        <v>312789</v>
      </c>
      <c r="G23" s="28">
        <f t="shared" si="0"/>
        <v>3.7676149102110163E-4</v>
      </c>
    </row>
    <row r="24" spans="1:7" x14ac:dyDescent="0.25">
      <c r="A24" s="24">
        <v>2606</v>
      </c>
      <c r="B24" s="23" t="s">
        <v>0</v>
      </c>
      <c r="C24" s="71">
        <v>37054</v>
      </c>
      <c r="D24" s="31">
        <v>15368</v>
      </c>
      <c r="E24" s="24" t="s">
        <v>80</v>
      </c>
      <c r="F24" s="29">
        <v>388.95</v>
      </c>
      <c r="G24" s="28">
        <f t="shared" si="0"/>
        <v>4.6849915416673054E-7</v>
      </c>
    </row>
    <row r="25" spans="1:7" x14ac:dyDescent="0.25">
      <c r="A25" s="24">
        <v>1544</v>
      </c>
      <c r="B25" s="23" t="s">
        <v>3</v>
      </c>
      <c r="C25" s="71">
        <v>37035</v>
      </c>
      <c r="D25" s="31">
        <v>15180</v>
      </c>
      <c r="E25" s="24" t="s">
        <v>80</v>
      </c>
      <c r="F25" s="29">
        <v>185906.31</v>
      </c>
      <c r="G25" s="28">
        <f t="shared" si="0"/>
        <v>2.2392839436754855E-4</v>
      </c>
    </row>
    <row r="26" spans="1:7" x14ac:dyDescent="0.25">
      <c r="A26" s="24">
        <v>1544</v>
      </c>
      <c r="B26" s="23" t="s">
        <v>3</v>
      </c>
      <c r="C26" s="71">
        <v>37054</v>
      </c>
      <c r="D26" s="31">
        <v>15380</v>
      </c>
      <c r="E26" s="24" t="s">
        <v>80</v>
      </c>
      <c r="F26" s="29">
        <v>84.7</v>
      </c>
      <c r="G26" s="28">
        <f t="shared" si="0"/>
        <v>1.0202308357866584E-7</v>
      </c>
    </row>
    <row r="27" spans="1:7" x14ac:dyDescent="0.25">
      <c r="A27" s="24">
        <v>3106</v>
      </c>
      <c r="B27" s="23" t="s">
        <v>192</v>
      </c>
      <c r="C27" s="71">
        <v>37005</v>
      </c>
      <c r="D27" s="31">
        <v>15161</v>
      </c>
      <c r="E27" s="24" t="s">
        <v>80</v>
      </c>
      <c r="F27" s="29">
        <v>7053774.1900000004</v>
      </c>
      <c r="G27" s="28">
        <f t="shared" si="0"/>
        <v>8.4964320393318294E-3</v>
      </c>
    </row>
    <row r="28" spans="1:7" x14ac:dyDescent="0.25">
      <c r="A28" s="24">
        <v>3106</v>
      </c>
      <c r="B28" s="23" t="s">
        <v>192</v>
      </c>
      <c r="C28" s="71">
        <v>37054</v>
      </c>
      <c r="D28" s="31">
        <v>15361</v>
      </c>
      <c r="E28" s="24" t="s">
        <v>80</v>
      </c>
      <c r="F28" s="29">
        <v>23950.720000000001</v>
      </c>
      <c r="G28" s="28">
        <f t="shared" si="0"/>
        <v>2.8849189000345025E-5</v>
      </c>
    </row>
    <row r="29" spans="1:7" x14ac:dyDescent="0.25">
      <c r="A29" s="24">
        <v>1011</v>
      </c>
      <c r="B29" s="23" t="s">
        <v>192</v>
      </c>
      <c r="C29" s="71">
        <v>37035</v>
      </c>
      <c r="D29" s="31">
        <v>15201</v>
      </c>
      <c r="E29" s="24" t="s">
        <v>80</v>
      </c>
      <c r="F29" s="29">
        <v>732545.14</v>
      </c>
      <c r="G29" s="28">
        <f t="shared" si="0"/>
        <v>8.8236734407751442E-4</v>
      </c>
    </row>
    <row r="30" spans="1:7" x14ac:dyDescent="0.25">
      <c r="A30" s="24">
        <v>1011</v>
      </c>
      <c r="B30" s="23" t="s">
        <v>192</v>
      </c>
      <c r="C30" s="71">
        <v>37054</v>
      </c>
      <c r="D30" s="31">
        <v>15401</v>
      </c>
      <c r="E30" s="24" t="s">
        <v>80</v>
      </c>
      <c r="F30" s="29">
        <v>3838.57</v>
      </c>
      <c r="G30" s="28">
        <f t="shared" si="0"/>
        <v>4.6236451940089653E-6</v>
      </c>
    </row>
    <row r="31" spans="1:7" x14ac:dyDescent="0.25">
      <c r="A31" s="24">
        <v>2528</v>
      </c>
      <c r="B31" s="23" t="s">
        <v>79</v>
      </c>
      <c r="C31" s="71">
        <v>37035</v>
      </c>
      <c r="D31" s="31">
        <v>15170</v>
      </c>
      <c r="E31" s="24" t="s">
        <v>80</v>
      </c>
      <c r="F31" s="29">
        <v>199000.28</v>
      </c>
      <c r="G31" s="28">
        <f t="shared" si="0"/>
        <v>2.3970038014897171E-4</v>
      </c>
    </row>
    <row r="32" spans="1:7" x14ac:dyDescent="0.25">
      <c r="A32" s="24">
        <v>1010</v>
      </c>
      <c r="B32" s="23" t="s">
        <v>63</v>
      </c>
      <c r="C32" s="71">
        <v>37035</v>
      </c>
      <c r="D32" s="31">
        <v>15202</v>
      </c>
      <c r="E32" s="24" t="s">
        <v>80</v>
      </c>
      <c r="F32" s="29">
        <v>3586669.37</v>
      </c>
      <c r="G32" s="28">
        <f t="shared" si="0"/>
        <v>4.3202251346464082E-3</v>
      </c>
    </row>
    <row r="33" spans="1:9" x14ac:dyDescent="0.25">
      <c r="A33" s="24">
        <v>1010</v>
      </c>
      <c r="B33" s="23" t="s">
        <v>63</v>
      </c>
      <c r="C33" s="71">
        <v>37054</v>
      </c>
      <c r="D33" s="31">
        <v>15402</v>
      </c>
      <c r="E33" s="24" t="s">
        <v>80</v>
      </c>
      <c r="F33" s="29">
        <v>53768.11</v>
      </c>
      <c r="G33" s="28">
        <f t="shared" si="0"/>
        <v>6.4764915943292788E-5</v>
      </c>
      <c r="I33" s="75">
        <f>SUM(F20:F33)-12160503.08</f>
        <v>0</v>
      </c>
    </row>
    <row r="34" spans="1:9" x14ac:dyDescent="0.25">
      <c r="A34" s="24">
        <v>1924</v>
      </c>
      <c r="B34" s="23" t="s">
        <v>58</v>
      </c>
      <c r="C34" s="71">
        <v>37035</v>
      </c>
      <c r="D34" s="31">
        <v>15241</v>
      </c>
      <c r="E34" s="24" t="s">
        <v>16</v>
      </c>
      <c r="F34" s="29">
        <v>159815.43</v>
      </c>
      <c r="G34" s="28">
        <f t="shared" si="0"/>
        <v>1.925013337904418E-4</v>
      </c>
    </row>
    <row r="35" spans="1:9" x14ac:dyDescent="0.25">
      <c r="A35" s="24">
        <v>1924</v>
      </c>
      <c r="B35" s="23" t="s">
        <v>58</v>
      </c>
      <c r="C35" s="71">
        <v>37054</v>
      </c>
      <c r="D35" s="31">
        <v>15442</v>
      </c>
      <c r="E35" s="24" t="s">
        <v>16</v>
      </c>
      <c r="F35" s="29">
        <v>24618.66</v>
      </c>
      <c r="G35" s="28">
        <f t="shared" si="0"/>
        <v>2.9653737978450504E-5</v>
      </c>
    </row>
    <row r="36" spans="1:9" x14ac:dyDescent="0.25">
      <c r="A36" s="24">
        <v>1007</v>
      </c>
      <c r="B36" s="23" t="s">
        <v>59</v>
      </c>
      <c r="C36" s="71">
        <v>37035</v>
      </c>
      <c r="D36" s="31">
        <v>15276</v>
      </c>
      <c r="E36" s="24" t="s">
        <v>16</v>
      </c>
      <c r="F36" s="29">
        <v>10566.4</v>
      </c>
      <c r="G36" s="28">
        <f t="shared" si="0"/>
        <v>1.2727470015650705E-5</v>
      </c>
    </row>
    <row r="37" spans="1:9" x14ac:dyDescent="0.25">
      <c r="A37" s="24">
        <v>1007</v>
      </c>
      <c r="B37" s="23" t="s">
        <v>59</v>
      </c>
      <c r="C37" s="71">
        <v>37054</v>
      </c>
      <c r="D37" s="31">
        <v>15477</v>
      </c>
      <c r="E37" s="24" t="s">
        <v>16</v>
      </c>
      <c r="F37" s="29">
        <v>35686.06</v>
      </c>
      <c r="G37" s="28">
        <f t="shared" si="0"/>
        <v>4.29846739312076E-5</v>
      </c>
    </row>
    <row r="38" spans="1:9" x14ac:dyDescent="0.25">
      <c r="A38" s="24">
        <v>2606</v>
      </c>
      <c r="B38" s="23" t="s">
        <v>0</v>
      </c>
      <c r="C38" s="71">
        <v>37035</v>
      </c>
      <c r="D38" s="31">
        <v>15228</v>
      </c>
      <c r="E38" s="24" t="s">
        <v>16</v>
      </c>
      <c r="F38" s="29">
        <v>3859521.81</v>
      </c>
      <c r="G38" s="28">
        <f t="shared" si="0"/>
        <v>4.648882127453526E-3</v>
      </c>
    </row>
    <row r="39" spans="1:9" x14ac:dyDescent="0.25">
      <c r="A39" s="24">
        <v>2606</v>
      </c>
      <c r="B39" s="23" t="s">
        <v>0</v>
      </c>
      <c r="C39" s="71">
        <v>37054</v>
      </c>
      <c r="D39" s="31">
        <v>15429</v>
      </c>
      <c r="E39" s="24" t="s">
        <v>16</v>
      </c>
      <c r="F39" s="29">
        <v>2887840.08</v>
      </c>
      <c r="G39" s="28">
        <f t="shared" si="0"/>
        <v>3.4784693015780526E-3</v>
      </c>
    </row>
    <row r="40" spans="1:9" x14ac:dyDescent="0.25">
      <c r="A40" s="24">
        <v>1584</v>
      </c>
      <c r="B40" s="23" t="s">
        <v>1</v>
      </c>
      <c r="C40" s="71">
        <v>37054</v>
      </c>
      <c r="D40" s="31">
        <v>15447</v>
      </c>
      <c r="E40" s="24" t="s">
        <v>16</v>
      </c>
      <c r="F40" s="29">
        <v>206636.42</v>
      </c>
      <c r="G40" s="28">
        <f t="shared" si="0"/>
        <v>2.4889828510101886E-4</v>
      </c>
    </row>
    <row r="41" spans="1:9" x14ac:dyDescent="0.25">
      <c r="A41" s="24">
        <v>1684</v>
      </c>
      <c r="B41" s="23" t="s">
        <v>94</v>
      </c>
      <c r="C41" s="71">
        <v>37054</v>
      </c>
      <c r="D41" s="31">
        <v>15444</v>
      </c>
      <c r="E41" s="24" t="s">
        <v>16</v>
      </c>
      <c r="F41" s="29">
        <v>228.65</v>
      </c>
      <c r="G41" s="28">
        <f t="shared" si="0"/>
        <v>2.7541414474925554E-7</v>
      </c>
    </row>
    <row r="42" spans="1:9" x14ac:dyDescent="0.25">
      <c r="A42" s="24">
        <v>1504</v>
      </c>
      <c r="B42" s="23" t="s">
        <v>2</v>
      </c>
      <c r="C42" s="71">
        <v>37035</v>
      </c>
      <c r="D42" s="31">
        <v>15248</v>
      </c>
      <c r="E42" s="24" t="s">
        <v>16</v>
      </c>
      <c r="F42" s="29">
        <v>15853.26</v>
      </c>
      <c r="G42" s="28">
        <f t="shared" si="0"/>
        <v>1.9095613577028574E-5</v>
      </c>
    </row>
    <row r="43" spans="1:9" x14ac:dyDescent="0.25">
      <c r="A43" s="24">
        <v>1504</v>
      </c>
      <c r="B43" s="23" t="s">
        <v>2</v>
      </c>
      <c r="C43" s="71">
        <v>37054</v>
      </c>
      <c r="D43" s="31">
        <v>15449</v>
      </c>
      <c r="E43" s="24" t="s">
        <v>16</v>
      </c>
      <c r="F43" s="29">
        <v>47046.31</v>
      </c>
      <c r="G43" s="28">
        <f t="shared" si="0"/>
        <v>5.6668354394307229E-5</v>
      </c>
    </row>
    <row r="44" spans="1:9" x14ac:dyDescent="0.25">
      <c r="A44" s="24">
        <v>1103</v>
      </c>
      <c r="B44" s="23" t="s">
        <v>24</v>
      </c>
      <c r="C44" s="71">
        <v>37054</v>
      </c>
      <c r="D44" s="31">
        <v>15462</v>
      </c>
      <c r="E44" s="24" t="s">
        <v>16</v>
      </c>
      <c r="F44" s="29">
        <v>384728.44</v>
      </c>
      <c r="G44" s="28">
        <f t="shared" si="0"/>
        <v>4.6341418877461307E-4</v>
      </c>
    </row>
    <row r="45" spans="1:9" x14ac:dyDescent="0.25">
      <c r="A45" s="55">
        <v>2405</v>
      </c>
      <c r="B45" s="83" t="s">
        <v>195</v>
      </c>
      <c r="C45" s="71">
        <v>37054</v>
      </c>
      <c r="D45" s="55">
        <v>15438</v>
      </c>
      <c r="E45" s="24" t="s">
        <v>16</v>
      </c>
      <c r="F45" s="29">
        <v>1742.73</v>
      </c>
      <c r="G45" s="28">
        <f t="shared" si="0"/>
        <v>2.099158069008835E-6</v>
      </c>
    </row>
    <row r="46" spans="1:9" x14ac:dyDescent="0.25">
      <c r="A46" s="55">
        <v>1017</v>
      </c>
      <c r="B46" s="83" t="s">
        <v>111</v>
      </c>
      <c r="C46" s="71">
        <v>37035</v>
      </c>
      <c r="D46" s="55">
        <v>15269</v>
      </c>
      <c r="E46" s="24" t="s">
        <v>16</v>
      </c>
      <c r="F46" s="84">
        <v>3396277.53</v>
      </c>
      <c r="G46" s="82">
        <f t="shared" si="0"/>
        <v>4.0908938169956881E-3</v>
      </c>
    </row>
    <row r="47" spans="1:9" x14ac:dyDescent="0.25">
      <c r="A47" s="55">
        <v>1017</v>
      </c>
      <c r="B47" s="83" t="s">
        <v>111</v>
      </c>
      <c r="C47" s="71">
        <v>37054</v>
      </c>
      <c r="D47" s="55">
        <v>15470</v>
      </c>
      <c r="E47" s="24" t="s">
        <v>16</v>
      </c>
      <c r="F47" s="84">
        <v>1151755.45</v>
      </c>
      <c r="G47" s="82">
        <f t="shared" si="0"/>
        <v>1.3873157324384166E-3</v>
      </c>
    </row>
    <row r="48" spans="1:9" x14ac:dyDescent="0.25">
      <c r="A48" s="55">
        <v>1000</v>
      </c>
      <c r="B48" s="83" t="s">
        <v>112</v>
      </c>
      <c r="C48" s="71">
        <v>37035</v>
      </c>
      <c r="D48" s="55">
        <v>15283</v>
      </c>
      <c r="E48" s="24" t="s">
        <v>16</v>
      </c>
      <c r="F48" s="84">
        <v>41.41</v>
      </c>
      <c r="G48" s="82">
        <f t="shared" si="0"/>
        <v>4.9879290330490583E-8</v>
      </c>
    </row>
    <row r="49" spans="1:7" x14ac:dyDescent="0.25">
      <c r="C49" s="80"/>
    </row>
    <row r="50" spans="1:7" x14ac:dyDescent="0.25">
      <c r="C50" s="80"/>
    </row>
    <row r="51" spans="1:7" x14ac:dyDescent="0.25">
      <c r="C51" s="80"/>
    </row>
    <row r="52" spans="1:7" ht="15.6" x14ac:dyDescent="0.3">
      <c r="A52" s="19"/>
      <c r="B52" s="10" t="str">
        <f>+B1</f>
        <v>Certification for Market Settlement August 24, 2001</v>
      </c>
      <c r="C52" s="76"/>
      <c r="D52" s="32"/>
      <c r="E52" s="19"/>
      <c r="F52" s="6"/>
      <c r="G52" s="58"/>
    </row>
    <row r="53" spans="1:7" ht="15.6" x14ac:dyDescent="0.3">
      <c r="A53" s="19"/>
      <c r="B53" s="10"/>
      <c r="C53" s="76"/>
      <c r="D53" s="32"/>
      <c r="E53" s="19"/>
      <c r="F53" s="6"/>
      <c r="G53" s="58"/>
    </row>
    <row r="54" spans="1:7" ht="15.6" x14ac:dyDescent="0.3">
      <c r="A54" s="19"/>
      <c r="B54" s="10" t="str">
        <f>+B3</f>
        <v>For the Trade Month of March 2001</v>
      </c>
      <c r="C54" s="76"/>
      <c r="D54" s="32"/>
      <c r="E54" s="19"/>
      <c r="F54" s="6"/>
      <c r="G54" s="58"/>
    </row>
    <row r="55" spans="1:7" x14ac:dyDescent="0.25">
      <c r="A55" s="19"/>
      <c r="B55" s="18"/>
      <c r="C55" s="76"/>
      <c r="D55" s="32"/>
      <c r="E55" s="19"/>
      <c r="F55" s="6"/>
      <c r="G55" s="58"/>
    </row>
    <row r="56" spans="1:7" x14ac:dyDescent="0.25">
      <c r="A56" s="19"/>
      <c r="B56" s="18"/>
      <c r="C56" s="76"/>
      <c r="D56" s="32"/>
      <c r="E56" s="19"/>
      <c r="F56" s="6"/>
      <c r="G56" s="58"/>
    </row>
    <row r="57" spans="1:7" x14ac:dyDescent="0.25">
      <c r="A57" s="19"/>
      <c r="B57" s="18"/>
      <c r="C57" s="76"/>
      <c r="D57" s="32"/>
      <c r="E57" s="19"/>
      <c r="F57" s="6"/>
      <c r="G57" s="58"/>
    </row>
    <row r="58" spans="1:7" ht="15.6" x14ac:dyDescent="0.3">
      <c r="A58" s="10" t="s">
        <v>95</v>
      </c>
      <c r="C58" s="80"/>
    </row>
    <row r="59" spans="1:7" ht="16.2" thickBot="1" x14ac:dyDescent="0.35">
      <c r="A59" s="10" t="s">
        <v>118</v>
      </c>
      <c r="C59" s="80"/>
    </row>
    <row r="60" spans="1:7" s="5" customFormat="1" ht="31.8" thickTop="1" thickBot="1" x14ac:dyDescent="0.3">
      <c r="A60" s="15" t="s">
        <v>11</v>
      </c>
      <c r="B60" s="15" t="s">
        <v>13</v>
      </c>
      <c r="C60" s="81" t="s">
        <v>12</v>
      </c>
      <c r="D60" s="15" t="s">
        <v>17</v>
      </c>
      <c r="E60" s="15" t="s">
        <v>15</v>
      </c>
      <c r="F60" s="16" t="s">
        <v>10</v>
      </c>
      <c r="G60" s="16" t="s">
        <v>56</v>
      </c>
    </row>
    <row r="61" spans="1:7" ht="13.8" thickTop="1" x14ac:dyDescent="0.25">
      <c r="A61" s="24"/>
      <c r="B61" s="23"/>
      <c r="C61" s="71"/>
      <c r="D61" s="31"/>
      <c r="E61" s="24"/>
      <c r="F61" s="29"/>
      <c r="G61" s="28"/>
    </row>
    <row r="62" spans="1:7" x14ac:dyDescent="0.25">
      <c r="A62" s="24">
        <v>1544</v>
      </c>
      <c r="B62" s="23" t="s">
        <v>3</v>
      </c>
      <c r="C62" s="71">
        <v>37035</v>
      </c>
      <c r="D62" s="55">
        <v>15245</v>
      </c>
      <c r="E62" s="24" t="s">
        <v>16</v>
      </c>
      <c r="F62" s="29">
        <v>9664579.0999999996</v>
      </c>
      <c r="G62" s="28">
        <f t="shared" ref="G62:G73" si="1">+F62/$F$75</f>
        <v>1.164120615433208E-2</v>
      </c>
    </row>
    <row r="63" spans="1:7" x14ac:dyDescent="0.25">
      <c r="A63" s="24">
        <v>1544</v>
      </c>
      <c r="B63" s="23" t="s">
        <v>3</v>
      </c>
      <c r="C63" s="71">
        <v>37054</v>
      </c>
      <c r="D63" s="55">
        <v>15446</v>
      </c>
      <c r="E63" s="24" t="s">
        <v>16</v>
      </c>
      <c r="F63" s="29">
        <v>1378767.61</v>
      </c>
      <c r="G63" s="28">
        <f t="shared" si="1"/>
        <v>1.6607570615181507E-3</v>
      </c>
    </row>
    <row r="64" spans="1:7" x14ac:dyDescent="0.25">
      <c r="A64" s="24">
        <v>1005</v>
      </c>
      <c r="B64" s="23" t="s">
        <v>113</v>
      </c>
      <c r="C64" s="71">
        <v>37035</v>
      </c>
      <c r="D64" s="55">
        <v>15278</v>
      </c>
      <c r="E64" s="24" t="s">
        <v>16</v>
      </c>
      <c r="F64" s="29">
        <v>21206.94</v>
      </c>
      <c r="G64" s="28">
        <f t="shared" si="1"/>
        <v>2.5544243353810527E-5</v>
      </c>
    </row>
    <row r="65" spans="1:9" x14ac:dyDescent="0.25">
      <c r="A65" s="24">
        <v>3106</v>
      </c>
      <c r="B65" s="23" t="s">
        <v>192</v>
      </c>
      <c r="C65" s="71">
        <v>37035</v>
      </c>
      <c r="D65" s="55">
        <v>15212</v>
      </c>
      <c r="E65" s="24" t="s">
        <v>16</v>
      </c>
      <c r="F65" s="29">
        <v>250061586.25</v>
      </c>
      <c r="G65" s="28">
        <f t="shared" si="1"/>
        <v>0.30120488918296939</v>
      </c>
    </row>
    <row r="66" spans="1:9" x14ac:dyDescent="0.25">
      <c r="A66" s="24">
        <v>3106</v>
      </c>
      <c r="B66" s="23" t="s">
        <v>192</v>
      </c>
      <c r="C66" s="71">
        <v>37054</v>
      </c>
      <c r="D66" s="55">
        <v>15413</v>
      </c>
      <c r="E66" s="24" t="s">
        <v>16</v>
      </c>
      <c r="F66" s="29">
        <v>26829644.829999998</v>
      </c>
      <c r="G66" s="28">
        <f t="shared" si="1"/>
        <v>3.2316919679775791E-2</v>
      </c>
    </row>
    <row r="67" spans="1:9" x14ac:dyDescent="0.25">
      <c r="A67" s="24">
        <v>1011</v>
      </c>
      <c r="B67" s="23" t="s">
        <v>192</v>
      </c>
      <c r="C67" s="71">
        <v>37035</v>
      </c>
      <c r="D67" s="55">
        <v>15273</v>
      </c>
      <c r="E67" s="24" t="s">
        <v>16</v>
      </c>
      <c r="F67" s="29">
        <v>11636159.73</v>
      </c>
      <c r="G67" s="28">
        <f t="shared" si="1"/>
        <v>1.4016020031505264E-2</v>
      </c>
      <c r="I67" s="75">
        <f>SUM(F34:F73)-818043770.59</f>
        <v>0</v>
      </c>
    </row>
    <row r="68" spans="1:9" x14ac:dyDescent="0.25">
      <c r="A68" s="24">
        <v>1011</v>
      </c>
      <c r="B68" s="23" t="s">
        <v>192</v>
      </c>
      <c r="C68" s="71">
        <v>37054</v>
      </c>
      <c r="D68" s="55">
        <v>15474</v>
      </c>
      <c r="E68" s="24" t="s">
        <v>16</v>
      </c>
      <c r="F68" s="29">
        <v>1220018.43</v>
      </c>
      <c r="G68" s="28">
        <f t="shared" si="1"/>
        <v>1.4695400501936562E-3</v>
      </c>
    </row>
    <row r="69" spans="1:9" x14ac:dyDescent="0.25">
      <c r="A69" s="24">
        <v>1012</v>
      </c>
      <c r="B69" s="23" t="s">
        <v>91</v>
      </c>
      <c r="C69" s="71">
        <v>37035</v>
      </c>
      <c r="D69" s="55">
        <v>15272</v>
      </c>
      <c r="E69" s="24" t="s">
        <v>16</v>
      </c>
      <c r="F69" s="29">
        <v>251.74</v>
      </c>
      <c r="G69" s="28">
        <f t="shared" si="1"/>
        <v>3.0322657686060614E-7</v>
      </c>
    </row>
    <row r="70" spans="1:9" x14ac:dyDescent="0.25">
      <c r="A70" s="24">
        <v>2528</v>
      </c>
      <c r="B70" s="23" t="s">
        <v>79</v>
      </c>
      <c r="C70" s="71">
        <v>37035</v>
      </c>
      <c r="D70" s="55">
        <v>15232</v>
      </c>
      <c r="E70" s="24" t="s">
        <v>16</v>
      </c>
      <c r="F70" s="29">
        <v>2359.04</v>
      </c>
      <c r="G70" s="28">
        <f t="shared" si="1"/>
        <v>2.8415175334759844E-6</v>
      </c>
    </row>
    <row r="71" spans="1:9" x14ac:dyDescent="0.25">
      <c r="A71" s="24">
        <v>1010</v>
      </c>
      <c r="B71" s="23" t="s">
        <v>63</v>
      </c>
      <c r="C71" s="71">
        <v>37035</v>
      </c>
      <c r="D71" s="55">
        <v>15274</v>
      </c>
      <c r="E71" s="24" t="s">
        <v>16</v>
      </c>
      <c r="F71" s="29">
        <v>416053783.75</v>
      </c>
      <c r="G71" s="28">
        <f t="shared" si="1"/>
        <v>0.50114628043384202</v>
      </c>
    </row>
    <row r="72" spans="1:9" s="21" customFormat="1" x14ac:dyDescent="0.25">
      <c r="A72" s="24">
        <v>1010</v>
      </c>
      <c r="B72" s="23" t="s">
        <v>63</v>
      </c>
      <c r="C72" s="71">
        <v>37054</v>
      </c>
      <c r="D72" s="55">
        <v>15475</v>
      </c>
      <c r="E72" s="24" t="s">
        <v>16</v>
      </c>
      <c r="F72" s="29">
        <v>88939559.700000003</v>
      </c>
      <c r="G72" s="28">
        <f t="shared" si="1"/>
        <v>0.1071297300203405</v>
      </c>
    </row>
    <row r="73" spans="1:9" x14ac:dyDescent="0.25">
      <c r="A73" s="24">
        <v>2465</v>
      </c>
      <c r="B73" s="23" t="s">
        <v>25</v>
      </c>
      <c r="C73" s="71">
        <v>37054</v>
      </c>
      <c r="D73" s="55">
        <v>15436</v>
      </c>
      <c r="E73" s="24" t="s">
        <v>16</v>
      </c>
      <c r="F73" s="56">
        <v>53494.83</v>
      </c>
      <c r="G73" s="57">
        <f t="shared" si="1"/>
        <v>6.443574394470509E-5</v>
      </c>
    </row>
    <row r="74" spans="1:9" x14ac:dyDescent="0.25">
      <c r="A74" s="7"/>
      <c r="B74" s="2"/>
      <c r="C74" s="9"/>
      <c r="D74" s="7"/>
      <c r="E74" s="13"/>
      <c r="F74" s="6"/>
      <c r="G74" s="21"/>
    </row>
    <row r="75" spans="1:9" ht="13.8" thickBot="1" x14ac:dyDescent="0.3">
      <c r="B75" s="1" t="s">
        <v>18</v>
      </c>
      <c r="F75" s="30">
        <f>SUM(F20:F74)</f>
        <v>830204273.6700002</v>
      </c>
      <c r="G75" s="20">
        <f>+F75/F75</f>
        <v>1</v>
      </c>
    </row>
    <row r="76" spans="1:9" ht="13.8" thickTop="1" x14ac:dyDescent="0.25"/>
    <row r="79" spans="1:9" x14ac:dyDescent="0.25">
      <c r="B79" s="85" t="s">
        <v>191</v>
      </c>
    </row>
    <row r="81" spans="2:7" ht="15.6" x14ac:dyDescent="0.3">
      <c r="B81" s="10" t="str">
        <f>+B1</f>
        <v>Certification for Market Settlement August 24, 2001</v>
      </c>
    </row>
    <row r="82" spans="2:7" ht="15.6" x14ac:dyDescent="0.3">
      <c r="B82" s="10"/>
    </row>
    <row r="83" spans="2:7" ht="15.6" x14ac:dyDescent="0.3">
      <c r="B83" s="10" t="str">
        <f>+B54</f>
        <v>For the Trade Month of March 2001</v>
      </c>
    </row>
    <row r="84" spans="2:7" ht="15.6" x14ac:dyDescent="0.3">
      <c r="B84" s="10"/>
    </row>
    <row r="85" spans="2:7" ht="15.6" x14ac:dyDescent="0.3">
      <c r="B85" s="10"/>
    </row>
    <row r="86" spans="2:7" ht="15.6" x14ac:dyDescent="0.3">
      <c r="B86" s="10" t="s">
        <v>27</v>
      </c>
    </row>
    <row r="87" spans="2:7" ht="15.6" x14ac:dyDescent="0.3">
      <c r="B87" s="10"/>
    </row>
    <row r="88" spans="2:7" x14ac:dyDescent="0.25">
      <c r="B88" s="21" t="s">
        <v>26</v>
      </c>
      <c r="C88" s="32"/>
      <c r="D88" s="33"/>
      <c r="E88" s="33"/>
      <c r="F88" s="34">
        <v>832494154.59000003</v>
      </c>
      <c r="G88" s="62">
        <f>+F88/F90</f>
        <v>0.85391062514161531</v>
      </c>
    </row>
    <row r="89" spans="2:7" x14ac:dyDescent="0.25">
      <c r="B89" s="21" t="s">
        <v>28</v>
      </c>
      <c r="C89" s="32"/>
      <c r="D89" s="33"/>
      <c r="E89" s="33"/>
      <c r="F89" s="39">
        <v>142425386.25999999</v>
      </c>
      <c r="G89" s="62">
        <f>+F89/F90</f>
        <v>0.14608937485838475</v>
      </c>
    </row>
    <row r="90" spans="2:7" x14ac:dyDescent="0.25">
      <c r="B90" s="35" t="s">
        <v>29</v>
      </c>
      <c r="C90" s="32"/>
      <c r="D90" s="33"/>
      <c r="E90" s="33"/>
      <c r="F90" s="39">
        <f>SUM(F88:F89)</f>
        <v>974919540.85000002</v>
      </c>
      <c r="G90" s="63">
        <f>+F90/F90</f>
        <v>1</v>
      </c>
    </row>
    <row r="91" spans="2:7" ht="15.6" x14ac:dyDescent="0.3">
      <c r="B91" s="10"/>
    </row>
    <row r="92" spans="2:7" x14ac:dyDescent="0.25">
      <c r="B92" s="21" t="s">
        <v>106</v>
      </c>
      <c r="C92" s="32"/>
      <c r="D92" s="33"/>
      <c r="E92" s="33"/>
      <c r="F92" s="6">
        <v>25834711.77</v>
      </c>
    </row>
    <row r="93" spans="2:7" x14ac:dyDescent="0.25">
      <c r="B93" s="21" t="s">
        <v>110</v>
      </c>
      <c r="C93" s="32"/>
      <c r="D93" s="33"/>
      <c r="E93" s="33"/>
      <c r="F93" s="6">
        <v>42129119.369999997</v>
      </c>
    </row>
    <row r="94" spans="2:7" x14ac:dyDescent="0.25">
      <c r="B94" s="21" t="s">
        <v>117</v>
      </c>
      <c r="C94" s="32"/>
      <c r="D94" s="33"/>
      <c r="E94" s="33"/>
      <c r="F94" s="39">
        <f>43601.78+23970.6</f>
        <v>67572.38</v>
      </c>
    </row>
    <row r="95" spans="2:7" x14ac:dyDescent="0.25">
      <c r="B95" s="35" t="s">
        <v>33</v>
      </c>
      <c r="C95" s="32"/>
      <c r="D95" s="33"/>
      <c r="E95" s="33"/>
      <c r="F95" s="39">
        <f>SUM(F92:F94)</f>
        <v>68031403.519999996</v>
      </c>
      <c r="G95" s="63">
        <f>+F95/F90</f>
        <v>6.9781557010013026E-2</v>
      </c>
    </row>
    <row r="96" spans="2:7" ht="15.6" x14ac:dyDescent="0.3">
      <c r="B96" s="10"/>
    </row>
    <row r="97" spans="1:9" s="21" customFormat="1" x14ac:dyDescent="0.25">
      <c r="A97" s="32"/>
      <c r="B97" s="21" t="s">
        <v>144</v>
      </c>
      <c r="C97" s="32"/>
      <c r="D97" s="33"/>
      <c r="E97" s="33"/>
      <c r="F97" s="6">
        <v>1328993.47</v>
      </c>
    </row>
    <row r="98" spans="1:9" s="21" customFormat="1" x14ac:dyDescent="0.25">
      <c r="A98" s="32"/>
      <c r="B98" s="21" t="s">
        <v>164</v>
      </c>
      <c r="C98" s="32"/>
      <c r="D98" s="33"/>
      <c r="E98" s="33"/>
      <c r="F98" s="6">
        <v>2962776.9</v>
      </c>
    </row>
    <row r="99" spans="1:9" s="21" customFormat="1" x14ac:dyDescent="0.25">
      <c r="A99" s="32"/>
      <c r="B99" s="21" t="s">
        <v>173</v>
      </c>
      <c r="C99" s="32"/>
      <c r="D99" s="33"/>
      <c r="E99" s="33"/>
      <c r="F99" s="6">
        <v>888969.27</v>
      </c>
    </row>
    <row r="100" spans="1:9" s="21" customFormat="1" x14ac:dyDescent="0.25">
      <c r="A100" s="32"/>
      <c r="B100" s="21" t="s">
        <v>176</v>
      </c>
      <c r="C100" s="32"/>
      <c r="D100" s="33"/>
      <c r="E100" s="33"/>
      <c r="F100" s="6">
        <v>6.32</v>
      </c>
    </row>
    <row r="101" spans="1:9" s="21" customFormat="1" x14ac:dyDescent="0.25">
      <c r="A101" s="32"/>
      <c r="B101" s="21" t="s">
        <v>177</v>
      </c>
      <c r="C101" s="32"/>
      <c r="D101" s="33"/>
      <c r="E101" s="33"/>
      <c r="F101" s="6">
        <v>10.33</v>
      </c>
    </row>
    <row r="102" spans="1:9" s="21" customFormat="1" x14ac:dyDescent="0.25">
      <c r="A102" s="32"/>
      <c r="B102" s="21" t="s">
        <v>158</v>
      </c>
      <c r="C102" s="32"/>
      <c r="D102" s="33"/>
      <c r="E102" s="33"/>
      <c r="F102" s="6">
        <v>19892.77</v>
      </c>
    </row>
    <row r="103" spans="1:9" s="21" customFormat="1" x14ac:dyDescent="0.25">
      <c r="A103" s="32"/>
      <c r="B103" s="21" t="s">
        <v>152</v>
      </c>
      <c r="C103" s="32"/>
      <c r="D103" s="33"/>
      <c r="E103" s="33"/>
      <c r="F103" s="6">
        <v>83643512.489999995</v>
      </c>
    </row>
    <row r="104" spans="1:9" s="21" customFormat="1" x14ac:dyDescent="0.25">
      <c r="A104" s="32"/>
      <c r="B104" s="21" t="s">
        <v>150</v>
      </c>
      <c r="C104" s="32"/>
      <c r="D104" s="33"/>
      <c r="E104" s="33"/>
      <c r="F104" s="39">
        <v>205.19</v>
      </c>
    </row>
    <row r="105" spans="1:9" x14ac:dyDescent="0.25">
      <c r="B105" s="1" t="s">
        <v>54</v>
      </c>
      <c r="F105" s="40">
        <f>SUM(F97:F104)</f>
        <v>88844366.739999995</v>
      </c>
      <c r="G105" s="63">
        <f>+F105/F90</f>
        <v>9.1129947669875949E-2</v>
      </c>
    </row>
    <row r="106" spans="1:9" x14ac:dyDescent="0.25">
      <c r="B106" s="1"/>
      <c r="F106" s="36"/>
      <c r="G106" s="63"/>
    </row>
    <row r="107" spans="1:9" s="21" customFormat="1" x14ac:dyDescent="0.25">
      <c r="A107" s="32"/>
      <c r="B107" s="21" t="s">
        <v>116</v>
      </c>
      <c r="C107" s="32"/>
      <c r="D107" s="33"/>
      <c r="E107" s="33"/>
      <c r="F107" s="39">
        <v>12160503.08</v>
      </c>
      <c r="G107" s="63">
        <f>+F107/F90</f>
        <v>1.2473340178818921E-2</v>
      </c>
    </row>
    <row r="108" spans="1:9" ht="15.6" x14ac:dyDescent="0.3">
      <c r="B108" s="10"/>
    </row>
    <row r="109" spans="1:9" ht="16.2" thickBot="1" x14ac:dyDescent="0.35">
      <c r="B109" s="45" t="s">
        <v>35</v>
      </c>
      <c r="C109" s="49"/>
      <c r="D109" s="50"/>
      <c r="E109" s="50"/>
      <c r="F109" s="51">
        <f>+F90-F95-F105+F107</f>
        <v>830204273.67000008</v>
      </c>
      <c r="G109" s="64">
        <f>+F109/F90</f>
        <v>0.85156183549892994</v>
      </c>
      <c r="I109" s="75">
        <f>+F75-F109</f>
        <v>0</v>
      </c>
    </row>
    <row r="110" spans="1:9" ht="15.6" x14ac:dyDescent="0.3">
      <c r="B110" s="37"/>
      <c r="C110" s="32"/>
      <c r="D110" s="33"/>
      <c r="E110" s="33"/>
      <c r="F110" s="38"/>
    </row>
    <row r="111" spans="1:9" ht="15.6" x14ac:dyDescent="0.3">
      <c r="B111" s="10"/>
    </row>
    <row r="112" spans="1:9" ht="15.6" x14ac:dyDescent="0.3">
      <c r="B112" s="37" t="s">
        <v>34</v>
      </c>
      <c r="C112" s="32"/>
      <c r="D112" s="33"/>
      <c r="E112" s="33"/>
      <c r="F112" s="21"/>
    </row>
    <row r="113" spans="1:7" ht="15.6" x14ac:dyDescent="0.3">
      <c r="B113" s="37"/>
      <c r="C113" s="32"/>
      <c r="D113" s="33"/>
      <c r="E113" s="33"/>
      <c r="F113" s="21"/>
    </row>
    <row r="114" spans="1:7" s="21" customFormat="1" x14ac:dyDescent="0.25">
      <c r="A114" s="32"/>
      <c r="B114" s="21" t="s">
        <v>26</v>
      </c>
      <c r="C114" s="32"/>
      <c r="D114" s="33"/>
      <c r="E114" s="33"/>
      <c r="F114" s="34">
        <v>846325629.70000005</v>
      </c>
      <c r="G114" s="65">
        <f>+F114/F116</f>
        <v>0.85595425272921077</v>
      </c>
    </row>
    <row r="115" spans="1:7" x14ac:dyDescent="0.25">
      <c r="B115" s="21" t="s">
        <v>28</v>
      </c>
      <c r="C115" s="32"/>
      <c r="D115" s="33"/>
      <c r="E115" s="33"/>
      <c r="F115" s="39">
        <v>142425377.72999999</v>
      </c>
      <c r="G115" s="65">
        <f>+F115/F116</f>
        <v>0.1440457472707892</v>
      </c>
    </row>
    <row r="116" spans="1:7" x14ac:dyDescent="0.25">
      <c r="B116" s="35" t="s">
        <v>29</v>
      </c>
      <c r="C116" s="32"/>
      <c r="D116" s="33"/>
      <c r="E116" s="33"/>
      <c r="F116" s="39">
        <f>SUM(F114:F115)</f>
        <v>988751007.43000007</v>
      </c>
      <c r="G116" s="63">
        <f>+F116/F116</f>
        <v>1</v>
      </c>
    </row>
    <row r="117" spans="1:7" ht="15.6" x14ac:dyDescent="0.3">
      <c r="B117" s="10"/>
    </row>
    <row r="118" spans="1:7" x14ac:dyDescent="0.25">
      <c r="B118" s="21" t="s">
        <v>109</v>
      </c>
      <c r="C118" s="32"/>
      <c r="D118" s="33"/>
      <c r="E118" s="33"/>
      <c r="F118" s="6">
        <v>12908276.5</v>
      </c>
    </row>
    <row r="119" spans="1:7" x14ac:dyDescent="0.25">
      <c r="B119" s="21" t="s">
        <v>104</v>
      </c>
      <c r="C119" s="32"/>
      <c r="D119" s="33"/>
      <c r="E119" s="33"/>
      <c r="F119" s="39">
        <v>42048639.130000003</v>
      </c>
    </row>
    <row r="120" spans="1:7" x14ac:dyDescent="0.25">
      <c r="B120" s="35" t="s">
        <v>42</v>
      </c>
      <c r="C120" s="32"/>
      <c r="D120" s="33"/>
      <c r="E120" s="33"/>
      <c r="F120" s="39">
        <f>SUM(F118:F119)</f>
        <v>54956915.630000003</v>
      </c>
      <c r="G120" s="63">
        <f>+F120/F116</f>
        <v>5.5582158922746532E-2</v>
      </c>
    </row>
    <row r="121" spans="1:7" ht="15.6" x14ac:dyDescent="0.3">
      <c r="B121" s="10"/>
    </row>
    <row r="122" spans="1:7" x14ac:dyDescent="0.25">
      <c r="B122" s="21" t="s">
        <v>165</v>
      </c>
      <c r="C122" s="32"/>
      <c r="D122" s="33"/>
      <c r="E122" s="33"/>
      <c r="F122" s="36">
        <v>6303.02</v>
      </c>
    </row>
    <row r="123" spans="1:7" x14ac:dyDescent="0.25">
      <c r="B123" s="21" t="s">
        <v>148</v>
      </c>
      <c r="C123" s="32"/>
      <c r="D123" s="33"/>
      <c r="E123" s="33"/>
      <c r="F123" s="36">
        <v>7944.92</v>
      </c>
    </row>
    <row r="124" spans="1:7" x14ac:dyDescent="0.25">
      <c r="B124" s="21" t="s">
        <v>175</v>
      </c>
      <c r="C124" s="32"/>
      <c r="D124" s="33"/>
      <c r="E124" s="33"/>
      <c r="F124" s="36">
        <v>66132.36</v>
      </c>
    </row>
    <row r="125" spans="1:7" x14ac:dyDescent="0.25">
      <c r="B125" s="21" t="s">
        <v>160</v>
      </c>
      <c r="C125" s="32"/>
      <c r="D125" s="33"/>
      <c r="E125" s="33"/>
      <c r="F125" s="36">
        <v>5473.52</v>
      </c>
    </row>
    <row r="126" spans="1:7" x14ac:dyDescent="0.25">
      <c r="B126" s="21" t="s">
        <v>177</v>
      </c>
      <c r="C126" s="32"/>
      <c r="D126" s="33"/>
      <c r="E126" s="33"/>
      <c r="F126" s="36">
        <v>646409.68999999994</v>
      </c>
    </row>
    <row r="127" spans="1:7" x14ac:dyDescent="0.25">
      <c r="B127" s="21" t="s">
        <v>159</v>
      </c>
      <c r="C127" s="32"/>
      <c r="D127" s="33"/>
      <c r="E127" s="33"/>
      <c r="F127" s="36">
        <v>83643512.489999995</v>
      </c>
    </row>
    <row r="128" spans="1:7" x14ac:dyDescent="0.25">
      <c r="B128" s="21" t="s">
        <v>178</v>
      </c>
      <c r="C128" s="32"/>
      <c r="D128" s="33"/>
      <c r="E128" s="33"/>
      <c r="F128" s="36">
        <v>30294.94</v>
      </c>
    </row>
    <row r="129" spans="2:9" x14ac:dyDescent="0.25">
      <c r="B129" s="21" t="s">
        <v>169</v>
      </c>
      <c r="C129" s="32"/>
      <c r="D129" s="33"/>
      <c r="E129" s="33"/>
      <c r="F129" s="40">
        <v>171309.95</v>
      </c>
    </row>
    <row r="130" spans="2:9" x14ac:dyDescent="0.25">
      <c r="B130" s="1" t="s">
        <v>54</v>
      </c>
      <c r="C130" s="32"/>
      <c r="D130" s="33"/>
      <c r="E130" s="33"/>
      <c r="F130" s="40">
        <f>SUM(F122:F129)</f>
        <v>84577380.890000001</v>
      </c>
      <c r="G130" s="63">
        <f>+F130/F116</f>
        <v>8.5539615387939583E-2</v>
      </c>
    </row>
    <row r="131" spans="2:9" ht="15.6" x14ac:dyDescent="0.3">
      <c r="B131" s="10"/>
    </row>
    <row r="132" spans="2:9" ht="16.2" thickBot="1" x14ac:dyDescent="0.35">
      <c r="B132" s="45" t="s">
        <v>36</v>
      </c>
      <c r="C132" s="49"/>
      <c r="D132" s="50"/>
      <c r="E132" s="50"/>
      <c r="F132" s="51">
        <f>+F116-F120-F130</f>
        <v>849216710.91000009</v>
      </c>
      <c r="G132" s="64">
        <f>+F132/F116</f>
        <v>0.85887822568931393</v>
      </c>
      <c r="I132" s="75">
        <f>+F132-F10</f>
        <v>0</v>
      </c>
    </row>
    <row r="133" spans="2:9" ht="15.6" x14ac:dyDescent="0.3">
      <c r="B133" s="10"/>
    </row>
    <row r="134" spans="2:9" ht="15.6" x14ac:dyDescent="0.3">
      <c r="B134" s="37" t="s">
        <v>102</v>
      </c>
      <c r="C134" s="32"/>
      <c r="D134" s="33"/>
      <c r="E134" s="33"/>
    </row>
    <row r="135" spans="2:9" ht="15.6" x14ac:dyDescent="0.3">
      <c r="B135" s="37"/>
      <c r="C135" s="32"/>
      <c r="D135" s="33"/>
      <c r="E135" s="33"/>
    </row>
    <row r="136" spans="2:9" x14ac:dyDescent="0.25">
      <c r="B136" s="73" t="s">
        <v>103</v>
      </c>
      <c r="C136" s="32"/>
      <c r="D136" s="33"/>
      <c r="E136" s="33"/>
      <c r="F136" s="77">
        <f>+F137</f>
        <v>19012437.24000001</v>
      </c>
    </row>
    <row r="137" spans="2:9" ht="16.2" thickBot="1" x14ac:dyDescent="0.35">
      <c r="B137" s="37" t="s">
        <v>101</v>
      </c>
      <c r="F137" s="74">
        <f>+F132-F109</f>
        <v>19012437.24000001</v>
      </c>
    </row>
    <row r="138" spans="2:9" ht="13.8" thickTop="1" x14ac:dyDescent="0.25"/>
  </sheetData>
  <phoneticPr fontId="0" type="noConversion"/>
  <pageMargins left="0.5" right="0.25" top="0.5" bottom="0.5" header="0.5" footer="0"/>
  <pageSetup scale="86" orientation="portrait" verticalDpi="0" r:id="rId1"/>
  <headerFooter alignWithMargins="0">
    <oddFooter>&amp;LCertification August 24, 2001&amp;CPage &amp;P of &amp;N&amp;RTrade Month March 2001</oddFooter>
  </headerFooter>
  <rowBreaks count="2" manualBreakCount="2">
    <brk id="51" max="6" man="1"/>
    <brk id="80"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29"/>
  <sheetViews>
    <sheetView zoomScaleNormal="100" workbookViewId="0">
      <selection activeCell="A17" sqref="A17"/>
    </sheetView>
  </sheetViews>
  <sheetFormatPr defaultRowHeight="13.2" x14ac:dyDescent="0.25"/>
  <cols>
    <col min="1" max="1" width="6.33203125" style="8" customWidth="1"/>
    <col min="2" max="2" width="50" customWidth="1"/>
    <col min="3" max="3" width="8.44140625" style="8" customWidth="1"/>
    <col min="4" max="4" width="6" style="12" customWidth="1"/>
    <col min="5" max="5" width="5" style="12" customWidth="1"/>
    <col min="6" max="6" width="17.44140625" customWidth="1"/>
    <col min="7" max="7" width="9.33203125" customWidth="1"/>
    <col min="8" max="8" width="11.109375" customWidth="1"/>
    <col min="9" max="9" width="16.5546875" bestFit="1" customWidth="1"/>
  </cols>
  <sheetData>
    <row r="1" spans="1:7" ht="15.6" x14ac:dyDescent="0.3">
      <c r="B1" s="54" t="s">
        <v>126</v>
      </c>
    </row>
    <row r="2" spans="1:7" ht="15.6" x14ac:dyDescent="0.3">
      <c r="B2" s="10"/>
    </row>
    <row r="3" spans="1:7" ht="15.6" x14ac:dyDescent="0.3">
      <c r="B3" s="10" t="s">
        <v>120</v>
      </c>
    </row>
    <row r="4" spans="1:7" ht="15.6" x14ac:dyDescent="0.3">
      <c r="B4" s="10"/>
    </row>
    <row r="5" spans="1:7" ht="15.6" x14ac:dyDescent="0.3">
      <c r="B5" s="10"/>
    </row>
    <row r="6" spans="1:7" ht="15.6" x14ac:dyDescent="0.3">
      <c r="B6" s="10"/>
    </row>
    <row r="7" spans="1:7" ht="16.2" thickBot="1" x14ac:dyDescent="0.35">
      <c r="A7" s="10" t="s">
        <v>57</v>
      </c>
    </row>
    <row r="8" spans="1:7" s="5" customFormat="1" ht="31.8"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107</v>
      </c>
      <c r="C10" s="78"/>
      <c r="D10" s="14"/>
      <c r="E10" s="14"/>
      <c r="F10" s="30">
        <v>709358606.51999998</v>
      </c>
      <c r="G10" s="20">
        <f>+F10/F$10</f>
        <v>1</v>
      </c>
    </row>
    <row r="11" spans="1:7" s="1" customFormat="1" ht="13.8" thickTop="1" x14ac:dyDescent="0.25">
      <c r="A11" s="11"/>
      <c r="C11" s="78"/>
      <c r="D11" s="14"/>
      <c r="E11" s="14"/>
      <c r="F11" s="66"/>
      <c r="G11" s="59"/>
    </row>
    <row r="12" spans="1:7" s="1" customFormat="1" x14ac:dyDescent="0.25">
      <c r="A12" s="11"/>
      <c r="C12" s="78"/>
      <c r="D12" s="14"/>
      <c r="E12" s="14"/>
      <c r="F12" s="66"/>
      <c r="G12" s="59"/>
    </row>
    <row r="13" spans="1:7" s="1" customFormat="1" x14ac:dyDescent="0.25">
      <c r="A13" s="11"/>
      <c r="B13" s="11"/>
      <c r="C13" s="79"/>
      <c r="D13" s="14"/>
      <c r="E13" s="14"/>
      <c r="F13" s="66"/>
      <c r="G13" s="59"/>
    </row>
    <row r="14" spans="1:7" ht="15.6" x14ac:dyDescent="0.3">
      <c r="B14" s="10"/>
      <c r="C14" s="80"/>
    </row>
    <row r="15" spans="1:7" ht="15.6" x14ac:dyDescent="0.3">
      <c r="B15" s="10"/>
      <c r="C15" s="80"/>
    </row>
    <row r="16" spans="1:7" ht="15.6" x14ac:dyDescent="0.3">
      <c r="A16" s="10" t="s">
        <v>49</v>
      </c>
      <c r="C16" s="80"/>
    </row>
    <row r="17" spans="1:9" ht="16.2" thickBot="1" x14ac:dyDescent="0.35">
      <c r="A17" s="10" t="s">
        <v>179</v>
      </c>
      <c r="C17" s="80"/>
    </row>
    <row r="18" spans="1:9" s="5" customFormat="1" ht="31.8" thickTop="1" thickBot="1" x14ac:dyDescent="0.3">
      <c r="A18" s="15" t="s">
        <v>11</v>
      </c>
      <c r="B18" s="15" t="s">
        <v>13</v>
      </c>
      <c r="C18" s="81" t="s">
        <v>12</v>
      </c>
      <c r="D18" s="15" t="s">
        <v>17</v>
      </c>
      <c r="E18" s="15" t="s">
        <v>15</v>
      </c>
      <c r="F18" s="16" t="s">
        <v>10</v>
      </c>
      <c r="G18" s="16" t="s">
        <v>56</v>
      </c>
    </row>
    <row r="19" spans="1:9" ht="13.8" thickTop="1" x14ac:dyDescent="0.25">
      <c r="C19" s="80"/>
    </row>
    <row r="20" spans="1:9" x14ac:dyDescent="0.25">
      <c r="A20" s="24">
        <v>1007</v>
      </c>
      <c r="B20" s="23" t="s">
        <v>59</v>
      </c>
      <c r="C20" s="71">
        <v>37071</v>
      </c>
      <c r="D20" s="31">
        <v>15591</v>
      </c>
      <c r="E20" s="24" t="s">
        <v>80</v>
      </c>
      <c r="F20" s="29">
        <v>20921.759999999998</v>
      </c>
      <c r="G20" s="28">
        <f t="shared" ref="G20:G48" si="0">+F20/$F$70</f>
        <v>2.9156033759143223E-5</v>
      </c>
    </row>
    <row r="21" spans="1:9" x14ac:dyDescent="0.25">
      <c r="A21" s="24">
        <v>1007</v>
      </c>
      <c r="B21" s="23" t="s">
        <v>59</v>
      </c>
      <c r="C21" s="71">
        <v>37084</v>
      </c>
      <c r="D21" s="31">
        <v>15731</v>
      </c>
      <c r="E21" s="24" t="s">
        <v>80</v>
      </c>
      <c r="F21" s="29">
        <v>16.170000000000002</v>
      </c>
      <c r="G21" s="28">
        <f t="shared" si="0"/>
        <v>2.25341016188574E-8</v>
      </c>
    </row>
    <row r="22" spans="1:9" x14ac:dyDescent="0.25">
      <c r="A22" s="24">
        <v>2606</v>
      </c>
      <c r="B22" s="23" t="s">
        <v>0</v>
      </c>
      <c r="C22" s="71">
        <v>37071</v>
      </c>
      <c r="D22" s="31">
        <v>15553</v>
      </c>
      <c r="E22" s="24" t="s">
        <v>80</v>
      </c>
      <c r="F22" s="29">
        <v>220578.62</v>
      </c>
      <c r="G22" s="28">
        <f t="shared" si="0"/>
        <v>3.0739276673019981E-4</v>
      </c>
    </row>
    <row r="23" spans="1:9" x14ac:dyDescent="0.25">
      <c r="A23" s="24">
        <v>2746</v>
      </c>
      <c r="B23" s="23" t="s">
        <v>60</v>
      </c>
      <c r="C23" s="71">
        <v>37071</v>
      </c>
      <c r="D23" s="31">
        <v>15551</v>
      </c>
      <c r="E23" s="24" t="s">
        <v>80</v>
      </c>
      <c r="F23" s="29">
        <v>221.84</v>
      </c>
      <c r="G23" s="28">
        <f t="shared" si="0"/>
        <v>3.0915059388542521E-7</v>
      </c>
    </row>
    <row r="24" spans="1:9" x14ac:dyDescent="0.25">
      <c r="A24" s="24">
        <v>1544</v>
      </c>
      <c r="B24" s="23" t="s">
        <v>3</v>
      </c>
      <c r="C24" s="71">
        <v>37071</v>
      </c>
      <c r="D24" s="31">
        <v>15567</v>
      </c>
      <c r="E24" s="24" t="s">
        <v>80</v>
      </c>
      <c r="F24" s="29">
        <v>140656.32999999999</v>
      </c>
      <c r="G24" s="28">
        <f t="shared" si="0"/>
        <v>1.9601509174740507E-4</v>
      </c>
    </row>
    <row r="25" spans="1:9" x14ac:dyDescent="0.25">
      <c r="A25" s="24">
        <v>3106</v>
      </c>
      <c r="B25" s="23" t="s">
        <v>192</v>
      </c>
      <c r="C25" s="71">
        <v>37071</v>
      </c>
      <c r="D25" s="31">
        <v>15545</v>
      </c>
      <c r="E25" s="24" t="s">
        <v>80</v>
      </c>
      <c r="F25" s="29">
        <v>1288148.8400000001</v>
      </c>
      <c r="G25" s="28">
        <f t="shared" si="0"/>
        <v>1.7951315312784962E-3</v>
      </c>
    </row>
    <row r="26" spans="1:9" x14ac:dyDescent="0.25">
      <c r="A26" s="24">
        <v>3186</v>
      </c>
      <c r="B26" s="23" t="s">
        <v>38</v>
      </c>
      <c r="C26" s="71">
        <v>37071</v>
      </c>
      <c r="D26" s="31">
        <v>15543</v>
      </c>
      <c r="E26" s="24" t="s">
        <v>80</v>
      </c>
      <c r="F26" s="29">
        <v>90</v>
      </c>
      <c r="G26" s="28">
        <f t="shared" si="0"/>
        <v>1.2542171587490202E-7</v>
      </c>
    </row>
    <row r="27" spans="1:9" x14ac:dyDescent="0.25">
      <c r="A27" s="24">
        <v>1011</v>
      </c>
      <c r="B27" s="23" t="s">
        <v>192</v>
      </c>
      <c r="C27" s="71">
        <v>37071</v>
      </c>
      <c r="D27" s="31">
        <v>15588</v>
      </c>
      <c r="E27" s="24" t="s">
        <v>80</v>
      </c>
      <c r="F27" s="29">
        <v>171090.87</v>
      </c>
      <c r="G27" s="28">
        <f t="shared" si="0"/>
        <v>2.3842789428810888E-4</v>
      </c>
    </row>
    <row r="28" spans="1:9" x14ac:dyDescent="0.25">
      <c r="A28" s="24">
        <v>1012</v>
      </c>
      <c r="B28" s="23" t="s">
        <v>91</v>
      </c>
      <c r="C28" s="71">
        <v>37071</v>
      </c>
      <c r="D28" s="31">
        <v>15587</v>
      </c>
      <c r="E28" s="24" t="s">
        <v>80</v>
      </c>
      <c r="F28" s="29">
        <v>22.43</v>
      </c>
      <c r="G28" s="28">
        <f t="shared" si="0"/>
        <v>3.1257878745267248E-8</v>
      </c>
      <c r="I28" s="25">
        <f>SUM(F20:F30)-5118340.29</f>
        <v>0</v>
      </c>
    </row>
    <row r="29" spans="1:9" x14ac:dyDescent="0.25">
      <c r="A29" s="24">
        <v>2528</v>
      </c>
      <c r="B29" s="23" t="s">
        <v>79</v>
      </c>
      <c r="C29" s="71">
        <v>37071</v>
      </c>
      <c r="D29" s="31">
        <v>15556</v>
      </c>
      <c r="E29" s="24" t="s">
        <v>80</v>
      </c>
      <c r="F29" s="29">
        <v>157189.18</v>
      </c>
      <c r="G29" s="28">
        <f t="shared" si="0"/>
        <v>2.1905485191743148E-4</v>
      </c>
    </row>
    <row r="30" spans="1:9" x14ac:dyDescent="0.25">
      <c r="A30" s="24">
        <v>1010</v>
      </c>
      <c r="B30" s="23" t="s">
        <v>63</v>
      </c>
      <c r="C30" s="71">
        <v>37071</v>
      </c>
      <c r="D30" s="31">
        <v>15589</v>
      </c>
      <c r="E30" s="24" t="s">
        <v>80</v>
      </c>
      <c r="F30" s="29">
        <v>3119404.25</v>
      </c>
      <c r="G30" s="28">
        <f t="shared" si="0"/>
        <v>4.3471225949162431E-3</v>
      </c>
    </row>
    <row r="31" spans="1:9" x14ac:dyDescent="0.25">
      <c r="A31" s="24">
        <v>2606</v>
      </c>
      <c r="B31" s="23" t="s">
        <v>0</v>
      </c>
      <c r="C31" s="71">
        <v>37071</v>
      </c>
      <c r="D31" s="31">
        <v>15617</v>
      </c>
      <c r="E31" s="24" t="s">
        <v>16</v>
      </c>
      <c r="F31" s="29">
        <v>3410801.81</v>
      </c>
      <c r="G31" s="28">
        <f t="shared" si="0"/>
        <v>4.7532068391046844E-3</v>
      </c>
    </row>
    <row r="32" spans="1:9" x14ac:dyDescent="0.25">
      <c r="A32" s="24">
        <v>2606</v>
      </c>
      <c r="B32" s="23" t="s">
        <v>0</v>
      </c>
      <c r="C32" s="71">
        <v>37084</v>
      </c>
      <c r="D32" s="31">
        <v>15758</v>
      </c>
      <c r="E32" s="24" t="s">
        <v>16</v>
      </c>
      <c r="F32" s="29">
        <v>361608.15</v>
      </c>
      <c r="G32" s="28">
        <f t="shared" si="0"/>
        <v>5.0392794052609954E-4</v>
      </c>
    </row>
    <row r="33" spans="1:9" x14ac:dyDescent="0.25">
      <c r="A33" s="24">
        <v>1685</v>
      </c>
      <c r="B33" s="23" t="s">
        <v>22</v>
      </c>
      <c r="C33" s="71">
        <v>37071</v>
      </c>
      <c r="D33" s="31">
        <v>15629</v>
      </c>
      <c r="E33" s="24" t="s">
        <v>16</v>
      </c>
      <c r="F33" s="29">
        <v>10577</v>
      </c>
      <c r="G33" s="28">
        <f t="shared" si="0"/>
        <v>1.4739838764542653E-5</v>
      </c>
    </row>
    <row r="34" spans="1:9" x14ac:dyDescent="0.25">
      <c r="A34" s="24">
        <v>1504</v>
      </c>
      <c r="B34" s="23" t="s">
        <v>2</v>
      </c>
      <c r="C34" s="71">
        <v>37071</v>
      </c>
      <c r="D34" s="31">
        <v>15635</v>
      </c>
      <c r="E34" s="24" t="s">
        <v>16</v>
      </c>
      <c r="F34" s="29">
        <v>166136.63</v>
      </c>
      <c r="G34" s="28">
        <f t="shared" si="0"/>
        <v>2.3152379115859694E-4</v>
      </c>
    </row>
    <row r="35" spans="1:9" x14ac:dyDescent="0.25">
      <c r="A35" s="24">
        <v>1504</v>
      </c>
      <c r="B35" s="23" t="s">
        <v>2</v>
      </c>
      <c r="C35" s="71">
        <v>37084</v>
      </c>
      <c r="D35" s="31">
        <v>15777</v>
      </c>
      <c r="E35" s="24" t="s">
        <v>16</v>
      </c>
      <c r="F35" s="29">
        <v>1699.09</v>
      </c>
      <c r="G35" s="28">
        <f t="shared" si="0"/>
        <v>2.3678087025098588E-6</v>
      </c>
    </row>
    <row r="36" spans="1:9" x14ac:dyDescent="0.25">
      <c r="A36" s="24">
        <v>1564</v>
      </c>
      <c r="B36" s="23" t="s">
        <v>23</v>
      </c>
      <c r="C36" s="71">
        <v>37071</v>
      </c>
      <c r="D36" s="31">
        <v>15631</v>
      </c>
      <c r="E36" s="24" t="s">
        <v>16</v>
      </c>
      <c r="F36" s="29">
        <v>3720429.56</v>
      </c>
      <c r="G36" s="28">
        <f t="shared" si="0"/>
        <v>5.1846962134100751E-3</v>
      </c>
    </row>
    <row r="37" spans="1:9" x14ac:dyDescent="0.25">
      <c r="A37" s="55">
        <v>1017</v>
      </c>
      <c r="B37" s="83" t="s">
        <v>111</v>
      </c>
      <c r="C37" s="71">
        <v>37071</v>
      </c>
      <c r="D37" s="31">
        <v>15656</v>
      </c>
      <c r="E37" s="24" t="s">
        <v>16</v>
      </c>
      <c r="F37" s="84">
        <v>6105737.21</v>
      </c>
      <c r="G37" s="82">
        <f t="shared" si="0"/>
        <v>8.5088004173270778E-3</v>
      </c>
    </row>
    <row r="38" spans="1:9" x14ac:dyDescent="0.25">
      <c r="A38" s="24">
        <v>1544</v>
      </c>
      <c r="B38" s="23" t="s">
        <v>3</v>
      </c>
      <c r="C38" s="71">
        <v>37071</v>
      </c>
      <c r="D38" s="31">
        <v>15632</v>
      </c>
      <c r="E38" s="24" t="s">
        <v>16</v>
      </c>
      <c r="F38" s="29">
        <v>4262853.17</v>
      </c>
      <c r="G38" s="28">
        <f t="shared" si="0"/>
        <v>5.9406039900462828E-3</v>
      </c>
    </row>
    <row r="39" spans="1:9" x14ac:dyDescent="0.25">
      <c r="A39" s="24">
        <v>1544</v>
      </c>
      <c r="B39" s="23" t="s">
        <v>3</v>
      </c>
      <c r="C39" s="71">
        <v>37084</v>
      </c>
      <c r="D39" s="31">
        <v>15774</v>
      </c>
      <c r="E39" s="24" t="s">
        <v>16</v>
      </c>
      <c r="F39" s="29">
        <v>91010.61</v>
      </c>
      <c r="G39" s="28">
        <f t="shared" si="0"/>
        <v>1.2683007632246129E-4</v>
      </c>
    </row>
    <row r="40" spans="1:9" x14ac:dyDescent="0.25">
      <c r="A40" s="24">
        <v>2531</v>
      </c>
      <c r="B40" s="23" t="s">
        <v>4</v>
      </c>
      <c r="C40" s="71">
        <v>37084</v>
      </c>
      <c r="D40" s="31">
        <v>15760</v>
      </c>
      <c r="E40" s="24" t="s">
        <v>16</v>
      </c>
      <c r="F40" s="29">
        <v>12.68</v>
      </c>
      <c r="G40" s="28">
        <f t="shared" si="0"/>
        <v>1.7670526192152863E-8</v>
      </c>
    </row>
    <row r="41" spans="1:9" x14ac:dyDescent="0.25">
      <c r="A41" s="24">
        <v>1005</v>
      </c>
      <c r="B41" s="23" t="s">
        <v>122</v>
      </c>
      <c r="C41" s="71">
        <v>37084</v>
      </c>
      <c r="D41" s="31">
        <v>15807</v>
      </c>
      <c r="E41" s="24" t="s">
        <v>16</v>
      </c>
      <c r="F41" s="29">
        <v>204.79</v>
      </c>
      <c r="G41" s="28">
        <f t="shared" si="0"/>
        <v>2.8539014660023538E-7</v>
      </c>
    </row>
    <row r="42" spans="1:9" x14ac:dyDescent="0.25">
      <c r="A42" s="24">
        <v>2769</v>
      </c>
      <c r="B42" s="23" t="s">
        <v>196</v>
      </c>
      <c r="C42" s="71">
        <v>37071</v>
      </c>
      <c r="D42" s="31">
        <v>15610</v>
      </c>
      <c r="E42" s="24" t="s">
        <v>16</v>
      </c>
      <c r="F42" s="29">
        <v>486576.92</v>
      </c>
      <c r="G42" s="28">
        <f t="shared" si="0"/>
        <v>6.7808124679472146E-4</v>
      </c>
    </row>
    <row r="43" spans="1:9" x14ac:dyDescent="0.25">
      <c r="A43" s="24">
        <v>3106</v>
      </c>
      <c r="B43" s="23" t="s">
        <v>192</v>
      </c>
      <c r="C43" s="71">
        <v>37071</v>
      </c>
      <c r="D43" s="31">
        <v>15603</v>
      </c>
      <c r="E43" s="24" t="s">
        <v>16</v>
      </c>
      <c r="F43" s="29">
        <v>50758977.649999999</v>
      </c>
      <c r="G43" s="28">
        <f t="shared" si="0"/>
        <v>7.0736423032431134E-2</v>
      </c>
    </row>
    <row r="44" spans="1:9" x14ac:dyDescent="0.25">
      <c r="A44" s="24">
        <v>3106</v>
      </c>
      <c r="B44" s="23" t="s">
        <v>192</v>
      </c>
      <c r="C44" s="71">
        <v>37084</v>
      </c>
      <c r="D44" s="31">
        <v>15743</v>
      </c>
      <c r="E44" s="24" t="s">
        <v>16</v>
      </c>
      <c r="F44" s="29">
        <v>256089.02</v>
      </c>
      <c r="G44" s="28">
        <f t="shared" si="0"/>
        <v>3.5687915894580112E-4</v>
      </c>
    </row>
    <row r="45" spans="1:9" x14ac:dyDescent="0.25">
      <c r="A45" s="24">
        <v>3187</v>
      </c>
      <c r="B45" s="23" t="s">
        <v>38</v>
      </c>
      <c r="C45" s="71">
        <v>37071</v>
      </c>
      <c r="D45" s="31">
        <v>15599</v>
      </c>
      <c r="E45" s="24" t="s">
        <v>16</v>
      </c>
      <c r="F45" s="29">
        <v>188545375.16999999</v>
      </c>
      <c r="G45" s="28">
        <f t="shared" si="0"/>
        <v>0.26275204971220606</v>
      </c>
      <c r="I45" s="25">
        <f>SUM(F31:F68)-712460743.78</f>
        <v>0</v>
      </c>
    </row>
    <row r="46" spans="1:9" x14ac:dyDescent="0.25">
      <c r="A46" s="24">
        <v>3187</v>
      </c>
      <c r="B46" s="23" t="s">
        <v>38</v>
      </c>
      <c r="C46" s="71">
        <v>37084</v>
      </c>
      <c r="D46" s="31">
        <v>15739</v>
      </c>
      <c r="E46" s="24" t="s">
        <v>16</v>
      </c>
      <c r="F46" s="29">
        <v>8324121.6699999999</v>
      </c>
      <c r="G46" s="28">
        <f t="shared" si="0"/>
        <v>1.1600284700031722E-2</v>
      </c>
    </row>
    <row r="47" spans="1:9" x14ac:dyDescent="0.25">
      <c r="A47" s="24">
        <v>3186</v>
      </c>
      <c r="B47" s="23" t="s">
        <v>38</v>
      </c>
      <c r="C47" s="71">
        <v>37071</v>
      </c>
      <c r="D47" s="31">
        <v>15600</v>
      </c>
      <c r="E47" s="24" t="s">
        <v>16</v>
      </c>
      <c r="F47" s="29">
        <v>16951713.870000001</v>
      </c>
      <c r="G47" s="28">
        <f t="shared" si="0"/>
        <v>2.3623478228841956E-2</v>
      </c>
    </row>
    <row r="48" spans="1:9" x14ac:dyDescent="0.25">
      <c r="A48" s="24">
        <v>1011</v>
      </c>
      <c r="B48" s="23" t="s">
        <v>192</v>
      </c>
      <c r="C48" s="71">
        <v>37071</v>
      </c>
      <c r="D48" s="31">
        <v>15660</v>
      </c>
      <c r="E48" s="24" t="s">
        <v>16</v>
      </c>
      <c r="F48" s="29">
        <v>1100362.1100000001</v>
      </c>
      <c r="G48" s="28">
        <f t="shared" si="0"/>
        <v>1.533436710221419E-3</v>
      </c>
    </row>
    <row r="49" spans="1:7" x14ac:dyDescent="0.25">
      <c r="A49" s="19"/>
      <c r="B49" s="18"/>
      <c r="C49" s="76"/>
      <c r="D49" s="32"/>
      <c r="E49" s="19"/>
      <c r="F49" s="6"/>
      <c r="G49" s="58"/>
    </row>
    <row r="50" spans="1:7" x14ac:dyDescent="0.25">
      <c r="C50" s="80"/>
    </row>
    <row r="51" spans="1:7" x14ac:dyDescent="0.25">
      <c r="C51" s="80"/>
    </row>
    <row r="52" spans="1:7" ht="15.6" x14ac:dyDescent="0.3">
      <c r="A52" s="19"/>
      <c r="B52" s="10" t="str">
        <f>+B1</f>
        <v>Certification for Market Settlement August 24, 2001</v>
      </c>
      <c r="C52" s="76"/>
      <c r="D52" s="32"/>
      <c r="E52" s="19"/>
      <c r="F52" s="6"/>
      <c r="G52" s="58"/>
    </row>
    <row r="53" spans="1:7" ht="15.6" x14ac:dyDescent="0.3">
      <c r="A53" s="19"/>
      <c r="B53" s="10"/>
      <c r="C53" s="76"/>
      <c r="D53" s="32"/>
      <c r="E53" s="19"/>
      <c r="F53" s="6"/>
      <c r="G53" s="58"/>
    </row>
    <row r="54" spans="1:7" ht="15.6" x14ac:dyDescent="0.3">
      <c r="A54" s="19"/>
      <c r="B54" s="10" t="str">
        <f>+B3</f>
        <v>For the Trade Month of April 2001</v>
      </c>
      <c r="C54" s="76"/>
      <c r="D54" s="32"/>
      <c r="E54" s="19"/>
      <c r="F54" s="6"/>
      <c r="G54" s="58"/>
    </row>
    <row r="55" spans="1:7" x14ac:dyDescent="0.25">
      <c r="A55" s="19"/>
      <c r="B55" s="18"/>
      <c r="C55" s="76"/>
      <c r="D55" s="32"/>
      <c r="E55" s="19"/>
      <c r="F55" s="6"/>
      <c r="G55" s="58"/>
    </row>
    <row r="56" spans="1:7" x14ac:dyDescent="0.25">
      <c r="A56" s="19"/>
      <c r="B56" s="18"/>
      <c r="C56" s="76"/>
      <c r="D56" s="32"/>
      <c r="E56" s="19"/>
      <c r="F56" s="6"/>
      <c r="G56" s="58"/>
    </row>
    <row r="57" spans="1:7" x14ac:dyDescent="0.25">
      <c r="A57" s="19"/>
      <c r="B57" s="18"/>
      <c r="C57" s="76"/>
      <c r="D57" s="32"/>
      <c r="E57" s="19"/>
      <c r="F57" s="6"/>
      <c r="G57" s="58"/>
    </row>
    <row r="58" spans="1:7" ht="15.6" x14ac:dyDescent="0.3">
      <c r="A58" s="10" t="s">
        <v>95</v>
      </c>
      <c r="C58" s="80"/>
    </row>
    <row r="59" spans="1:7" ht="16.2" thickBot="1" x14ac:dyDescent="0.35">
      <c r="A59" s="10" t="s">
        <v>179</v>
      </c>
      <c r="C59" s="80"/>
    </row>
    <row r="60" spans="1:7" s="5" customFormat="1" ht="31.8" thickTop="1" thickBot="1" x14ac:dyDescent="0.3">
      <c r="A60" s="15" t="s">
        <v>11</v>
      </c>
      <c r="B60" s="15" t="s">
        <v>13</v>
      </c>
      <c r="C60" s="81" t="s">
        <v>12</v>
      </c>
      <c r="D60" s="15" t="s">
        <v>17</v>
      </c>
      <c r="E60" s="15" t="s">
        <v>15</v>
      </c>
      <c r="F60" s="16" t="s">
        <v>10</v>
      </c>
      <c r="G60" s="16" t="s">
        <v>56</v>
      </c>
    </row>
    <row r="61" spans="1:7" ht="13.8" thickTop="1" x14ac:dyDescent="0.25">
      <c r="A61" s="24"/>
      <c r="B61" s="23"/>
      <c r="C61" s="71"/>
      <c r="D61" s="31"/>
      <c r="E61" s="24"/>
      <c r="F61" s="29"/>
      <c r="G61" s="28"/>
    </row>
    <row r="62" spans="1:7" x14ac:dyDescent="0.25">
      <c r="A62" s="24">
        <v>1012</v>
      </c>
      <c r="B62" s="23" t="s">
        <v>91</v>
      </c>
      <c r="C62" s="71">
        <v>37071</v>
      </c>
      <c r="D62" s="31">
        <v>15659</v>
      </c>
      <c r="E62" s="24" t="s">
        <v>16</v>
      </c>
      <c r="F62" s="29">
        <v>4733.47</v>
      </c>
      <c r="G62" s="28">
        <f t="shared" ref="G62:G68" si="1">+F62/$F$70</f>
        <v>6.5964436604708059E-6</v>
      </c>
    </row>
    <row r="63" spans="1:7" x14ac:dyDescent="0.25">
      <c r="A63" s="24">
        <v>1012</v>
      </c>
      <c r="B63" s="23" t="s">
        <v>91</v>
      </c>
      <c r="C63" s="71">
        <v>37084</v>
      </c>
      <c r="D63" s="31">
        <v>15801</v>
      </c>
      <c r="E63" s="24" t="s">
        <v>16</v>
      </c>
      <c r="F63" s="29">
        <v>1.86</v>
      </c>
      <c r="G63" s="28">
        <f t="shared" si="1"/>
        <v>2.5920487947479755E-9</v>
      </c>
    </row>
    <row r="64" spans="1:7" x14ac:dyDescent="0.25">
      <c r="A64" s="24">
        <v>1064</v>
      </c>
      <c r="B64" s="23" t="s">
        <v>62</v>
      </c>
      <c r="C64" s="71">
        <v>37084</v>
      </c>
      <c r="D64" s="31">
        <v>15792</v>
      </c>
      <c r="E64" s="24" t="s">
        <v>16</v>
      </c>
      <c r="F64" s="29">
        <v>4.28</v>
      </c>
      <c r="G64" s="28">
        <f t="shared" si="1"/>
        <v>5.9644993771620082E-9</v>
      </c>
    </row>
    <row r="65" spans="1:7" x14ac:dyDescent="0.25">
      <c r="A65" s="24">
        <v>2528</v>
      </c>
      <c r="B65" s="23" t="s">
        <v>79</v>
      </c>
      <c r="C65" s="71">
        <v>37084</v>
      </c>
      <c r="D65" s="31">
        <v>15762</v>
      </c>
      <c r="E65" s="24" t="s">
        <v>16</v>
      </c>
      <c r="F65" s="29">
        <v>3576.11</v>
      </c>
      <c r="G65" s="28">
        <f t="shared" si="1"/>
        <v>4.9835761373043993E-6</v>
      </c>
    </row>
    <row r="66" spans="1:7" x14ac:dyDescent="0.25">
      <c r="A66" s="24">
        <v>1010</v>
      </c>
      <c r="B66" s="23" t="s">
        <v>63</v>
      </c>
      <c r="C66" s="71">
        <v>37071</v>
      </c>
      <c r="D66" s="31">
        <v>15661</v>
      </c>
      <c r="E66" s="24" t="s">
        <v>16</v>
      </c>
      <c r="F66" s="29">
        <v>427893504.99000001</v>
      </c>
      <c r="G66" s="28">
        <f t="shared" si="1"/>
        <v>0.59630152897301947</v>
      </c>
    </row>
    <row r="67" spans="1:7" s="21" customFormat="1" x14ac:dyDescent="0.25">
      <c r="A67" s="24">
        <v>1024</v>
      </c>
      <c r="B67" s="23" t="s">
        <v>8</v>
      </c>
      <c r="C67" s="71">
        <v>37071</v>
      </c>
      <c r="D67" s="31">
        <v>15651</v>
      </c>
      <c r="E67" s="24" t="s">
        <v>16</v>
      </c>
      <c r="F67" s="29">
        <v>2885.2</v>
      </c>
      <c r="G67" s="28">
        <f t="shared" si="1"/>
        <v>4.0207414960251925E-6</v>
      </c>
    </row>
    <row r="68" spans="1:7" x14ac:dyDescent="0.25">
      <c r="A68" s="24">
        <v>1024</v>
      </c>
      <c r="B68" s="23" t="s">
        <v>8</v>
      </c>
      <c r="C68" s="71">
        <v>37084</v>
      </c>
      <c r="D68" s="31">
        <v>15793</v>
      </c>
      <c r="E68" s="24" t="s">
        <v>16</v>
      </c>
      <c r="F68" s="56">
        <v>1750.76</v>
      </c>
      <c r="G68" s="57">
        <f t="shared" si="1"/>
        <v>2.439814703168261E-6</v>
      </c>
    </row>
    <row r="69" spans="1:7" x14ac:dyDescent="0.25">
      <c r="A69" s="7"/>
      <c r="B69" s="2"/>
      <c r="C69" s="9"/>
      <c r="D69" s="7"/>
      <c r="E69" s="13"/>
      <c r="F69" s="6"/>
      <c r="G69" s="21"/>
    </row>
    <row r="70" spans="1:7" ht="13.8" thickBot="1" x14ac:dyDescent="0.3">
      <c r="B70" s="1" t="s">
        <v>18</v>
      </c>
      <c r="F70" s="30">
        <f>SUM(F20:F69)</f>
        <v>717579084.07000017</v>
      </c>
      <c r="G70" s="20">
        <f>+F70/F70</f>
        <v>1</v>
      </c>
    </row>
    <row r="71" spans="1:7" ht="13.8" thickTop="1" x14ac:dyDescent="0.25"/>
    <row r="74" spans="1:7" x14ac:dyDescent="0.25">
      <c r="B74" s="85" t="s">
        <v>191</v>
      </c>
    </row>
    <row r="76" spans="1:7" ht="15.6" x14ac:dyDescent="0.3">
      <c r="B76" s="10" t="str">
        <f>+B1</f>
        <v>Certification for Market Settlement August 24, 2001</v>
      </c>
    </row>
    <row r="77" spans="1:7" ht="15.6" x14ac:dyDescent="0.3">
      <c r="B77" s="10"/>
    </row>
    <row r="78" spans="1:7" ht="15.6" x14ac:dyDescent="0.3">
      <c r="B78" s="10" t="str">
        <f>+B54</f>
        <v>For the Trade Month of April 2001</v>
      </c>
    </row>
    <row r="79" spans="1:7" ht="15.6" x14ac:dyDescent="0.3">
      <c r="B79" s="10"/>
    </row>
    <row r="80" spans="1:7" ht="15.6" x14ac:dyDescent="0.3">
      <c r="B80" s="10"/>
    </row>
    <row r="81" spans="1:7" ht="15.6" x14ac:dyDescent="0.3">
      <c r="B81" s="10" t="s">
        <v>27</v>
      </c>
    </row>
    <row r="82" spans="1:7" ht="15.6" x14ac:dyDescent="0.3">
      <c r="B82" s="10"/>
    </row>
    <row r="83" spans="1:7" x14ac:dyDescent="0.25">
      <c r="B83" s="21" t="s">
        <v>26</v>
      </c>
      <c r="C83" s="32"/>
      <c r="D83" s="33"/>
      <c r="E83" s="33"/>
      <c r="F83" s="34">
        <v>782081536.39999998</v>
      </c>
      <c r="G83" s="62">
        <f>+F83/F85</f>
        <v>0.98612500846426299</v>
      </c>
    </row>
    <row r="84" spans="1:7" x14ac:dyDescent="0.25">
      <c r="B84" s="21" t="s">
        <v>28</v>
      </c>
      <c r="C84" s="32"/>
      <c r="D84" s="33"/>
      <c r="E84" s="33"/>
      <c r="F84" s="39">
        <v>11004055.880000001</v>
      </c>
      <c r="G84" s="62">
        <f>+F84/F85</f>
        <v>1.3874991535737045E-2</v>
      </c>
    </row>
    <row r="85" spans="1:7" x14ac:dyDescent="0.25">
      <c r="B85" s="35" t="s">
        <v>29</v>
      </c>
      <c r="C85" s="32"/>
      <c r="D85" s="33"/>
      <c r="E85" s="33"/>
      <c r="F85" s="39">
        <f>SUM(F83:F84)</f>
        <v>793085592.27999997</v>
      </c>
      <c r="G85" s="63">
        <f>+F85/F85</f>
        <v>1</v>
      </c>
    </row>
    <row r="86" spans="1:7" ht="15.6" x14ac:dyDescent="0.3">
      <c r="B86" s="10"/>
    </row>
    <row r="87" spans="1:7" x14ac:dyDescent="0.25">
      <c r="B87" s="21" t="s">
        <v>123</v>
      </c>
      <c r="C87" s="32"/>
      <c r="D87" s="33"/>
      <c r="E87" s="33"/>
      <c r="F87" s="6">
        <v>59675885.689999998</v>
      </c>
    </row>
    <row r="88" spans="1:7" x14ac:dyDescent="0.25">
      <c r="B88" s="21" t="s">
        <v>117</v>
      </c>
      <c r="C88" s="32"/>
      <c r="D88" s="33"/>
      <c r="E88" s="33"/>
      <c r="F88" s="6">
        <f>724101.32+3717.88</f>
        <v>727819.2</v>
      </c>
    </row>
    <row r="89" spans="1:7" x14ac:dyDescent="0.25">
      <c r="B89" s="21" t="s">
        <v>117</v>
      </c>
      <c r="C89" s="32"/>
      <c r="D89" s="33"/>
      <c r="E89" s="33"/>
      <c r="F89" s="39">
        <v>16643322.310000001</v>
      </c>
    </row>
    <row r="90" spans="1:7" x14ac:dyDescent="0.25">
      <c r="B90" s="35" t="s">
        <v>33</v>
      </c>
      <c r="C90" s="32"/>
      <c r="D90" s="33"/>
      <c r="E90" s="33"/>
      <c r="F90" s="39">
        <f>SUM(F87:F89)</f>
        <v>77047027.200000003</v>
      </c>
      <c r="G90" s="63">
        <f>+F90/F85</f>
        <v>9.7148438894850642E-2</v>
      </c>
    </row>
    <row r="91" spans="1:7" ht="15.6" x14ac:dyDescent="0.3">
      <c r="B91" s="10"/>
    </row>
    <row r="92" spans="1:7" s="21" customFormat="1" x14ac:dyDescent="0.25">
      <c r="A92" s="32"/>
      <c r="B92" s="21" t="s">
        <v>173</v>
      </c>
      <c r="C92" s="32"/>
      <c r="D92" s="33"/>
      <c r="E92" s="33"/>
      <c r="F92" s="6">
        <v>23446.77</v>
      </c>
    </row>
    <row r="93" spans="1:7" s="21" customFormat="1" x14ac:dyDescent="0.25">
      <c r="A93" s="32"/>
      <c r="B93" s="21" t="s">
        <v>158</v>
      </c>
      <c r="C93" s="32"/>
      <c r="D93" s="33"/>
      <c r="E93" s="33"/>
      <c r="F93" s="6">
        <v>18586.04</v>
      </c>
    </row>
    <row r="94" spans="1:7" s="21" customFormat="1" x14ac:dyDescent="0.25">
      <c r="A94" s="32"/>
      <c r="B94" s="21" t="s">
        <v>152</v>
      </c>
      <c r="C94" s="32"/>
      <c r="D94" s="33"/>
      <c r="E94" s="33"/>
      <c r="F94" s="6">
        <v>171309.95</v>
      </c>
    </row>
    <row r="95" spans="1:7" s="21" customFormat="1" x14ac:dyDescent="0.25">
      <c r="A95" s="32"/>
      <c r="B95" s="21" t="s">
        <v>150</v>
      </c>
      <c r="C95" s="32"/>
      <c r="D95" s="33"/>
      <c r="E95" s="33"/>
      <c r="F95" s="6">
        <f>3183507.98+4743.92-3717.88</f>
        <v>3184534.02</v>
      </c>
    </row>
    <row r="96" spans="1:7" s="21" customFormat="1" x14ac:dyDescent="0.25">
      <c r="A96" s="32"/>
      <c r="B96" s="21" t="s">
        <v>181</v>
      </c>
      <c r="C96" s="32"/>
      <c r="D96" s="33"/>
      <c r="E96" s="33"/>
      <c r="F96" s="6">
        <v>9967.98</v>
      </c>
    </row>
    <row r="97" spans="1:9" s="21" customFormat="1" x14ac:dyDescent="0.25">
      <c r="A97" s="32"/>
      <c r="B97" s="21" t="s">
        <v>151</v>
      </c>
      <c r="C97" s="32"/>
      <c r="D97" s="33"/>
      <c r="E97" s="33"/>
      <c r="F97" s="39">
        <v>169976.54</v>
      </c>
    </row>
    <row r="98" spans="1:9" x14ac:dyDescent="0.25">
      <c r="B98" s="1" t="s">
        <v>54</v>
      </c>
      <c r="F98" s="40">
        <f>SUM(F92:F97)</f>
        <v>3577821.3000000003</v>
      </c>
      <c r="G98" s="63">
        <f>+F98/F85</f>
        <v>4.51126755400298E-3</v>
      </c>
    </row>
    <row r="99" spans="1:9" x14ac:dyDescent="0.25">
      <c r="B99" s="1"/>
      <c r="F99" s="36"/>
      <c r="G99" s="63"/>
    </row>
    <row r="100" spans="1:9" s="21" customFormat="1" x14ac:dyDescent="0.25">
      <c r="A100" s="32"/>
      <c r="B100" s="21" t="s">
        <v>180</v>
      </c>
      <c r="C100" s="32"/>
      <c r="D100" s="33"/>
      <c r="E100" s="33"/>
      <c r="F100" s="39">
        <v>5118340.29</v>
      </c>
      <c r="G100" s="63">
        <f>+F100/F85</f>
        <v>6.453704795324239E-3</v>
      </c>
    </row>
    <row r="101" spans="1:9" ht="15.6" x14ac:dyDescent="0.3">
      <c r="B101" s="10"/>
    </row>
    <row r="102" spans="1:9" ht="16.2" thickBot="1" x14ac:dyDescent="0.35">
      <c r="B102" s="45" t="s">
        <v>35</v>
      </c>
      <c r="C102" s="49"/>
      <c r="D102" s="50"/>
      <c r="E102" s="50"/>
      <c r="F102" s="51">
        <f>+F85-F90-F98+F100</f>
        <v>717579084.06999993</v>
      </c>
      <c r="G102" s="64">
        <f>+F102/F85</f>
        <v>0.90479399834647056</v>
      </c>
      <c r="I102" s="75">
        <f>+F70-F102</f>
        <v>0</v>
      </c>
    </row>
    <row r="103" spans="1:9" ht="15.6" x14ac:dyDescent="0.3">
      <c r="B103" s="37"/>
      <c r="C103" s="32"/>
      <c r="D103" s="33"/>
      <c r="E103" s="33"/>
      <c r="F103" s="38"/>
    </row>
    <row r="104" spans="1:9" ht="15.6" x14ac:dyDescent="0.3">
      <c r="B104" s="10"/>
    </row>
    <row r="105" spans="1:9" ht="15.6" x14ac:dyDescent="0.3">
      <c r="B105" s="37" t="s">
        <v>34</v>
      </c>
      <c r="C105" s="32"/>
      <c r="D105" s="33"/>
      <c r="E105" s="33"/>
      <c r="F105" s="21"/>
    </row>
    <row r="106" spans="1:9" ht="15.6" x14ac:dyDescent="0.3">
      <c r="B106" s="37"/>
      <c r="C106" s="32"/>
      <c r="D106" s="33"/>
      <c r="E106" s="33"/>
      <c r="F106" s="21"/>
    </row>
    <row r="107" spans="1:9" s="21" customFormat="1" x14ac:dyDescent="0.25">
      <c r="A107" s="32"/>
      <c r="B107" s="21" t="s">
        <v>26</v>
      </c>
      <c r="C107" s="32"/>
      <c r="D107" s="33"/>
      <c r="E107" s="33"/>
      <c r="F107" s="34">
        <v>781819933.97000003</v>
      </c>
      <c r="G107" s="65">
        <f>+F107/F109</f>
        <v>0.99592312801425242</v>
      </c>
    </row>
    <row r="108" spans="1:9" x14ac:dyDescent="0.25">
      <c r="B108" s="21" t="s">
        <v>28</v>
      </c>
      <c r="C108" s="32"/>
      <c r="D108" s="33"/>
      <c r="E108" s="33"/>
      <c r="F108" s="39">
        <v>3200427.52</v>
      </c>
      <c r="G108" s="65">
        <f>+F108/F109</f>
        <v>4.0768719857475549E-3</v>
      </c>
    </row>
    <row r="109" spans="1:9" x14ac:dyDescent="0.25">
      <c r="B109" s="35" t="s">
        <v>29</v>
      </c>
      <c r="C109" s="32"/>
      <c r="D109" s="33"/>
      <c r="E109" s="33"/>
      <c r="F109" s="39">
        <f>SUM(F107:F108)</f>
        <v>785020361.49000001</v>
      </c>
      <c r="G109" s="63">
        <f>+F109/F109</f>
        <v>1</v>
      </c>
    </row>
    <row r="110" spans="1:9" ht="15.6" x14ac:dyDescent="0.3">
      <c r="B110" s="10"/>
    </row>
    <row r="111" spans="1:9" x14ac:dyDescent="0.25">
      <c r="B111" s="21" t="s">
        <v>124</v>
      </c>
      <c r="C111" s="32"/>
      <c r="D111" s="33"/>
      <c r="E111" s="33"/>
      <c r="F111" s="6">
        <v>53933943.25</v>
      </c>
    </row>
    <row r="112" spans="1:9" x14ac:dyDescent="0.25">
      <c r="B112" s="21" t="s">
        <v>125</v>
      </c>
      <c r="C112" s="32"/>
      <c r="D112" s="33"/>
      <c r="E112" s="33"/>
      <c r="F112" s="6">
        <v>1302886.05</v>
      </c>
    </row>
    <row r="113" spans="2:9" x14ac:dyDescent="0.25">
      <c r="B113" s="21" t="s">
        <v>182</v>
      </c>
      <c r="C113" s="32"/>
      <c r="D113" s="33"/>
      <c r="E113" s="33"/>
      <c r="F113" s="39">
        <v>16774321.140000001</v>
      </c>
    </row>
    <row r="114" spans="2:9" x14ac:dyDescent="0.25">
      <c r="B114" s="35" t="s">
        <v>42</v>
      </c>
      <c r="C114" s="32"/>
      <c r="D114" s="33"/>
      <c r="E114" s="33"/>
      <c r="F114" s="39">
        <f>SUM(F111:F113)</f>
        <v>72011150.439999998</v>
      </c>
      <c r="G114" s="63">
        <f>+F114/F109</f>
        <v>9.173157025292944E-2</v>
      </c>
    </row>
    <row r="115" spans="2:9" ht="15.6" x14ac:dyDescent="0.3">
      <c r="B115" s="10"/>
    </row>
    <row r="116" spans="2:9" x14ac:dyDescent="0.25">
      <c r="B116" s="21" t="s">
        <v>165</v>
      </c>
      <c r="C116" s="32"/>
      <c r="D116" s="33"/>
      <c r="E116" s="33"/>
      <c r="F116" s="36">
        <v>24785.08</v>
      </c>
    </row>
    <row r="117" spans="2:9" x14ac:dyDescent="0.25">
      <c r="B117" s="21" t="s">
        <v>148</v>
      </c>
      <c r="C117" s="32"/>
      <c r="D117" s="33"/>
      <c r="E117" s="33"/>
      <c r="F117" s="36">
        <v>2376.69</v>
      </c>
    </row>
    <row r="118" spans="2:9" x14ac:dyDescent="0.25">
      <c r="B118" s="21" t="s">
        <v>160</v>
      </c>
      <c r="C118" s="32"/>
      <c r="D118" s="33"/>
      <c r="E118" s="33"/>
      <c r="F118" s="36">
        <v>10525.68</v>
      </c>
    </row>
    <row r="119" spans="2:9" x14ac:dyDescent="0.25">
      <c r="B119" s="21" t="s">
        <v>175</v>
      </c>
      <c r="C119" s="32"/>
      <c r="D119" s="33"/>
      <c r="E119" s="33"/>
      <c r="F119" s="36">
        <v>1513.5</v>
      </c>
    </row>
    <row r="120" spans="2:9" x14ac:dyDescent="0.25">
      <c r="B120" s="21" t="s">
        <v>159</v>
      </c>
      <c r="C120" s="32"/>
      <c r="D120" s="33"/>
      <c r="E120" s="33"/>
      <c r="F120" s="36">
        <v>205.19</v>
      </c>
    </row>
    <row r="121" spans="2:9" x14ac:dyDescent="0.25">
      <c r="B121" s="21" t="s">
        <v>169</v>
      </c>
      <c r="C121" s="32"/>
      <c r="D121" s="33"/>
      <c r="E121" s="33"/>
      <c r="F121" s="36">
        <f>3188251.9-3717.88</f>
        <v>3184534.02</v>
      </c>
    </row>
    <row r="122" spans="2:9" x14ac:dyDescent="0.25">
      <c r="B122" s="21" t="s">
        <v>178</v>
      </c>
      <c r="C122" s="32"/>
      <c r="D122" s="33"/>
      <c r="E122" s="33"/>
      <c r="F122" s="36">
        <v>358212.75</v>
      </c>
    </row>
    <row r="123" spans="2:9" x14ac:dyDescent="0.25">
      <c r="B123" s="21" t="s">
        <v>183</v>
      </c>
      <c r="C123" s="32"/>
      <c r="D123" s="33"/>
      <c r="E123" s="33"/>
      <c r="F123" s="36">
        <v>9950.2099999999991</v>
      </c>
    </row>
    <row r="124" spans="2:9" x14ac:dyDescent="0.25">
      <c r="B124" s="21" t="s">
        <v>184</v>
      </c>
      <c r="C124" s="32"/>
      <c r="D124" s="33"/>
      <c r="E124" s="33"/>
      <c r="F124" s="36">
        <v>6264.07</v>
      </c>
    </row>
    <row r="125" spans="2:9" x14ac:dyDescent="0.25">
      <c r="B125" s="21" t="s">
        <v>185</v>
      </c>
      <c r="C125" s="32"/>
      <c r="D125" s="33"/>
      <c r="E125" s="33"/>
      <c r="F125" s="40">
        <v>52237.34</v>
      </c>
    </row>
    <row r="126" spans="2:9" x14ac:dyDescent="0.25">
      <c r="B126" s="1" t="s">
        <v>54</v>
      </c>
      <c r="C126" s="32"/>
      <c r="D126" s="33"/>
      <c r="E126" s="33"/>
      <c r="F126" s="40">
        <f>SUM(F116:F125)</f>
        <v>3650604.53</v>
      </c>
      <c r="G126" s="63">
        <f>+F126/F109</f>
        <v>4.6503310093396893E-3</v>
      </c>
    </row>
    <row r="127" spans="2:9" ht="15.6" x14ac:dyDescent="0.3">
      <c r="B127" s="10"/>
    </row>
    <row r="128" spans="2:9" ht="16.2" thickBot="1" x14ac:dyDescent="0.35">
      <c r="B128" s="45" t="s">
        <v>36</v>
      </c>
      <c r="C128" s="49"/>
      <c r="D128" s="50"/>
      <c r="E128" s="50"/>
      <c r="F128" s="51">
        <f>+F109-F114-F126</f>
        <v>709358606.51999998</v>
      </c>
      <c r="G128" s="64">
        <f>+F128/F109</f>
        <v>0.9036180987377308</v>
      </c>
      <c r="I128" s="75">
        <f>+F128-F10</f>
        <v>0</v>
      </c>
    </row>
    <row r="129" spans="2:2" ht="15.6" x14ac:dyDescent="0.3">
      <c r="B129" s="10"/>
    </row>
  </sheetData>
  <phoneticPr fontId="0" type="noConversion"/>
  <pageMargins left="0.5" right="0.25" top="0.5" bottom="0.5" header="0.5" footer="0"/>
  <pageSetup scale="94" orientation="portrait" verticalDpi="0" r:id="rId1"/>
  <headerFooter alignWithMargins="0">
    <oddFooter>&amp;LCertification August 24, 2001&amp;CPage &amp;P of &amp;N&amp;RTrade Month April 2001</oddFooter>
  </headerFooter>
  <rowBreaks count="2" manualBreakCount="2">
    <brk id="51" max="6" man="1"/>
    <brk id="75"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tabSelected="1" topLeftCell="A63" zoomScaleNormal="100" workbookViewId="0">
      <selection activeCell="D74" sqref="D74"/>
    </sheetView>
  </sheetViews>
  <sheetFormatPr defaultRowHeight="13.2" x14ac:dyDescent="0.25"/>
  <cols>
    <col min="1" max="1" width="6.88671875" style="8" customWidth="1"/>
    <col min="2" max="2" width="50.5546875" customWidth="1"/>
    <col min="3" max="3" width="8.44140625" style="8" customWidth="1"/>
    <col min="4" max="4" width="5.44140625" style="12" bestFit="1" customWidth="1"/>
    <col min="5" max="5" width="4.44140625" style="12" bestFit="1" customWidth="1"/>
    <col min="6" max="6" width="22.5546875" bestFit="1" customWidth="1"/>
    <col min="7" max="7" width="12.33203125" bestFit="1" customWidth="1"/>
    <col min="8" max="8" width="11.109375" customWidth="1"/>
    <col min="9" max="9" width="16.88671875" bestFit="1" customWidth="1"/>
  </cols>
  <sheetData>
    <row r="1" spans="1:7" ht="15.6" x14ac:dyDescent="0.3">
      <c r="B1" s="54" t="s">
        <v>126</v>
      </c>
    </row>
    <row r="2" spans="1:7" ht="15.6" x14ac:dyDescent="0.3">
      <c r="B2" s="10"/>
    </row>
    <row r="3" spans="1:7" ht="15.6" x14ac:dyDescent="0.3">
      <c r="B3" s="10" t="s">
        <v>186</v>
      </c>
    </row>
    <row r="4" spans="1:7" ht="15.6" x14ac:dyDescent="0.3">
      <c r="B4" s="10"/>
    </row>
    <row r="5" spans="1:7" ht="15.6" x14ac:dyDescent="0.3">
      <c r="B5" s="10"/>
    </row>
    <row r="6" spans="1:7" ht="15.6" x14ac:dyDescent="0.3">
      <c r="B6" s="10"/>
    </row>
    <row r="7" spans="1:7" ht="16.2" thickBot="1" x14ac:dyDescent="0.35">
      <c r="A7" s="10" t="s">
        <v>57</v>
      </c>
    </row>
    <row r="8" spans="1:7" s="5" customFormat="1" ht="21.6" thickTop="1" thickBot="1" x14ac:dyDescent="0.3">
      <c r="A8" s="15" t="s">
        <v>11</v>
      </c>
      <c r="B8" s="15" t="s">
        <v>13</v>
      </c>
      <c r="C8" s="15" t="s">
        <v>51</v>
      </c>
      <c r="D8" s="46"/>
      <c r="E8" s="47"/>
      <c r="F8" s="48" t="s">
        <v>52</v>
      </c>
      <c r="G8" s="16" t="s">
        <v>53</v>
      </c>
    </row>
    <row r="9" spans="1:7" s="3" customFormat="1" ht="10.8" thickTop="1" x14ac:dyDescent="0.2">
      <c r="F9" s="4"/>
    </row>
    <row r="10" spans="1:7" s="1" customFormat="1" ht="13.8" thickBot="1" x14ac:dyDescent="0.3">
      <c r="A10" s="11"/>
      <c r="B10" s="1" t="s">
        <v>187</v>
      </c>
      <c r="C10" s="78"/>
      <c r="D10" s="14"/>
      <c r="E10" s="14"/>
      <c r="F10" s="30">
        <v>573282542.02999997</v>
      </c>
      <c r="G10" s="20">
        <f>+F10/F$10</f>
        <v>1</v>
      </c>
    </row>
    <row r="11" spans="1:7" s="1" customFormat="1" ht="13.8" thickTop="1" x14ac:dyDescent="0.25">
      <c r="A11" s="11"/>
      <c r="C11" s="78"/>
      <c r="D11" s="14"/>
      <c r="E11" s="14"/>
      <c r="F11" s="66"/>
      <c r="G11" s="59"/>
    </row>
    <row r="12" spans="1:7" s="1" customFormat="1" x14ac:dyDescent="0.25">
      <c r="A12" s="11"/>
      <c r="C12" s="78"/>
      <c r="D12" s="14"/>
      <c r="E12" s="14"/>
      <c r="F12" s="66"/>
      <c r="G12" s="59"/>
    </row>
    <row r="13" spans="1:7" s="1" customFormat="1" x14ac:dyDescent="0.25">
      <c r="A13" s="11"/>
      <c r="B13" s="11"/>
      <c r="C13" s="79"/>
      <c r="D13" s="14"/>
      <c r="E13" s="14"/>
      <c r="F13" s="66"/>
      <c r="G13" s="59"/>
    </row>
    <row r="14" spans="1:7" ht="15.6" x14ac:dyDescent="0.3">
      <c r="B14" s="10"/>
      <c r="C14" s="80"/>
    </row>
    <row r="15" spans="1:7" ht="15.6" x14ac:dyDescent="0.3">
      <c r="B15" s="10"/>
      <c r="C15" s="80"/>
    </row>
    <row r="16" spans="1:7" ht="15.6" x14ac:dyDescent="0.3">
      <c r="A16" s="10" t="s">
        <v>49</v>
      </c>
      <c r="C16" s="80"/>
    </row>
    <row r="17" spans="1:9" ht="16.2" thickBot="1" x14ac:dyDescent="0.35">
      <c r="A17" s="10" t="s">
        <v>206</v>
      </c>
      <c r="C17" s="80"/>
    </row>
    <row r="18" spans="1:9" s="5" customFormat="1" ht="21.6" thickTop="1" thickBot="1" x14ac:dyDescent="0.3">
      <c r="A18" s="15" t="s">
        <v>11</v>
      </c>
      <c r="B18" s="15" t="s">
        <v>13</v>
      </c>
      <c r="C18" s="81" t="s">
        <v>12</v>
      </c>
      <c r="D18" s="15" t="s">
        <v>17</v>
      </c>
      <c r="E18" s="15" t="s">
        <v>15</v>
      </c>
      <c r="F18" s="16" t="s">
        <v>10</v>
      </c>
      <c r="G18" s="16" t="s">
        <v>56</v>
      </c>
    </row>
    <row r="19" spans="1:9" ht="13.8" thickTop="1" x14ac:dyDescent="0.25">
      <c r="C19" s="80"/>
    </row>
    <row r="20" spans="1:9" x14ac:dyDescent="0.25">
      <c r="A20" s="24">
        <v>1007</v>
      </c>
      <c r="B20" s="23" t="s">
        <v>59</v>
      </c>
      <c r="C20" s="71">
        <v>37097</v>
      </c>
      <c r="D20" s="55">
        <v>15887</v>
      </c>
      <c r="E20" s="24" t="s">
        <v>80</v>
      </c>
      <c r="F20" s="29">
        <v>47461.45</v>
      </c>
      <c r="G20" s="28">
        <f t="shared" ref="G20:G47" si="0">+F20/$F$78</f>
        <v>8.3067030349557444E-5</v>
      </c>
    </row>
    <row r="21" spans="1:9" x14ac:dyDescent="0.25">
      <c r="A21" s="24">
        <v>2606</v>
      </c>
      <c r="B21" s="23" t="s">
        <v>0</v>
      </c>
      <c r="C21" s="71">
        <v>37097</v>
      </c>
      <c r="D21" s="55">
        <v>15855</v>
      </c>
      <c r="E21" s="24" t="s">
        <v>80</v>
      </c>
      <c r="F21" s="29">
        <v>128935.29</v>
      </c>
      <c r="G21" s="28">
        <f t="shared" si="0"/>
        <v>2.2566254607811161E-4</v>
      </c>
    </row>
    <row r="22" spans="1:9" x14ac:dyDescent="0.25">
      <c r="A22" s="24">
        <v>1504</v>
      </c>
      <c r="B22" s="23" t="s">
        <v>2</v>
      </c>
      <c r="C22" s="71">
        <v>37097</v>
      </c>
      <c r="D22" s="55">
        <v>15871</v>
      </c>
      <c r="E22" s="24" t="s">
        <v>80</v>
      </c>
      <c r="F22" s="29">
        <v>3982.57</v>
      </c>
      <c r="G22" s="28">
        <f t="shared" si="0"/>
        <v>6.9702940609534059E-6</v>
      </c>
    </row>
    <row r="23" spans="1:9" x14ac:dyDescent="0.25">
      <c r="A23" s="24">
        <v>1020</v>
      </c>
      <c r="B23" s="23" t="s">
        <v>61</v>
      </c>
      <c r="C23" s="71">
        <v>37097</v>
      </c>
      <c r="D23" s="55">
        <v>15880</v>
      </c>
      <c r="E23" s="24" t="s">
        <v>80</v>
      </c>
      <c r="F23" s="29">
        <v>147258.23999999999</v>
      </c>
      <c r="G23" s="28">
        <f t="shared" si="0"/>
        <v>2.5773137338413413E-4</v>
      </c>
    </row>
    <row r="24" spans="1:9" x14ac:dyDescent="0.25">
      <c r="A24" s="24">
        <v>1544</v>
      </c>
      <c r="B24" s="23" t="s">
        <v>3</v>
      </c>
      <c r="C24" s="71">
        <v>37097</v>
      </c>
      <c r="D24" s="55">
        <v>15868</v>
      </c>
      <c r="E24" s="24" t="s">
        <v>80</v>
      </c>
      <c r="F24" s="29">
        <v>135747.91</v>
      </c>
      <c r="G24" s="28">
        <f t="shared" si="0"/>
        <v>2.3758599368243054E-4</v>
      </c>
    </row>
    <row r="25" spans="1:9" x14ac:dyDescent="0.25">
      <c r="A25" s="24">
        <v>1022</v>
      </c>
      <c r="B25" s="23" t="s">
        <v>121</v>
      </c>
      <c r="C25" s="71">
        <v>37116</v>
      </c>
      <c r="D25" s="55">
        <v>16019</v>
      </c>
      <c r="E25" s="24" t="s">
        <v>80</v>
      </c>
      <c r="F25" s="29">
        <v>304.18</v>
      </c>
      <c r="G25" s="28">
        <f t="shared" si="0"/>
        <v>5.3237583958619857E-7</v>
      </c>
      <c r="I25" s="25">
        <f>SUM(F20:F29)-3630499.36</f>
        <v>0</v>
      </c>
    </row>
    <row r="26" spans="1:9" x14ac:dyDescent="0.25">
      <c r="A26" s="24">
        <v>1012</v>
      </c>
      <c r="B26" s="23" t="s">
        <v>91</v>
      </c>
      <c r="C26" s="71">
        <v>37097</v>
      </c>
      <c r="D26" s="55">
        <v>15885</v>
      </c>
      <c r="E26" s="24" t="s">
        <v>80</v>
      </c>
      <c r="F26" s="29">
        <v>2420.8200000000002</v>
      </c>
      <c r="G26" s="28">
        <f t="shared" si="0"/>
        <v>4.2369191925408028E-6</v>
      </c>
    </row>
    <row r="27" spans="1:9" x14ac:dyDescent="0.25">
      <c r="A27" s="24">
        <v>2528</v>
      </c>
      <c r="B27" s="23" t="s">
        <v>79</v>
      </c>
      <c r="C27" s="71">
        <v>37097</v>
      </c>
      <c r="D27" s="55">
        <v>15857</v>
      </c>
      <c r="E27" s="24" t="s">
        <v>80</v>
      </c>
      <c r="F27" s="29">
        <v>238119.93</v>
      </c>
      <c r="G27" s="28">
        <f t="shared" si="0"/>
        <v>4.1675750429336848E-4</v>
      </c>
    </row>
    <row r="28" spans="1:9" x14ac:dyDescent="0.25">
      <c r="A28" s="24">
        <v>1010</v>
      </c>
      <c r="B28" s="23" t="s">
        <v>63</v>
      </c>
      <c r="C28" s="71">
        <v>37097</v>
      </c>
      <c r="D28" s="55">
        <v>15886</v>
      </c>
      <c r="E28" s="24" t="s">
        <v>80</v>
      </c>
      <c r="F28" s="29">
        <v>2918351.14</v>
      </c>
      <c r="G28" s="28">
        <f t="shared" si="0"/>
        <v>5.1076981996345579E-3</v>
      </c>
    </row>
    <row r="29" spans="1:9" x14ac:dyDescent="0.25">
      <c r="A29" s="24">
        <v>1010</v>
      </c>
      <c r="B29" s="23" t="s">
        <v>63</v>
      </c>
      <c r="C29" s="71">
        <v>37116</v>
      </c>
      <c r="D29" s="55">
        <v>16026</v>
      </c>
      <c r="E29" s="24" t="s">
        <v>80</v>
      </c>
      <c r="F29" s="29">
        <v>7917.83</v>
      </c>
      <c r="G29" s="28">
        <f t="shared" si="0"/>
        <v>1.3857786159349039E-5</v>
      </c>
    </row>
    <row r="30" spans="1:9" x14ac:dyDescent="0.25">
      <c r="A30" s="24">
        <v>1007</v>
      </c>
      <c r="B30" s="23" t="s">
        <v>59</v>
      </c>
      <c r="C30" s="71">
        <v>37097</v>
      </c>
      <c r="D30" s="55">
        <v>15973</v>
      </c>
      <c r="E30" s="24" t="s">
        <v>16</v>
      </c>
      <c r="F30" s="29">
        <v>789564.01</v>
      </c>
      <c r="G30" s="28">
        <f t="shared" si="0"/>
        <v>1.3818949396107426E-3</v>
      </c>
    </row>
    <row r="31" spans="1:9" x14ac:dyDescent="0.25">
      <c r="A31" s="24">
        <v>2606</v>
      </c>
      <c r="B31" s="23" t="s">
        <v>0</v>
      </c>
      <c r="C31" s="71">
        <v>37097</v>
      </c>
      <c r="D31" s="55">
        <v>15918</v>
      </c>
      <c r="E31" s="24" t="s">
        <v>16</v>
      </c>
      <c r="F31" s="29">
        <v>2175341.4700000002</v>
      </c>
      <c r="G31" s="28">
        <f t="shared" si="0"/>
        <v>3.8072826664406782E-3</v>
      </c>
    </row>
    <row r="32" spans="1:9" x14ac:dyDescent="0.25">
      <c r="A32" s="24">
        <v>2606</v>
      </c>
      <c r="B32" s="23" t="s">
        <v>0</v>
      </c>
      <c r="C32" s="71">
        <v>37116</v>
      </c>
      <c r="D32" s="55">
        <v>16059</v>
      </c>
      <c r="E32" s="24" t="s">
        <v>16</v>
      </c>
      <c r="F32" s="29">
        <v>183772.95</v>
      </c>
      <c r="G32" s="28">
        <f t="shared" si="0"/>
        <v>3.2163941925663259E-4</v>
      </c>
    </row>
    <row r="33" spans="1:7" x14ac:dyDescent="0.25">
      <c r="A33" s="24">
        <v>1164</v>
      </c>
      <c r="B33" s="23" t="s">
        <v>188</v>
      </c>
      <c r="C33" s="71">
        <v>37097</v>
      </c>
      <c r="D33" s="55">
        <v>15954</v>
      </c>
      <c r="E33" s="24" t="s">
        <v>16</v>
      </c>
      <c r="F33" s="29">
        <v>5754</v>
      </c>
      <c r="G33" s="28">
        <f t="shared" si="0"/>
        <v>1.0070650867838079E-5</v>
      </c>
    </row>
    <row r="34" spans="1:7" x14ac:dyDescent="0.25">
      <c r="A34" s="24">
        <v>1504</v>
      </c>
      <c r="B34" s="23" t="s">
        <v>2</v>
      </c>
      <c r="C34" s="71">
        <v>37097</v>
      </c>
      <c r="D34" s="55">
        <v>15940</v>
      </c>
      <c r="E34" s="24" t="s">
        <v>16</v>
      </c>
      <c r="F34" s="29">
        <v>24028.63</v>
      </c>
      <c r="G34" s="28">
        <f t="shared" si="0"/>
        <v>4.2054908509290945E-5</v>
      </c>
    </row>
    <row r="35" spans="1:7" x14ac:dyDescent="0.25">
      <c r="A35" s="24">
        <v>1504</v>
      </c>
      <c r="B35" s="23" t="s">
        <v>2</v>
      </c>
      <c r="C35" s="71">
        <v>37116</v>
      </c>
      <c r="D35" s="55">
        <v>16081</v>
      </c>
      <c r="E35" s="24" t="s">
        <v>16</v>
      </c>
      <c r="F35" s="29">
        <v>728.62</v>
      </c>
      <c r="G35" s="28">
        <f t="shared" si="0"/>
        <v>1.2752307325902295E-6</v>
      </c>
    </row>
    <row r="36" spans="1:7" x14ac:dyDescent="0.25">
      <c r="A36" s="24">
        <v>1103</v>
      </c>
      <c r="B36" s="23" t="s">
        <v>24</v>
      </c>
      <c r="C36" s="71">
        <v>37116</v>
      </c>
      <c r="D36" s="55">
        <v>16099</v>
      </c>
      <c r="E36" s="24" t="s">
        <v>16</v>
      </c>
      <c r="F36" s="29">
        <v>246916.66</v>
      </c>
      <c r="G36" s="28">
        <f t="shared" si="0"/>
        <v>4.3215354124307955E-4</v>
      </c>
    </row>
    <row r="37" spans="1:7" x14ac:dyDescent="0.25">
      <c r="A37" s="55">
        <v>2746</v>
      </c>
      <c r="B37" s="83" t="s">
        <v>60</v>
      </c>
      <c r="C37" s="71">
        <v>37097</v>
      </c>
      <c r="D37" s="55">
        <v>15912</v>
      </c>
      <c r="E37" s="24" t="s">
        <v>16</v>
      </c>
      <c r="F37" s="29">
        <v>174563.55</v>
      </c>
      <c r="G37" s="82">
        <f t="shared" si="0"/>
        <v>3.0552112726805623E-4</v>
      </c>
    </row>
    <row r="38" spans="1:7" x14ac:dyDescent="0.25">
      <c r="A38" s="55">
        <v>1017</v>
      </c>
      <c r="B38" s="83" t="s">
        <v>111</v>
      </c>
      <c r="C38" s="71">
        <v>37097</v>
      </c>
      <c r="D38" s="55">
        <v>15966</v>
      </c>
      <c r="E38" s="24" t="s">
        <v>16</v>
      </c>
      <c r="F38" s="29">
        <v>17134041.280000001</v>
      </c>
      <c r="G38" s="82">
        <f t="shared" si="0"/>
        <v>2.9987999250261639E-2</v>
      </c>
    </row>
    <row r="39" spans="1:7" x14ac:dyDescent="0.25">
      <c r="A39" s="55">
        <v>1017</v>
      </c>
      <c r="B39" s="83" t="s">
        <v>111</v>
      </c>
      <c r="C39" s="71">
        <v>37116</v>
      </c>
      <c r="D39" s="55">
        <v>16107</v>
      </c>
      <c r="E39" s="24" t="s">
        <v>16</v>
      </c>
      <c r="F39" s="29">
        <v>1142298.74</v>
      </c>
      <c r="G39" s="82">
        <f t="shared" si="0"/>
        <v>1.9992512682153879E-3</v>
      </c>
    </row>
    <row r="40" spans="1:7" x14ac:dyDescent="0.25">
      <c r="A40" s="24">
        <v>1020</v>
      </c>
      <c r="B40" s="23" t="s">
        <v>61</v>
      </c>
      <c r="C40" s="71">
        <v>37097</v>
      </c>
      <c r="D40" s="55">
        <v>15963</v>
      </c>
      <c r="E40" s="24" t="s">
        <v>16</v>
      </c>
      <c r="F40" s="29">
        <v>1510423.76</v>
      </c>
      <c r="G40" s="28">
        <f t="shared" si="0"/>
        <v>2.6435436825594811E-3</v>
      </c>
    </row>
    <row r="41" spans="1:7" x14ac:dyDescent="0.25">
      <c r="A41" s="24">
        <v>1020</v>
      </c>
      <c r="B41" s="23" t="s">
        <v>61</v>
      </c>
      <c r="C41" s="71">
        <v>37116</v>
      </c>
      <c r="D41" s="55">
        <v>16104</v>
      </c>
      <c r="E41" s="24" t="s">
        <v>16</v>
      </c>
      <c r="F41" s="29">
        <v>286025.24</v>
      </c>
      <c r="G41" s="28">
        <f t="shared" si="0"/>
        <v>5.0060137842015896E-4</v>
      </c>
    </row>
    <row r="42" spans="1:7" x14ac:dyDescent="0.25">
      <c r="A42" s="24">
        <v>1544</v>
      </c>
      <c r="B42" s="23" t="s">
        <v>3</v>
      </c>
      <c r="C42" s="71">
        <v>37097</v>
      </c>
      <c r="D42" s="55">
        <v>15937</v>
      </c>
      <c r="E42" s="24" t="s">
        <v>16</v>
      </c>
      <c r="F42" s="29">
        <v>2379488.09</v>
      </c>
      <c r="G42" s="28">
        <f t="shared" si="0"/>
        <v>4.1645800831715098E-3</v>
      </c>
    </row>
    <row r="43" spans="1:7" x14ac:dyDescent="0.25">
      <c r="A43" s="24">
        <v>1544</v>
      </c>
      <c r="B43" s="23" t="s">
        <v>3</v>
      </c>
      <c r="C43" s="71">
        <v>37116</v>
      </c>
      <c r="D43" s="55">
        <v>16078</v>
      </c>
      <c r="E43" s="24" t="s">
        <v>16</v>
      </c>
      <c r="F43" s="29">
        <v>121739.8</v>
      </c>
      <c r="G43" s="28">
        <f t="shared" si="0"/>
        <v>2.1306899939527879E-4</v>
      </c>
    </row>
    <row r="44" spans="1:7" x14ac:dyDescent="0.25">
      <c r="A44" s="24">
        <v>1244</v>
      </c>
      <c r="B44" s="23" t="s">
        <v>37</v>
      </c>
      <c r="C44" s="71">
        <v>37097</v>
      </c>
      <c r="D44" s="55">
        <v>15947</v>
      </c>
      <c r="E44" s="24" t="s">
        <v>16</v>
      </c>
      <c r="F44" s="29">
        <v>2239.59</v>
      </c>
      <c r="G44" s="28">
        <f t="shared" si="0"/>
        <v>3.9197304444041506E-6</v>
      </c>
    </row>
    <row r="45" spans="1:7" x14ac:dyDescent="0.25">
      <c r="A45" s="24">
        <v>1185</v>
      </c>
      <c r="B45" s="23" t="s">
        <v>93</v>
      </c>
      <c r="C45" s="71">
        <v>37097</v>
      </c>
      <c r="D45" s="55">
        <v>15951</v>
      </c>
      <c r="E45" s="24" t="s">
        <v>16</v>
      </c>
      <c r="F45" s="29">
        <v>127593.07</v>
      </c>
      <c r="G45" s="28">
        <f t="shared" si="0"/>
        <v>2.2331339261828724E-4</v>
      </c>
    </row>
    <row r="46" spans="1:7" x14ac:dyDescent="0.25">
      <c r="A46" s="24">
        <v>1005</v>
      </c>
      <c r="B46" s="23" t="s">
        <v>122</v>
      </c>
      <c r="C46" s="71">
        <v>37097</v>
      </c>
      <c r="D46" s="55">
        <v>15975</v>
      </c>
      <c r="E46" s="24" t="s">
        <v>16</v>
      </c>
      <c r="F46" s="29">
        <v>162.71</v>
      </c>
      <c r="G46" s="28">
        <f t="shared" si="0"/>
        <v>2.8477504391830617E-7</v>
      </c>
    </row>
    <row r="47" spans="1:7" x14ac:dyDescent="0.25">
      <c r="A47" s="24">
        <v>1022</v>
      </c>
      <c r="B47" s="23" t="s">
        <v>198</v>
      </c>
      <c r="C47" s="71">
        <v>37116</v>
      </c>
      <c r="D47" s="55">
        <v>16103</v>
      </c>
      <c r="E47" s="24" t="s">
        <v>16</v>
      </c>
      <c r="F47" s="29">
        <v>795035.68</v>
      </c>
      <c r="G47" s="28">
        <f t="shared" si="0"/>
        <v>1.3914714565092521E-3</v>
      </c>
    </row>
    <row r="48" spans="1:7" x14ac:dyDescent="0.25">
      <c r="A48" s="19"/>
      <c r="B48" s="18"/>
      <c r="C48" s="76"/>
      <c r="D48" s="33"/>
      <c r="E48" s="19"/>
      <c r="F48" s="6"/>
      <c r="G48" s="58"/>
    </row>
    <row r="49" spans="1:7" x14ac:dyDescent="0.25">
      <c r="A49" s="19"/>
      <c r="B49" s="18"/>
      <c r="C49" s="76"/>
      <c r="D49" s="33"/>
      <c r="E49" s="19"/>
      <c r="F49" s="6"/>
      <c r="G49" s="58"/>
    </row>
    <row r="50" spans="1:7" x14ac:dyDescent="0.25">
      <c r="C50" s="80"/>
    </row>
    <row r="51" spans="1:7" ht="15.6" x14ac:dyDescent="0.3">
      <c r="A51" s="19"/>
      <c r="B51" s="10" t="str">
        <f>+B1</f>
        <v>Certification for Market Settlement August 24, 2001</v>
      </c>
      <c r="C51" s="76"/>
      <c r="D51" s="33"/>
      <c r="E51" s="19"/>
      <c r="F51" s="6"/>
      <c r="G51" s="58"/>
    </row>
    <row r="52" spans="1:7" ht="15.6" x14ac:dyDescent="0.3">
      <c r="A52" s="19"/>
      <c r="B52" s="10"/>
      <c r="C52" s="76"/>
      <c r="D52" s="33"/>
      <c r="E52" s="19"/>
      <c r="F52" s="6"/>
      <c r="G52" s="58"/>
    </row>
    <row r="53" spans="1:7" ht="15.6" x14ac:dyDescent="0.3">
      <c r="A53" s="19"/>
      <c r="B53" s="10" t="str">
        <f>+B3</f>
        <v>For the Trade Month of May 2001</v>
      </c>
      <c r="C53" s="76"/>
      <c r="D53" s="33"/>
      <c r="E53" s="19"/>
      <c r="F53" s="6"/>
      <c r="G53" s="58"/>
    </row>
    <row r="54" spans="1:7" x14ac:dyDescent="0.25">
      <c r="A54" s="19"/>
      <c r="B54" s="18"/>
      <c r="C54" s="76"/>
      <c r="D54" s="33"/>
      <c r="E54" s="19"/>
      <c r="F54" s="6"/>
      <c r="G54" s="58"/>
    </row>
    <row r="55" spans="1:7" x14ac:dyDescent="0.25">
      <c r="A55" s="19"/>
      <c r="B55" s="18"/>
      <c r="C55" s="76"/>
      <c r="D55" s="33"/>
      <c r="E55" s="19"/>
      <c r="F55" s="6"/>
      <c r="G55" s="58"/>
    </row>
    <row r="56" spans="1:7" x14ac:dyDescent="0.25">
      <c r="A56" s="19"/>
      <c r="B56" s="18"/>
      <c r="C56" s="76"/>
      <c r="D56" s="33"/>
      <c r="E56" s="19"/>
      <c r="F56" s="6"/>
      <c r="G56" s="58"/>
    </row>
    <row r="57" spans="1:7" ht="15.6" x14ac:dyDescent="0.3">
      <c r="A57" s="10" t="s">
        <v>95</v>
      </c>
      <c r="C57" s="80"/>
    </row>
    <row r="58" spans="1:7" ht="16.2" thickBot="1" x14ac:dyDescent="0.35">
      <c r="A58" s="10" t="s">
        <v>206</v>
      </c>
      <c r="C58" s="80"/>
    </row>
    <row r="59" spans="1:7" s="5" customFormat="1" ht="21.6" thickTop="1" thickBot="1" x14ac:dyDescent="0.3">
      <c r="A59" s="15" t="s">
        <v>11</v>
      </c>
      <c r="B59" s="15" t="s">
        <v>13</v>
      </c>
      <c r="C59" s="81" t="s">
        <v>12</v>
      </c>
      <c r="D59" s="15" t="s">
        <v>17</v>
      </c>
      <c r="E59" s="15" t="s">
        <v>15</v>
      </c>
      <c r="F59" s="16" t="s">
        <v>10</v>
      </c>
      <c r="G59" s="16" t="s">
        <v>56</v>
      </c>
    </row>
    <row r="60" spans="1:7" ht="13.8" thickTop="1" x14ac:dyDescent="0.25">
      <c r="A60" s="24"/>
      <c r="B60" s="23"/>
      <c r="C60" s="71"/>
      <c r="D60" s="55"/>
      <c r="E60" s="24"/>
      <c r="F60" s="29"/>
      <c r="G60" s="28"/>
    </row>
    <row r="61" spans="1:7" x14ac:dyDescent="0.25">
      <c r="A61" s="24">
        <v>2769</v>
      </c>
      <c r="B61" s="23" t="s">
        <v>196</v>
      </c>
      <c r="C61" s="71">
        <v>37097</v>
      </c>
      <c r="D61" s="55">
        <v>15910</v>
      </c>
      <c r="E61" s="24" t="s">
        <v>16</v>
      </c>
      <c r="F61" s="29">
        <v>154882.82</v>
      </c>
      <c r="G61" s="28">
        <f t="shared" ref="G61:G76" si="1">+F61/$F$78</f>
        <v>2.710759133900259E-4</v>
      </c>
    </row>
    <row r="62" spans="1:7" x14ac:dyDescent="0.25">
      <c r="A62" s="24">
        <v>3186</v>
      </c>
      <c r="B62" s="23" t="s">
        <v>38</v>
      </c>
      <c r="C62" s="71">
        <v>37097</v>
      </c>
      <c r="D62" s="55">
        <v>15898</v>
      </c>
      <c r="E62" s="24" t="s">
        <v>16</v>
      </c>
      <c r="F62" s="29">
        <v>12040135.130000001</v>
      </c>
      <c r="G62" s="28">
        <f t="shared" si="1"/>
        <v>2.1072644646475885E-2</v>
      </c>
    </row>
    <row r="63" spans="1:7" x14ac:dyDescent="0.25">
      <c r="A63" s="24">
        <v>3186</v>
      </c>
      <c r="B63" s="23" t="s">
        <v>38</v>
      </c>
      <c r="C63" s="71">
        <v>37116</v>
      </c>
      <c r="D63" s="55">
        <v>16039</v>
      </c>
      <c r="E63" s="24" t="s">
        <v>16</v>
      </c>
      <c r="F63" s="29">
        <v>969428.32</v>
      </c>
      <c r="G63" s="28">
        <f t="shared" si="1"/>
        <v>1.6966934570932933E-3</v>
      </c>
    </row>
    <row r="64" spans="1:7" x14ac:dyDescent="0.25">
      <c r="A64" s="24">
        <v>3187</v>
      </c>
      <c r="B64" s="23" t="s">
        <v>38</v>
      </c>
      <c r="C64" s="71">
        <v>37097</v>
      </c>
      <c r="D64" s="55">
        <v>15897</v>
      </c>
      <c r="E64" s="24" t="s">
        <v>16</v>
      </c>
      <c r="F64" s="29">
        <v>243608942.53</v>
      </c>
      <c r="G64" s="28">
        <f t="shared" si="1"/>
        <v>0.42636437408808847</v>
      </c>
    </row>
    <row r="65" spans="1:9" x14ac:dyDescent="0.25">
      <c r="A65" s="24">
        <v>1183</v>
      </c>
      <c r="B65" s="23" t="s">
        <v>192</v>
      </c>
      <c r="C65" s="71">
        <v>37097</v>
      </c>
      <c r="D65" s="55">
        <v>15953</v>
      </c>
      <c r="E65" s="24" t="s">
        <v>16</v>
      </c>
      <c r="F65" s="29">
        <v>3219.86</v>
      </c>
      <c r="G65" s="28">
        <f t="shared" si="1"/>
        <v>5.6353990099612642E-6</v>
      </c>
    </row>
    <row r="66" spans="1:9" x14ac:dyDescent="0.25">
      <c r="A66" s="24">
        <v>1012</v>
      </c>
      <c r="B66" s="23" t="s">
        <v>91</v>
      </c>
      <c r="C66" s="71">
        <v>37097</v>
      </c>
      <c r="D66" s="55">
        <v>15969</v>
      </c>
      <c r="E66" s="24" t="s">
        <v>16</v>
      </c>
      <c r="F66" s="29">
        <v>85181.41</v>
      </c>
      <c r="G66" s="28">
        <f t="shared" si="1"/>
        <v>1.4908450478626542E-4</v>
      </c>
    </row>
    <row r="67" spans="1:9" x14ac:dyDescent="0.25">
      <c r="A67" s="24">
        <v>2666</v>
      </c>
      <c r="B67" s="23" t="s">
        <v>189</v>
      </c>
      <c r="C67" s="71">
        <v>37097</v>
      </c>
      <c r="D67" s="55">
        <v>15915</v>
      </c>
      <c r="E67" s="24" t="s">
        <v>16</v>
      </c>
      <c r="F67" s="29">
        <v>10.02</v>
      </c>
      <c r="G67" s="28">
        <f t="shared" si="1"/>
        <v>1.7537004118133046E-8</v>
      </c>
    </row>
    <row r="68" spans="1:9" x14ac:dyDescent="0.25">
      <c r="A68" s="24">
        <v>1384</v>
      </c>
      <c r="B68" s="23" t="s">
        <v>5</v>
      </c>
      <c r="C68" s="71">
        <v>37097</v>
      </c>
      <c r="D68" s="55">
        <v>15944</v>
      </c>
      <c r="E68" s="24" t="s">
        <v>16</v>
      </c>
      <c r="F68" s="29">
        <v>168749.96</v>
      </c>
      <c r="G68" s="28">
        <f t="shared" si="1"/>
        <v>2.9534618198151562E-4</v>
      </c>
    </row>
    <row r="69" spans="1:9" x14ac:dyDescent="0.25">
      <c r="A69" s="24">
        <v>2626</v>
      </c>
      <c r="B69" s="23" t="s">
        <v>6</v>
      </c>
      <c r="C69" s="71">
        <v>37097</v>
      </c>
      <c r="D69" s="55">
        <v>15917</v>
      </c>
      <c r="E69" s="24" t="s">
        <v>16</v>
      </c>
      <c r="F69" s="29">
        <v>28483.79</v>
      </c>
      <c r="G69" s="28">
        <f t="shared" si="1"/>
        <v>4.9852329593816056E-5</v>
      </c>
    </row>
    <row r="70" spans="1:9" x14ac:dyDescent="0.25">
      <c r="A70" s="24">
        <v>2528</v>
      </c>
      <c r="B70" s="23" t="s">
        <v>79</v>
      </c>
      <c r="C70" s="71">
        <v>37097</v>
      </c>
      <c r="D70" s="55">
        <v>15922</v>
      </c>
      <c r="E70" s="24" t="s">
        <v>16</v>
      </c>
      <c r="F70" s="29">
        <v>5187.76</v>
      </c>
      <c r="G70" s="28">
        <f t="shared" si="1"/>
        <v>9.0796176131622649E-6</v>
      </c>
    </row>
    <row r="71" spans="1:9" x14ac:dyDescent="0.25">
      <c r="A71" s="24">
        <v>1008</v>
      </c>
      <c r="B71" s="23" t="s">
        <v>7</v>
      </c>
      <c r="C71" s="71">
        <v>37097</v>
      </c>
      <c r="D71" s="55">
        <v>15972</v>
      </c>
      <c r="E71" s="24" t="s">
        <v>16</v>
      </c>
      <c r="F71" s="29">
        <v>2580.9899999999998</v>
      </c>
      <c r="G71" s="28">
        <f t="shared" si="1"/>
        <v>4.5172487284291622E-6</v>
      </c>
    </row>
    <row r="72" spans="1:9" s="21" customFormat="1" x14ac:dyDescent="0.25">
      <c r="A72" s="24">
        <v>1010</v>
      </c>
      <c r="B72" s="23" t="s">
        <v>63</v>
      </c>
      <c r="C72" s="71">
        <v>37097</v>
      </c>
      <c r="D72" s="55">
        <v>15971</v>
      </c>
      <c r="E72" s="24" t="s">
        <v>16</v>
      </c>
      <c r="F72" s="29">
        <v>275597626.93000001</v>
      </c>
      <c r="G72" s="28">
        <f t="shared" si="1"/>
        <v>0.4823509699021063</v>
      </c>
      <c r="I72" s="36">
        <f>SUM(F30:F76)-567732769.56</f>
        <v>0</v>
      </c>
    </row>
    <row r="73" spans="1:9" s="21" customFormat="1" x14ac:dyDescent="0.25">
      <c r="A73" s="24">
        <v>1010</v>
      </c>
      <c r="B73" s="23" t="s">
        <v>63</v>
      </c>
      <c r="C73" s="71">
        <v>37116</v>
      </c>
      <c r="D73" s="55">
        <v>16112</v>
      </c>
      <c r="E73" s="24" t="s">
        <v>16</v>
      </c>
      <c r="F73" s="29">
        <v>7735653.8300000001</v>
      </c>
      <c r="G73" s="28">
        <f t="shared" si="1"/>
        <v>1.3538941424467233E-2</v>
      </c>
      <c r="I73" s="36"/>
    </row>
    <row r="74" spans="1:9" s="21" customFormat="1" x14ac:dyDescent="0.25">
      <c r="A74" s="24">
        <v>2767</v>
      </c>
      <c r="B74" s="23" t="s">
        <v>9</v>
      </c>
      <c r="C74" s="71">
        <v>37097</v>
      </c>
      <c r="D74" s="55">
        <v>15911</v>
      </c>
      <c r="E74" s="24" t="s">
        <v>16</v>
      </c>
      <c r="F74" s="29">
        <v>121.08</v>
      </c>
      <c r="G74" s="28">
        <f t="shared" si="1"/>
        <v>2.119142174274999E-7</v>
      </c>
      <c r="I74" s="36"/>
    </row>
    <row r="75" spans="1:9" s="21" customFormat="1" x14ac:dyDescent="0.25">
      <c r="A75" s="24">
        <v>2767</v>
      </c>
      <c r="B75" s="23" t="s">
        <v>9</v>
      </c>
      <c r="C75" s="71">
        <v>37116</v>
      </c>
      <c r="D75" s="55">
        <v>16052</v>
      </c>
      <c r="E75" s="24" t="s">
        <v>16</v>
      </c>
      <c r="F75" s="29">
        <v>154.38</v>
      </c>
      <c r="G75" s="28">
        <f t="shared" si="1"/>
        <v>2.7019587782009777E-7</v>
      </c>
      <c r="I75" s="36"/>
    </row>
    <row r="76" spans="1:9" x14ac:dyDescent="0.25">
      <c r="A76" s="24">
        <v>3207</v>
      </c>
      <c r="B76" s="23" t="s">
        <v>190</v>
      </c>
      <c r="C76" s="71">
        <v>37116</v>
      </c>
      <c r="D76" s="55">
        <v>16034</v>
      </c>
      <c r="E76" s="24" t="s">
        <v>16</v>
      </c>
      <c r="F76" s="56">
        <v>232692.9</v>
      </c>
      <c r="G76" s="57">
        <f t="shared" si="1"/>
        <v>4.0725911632338532E-4</v>
      </c>
    </row>
    <row r="77" spans="1:9" x14ac:dyDescent="0.25">
      <c r="A77" s="7"/>
      <c r="B77" s="2"/>
      <c r="C77" s="9"/>
      <c r="D77" s="13"/>
      <c r="E77" s="13"/>
      <c r="F77" s="6"/>
      <c r="G77" s="21"/>
    </row>
    <row r="78" spans="1:9" ht="13.8" thickBot="1" x14ac:dyDescent="0.3">
      <c r="B78" s="1" t="s">
        <v>18</v>
      </c>
      <c r="F78" s="30">
        <f>SUM(F20:F77)</f>
        <v>571363268.92000008</v>
      </c>
      <c r="G78" s="20">
        <f>+F78/F78</f>
        <v>1</v>
      </c>
    </row>
    <row r="79" spans="1:9" ht="13.8" thickTop="1" x14ac:dyDescent="0.25"/>
    <row r="82" spans="2:7" x14ac:dyDescent="0.25">
      <c r="B82" s="85" t="s">
        <v>191</v>
      </c>
    </row>
    <row r="83" spans="2:7" x14ac:dyDescent="0.25">
      <c r="B83" s="85" t="s">
        <v>197</v>
      </c>
    </row>
    <row r="86" spans="2:7" ht="15.6" x14ac:dyDescent="0.3">
      <c r="B86" s="10" t="str">
        <f>+B1</f>
        <v>Certification for Market Settlement August 24, 2001</v>
      </c>
    </row>
    <row r="87" spans="2:7" ht="15.6" x14ac:dyDescent="0.3">
      <c r="B87" s="10"/>
    </row>
    <row r="88" spans="2:7" ht="15.6" x14ac:dyDescent="0.3">
      <c r="B88" s="10" t="str">
        <f>+B53</f>
        <v>For the Trade Month of May 2001</v>
      </c>
    </row>
    <row r="89" spans="2:7" ht="15.6" x14ac:dyDescent="0.3">
      <c r="B89" s="10"/>
    </row>
    <row r="90" spans="2:7" ht="15.6" x14ac:dyDescent="0.3">
      <c r="B90" s="10"/>
    </row>
    <row r="91" spans="2:7" ht="15.6" x14ac:dyDescent="0.3">
      <c r="B91" s="10" t="s">
        <v>27</v>
      </c>
    </row>
    <row r="92" spans="2:7" ht="15.6" x14ac:dyDescent="0.3">
      <c r="B92" s="10"/>
    </row>
    <row r="93" spans="2:7" x14ac:dyDescent="0.25">
      <c r="B93" s="21" t="s">
        <v>26</v>
      </c>
      <c r="C93" s="32"/>
      <c r="D93" s="33"/>
      <c r="E93" s="33"/>
      <c r="F93" s="34">
        <v>629206074.5</v>
      </c>
      <c r="G93" s="62">
        <f>+F93/F95</f>
        <v>0.97471777732534515</v>
      </c>
    </row>
    <row r="94" spans="2:7" x14ac:dyDescent="0.25">
      <c r="B94" s="21" t="s">
        <v>28</v>
      </c>
      <c r="C94" s="32"/>
      <c r="D94" s="33"/>
      <c r="E94" s="33"/>
      <c r="F94" s="39">
        <v>16320342.619999999</v>
      </c>
      <c r="G94" s="62">
        <f>+F94/F95</f>
        <v>2.5282222674654898E-2</v>
      </c>
    </row>
    <row r="95" spans="2:7" x14ac:dyDescent="0.25">
      <c r="B95" s="35" t="s">
        <v>29</v>
      </c>
      <c r="C95" s="32"/>
      <c r="D95" s="33"/>
      <c r="E95" s="33"/>
      <c r="F95" s="39">
        <f>SUM(F93:F94)</f>
        <v>645526417.12</v>
      </c>
      <c r="G95" s="63">
        <f>+F95/F95</f>
        <v>1</v>
      </c>
    </row>
    <row r="96" spans="2:7" ht="15.6" x14ac:dyDescent="0.3">
      <c r="B96" s="10"/>
    </row>
    <row r="97" spans="1:9" x14ac:dyDescent="0.25">
      <c r="B97" s="21" t="s">
        <v>199</v>
      </c>
      <c r="C97" s="32"/>
      <c r="D97" s="33"/>
      <c r="E97" s="33"/>
      <c r="F97" s="6">
        <v>38626846.890000001</v>
      </c>
    </row>
    <row r="98" spans="1:9" x14ac:dyDescent="0.25">
      <c r="B98" s="21" t="s">
        <v>200</v>
      </c>
      <c r="C98" s="32"/>
      <c r="D98" s="33"/>
      <c r="E98" s="33"/>
      <c r="F98" s="39">
        <v>21768339.239999998</v>
      </c>
    </row>
    <row r="99" spans="1:9" x14ac:dyDescent="0.25">
      <c r="B99" s="35" t="s">
        <v>33</v>
      </c>
      <c r="C99" s="32"/>
      <c r="D99" s="33"/>
      <c r="E99" s="33"/>
      <c r="F99" s="39">
        <f>SUM(F97:F98)</f>
        <v>60395186.129999995</v>
      </c>
      <c r="G99" s="63">
        <f>+F99/F95</f>
        <v>9.355958877632245E-2</v>
      </c>
    </row>
    <row r="100" spans="1:9" ht="15.6" x14ac:dyDescent="0.3">
      <c r="B100" s="10"/>
    </row>
    <row r="101" spans="1:9" s="21" customFormat="1" x14ac:dyDescent="0.25">
      <c r="A101" s="32"/>
      <c r="B101" s="21" t="s">
        <v>202</v>
      </c>
      <c r="C101" s="32"/>
      <c r="D101" s="33"/>
      <c r="E101" s="33"/>
      <c r="F101" s="6">
        <v>52237.34</v>
      </c>
    </row>
    <row r="102" spans="1:9" s="21" customFormat="1" x14ac:dyDescent="0.25">
      <c r="A102" s="32"/>
      <c r="B102" s="21" t="s">
        <v>185</v>
      </c>
      <c r="C102" s="32"/>
      <c r="D102" s="33"/>
      <c r="E102" s="33"/>
      <c r="F102" s="6">
        <v>2137666.1800000002</v>
      </c>
    </row>
    <row r="103" spans="1:9" s="21" customFormat="1" x14ac:dyDescent="0.25">
      <c r="A103" s="32"/>
      <c r="B103" s="21" t="s">
        <v>151</v>
      </c>
      <c r="C103" s="32"/>
      <c r="D103" s="33"/>
      <c r="E103" s="33"/>
      <c r="F103" s="39">
        <v>15208557.91</v>
      </c>
    </row>
    <row r="104" spans="1:9" x14ac:dyDescent="0.25">
      <c r="B104" s="1" t="s">
        <v>54</v>
      </c>
      <c r="F104" s="40">
        <f>SUM(F101:F103)</f>
        <v>17398461.43</v>
      </c>
      <c r="G104" s="63">
        <f>+F104/F95</f>
        <v>2.6952361620803687E-2</v>
      </c>
    </row>
    <row r="105" spans="1:9" x14ac:dyDescent="0.25">
      <c r="B105" s="1"/>
      <c r="F105" s="36"/>
      <c r="G105" s="63"/>
    </row>
    <row r="106" spans="1:9" s="21" customFormat="1" x14ac:dyDescent="0.25">
      <c r="A106" s="32"/>
      <c r="B106" s="21" t="s">
        <v>201</v>
      </c>
      <c r="C106" s="32"/>
      <c r="D106" s="33"/>
      <c r="E106" s="33"/>
      <c r="F106" s="39">
        <v>3630499.36</v>
      </c>
      <c r="G106" s="63">
        <f>+F106/F95</f>
        <v>5.6240910731390082E-3</v>
      </c>
    </row>
    <row r="107" spans="1:9" ht="15.6" x14ac:dyDescent="0.3">
      <c r="B107" s="10"/>
    </row>
    <row r="108" spans="1:9" ht="16.2" thickBot="1" x14ac:dyDescent="0.35">
      <c r="B108" s="45" t="s">
        <v>35</v>
      </c>
      <c r="C108" s="49"/>
      <c r="D108" s="50"/>
      <c r="E108" s="50"/>
      <c r="F108" s="51">
        <f>+F95-F99-F104+F106</f>
        <v>571363268.92000008</v>
      </c>
      <c r="G108" s="64">
        <f>+F108/F95</f>
        <v>0.88511214067601296</v>
      </c>
      <c r="I108" s="75">
        <f>+F78-F108</f>
        <v>0</v>
      </c>
    </row>
    <row r="109" spans="1:9" ht="15.6" x14ac:dyDescent="0.3">
      <c r="B109" s="37"/>
      <c r="C109" s="32"/>
      <c r="D109" s="33"/>
      <c r="E109" s="33"/>
      <c r="F109" s="38"/>
    </row>
    <row r="110" spans="1:9" ht="15.6" x14ac:dyDescent="0.3">
      <c r="B110" s="10"/>
    </row>
    <row r="111" spans="1:9" ht="15.6" x14ac:dyDescent="0.3">
      <c r="B111" s="37" t="s">
        <v>34</v>
      </c>
      <c r="C111" s="32"/>
      <c r="D111" s="33"/>
      <c r="E111" s="33"/>
      <c r="F111" s="21"/>
    </row>
    <row r="112" spans="1:9" ht="15.6" x14ac:dyDescent="0.3">
      <c r="B112" s="37"/>
      <c r="C112" s="32"/>
      <c r="D112" s="33"/>
      <c r="E112" s="33"/>
      <c r="F112" s="21"/>
    </row>
    <row r="113" spans="1:9" s="21" customFormat="1" x14ac:dyDescent="0.25">
      <c r="A113" s="32"/>
      <c r="B113" s="21" t="s">
        <v>26</v>
      </c>
      <c r="C113" s="32"/>
      <c r="D113" s="33"/>
      <c r="E113" s="33"/>
      <c r="F113" s="34">
        <v>629486180.25</v>
      </c>
      <c r="G113" s="65">
        <f>+F113/F115</f>
        <v>0.97472689721298678</v>
      </c>
    </row>
    <row r="114" spans="1:9" x14ac:dyDescent="0.25">
      <c r="B114" s="21" t="s">
        <v>28</v>
      </c>
      <c r="C114" s="32"/>
      <c r="D114" s="33"/>
      <c r="E114" s="33"/>
      <c r="F114" s="39">
        <v>16321565.539999999</v>
      </c>
      <c r="G114" s="65">
        <f>+F114/F115</f>
        <v>2.5273102787013259E-2</v>
      </c>
    </row>
    <row r="115" spans="1:9" x14ac:dyDescent="0.25">
      <c r="B115" s="35" t="s">
        <v>29</v>
      </c>
      <c r="C115" s="32"/>
      <c r="D115" s="33"/>
      <c r="E115" s="33"/>
      <c r="F115" s="39">
        <f>SUM(F113:F114)</f>
        <v>645807745.78999996</v>
      </c>
      <c r="G115" s="63">
        <f>+F115/F115</f>
        <v>1</v>
      </c>
    </row>
    <row r="116" spans="1:9" ht="15.6" x14ac:dyDescent="0.3">
      <c r="B116" s="10"/>
    </row>
    <row r="117" spans="1:9" x14ac:dyDescent="0.25">
      <c r="B117" s="21" t="s">
        <v>182</v>
      </c>
      <c r="C117" s="32"/>
      <c r="D117" s="33"/>
      <c r="E117" s="33"/>
      <c r="F117" s="39">
        <v>57029735.530000001</v>
      </c>
    </row>
    <row r="118" spans="1:9" x14ac:dyDescent="0.25">
      <c r="B118" s="35" t="s">
        <v>42</v>
      </c>
      <c r="C118" s="32"/>
      <c r="D118" s="33"/>
      <c r="E118" s="33"/>
      <c r="F118" s="39">
        <f>SUM(F117:F117)</f>
        <v>57029735.530000001</v>
      </c>
      <c r="G118" s="63">
        <f>+F118/F115</f>
        <v>8.8307605323372201E-2</v>
      </c>
    </row>
    <row r="119" spans="1:9" ht="15.6" x14ac:dyDescent="0.3">
      <c r="B119" s="10"/>
    </row>
    <row r="120" spans="1:9" x14ac:dyDescent="0.25">
      <c r="B120" s="21" t="s">
        <v>165</v>
      </c>
      <c r="C120" s="32"/>
      <c r="D120" s="33"/>
      <c r="E120" s="33"/>
      <c r="F120" s="36">
        <v>13796.62</v>
      </c>
    </row>
    <row r="121" spans="1:9" x14ac:dyDescent="0.25">
      <c r="B121" s="21" t="s">
        <v>148</v>
      </c>
      <c r="C121" s="32"/>
      <c r="D121" s="33"/>
      <c r="E121" s="33"/>
      <c r="F121" s="36">
        <v>1006.04</v>
      </c>
    </row>
    <row r="122" spans="1:9" x14ac:dyDescent="0.25">
      <c r="B122" s="21" t="s">
        <v>175</v>
      </c>
      <c r="C122" s="32"/>
      <c r="D122" s="33"/>
      <c r="E122" s="33"/>
      <c r="F122" s="36">
        <v>1256.42</v>
      </c>
    </row>
    <row r="123" spans="1:9" x14ac:dyDescent="0.25">
      <c r="B123" s="21" t="s">
        <v>169</v>
      </c>
      <c r="C123" s="32"/>
      <c r="D123" s="33"/>
      <c r="E123" s="33"/>
      <c r="F123" s="36">
        <v>169976.54</v>
      </c>
    </row>
    <row r="124" spans="1:9" x14ac:dyDescent="0.25">
      <c r="B124" s="21" t="s">
        <v>185</v>
      </c>
      <c r="C124" s="32"/>
      <c r="D124" s="33"/>
      <c r="E124" s="33"/>
      <c r="F124" s="36">
        <v>101935.48</v>
      </c>
    </row>
    <row r="125" spans="1:9" x14ac:dyDescent="0.25">
      <c r="B125" s="21" t="s">
        <v>151</v>
      </c>
      <c r="C125" s="32"/>
      <c r="D125" s="33"/>
      <c r="E125" s="33"/>
      <c r="F125" s="40">
        <v>15207497.130000001</v>
      </c>
    </row>
    <row r="126" spans="1:9" x14ac:dyDescent="0.25">
      <c r="B126" s="1" t="s">
        <v>54</v>
      </c>
      <c r="C126" s="32"/>
      <c r="D126" s="33"/>
      <c r="E126" s="33"/>
      <c r="F126" s="40">
        <f>SUM(F120:F125)</f>
        <v>15495468.23</v>
      </c>
      <c r="G126" s="63">
        <f>+F126/F115</f>
        <v>2.3993933691589274E-2</v>
      </c>
    </row>
    <row r="127" spans="1:9" ht="15.6" x14ac:dyDescent="0.3">
      <c r="B127" s="10"/>
    </row>
    <row r="128" spans="1:9" ht="16.2" thickBot="1" x14ac:dyDescent="0.35">
      <c r="B128" s="45" t="s">
        <v>36</v>
      </c>
      <c r="C128" s="49"/>
      <c r="D128" s="50"/>
      <c r="E128" s="50"/>
      <c r="F128" s="51">
        <f>+F115-F118-F126</f>
        <v>573282542.02999997</v>
      </c>
      <c r="G128" s="64">
        <f>+F128/F115</f>
        <v>0.88769846098503857</v>
      </c>
      <c r="I128" s="75">
        <f>+F10-F128</f>
        <v>0</v>
      </c>
    </row>
    <row r="129" spans="2:6" ht="15.6" x14ac:dyDescent="0.3">
      <c r="B129" s="10"/>
    </row>
    <row r="130" spans="2:6" ht="15.6" x14ac:dyDescent="0.3">
      <c r="B130" s="37" t="s">
        <v>102</v>
      </c>
      <c r="C130" s="32"/>
      <c r="D130" s="33"/>
      <c r="E130" s="33"/>
    </row>
    <row r="131" spans="2:6" ht="15.6" x14ac:dyDescent="0.3">
      <c r="B131" s="37"/>
      <c r="C131" s="32"/>
      <c r="D131" s="33"/>
      <c r="E131" s="33"/>
    </row>
    <row r="132" spans="2:6" x14ac:dyDescent="0.25">
      <c r="B132" s="73" t="s">
        <v>103</v>
      </c>
      <c r="C132" s="32"/>
      <c r="D132" s="33"/>
      <c r="E132" s="33"/>
      <c r="F132" s="77">
        <f>+F133</f>
        <v>1919273.1099998951</v>
      </c>
    </row>
    <row r="133" spans="2:6" ht="16.2" thickBot="1" x14ac:dyDescent="0.35">
      <c r="B133" s="37" t="s">
        <v>101</v>
      </c>
      <c r="F133" s="74">
        <f>+F128-F108</f>
        <v>1919273.1099998951</v>
      </c>
    </row>
    <row r="134" spans="2:6" ht="13.8" thickTop="1" x14ac:dyDescent="0.25"/>
  </sheetData>
  <phoneticPr fontId="0" type="noConversion"/>
  <pageMargins left="0.5" right="0.25" top="0.5" bottom="0.5" header="0.5" footer="0"/>
  <pageSetup scale="89" orientation="portrait" verticalDpi="0" r:id="rId1"/>
  <headerFooter alignWithMargins="0">
    <oddFooter>&amp;LCertification August 24, 2001&amp;CPage &amp;P of &amp;N&amp;RTrade Month May 2001</oddFooter>
  </headerFooter>
  <rowBreaks count="2" manualBreakCount="2">
    <brk id="50" max="6" man="1"/>
    <brk id="84"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1"/>
  <sheetViews>
    <sheetView zoomScaleNormal="100" workbookViewId="0">
      <selection activeCell="A18" sqref="A18"/>
    </sheetView>
  </sheetViews>
  <sheetFormatPr defaultRowHeight="13.2" x14ac:dyDescent="0.25"/>
  <cols>
    <col min="1" max="1" width="70.6640625" customWidth="1"/>
    <col min="2" max="2" width="16.6640625" customWidth="1"/>
  </cols>
  <sheetData>
    <row r="1" spans="1:1" ht="15.75" customHeight="1" x14ac:dyDescent="0.3">
      <c r="A1" s="54" t="s">
        <v>203</v>
      </c>
    </row>
    <row r="2" spans="1:1" ht="15.75" customHeight="1" x14ac:dyDescent="0.3">
      <c r="A2" s="10"/>
    </row>
    <row r="3" spans="1:1" ht="15.75" customHeight="1" x14ac:dyDescent="0.3">
      <c r="A3" s="86" t="s">
        <v>44</v>
      </c>
    </row>
    <row r="4" spans="1:1" ht="15.75" customHeight="1" x14ac:dyDescent="0.3">
      <c r="A4" s="43" t="s">
        <v>45</v>
      </c>
    </row>
    <row r="5" spans="1:1" ht="15.75" customHeight="1" x14ac:dyDescent="0.3">
      <c r="A5" s="43" t="s">
        <v>46</v>
      </c>
    </row>
    <row r="6" spans="1:1" ht="15.75" customHeight="1" x14ac:dyDescent="0.3">
      <c r="A6" s="43" t="s">
        <v>85</v>
      </c>
    </row>
    <row r="7" spans="1:1" ht="15.75" customHeight="1" x14ac:dyDescent="0.3">
      <c r="A7" s="43" t="s">
        <v>90</v>
      </c>
    </row>
    <row r="8" spans="1:1" ht="15.75" customHeight="1" x14ac:dyDescent="0.3">
      <c r="A8" s="43" t="s">
        <v>114</v>
      </c>
    </row>
    <row r="9" spans="1:1" ht="15.75" customHeight="1" x14ac:dyDescent="0.3">
      <c r="A9" s="43" t="s">
        <v>119</v>
      </c>
    </row>
    <row r="10" spans="1:1" ht="15.75" customHeight="1" x14ac:dyDescent="0.3">
      <c r="A10" s="43" t="s">
        <v>204</v>
      </c>
    </row>
    <row r="11" spans="1:1" ht="15.75" customHeight="1" x14ac:dyDescent="0.3">
      <c r="A11" s="43"/>
    </row>
    <row r="12" spans="1:1" ht="15.75" customHeight="1" x14ac:dyDescent="0.3">
      <c r="A12" s="43"/>
    </row>
    <row r="13" spans="1:1" ht="15.75" customHeight="1" x14ac:dyDescent="0.25"/>
    <row r="14" spans="1:1" ht="15.75" customHeight="1" x14ac:dyDescent="0.3">
      <c r="A14" s="10" t="s">
        <v>21</v>
      </c>
    </row>
    <row r="15" spans="1:1" ht="15.75" customHeight="1" x14ac:dyDescent="0.3">
      <c r="A15" s="17"/>
    </row>
    <row r="16" spans="1:1" ht="102.75" customHeight="1" x14ac:dyDescent="0.25">
      <c r="A16" s="44" t="s">
        <v>48</v>
      </c>
    </row>
    <row r="17" spans="1:1" ht="15.75" customHeight="1" x14ac:dyDescent="0.25"/>
    <row r="18" spans="1:1" ht="15.75" customHeight="1" x14ac:dyDescent="0.3">
      <c r="A18" s="10" t="s">
        <v>205</v>
      </c>
    </row>
    <row r="19" spans="1:1" ht="15.75" customHeight="1" x14ac:dyDescent="0.3">
      <c r="A19" s="10" t="s">
        <v>20</v>
      </c>
    </row>
    <row r="20" spans="1:1" ht="54.75" customHeight="1" thickBot="1" x14ac:dyDescent="0.35">
      <c r="A20" s="45"/>
    </row>
    <row r="21" spans="1:1" ht="15.75" customHeight="1" x14ac:dyDescent="0.3">
      <c r="A21" s="10" t="s">
        <v>47</v>
      </c>
    </row>
  </sheetData>
  <phoneticPr fontId="0" type="noConversion"/>
  <pageMargins left="1" right="0.75" top="1" bottom="1" header="0.5" footer="0.5"/>
  <pageSetup orientation="portrait" verticalDpi="0" r:id="rId1"/>
  <headerFooter alignWithMargins="0">
    <oddFooter>&amp;LCertification August 24, 2001&amp;CPage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Cert Nov-00</vt:lpstr>
      <vt:lpstr>Cert Dec-00</vt:lpstr>
      <vt:lpstr>Cert Jan-01</vt:lpstr>
      <vt:lpstr>Cert Feb-01</vt:lpstr>
      <vt:lpstr>Cert Mar-01</vt:lpstr>
      <vt:lpstr>Cert Apr-01</vt:lpstr>
      <vt:lpstr>Cert May-01</vt:lpstr>
      <vt:lpstr>Certification</vt:lpstr>
      <vt:lpstr>'Cert Apr-01'!Print_Area</vt:lpstr>
      <vt:lpstr>'Cert Dec-00'!Print_Area</vt:lpstr>
      <vt:lpstr>'Cert Feb-01'!Print_Area</vt:lpstr>
      <vt:lpstr>'Cert Jan-01'!Print_Area</vt:lpstr>
      <vt:lpstr>'Cert Mar-01'!Print_Area</vt:lpstr>
      <vt:lpstr>'Cert May-01'!Print_Area</vt:lpstr>
      <vt:lpstr>'Cert Nov-00'!Print_Area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Havlíček Jan</cp:lastModifiedBy>
  <cp:lastPrinted>2001-08-25T00:10:22Z</cp:lastPrinted>
  <dcterms:created xsi:type="dcterms:W3CDTF">1998-02-17T01:41:47Z</dcterms:created>
  <dcterms:modified xsi:type="dcterms:W3CDTF">2023-09-10T10:58:12Z</dcterms:modified>
</cp:coreProperties>
</file>