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HE 1100" sheetId="3" r:id="rId1"/>
    <sheet name="HE 1200" sheetId="4" r:id="rId2"/>
    <sheet name="HE 1300" sheetId="6" r:id="rId3"/>
    <sheet name="HE 1400" sheetId="7" r:id="rId4"/>
    <sheet name="HE 1500" sheetId="8" r:id="rId5"/>
    <sheet name="HE 1600" sheetId="9" r:id="rId6"/>
    <sheet name="HE 1700" sheetId="10" r:id="rId7"/>
    <sheet name="HE 1800" sheetId="11" r:id="rId8"/>
    <sheet name="HE 2000" sheetId="12" r:id="rId9"/>
    <sheet name="HE 2100" sheetId="13" r:id="rId10"/>
  </sheets>
  <externalReferences>
    <externalReference r:id="rId11"/>
  </externalReferences>
  <definedNames>
    <definedName name="Deficiency">'[1]Calculator-Hourly'!$E$19</definedName>
    <definedName name="NFPurchase">'[1]Calculator-Hourly'!$E$6</definedName>
    <definedName name="Nonspin">'[1]Calculator-Hourly'!$E$17</definedName>
    <definedName name="_xlnm.Print_Area" localSheetId="0">'HE 1100'!$A$1:$R$38</definedName>
    <definedName name="Spin">'[1]Calculator-Hourly'!$E$16</definedName>
    <definedName name="SpinReq">'[1]Calculator-Hourly'!$E$12</definedName>
    <definedName name="TotalSpin">'[1]Calculator-Hourly'!$E$18</definedName>
    <definedName name="TotalSpinReq">'[1]Calculator-Hourly'!$E$11</definedName>
  </definedNames>
  <calcPr calcId="0" iterate="1" iterateCount="1" iterateDelta="0"/>
</workbook>
</file>

<file path=xl/calcChain.xml><?xml version="1.0" encoding="utf-8"?>
<calcChain xmlns="http://schemas.openxmlformats.org/spreadsheetml/2006/main">
  <c r="E3" i="3" l="1"/>
  <c r="I3" i="3"/>
  <c r="L3" i="3"/>
  <c r="E4" i="3"/>
  <c r="L4" i="3"/>
  <c r="L5" i="3"/>
  <c r="M7" i="3"/>
  <c r="E9" i="3"/>
  <c r="I9" i="3"/>
  <c r="K9" i="3"/>
  <c r="M9" i="3"/>
  <c r="E12" i="3"/>
  <c r="E13" i="3"/>
  <c r="E14" i="3"/>
  <c r="F16" i="3"/>
  <c r="E17" i="3"/>
  <c r="F17" i="3"/>
  <c r="P17" i="3"/>
  <c r="R17" i="3"/>
  <c r="E18" i="3"/>
  <c r="K18" i="3"/>
  <c r="P18" i="3"/>
  <c r="R18" i="3"/>
  <c r="E19" i="3"/>
  <c r="K19" i="3"/>
  <c r="P19" i="3"/>
  <c r="R19" i="3"/>
  <c r="K20" i="3"/>
  <c r="P20" i="3"/>
  <c r="R20" i="3"/>
  <c r="K21" i="3"/>
  <c r="P21" i="3"/>
  <c r="R21" i="3"/>
  <c r="K22" i="3"/>
  <c r="P22" i="3"/>
  <c r="R22" i="3"/>
  <c r="E23" i="3"/>
  <c r="I23" i="3"/>
  <c r="J23" i="3"/>
  <c r="K23" i="3"/>
  <c r="P23" i="3"/>
  <c r="R23" i="3"/>
  <c r="E24" i="3"/>
  <c r="P24" i="3"/>
  <c r="R24" i="3"/>
  <c r="E25" i="3"/>
  <c r="K25" i="3"/>
  <c r="P25" i="3"/>
  <c r="R25" i="3"/>
  <c r="E26" i="3"/>
  <c r="K26" i="3"/>
  <c r="P26" i="3"/>
  <c r="R26" i="3"/>
  <c r="K27" i="3"/>
  <c r="P27" i="3"/>
  <c r="R27" i="3"/>
  <c r="K28" i="3"/>
  <c r="P28" i="3"/>
  <c r="R28" i="3"/>
  <c r="K29" i="3"/>
  <c r="N29" i="3"/>
  <c r="O29" i="3"/>
  <c r="P29" i="3"/>
  <c r="R29" i="3"/>
  <c r="I30" i="3"/>
  <c r="J30" i="3"/>
  <c r="K30" i="3"/>
  <c r="F32" i="3"/>
  <c r="K32" i="3"/>
  <c r="N32" i="3"/>
  <c r="O32" i="3"/>
  <c r="G36" i="3"/>
  <c r="K36" i="3"/>
  <c r="E3" i="4"/>
  <c r="I3" i="4"/>
  <c r="L3" i="4"/>
  <c r="E4" i="4"/>
  <c r="L4" i="4"/>
  <c r="L5" i="4"/>
  <c r="M7" i="4"/>
  <c r="E9" i="4"/>
  <c r="I9" i="4"/>
  <c r="K9" i="4"/>
  <c r="M9" i="4"/>
  <c r="E12" i="4"/>
  <c r="E13" i="4"/>
  <c r="E14" i="4"/>
  <c r="E16" i="4"/>
  <c r="F16" i="4"/>
  <c r="E17" i="4"/>
  <c r="F17" i="4"/>
  <c r="P17" i="4"/>
  <c r="R17" i="4"/>
  <c r="E18" i="4"/>
  <c r="K18" i="4"/>
  <c r="P18" i="4"/>
  <c r="R18" i="4"/>
  <c r="E19" i="4"/>
  <c r="K19" i="4"/>
  <c r="P19" i="4"/>
  <c r="R19" i="4"/>
  <c r="K20" i="4"/>
  <c r="P20" i="4"/>
  <c r="R20" i="4"/>
  <c r="K21" i="4"/>
  <c r="P21" i="4"/>
  <c r="R21" i="4"/>
  <c r="K22" i="4"/>
  <c r="P22" i="4"/>
  <c r="R22" i="4"/>
  <c r="E23" i="4"/>
  <c r="I23" i="4"/>
  <c r="J23" i="4"/>
  <c r="K23" i="4"/>
  <c r="P23" i="4"/>
  <c r="R23" i="4"/>
  <c r="E24" i="4"/>
  <c r="P24" i="4"/>
  <c r="R24" i="4"/>
  <c r="E25" i="4"/>
  <c r="K25" i="4"/>
  <c r="P25" i="4"/>
  <c r="R25" i="4"/>
  <c r="E26" i="4"/>
  <c r="K26" i="4"/>
  <c r="P26" i="4"/>
  <c r="R26" i="4"/>
  <c r="K27" i="4"/>
  <c r="P27" i="4"/>
  <c r="R27" i="4"/>
  <c r="K28" i="4"/>
  <c r="P28" i="4"/>
  <c r="R28" i="4"/>
  <c r="K29" i="4"/>
  <c r="N29" i="4"/>
  <c r="O29" i="4"/>
  <c r="P29" i="4"/>
  <c r="R29" i="4"/>
  <c r="I30" i="4"/>
  <c r="J30" i="4"/>
  <c r="K30" i="4"/>
  <c r="F32" i="4"/>
  <c r="K32" i="4"/>
  <c r="N32" i="4"/>
  <c r="O32" i="4"/>
  <c r="G36" i="4"/>
  <c r="K36" i="4"/>
  <c r="E3" i="6"/>
  <c r="I3" i="6"/>
  <c r="L3" i="6"/>
  <c r="E4" i="6"/>
  <c r="L4" i="6"/>
  <c r="L5" i="6"/>
  <c r="M7" i="6"/>
  <c r="E9" i="6"/>
  <c r="I9" i="6"/>
  <c r="K9" i="6"/>
  <c r="M9" i="6"/>
  <c r="E12" i="6"/>
  <c r="E13" i="6"/>
  <c r="E14" i="6"/>
  <c r="E16" i="6"/>
  <c r="F16" i="6"/>
  <c r="E17" i="6"/>
  <c r="F17" i="6"/>
  <c r="P17" i="6"/>
  <c r="R17" i="6"/>
  <c r="E18" i="6"/>
  <c r="K18" i="6"/>
  <c r="P18" i="6"/>
  <c r="R18" i="6"/>
  <c r="E19" i="6"/>
  <c r="K19" i="6"/>
  <c r="P19" i="6"/>
  <c r="R19" i="6"/>
  <c r="K20" i="6"/>
  <c r="P20" i="6"/>
  <c r="R20" i="6"/>
  <c r="K21" i="6"/>
  <c r="P21" i="6"/>
  <c r="R21" i="6"/>
  <c r="K22" i="6"/>
  <c r="P22" i="6"/>
  <c r="R22" i="6"/>
  <c r="E23" i="6"/>
  <c r="I23" i="6"/>
  <c r="J23" i="6"/>
  <c r="K23" i="6"/>
  <c r="P23" i="6"/>
  <c r="R23" i="6"/>
  <c r="E24" i="6"/>
  <c r="P24" i="6"/>
  <c r="R24" i="6"/>
  <c r="E25" i="6"/>
  <c r="K25" i="6"/>
  <c r="P25" i="6"/>
  <c r="R25" i="6"/>
  <c r="E26" i="6"/>
  <c r="K26" i="6"/>
  <c r="P26" i="6"/>
  <c r="R26" i="6"/>
  <c r="K27" i="6"/>
  <c r="P27" i="6"/>
  <c r="R27" i="6"/>
  <c r="K28" i="6"/>
  <c r="P28" i="6"/>
  <c r="R28" i="6"/>
  <c r="K29" i="6"/>
  <c r="N29" i="6"/>
  <c r="O29" i="6"/>
  <c r="P29" i="6"/>
  <c r="R29" i="6"/>
  <c r="I30" i="6"/>
  <c r="J30" i="6"/>
  <c r="K30" i="6"/>
  <c r="F32" i="6"/>
  <c r="K32" i="6"/>
  <c r="N32" i="6"/>
  <c r="O32" i="6"/>
  <c r="G36" i="6"/>
  <c r="K36" i="6"/>
  <c r="E3" i="7"/>
  <c r="I3" i="7"/>
  <c r="L3" i="7"/>
  <c r="E4" i="7"/>
  <c r="L4" i="7"/>
  <c r="L5" i="7"/>
  <c r="M7" i="7"/>
  <c r="E9" i="7"/>
  <c r="I9" i="7"/>
  <c r="K9" i="7"/>
  <c r="M9" i="7"/>
  <c r="E12" i="7"/>
  <c r="E13" i="7"/>
  <c r="E14" i="7"/>
  <c r="E16" i="7"/>
  <c r="F16" i="7"/>
  <c r="E17" i="7"/>
  <c r="F17" i="7"/>
  <c r="P17" i="7"/>
  <c r="R17" i="7"/>
  <c r="E18" i="7"/>
  <c r="K18" i="7"/>
  <c r="P18" i="7"/>
  <c r="R18" i="7"/>
  <c r="E19" i="7"/>
  <c r="K19" i="7"/>
  <c r="P19" i="7"/>
  <c r="R19" i="7"/>
  <c r="K20" i="7"/>
  <c r="P20" i="7"/>
  <c r="R20" i="7"/>
  <c r="K21" i="7"/>
  <c r="P21" i="7"/>
  <c r="R21" i="7"/>
  <c r="K22" i="7"/>
  <c r="P22" i="7"/>
  <c r="R22" i="7"/>
  <c r="E23" i="7"/>
  <c r="I23" i="7"/>
  <c r="J23" i="7"/>
  <c r="K23" i="7"/>
  <c r="P23" i="7"/>
  <c r="R23" i="7"/>
  <c r="E24" i="7"/>
  <c r="P24" i="7"/>
  <c r="R24" i="7"/>
  <c r="E25" i="7"/>
  <c r="K25" i="7"/>
  <c r="P25" i="7"/>
  <c r="R25" i="7"/>
  <c r="E26" i="7"/>
  <c r="K26" i="7"/>
  <c r="P26" i="7"/>
  <c r="R26" i="7"/>
  <c r="K27" i="7"/>
  <c r="P27" i="7"/>
  <c r="R27" i="7"/>
  <c r="K28" i="7"/>
  <c r="P28" i="7"/>
  <c r="R28" i="7"/>
  <c r="K29" i="7"/>
  <c r="N29" i="7"/>
  <c r="O29" i="7"/>
  <c r="P29" i="7"/>
  <c r="R29" i="7"/>
  <c r="I30" i="7"/>
  <c r="J30" i="7"/>
  <c r="K30" i="7"/>
  <c r="F32" i="7"/>
  <c r="K32" i="7"/>
  <c r="N32" i="7"/>
  <c r="O32" i="7"/>
  <c r="G36" i="7"/>
  <c r="K36" i="7"/>
  <c r="E3" i="8"/>
  <c r="I3" i="8"/>
  <c r="L3" i="8"/>
  <c r="E4" i="8"/>
  <c r="L4" i="8"/>
  <c r="L5" i="8"/>
  <c r="M7" i="8"/>
  <c r="E9" i="8"/>
  <c r="I9" i="8"/>
  <c r="K9" i="8"/>
  <c r="M9" i="8"/>
  <c r="E12" i="8"/>
  <c r="E13" i="8"/>
  <c r="E14" i="8"/>
  <c r="E16" i="8"/>
  <c r="F16" i="8"/>
  <c r="E17" i="8"/>
  <c r="F17" i="8"/>
  <c r="P17" i="8"/>
  <c r="R17" i="8"/>
  <c r="E18" i="8"/>
  <c r="K18" i="8"/>
  <c r="P18" i="8"/>
  <c r="R18" i="8"/>
  <c r="E19" i="8"/>
  <c r="K19" i="8"/>
  <c r="P19" i="8"/>
  <c r="R19" i="8"/>
  <c r="K20" i="8"/>
  <c r="P20" i="8"/>
  <c r="R20" i="8"/>
  <c r="K21" i="8"/>
  <c r="P21" i="8"/>
  <c r="R21" i="8"/>
  <c r="K22" i="8"/>
  <c r="P22" i="8"/>
  <c r="R22" i="8"/>
  <c r="E23" i="8"/>
  <c r="I23" i="8"/>
  <c r="J23" i="8"/>
  <c r="K23" i="8"/>
  <c r="P23" i="8"/>
  <c r="R23" i="8"/>
  <c r="E24" i="8"/>
  <c r="P24" i="8"/>
  <c r="R24" i="8"/>
  <c r="E25" i="8"/>
  <c r="K25" i="8"/>
  <c r="P25" i="8"/>
  <c r="R25" i="8"/>
  <c r="E26" i="8"/>
  <c r="K26" i="8"/>
  <c r="P26" i="8"/>
  <c r="R26" i="8"/>
  <c r="K27" i="8"/>
  <c r="P27" i="8"/>
  <c r="R27" i="8"/>
  <c r="K28" i="8"/>
  <c r="P28" i="8"/>
  <c r="R28" i="8"/>
  <c r="K29" i="8"/>
  <c r="N29" i="8"/>
  <c r="O29" i="8"/>
  <c r="P29" i="8"/>
  <c r="R29" i="8"/>
  <c r="I30" i="8"/>
  <c r="J30" i="8"/>
  <c r="K30" i="8"/>
  <c r="F32" i="8"/>
  <c r="K32" i="8"/>
  <c r="N32" i="8"/>
  <c r="O32" i="8"/>
  <c r="G36" i="8"/>
  <c r="K36" i="8"/>
  <c r="E3" i="9"/>
  <c r="I3" i="9"/>
  <c r="L3" i="9"/>
  <c r="E4" i="9"/>
  <c r="L4" i="9"/>
  <c r="L5" i="9"/>
  <c r="M7" i="9"/>
  <c r="E9" i="9"/>
  <c r="I9" i="9"/>
  <c r="K9" i="9"/>
  <c r="M9" i="9"/>
  <c r="E12" i="9"/>
  <c r="E13" i="9"/>
  <c r="E14" i="9"/>
  <c r="E16" i="9"/>
  <c r="F16" i="9"/>
  <c r="E17" i="9"/>
  <c r="F17" i="9"/>
  <c r="P17" i="9"/>
  <c r="R17" i="9"/>
  <c r="E18" i="9"/>
  <c r="K18" i="9"/>
  <c r="P18" i="9"/>
  <c r="R18" i="9"/>
  <c r="E19" i="9"/>
  <c r="K19" i="9"/>
  <c r="P19" i="9"/>
  <c r="R19" i="9"/>
  <c r="K20" i="9"/>
  <c r="P20" i="9"/>
  <c r="R20" i="9"/>
  <c r="K21" i="9"/>
  <c r="P21" i="9"/>
  <c r="R21" i="9"/>
  <c r="K22" i="9"/>
  <c r="P22" i="9"/>
  <c r="R22" i="9"/>
  <c r="E23" i="9"/>
  <c r="I23" i="9"/>
  <c r="J23" i="9"/>
  <c r="K23" i="9"/>
  <c r="P23" i="9"/>
  <c r="R23" i="9"/>
  <c r="E24" i="9"/>
  <c r="P24" i="9"/>
  <c r="R24" i="9"/>
  <c r="E25" i="9"/>
  <c r="K25" i="9"/>
  <c r="P25" i="9"/>
  <c r="R25" i="9"/>
  <c r="E26" i="9"/>
  <c r="K26" i="9"/>
  <c r="P26" i="9"/>
  <c r="R26" i="9"/>
  <c r="K27" i="9"/>
  <c r="P27" i="9"/>
  <c r="R27" i="9"/>
  <c r="K28" i="9"/>
  <c r="P28" i="9"/>
  <c r="R28" i="9"/>
  <c r="K29" i="9"/>
  <c r="N29" i="9"/>
  <c r="O29" i="9"/>
  <c r="P29" i="9"/>
  <c r="R29" i="9"/>
  <c r="I30" i="9"/>
  <c r="J30" i="9"/>
  <c r="K30" i="9"/>
  <c r="F32" i="9"/>
  <c r="K32" i="9"/>
  <c r="N32" i="9"/>
  <c r="O32" i="9"/>
  <c r="G36" i="9"/>
  <c r="K36" i="9"/>
  <c r="E3" i="10"/>
  <c r="I3" i="10"/>
  <c r="L3" i="10"/>
  <c r="E4" i="10"/>
  <c r="L4" i="10"/>
  <c r="L5" i="10"/>
  <c r="M7" i="10"/>
  <c r="E9" i="10"/>
  <c r="I9" i="10"/>
  <c r="K9" i="10"/>
  <c r="M9" i="10"/>
  <c r="E12" i="10"/>
  <c r="E13" i="10"/>
  <c r="E14" i="10"/>
  <c r="E16" i="10"/>
  <c r="F16" i="10"/>
  <c r="E17" i="10"/>
  <c r="F17" i="10"/>
  <c r="P17" i="10"/>
  <c r="R17" i="10"/>
  <c r="E18" i="10"/>
  <c r="K18" i="10"/>
  <c r="P18" i="10"/>
  <c r="R18" i="10"/>
  <c r="E19" i="10"/>
  <c r="K19" i="10"/>
  <c r="P19" i="10"/>
  <c r="R19" i="10"/>
  <c r="K20" i="10"/>
  <c r="P20" i="10"/>
  <c r="R20" i="10"/>
  <c r="K21" i="10"/>
  <c r="P21" i="10"/>
  <c r="R21" i="10"/>
  <c r="K22" i="10"/>
  <c r="P22" i="10"/>
  <c r="R22" i="10"/>
  <c r="E23" i="10"/>
  <c r="I23" i="10"/>
  <c r="J23" i="10"/>
  <c r="K23" i="10"/>
  <c r="P23" i="10"/>
  <c r="R23" i="10"/>
  <c r="E24" i="10"/>
  <c r="P24" i="10"/>
  <c r="R24" i="10"/>
  <c r="E25" i="10"/>
  <c r="K25" i="10"/>
  <c r="P25" i="10"/>
  <c r="R25" i="10"/>
  <c r="E26" i="10"/>
  <c r="K26" i="10"/>
  <c r="P26" i="10"/>
  <c r="R26" i="10"/>
  <c r="K27" i="10"/>
  <c r="P27" i="10"/>
  <c r="R27" i="10"/>
  <c r="K28" i="10"/>
  <c r="P28" i="10"/>
  <c r="R28" i="10"/>
  <c r="K29" i="10"/>
  <c r="N29" i="10"/>
  <c r="O29" i="10"/>
  <c r="P29" i="10"/>
  <c r="R29" i="10"/>
  <c r="I30" i="10"/>
  <c r="J30" i="10"/>
  <c r="K30" i="10"/>
  <c r="F32" i="10"/>
  <c r="K32" i="10"/>
  <c r="N32" i="10"/>
  <c r="O32" i="10"/>
  <c r="G36" i="10"/>
  <c r="K36" i="10"/>
  <c r="E3" i="11"/>
  <c r="I3" i="11"/>
  <c r="L3" i="11"/>
  <c r="E4" i="11"/>
  <c r="L4" i="11"/>
  <c r="L5" i="11"/>
  <c r="M7" i="11"/>
  <c r="E9" i="11"/>
  <c r="I9" i="11"/>
  <c r="K9" i="11"/>
  <c r="M9" i="11"/>
  <c r="E12" i="11"/>
  <c r="E13" i="11"/>
  <c r="E14" i="11"/>
  <c r="E16" i="11"/>
  <c r="F16" i="11"/>
  <c r="E17" i="11"/>
  <c r="F17" i="11"/>
  <c r="P17" i="11"/>
  <c r="R17" i="11"/>
  <c r="E18" i="11"/>
  <c r="K18" i="11"/>
  <c r="P18" i="11"/>
  <c r="R18" i="11"/>
  <c r="E19" i="11"/>
  <c r="K19" i="11"/>
  <c r="P19" i="11"/>
  <c r="R19" i="11"/>
  <c r="K20" i="11"/>
  <c r="P20" i="11"/>
  <c r="R20" i="11"/>
  <c r="K21" i="11"/>
  <c r="P21" i="11"/>
  <c r="R21" i="11"/>
  <c r="K22" i="11"/>
  <c r="P22" i="11"/>
  <c r="R22" i="11"/>
  <c r="E23" i="11"/>
  <c r="I23" i="11"/>
  <c r="J23" i="11"/>
  <c r="K23" i="11"/>
  <c r="P23" i="11"/>
  <c r="R23" i="11"/>
  <c r="E24" i="11"/>
  <c r="P24" i="11"/>
  <c r="R24" i="11"/>
  <c r="E25" i="11"/>
  <c r="K25" i="11"/>
  <c r="P25" i="11"/>
  <c r="R25" i="11"/>
  <c r="E26" i="11"/>
  <c r="K26" i="11"/>
  <c r="P26" i="11"/>
  <c r="R26" i="11"/>
  <c r="K27" i="11"/>
  <c r="P27" i="11"/>
  <c r="R27" i="11"/>
  <c r="K28" i="11"/>
  <c r="P28" i="11"/>
  <c r="R28" i="11"/>
  <c r="K29" i="11"/>
  <c r="N29" i="11"/>
  <c r="O29" i="11"/>
  <c r="P29" i="11"/>
  <c r="R29" i="11"/>
  <c r="I30" i="11"/>
  <c r="J30" i="11"/>
  <c r="K30" i="11"/>
  <c r="F32" i="11"/>
  <c r="K32" i="11"/>
  <c r="N32" i="11"/>
  <c r="O32" i="11"/>
  <c r="G36" i="11"/>
  <c r="K36" i="11"/>
  <c r="E3" i="12"/>
  <c r="I3" i="12"/>
  <c r="L3" i="12"/>
  <c r="E4" i="12"/>
  <c r="L4" i="12"/>
  <c r="L5" i="12"/>
  <c r="M7" i="12"/>
  <c r="E9" i="12"/>
  <c r="I9" i="12"/>
  <c r="K9" i="12"/>
  <c r="M9" i="12"/>
  <c r="E12" i="12"/>
  <c r="E13" i="12"/>
  <c r="E14" i="12"/>
  <c r="E16" i="12"/>
  <c r="F16" i="12"/>
  <c r="E17" i="12"/>
  <c r="F17" i="12"/>
  <c r="P17" i="12"/>
  <c r="R17" i="12"/>
  <c r="E18" i="12"/>
  <c r="K18" i="12"/>
  <c r="P18" i="12"/>
  <c r="R18" i="12"/>
  <c r="E19" i="12"/>
  <c r="K19" i="12"/>
  <c r="P19" i="12"/>
  <c r="R19" i="12"/>
  <c r="K20" i="12"/>
  <c r="P20" i="12"/>
  <c r="R20" i="12"/>
  <c r="K21" i="12"/>
  <c r="P21" i="12"/>
  <c r="R21" i="12"/>
  <c r="K22" i="12"/>
  <c r="P22" i="12"/>
  <c r="R22" i="12"/>
  <c r="E23" i="12"/>
  <c r="I23" i="12"/>
  <c r="J23" i="12"/>
  <c r="K23" i="12"/>
  <c r="P23" i="12"/>
  <c r="R23" i="12"/>
  <c r="E24" i="12"/>
  <c r="P24" i="12"/>
  <c r="R24" i="12"/>
  <c r="E25" i="12"/>
  <c r="K25" i="12"/>
  <c r="P25" i="12"/>
  <c r="R25" i="12"/>
  <c r="E26" i="12"/>
  <c r="K26" i="12"/>
  <c r="P26" i="12"/>
  <c r="R26" i="12"/>
  <c r="K27" i="12"/>
  <c r="P27" i="12"/>
  <c r="R27" i="12"/>
  <c r="K28" i="12"/>
  <c r="P28" i="12"/>
  <c r="R28" i="12"/>
  <c r="K29" i="12"/>
  <c r="N29" i="12"/>
  <c r="O29" i="12"/>
  <c r="P29" i="12"/>
  <c r="R29" i="12"/>
  <c r="I30" i="12"/>
  <c r="J30" i="12"/>
  <c r="K30" i="12"/>
  <c r="F32" i="12"/>
  <c r="K32" i="12"/>
  <c r="N32" i="12"/>
  <c r="O32" i="12"/>
  <c r="G36" i="12"/>
  <c r="K36" i="12"/>
  <c r="E3" i="13"/>
  <c r="I3" i="13"/>
  <c r="L3" i="13"/>
  <c r="E4" i="13"/>
  <c r="L4" i="13"/>
  <c r="L5" i="13"/>
  <c r="M7" i="13"/>
  <c r="E9" i="13"/>
  <c r="I9" i="13"/>
  <c r="K9" i="13"/>
  <c r="M9" i="13"/>
  <c r="E12" i="13"/>
  <c r="E13" i="13"/>
  <c r="E14" i="13"/>
  <c r="E16" i="13"/>
  <c r="F16" i="13"/>
  <c r="E17" i="13"/>
  <c r="F17" i="13"/>
  <c r="P17" i="13"/>
  <c r="R17" i="13"/>
  <c r="E18" i="13"/>
  <c r="K18" i="13"/>
  <c r="P18" i="13"/>
  <c r="R18" i="13"/>
  <c r="E19" i="13"/>
  <c r="K19" i="13"/>
  <c r="P19" i="13"/>
  <c r="R19" i="13"/>
  <c r="K20" i="13"/>
  <c r="P20" i="13"/>
  <c r="R20" i="13"/>
  <c r="K21" i="13"/>
  <c r="P21" i="13"/>
  <c r="R21" i="13"/>
  <c r="K22" i="13"/>
  <c r="P22" i="13"/>
  <c r="R22" i="13"/>
  <c r="E23" i="13"/>
  <c r="I23" i="13"/>
  <c r="J23" i="13"/>
  <c r="K23" i="13"/>
  <c r="P23" i="13"/>
  <c r="R23" i="13"/>
  <c r="E24" i="13"/>
  <c r="P24" i="13"/>
  <c r="R24" i="13"/>
  <c r="E25" i="13"/>
  <c r="K25" i="13"/>
  <c r="P25" i="13"/>
  <c r="R25" i="13"/>
  <c r="E26" i="13"/>
  <c r="K26" i="13"/>
  <c r="P26" i="13"/>
  <c r="R26" i="13"/>
  <c r="K27" i="13"/>
  <c r="P27" i="13"/>
  <c r="R27" i="13"/>
  <c r="K28" i="13"/>
  <c r="P28" i="13"/>
  <c r="R28" i="13"/>
  <c r="K29" i="13"/>
  <c r="N29" i="13"/>
  <c r="O29" i="13"/>
  <c r="P29" i="13"/>
  <c r="R29" i="13"/>
  <c r="I30" i="13"/>
  <c r="J30" i="13"/>
  <c r="K30" i="13"/>
  <c r="F32" i="13"/>
  <c r="K32" i="13"/>
  <c r="N32" i="13"/>
  <c r="O32" i="13"/>
  <c r="G36" i="13"/>
  <c r="K36" i="13"/>
</calcChain>
</file>

<file path=xl/sharedStrings.xml><?xml version="1.0" encoding="utf-8"?>
<sst xmlns="http://schemas.openxmlformats.org/spreadsheetml/2006/main" count="820" uniqueCount="80">
  <si>
    <t>ECONOMIC CALCULATOR FOR FIRM VERSUS NON-FIRM PURCHASE</t>
  </si>
  <si>
    <t>HE</t>
  </si>
  <si>
    <t>Enter Local Generation Avail:</t>
  </si>
  <si>
    <t>Projected Control Area Load:</t>
  </si>
  <si>
    <t>Local Avail.</t>
  </si>
  <si>
    <t>Enter Remote Generation:</t>
  </si>
  <si>
    <t>PNM Contingent:</t>
  </si>
  <si>
    <t>Gen.</t>
  </si>
  <si>
    <t>Firm Purchases into EPE:</t>
  </si>
  <si>
    <t>TNP Firm:</t>
  </si>
  <si>
    <t>UnLoaded</t>
  </si>
  <si>
    <t>Non-Firm Purchases into EPE:</t>
  </si>
  <si>
    <t>IID Firm + Contingent:</t>
  </si>
  <si>
    <t>SPS Firm:</t>
  </si>
  <si>
    <t>Firm Sales:</t>
  </si>
  <si>
    <t>Eddy</t>
  </si>
  <si>
    <t>Local</t>
  </si>
  <si>
    <t>Non-Firm Sales:</t>
  </si>
  <si>
    <t>-load</t>
  </si>
  <si>
    <t>Total Generation for Load:</t>
  </si>
  <si>
    <t>Total Load Next Hour:</t>
  </si>
  <si>
    <t>PNM Contract:</t>
  </si>
  <si>
    <t>Spin Required:</t>
  </si>
  <si>
    <t>IID Firm Contract:</t>
  </si>
  <si>
    <t>Enter Blue Numbers</t>
  </si>
  <si>
    <t>Non-Spin Required:</t>
  </si>
  <si>
    <t>TNP Contract:</t>
  </si>
  <si>
    <t>Spin Required + Regulating Margin:</t>
  </si>
  <si>
    <t>SPS Contract:</t>
  </si>
  <si>
    <t>Lambda  =</t>
  </si>
  <si>
    <t>*Amount of Spin:</t>
  </si>
  <si>
    <t>Weighted Avg. Purchase Power Calculator</t>
  </si>
  <si>
    <t>Output</t>
  </si>
  <si>
    <t>Highs'</t>
  </si>
  <si>
    <t>Amount of Non-Spin:</t>
  </si>
  <si>
    <t>MWH</t>
  </si>
  <si>
    <t>$/MWH</t>
  </si>
  <si>
    <t>Unit  1</t>
  </si>
  <si>
    <t>Total Spin:</t>
  </si>
  <si>
    <t>Firm Block 1:</t>
  </si>
  <si>
    <t>Spin Available/(Deficient):</t>
  </si>
  <si>
    <t>Firm Block 2:</t>
  </si>
  <si>
    <t>Enter Firm Price:</t>
  </si>
  <si>
    <t>Firm Block 3:</t>
  </si>
  <si>
    <t>Enter Non-Firm Price:</t>
  </si>
  <si>
    <t>Firm Block 4:</t>
  </si>
  <si>
    <t>Copper</t>
  </si>
  <si>
    <t>Firm Block 5:</t>
  </si>
  <si>
    <t>MWH of Firm Avail./(Deficient):</t>
  </si>
  <si>
    <t>Total:</t>
  </si>
  <si>
    <t>Total Cost of Firm:</t>
  </si>
  <si>
    <t>MWH of Non-Firm Avail./(Deficient):</t>
  </si>
  <si>
    <t>Non-Firm Block 1:</t>
  </si>
  <si>
    <t>Total</t>
  </si>
  <si>
    <t>Total Cost of Non-Firm:</t>
  </si>
  <si>
    <t>Non-Firm Block 2:</t>
  </si>
  <si>
    <t>FC</t>
  </si>
  <si>
    <t>Non-Firm Block 3:</t>
  </si>
  <si>
    <t>PV</t>
  </si>
  <si>
    <t>Non-Firm Block 4:</t>
  </si>
  <si>
    <t>Non-Firm Block 5:</t>
  </si>
  <si>
    <t xml:space="preserve">NOTE: </t>
  </si>
  <si>
    <t>Enter Total Spin Required:**</t>
  </si>
  <si>
    <t>Spin</t>
  </si>
  <si>
    <t>GT2S</t>
  </si>
  <si>
    <t>RR</t>
  </si>
  <si>
    <t>GT1</t>
  </si>
  <si>
    <t>GT2</t>
  </si>
  <si>
    <t>GT1S</t>
  </si>
  <si>
    <t>NM4</t>
  </si>
  <si>
    <t>-Copper</t>
  </si>
  <si>
    <t>Reserves:</t>
  </si>
  <si>
    <t>** Output comes from the EMS</t>
  </si>
  <si>
    <t>LG</t>
  </si>
  <si>
    <t>RR = Ramp Rates</t>
  </si>
  <si>
    <t>LG = Lost Generation because of RR</t>
  </si>
  <si>
    <t xml:space="preserve"> MW's actual spin for Hour Ending </t>
  </si>
  <si>
    <t xml:space="preserve">* Spin = Forecast Quota   =  </t>
  </si>
  <si>
    <t>* Spin = Forecast Quota   =</t>
  </si>
  <si>
    <t>*** Load includes Native Load, SS &amp; 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</si>
</sst>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;[Red]0"/>
    <numFmt numFmtId="165" formatCode="&quot;$&quot;#,##0.00"/>
    <numFmt numFmtId="166" formatCode="0_);[Red]\(0\)"/>
    <numFmt numFmtId="167" formatCode="&quot;$&quot;#,##0"/>
  </numFmts>
  <fonts count="2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5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 val="double"/>
      <sz val="10"/>
      <color indexed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14"/>
      <name val="Arial"/>
      <family val="2"/>
    </font>
    <font>
      <sz val="8"/>
      <name val="Arial"/>
      <family val="2"/>
    </font>
    <font>
      <b/>
      <u val="double"/>
      <sz val="10"/>
      <name val="Arial"/>
      <family val="2"/>
    </font>
    <font>
      <sz val="11"/>
      <name val="Arial"/>
      <family val="2"/>
    </font>
    <font>
      <b/>
      <sz val="10"/>
      <color indexed="12"/>
      <name val="Arial"/>
      <family val="2"/>
    </font>
    <font>
      <b/>
      <sz val="11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/>
    <xf numFmtId="0" fontId="3" fillId="2" borderId="0" xfId="0" applyFont="1" applyFill="1" applyAlignment="1" applyProtection="1">
      <alignment horizontal="right"/>
      <protection locked="0"/>
    </xf>
    <xf numFmtId="1" fontId="3" fillId="2" borderId="0" xfId="0" applyNumberFormat="1" applyFont="1" applyFill="1" applyProtection="1">
      <protection locked="0"/>
    </xf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5" fillId="2" borderId="2" xfId="0" applyFont="1" applyFill="1" applyBorder="1" applyAlignment="1" applyProtection="1">
      <alignment horizontal="right"/>
      <protection locked="0"/>
    </xf>
    <xf numFmtId="0" fontId="6" fillId="2" borderId="2" xfId="0" applyFont="1" applyFill="1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8" fillId="2" borderId="1" xfId="0" applyFont="1" applyFill="1" applyBorder="1" applyProtection="1">
      <protection locked="0"/>
    </xf>
    <xf numFmtId="0" fontId="8" fillId="2" borderId="3" xfId="0" applyFont="1" applyFill="1" applyBorder="1" applyAlignment="1">
      <alignment horizontal="center"/>
    </xf>
    <xf numFmtId="0" fontId="4" fillId="2" borderId="4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right"/>
      <protection locked="0"/>
    </xf>
    <xf numFmtId="1" fontId="6" fillId="2" borderId="0" xfId="0" applyNumberFormat="1" applyFont="1" applyFill="1" applyBorder="1" applyProtection="1">
      <protection locked="0"/>
    </xf>
    <xf numFmtId="0" fontId="7" fillId="2" borderId="5" xfId="0" applyFont="1" applyFill="1" applyBorder="1" applyProtection="1">
      <protection locked="0"/>
    </xf>
    <xf numFmtId="0" fontId="8" fillId="2" borderId="4" xfId="0" applyFont="1" applyFill="1" applyBorder="1" applyProtection="1">
      <protection locked="0"/>
    </xf>
    <xf numFmtId="164" fontId="9" fillId="2" borderId="5" xfId="0" applyNumberFormat="1" applyFont="1" applyFill="1" applyBorder="1" applyAlignment="1">
      <alignment horizontal="center"/>
    </xf>
    <xf numFmtId="0" fontId="7" fillId="2" borderId="0" xfId="0" applyFont="1" applyFill="1" applyBorder="1" applyProtection="1"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10" fillId="3" borderId="7" xfId="0" applyFont="1" applyFill="1" applyBorder="1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2" borderId="8" xfId="0" applyFill="1" applyBorder="1"/>
    <xf numFmtId="0" fontId="0" fillId="0" borderId="0" xfId="0" applyAlignment="1">
      <alignment horizontal="right"/>
    </xf>
    <xf numFmtId="0" fontId="8" fillId="2" borderId="8" xfId="0" applyFont="1" applyFill="1" applyBorder="1"/>
    <xf numFmtId="0" fontId="0" fillId="2" borderId="0" xfId="0" applyFill="1" applyBorder="1"/>
    <xf numFmtId="0" fontId="4" fillId="2" borderId="6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0" fontId="5" fillId="2" borderId="9" xfId="0" applyFont="1" applyFill="1" applyBorder="1" applyAlignment="1" applyProtection="1">
      <alignment horizontal="right"/>
      <protection locked="0"/>
    </xf>
    <xf numFmtId="0" fontId="7" fillId="2" borderId="9" xfId="0" applyFont="1" applyFill="1" applyBorder="1" applyProtection="1">
      <protection locked="0"/>
    </xf>
    <xf numFmtId="0" fontId="7" fillId="2" borderId="10" xfId="0" applyFont="1" applyFill="1" applyBorder="1" applyProtection="1">
      <protection locked="0"/>
    </xf>
    <xf numFmtId="0" fontId="0" fillId="2" borderId="0" xfId="0" quotePrefix="1" applyFill="1" applyAlignment="1" applyProtection="1">
      <alignment horizontal="right"/>
      <protection locked="0"/>
    </xf>
    <xf numFmtId="0" fontId="0" fillId="2" borderId="11" xfId="0" applyFill="1" applyBorder="1"/>
    <xf numFmtId="0" fontId="0" fillId="0" borderId="0" xfId="0" quotePrefix="1" applyAlignment="1">
      <alignment horizontal="right"/>
    </xf>
    <xf numFmtId="1" fontId="11" fillId="2" borderId="0" xfId="1" applyNumberFormat="1" applyFont="1" applyFill="1" applyBorder="1" applyProtection="1">
      <protection locked="0"/>
    </xf>
    <xf numFmtId="1" fontId="11" fillId="2" borderId="5" xfId="1" applyNumberFormat="1" applyFont="1" applyFill="1" applyBorder="1" applyProtection="1">
      <protection locked="0"/>
    </xf>
    <xf numFmtId="0" fontId="0" fillId="3" borderId="12" xfId="0" applyFill="1" applyBorder="1"/>
    <xf numFmtId="0" fontId="12" fillId="3" borderId="12" xfId="0" applyFont="1" applyFill="1" applyBorder="1"/>
    <xf numFmtId="0" fontId="0" fillId="0" borderId="0" xfId="0" applyFill="1" applyBorder="1"/>
    <xf numFmtId="0" fontId="4" fillId="2" borderId="0" xfId="0" applyFont="1" applyFill="1" applyBorder="1" applyAlignment="1" applyProtection="1">
      <alignment horizontal="right"/>
      <protection locked="0"/>
    </xf>
    <xf numFmtId="0" fontId="13" fillId="2" borderId="0" xfId="0" applyFont="1" applyFill="1" applyBorder="1" applyProtection="1">
      <protection locked="0"/>
    </xf>
    <xf numFmtId="0" fontId="13" fillId="2" borderId="5" xfId="0" applyFont="1" applyFill="1" applyBorder="1" applyProtection="1">
      <protection locked="0"/>
    </xf>
    <xf numFmtId="1" fontId="6" fillId="2" borderId="2" xfId="0" applyNumberFormat="1" applyFont="1" applyFill="1" applyBorder="1" applyProtection="1">
      <protection locked="0"/>
    </xf>
    <xf numFmtId="0" fontId="14" fillId="2" borderId="1" xfId="0" applyFont="1" applyFill="1" applyBorder="1" applyProtection="1">
      <protection locked="0"/>
    </xf>
    <xf numFmtId="1" fontId="6" fillId="2" borderId="3" xfId="0" applyNumberFormat="1" applyFont="1" applyFill="1" applyBorder="1" applyProtection="1">
      <protection locked="0"/>
    </xf>
    <xf numFmtId="0" fontId="15" fillId="2" borderId="0" xfId="0" applyFont="1" applyFill="1" applyProtection="1">
      <protection locked="0"/>
    </xf>
    <xf numFmtId="0" fontId="1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9" fontId="12" fillId="0" borderId="0" xfId="0" applyNumberFormat="1" applyFont="1" applyFill="1" applyBorder="1" applyAlignment="1">
      <alignment horizontal="center"/>
    </xf>
    <xf numFmtId="6" fontId="8" fillId="0" borderId="0" xfId="0" applyNumberFormat="1" applyFont="1" applyFill="1" applyBorder="1" applyAlignment="1">
      <alignment horizontal="center"/>
    </xf>
    <xf numFmtId="1" fontId="11" fillId="2" borderId="0" xfId="0" applyNumberFormat="1" applyFont="1" applyFill="1" applyBorder="1" applyProtection="1">
      <protection locked="0"/>
    </xf>
    <xf numFmtId="0" fontId="14" fillId="2" borderId="4" xfId="0" applyFont="1" applyFill="1" applyBorder="1" applyProtection="1">
      <protection locked="0"/>
    </xf>
    <xf numFmtId="0" fontId="17" fillId="2" borderId="5" xfId="0" applyFont="1" applyFill="1" applyBorder="1" applyProtection="1">
      <protection locked="0"/>
    </xf>
    <xf numFmtId="0" fontId="12" fillId="0" borderId="0" xfId="0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1" fillId="2" borderId="9" xfId="0" applyNumberFormat="1" applyFont="1" applyFill="1" applyBorder="1" applyProtection="1">
      <protection locked="0"/>
    </xf>
    <xf numFmtId="0" fontId="14" fillId="2" borderId="6" xfId="0" applyFont="1" applyFill="1" applyBorder="1" applyProtection="1">
      <protection locked="0"/>
    </xf>
    <xf numFmtId="0" fontId="17" fillId="2" borderId="10" xfId="0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3" fillId="2" borderId="0" xfId="0" applyFont="1" applyFill="1" applyAlignment="1">
      <alignment horizontal="right"/>
    </xf>
    <xf numFmtId="165" fontId="8" fillId="2" borderId="0" xfId="0" applyNumberFormat="1" applyFont="1" applyFill="1" applyAlignment="1">
      <alignment horizontal="left"/>
    </xf>
    <xf numFmtId="0" fontId="19" fillId="2" borderId="3" xfId="0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0" fontId="19" fillId="2" borderId="5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right"/>
      <protection locked="0"/>
    </xf>
    <xf numFmtId="164" fontId="18" fillId="2" borderId="0" xfId="0" applyNumberFormat="1" applyFont="1" applyFill="1" applyBorder="1" applyAlignment="1">
      <alignment horizontal="right"/>
    </xf>
    <xf numFmtId="0" fontId="8" fillId="0" borderId="0" xfId="0" applyFont="1" applyAlignment="1" applyProtection="1">
      <alignment horizontal="right"/>
      <protection locked="0"/>
    </xf>
    <xf numFmtId="0" fontId="19" fillId="0" borderId="5" xfId="0" applyFont="1" applyBorder="1" applyProtection="1">
      <protection locked="0"/>
    </xf>
    <xf numFmtId="0" fontId="4" fillId="2" borderId="0" xfId="0" applyFont="1" applyFill="1" applyProtection="1">
      <protection locked="0"/>
    </xf>
    <xf numFmtId="165" fontId="7" fillId="2" borderId="5" xfId="0" applyNumberFormat="1" applyFont="1" applyFill="1" applyBorder="1" applyProtection="1">
      <protection locked="0"/>
    </xf>
    <xf numFmtId="165" fontId="0" fillId="2" borderId="0" xfId="0" applyNumberFormat="1" applyFill="1"/>
    <xf numFmtId="166" fontId="11" fillId="2" borderId="5" xfId="0" applyNumberFormat="1" applyFont="1" applyFill="1" applyBorder="1" applyProtection="1">
      <protection locked="0"/>
    </xf>
    <xf numFmtId="165" fontId="6" fillId="2" borderId="5" xfId="0" applyNumberFormat="1" applyFont="1" applyFill="1" applyBorder="1" applyProtection="1">
      <protection locked="0"/>
    </xf>
    <xf numFmtId="0" fontId="0" fillId="0" borderId="4" xfId="0" applyBorder="1" applyProtection="1">
      <protection locked="0"/>
    </xf>
    <xf numFmtId="0" fontId="7" fillId="2" borderId="13" xfId="0" applyFont="1" applyFill="1" applyBorder="1" applyProtection="1">
      <protection locked="0"/>
    </xf>
    <xf numFmtId="165" fontId="7" fillId="2" borderId="14" xfId="0" applyNumberFormat="1" applyFont="1" applyFill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0" fontId="5" fillId="3" borderId="2" xfId="0" applyFont="1" applyFill="1" applyBorder="1" applyAlignment="1" applyProtection="1">
      <alignment horizontal="right"/>
      <protection locked="0"/>
    </xf>
    <xf numFmtId="166" fontId="11" fillId="3" borderId="3" xfId="0" applyNumberFormat="1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165" fontId="6" fillId="2" borderId="5" xfId="0" applyNumberFormat="1" applyFont="1" applyFill="1" applyBorder="1" applyAlignment="1" applyProtection="1">
      <alignment horizontal="right"/>
      <protection locked="0"/>
    </xf>
    <xf numFmtId="165" fontId="12" fillId="2" borderId="0" xfId="0" applyNumberFormat="1" applyFont="1" applyFill="1"/>
    <xf numFmtId="0" fontId="4" fillId="3" borderId="4" xfId="0" applyFont="1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5" fillId="3" borderId="0" xfId="0" applyFont="1" applyFill="1" applyBorder="1" applyAlignment="1" applyProtection="1">
      <alignment horizontal="right"/>
      <protection locked="0"/>
    </xf>
    <xf numFmtId="167" fontId="13" fillId="3" borderId="5" xfId="0" applyNumberFormat="1" applyFont="1" applyFill="1" applyBorder="1" applyProtection="1">
      <protection locked="0"/>
    </xf>
    <xf numFmtId="0" fontId="12" fillId="0" borderId="4" xfId="0" applyFont="1" applyFill="1" applyBorder="1" applyAlignment="1">
      <alignment horizontal="right"/>
    </xf>
    <xf numFmtId="164" fontId="18" fillId="0" borderId="0" xfId="0" applyNumberFormat="1" applyFont="1" applyFill="1" applyBorder="1" applyAlignment="1">
      <alignment horizontal="right"/>
    </xf>
    <xf numFmtId="0" fontId="4" fillId="4" borderId="1" xfId="0" applyFont="1" applyFill="1" applyBorder="1" applyProtection="1">
      <protection locked="0"/>
    </xf>
    <xf numFmtId="0" fontId="5" fillId="4" borderId="2" xfId="0" applyFont="1" applyFill="1" applyBorder="1" applyProtection="1">
      <protection locked="0"/>
    </xf>
    <xf numFmtId="0" fontId="5" fillId="4" borderId="2" xfId="0" applyFont="1" applyFill="1" applyBorder="1" applyAlignment="1" applyProtection="1">
      <alignment horizontal="right"/>
      <protection locked="0"/>
    </xf>
    <xf numFmtId="166" fontId="11" fillId="4" borderId="3" xfId="0" applyNumberFormat="1" applyFont="1" applyFill="1" applyBorder="1" applyProtection="1">
      <protection locked="0"/>
    </xf>
    <xf numFmtId="0" fontId="12" fillId="0" borderId="15" xfId="0" applyFont="1" applyBorder="1" applyAlignment="1">
      <alignment horizontal="right"/>
    </xf>
    <xf numFmtId="164" fontId="21" fillId="0" borderId="16" xfId="0" applyNumberFormat="1" applyFont="1" applyBorder="1" applyAlignment="1">
      <alignment horizontal="right"/>
    </xf>
    <xf numFmtId="0" fontId="4" fillId="4" borderId="6" xfId="0" applyFont="1" applyFill="1" applyBorder="1" applyProtection="1">
      <protection locked="0"/>
    </xf>
    <xf numFmtId="0" fontId="5" fillId="4" borderId="9" xfId="0" applyFont="1" applyFill="1" applyBorder="1" applyProtection="1">
      <protection locked="0"/>
    </xf>
    <xf numFmtId="0" fontId="5" fillId="4" borderId="9" xfId="0" applyFont="1" applyFill="1" applyBorder="1" applyAlignment="1" applyProtection="1">
      <alignment horizontal="right"/>
      <protection locked="0"/>
    </xf>
    <xf numFmtId="167" fontId="13" fillId="4" borderId="10" xfId="0" applyNumberFormat="1" applyFont="1" applyFill="1" applyBorder="1" applyProtection="1">
      <protection locked="0"/>
    </xf>
    <xf numFmtId="9" fontId="12" fillId="0" borderId="4" xfId="0" applyNumberFormat="1" applyFont="1" applyFill="1" applyBorder="1" applyAlignment="1">
      <alignment horizontal="right"/>
    </xf>
    <xf numFmtId="164" fontId="20" fillId="0" borderId="0" xfId="0" applyNumberFormat="1" applyFont="1" applyFill="1" applyBorder="1" applyAlignment="1">
      <alignment horizontal="right"/>
    </xf>
    <xf numFmtId="0" fontId="20" fillId="0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2" fontId="12" fillId="0" borderId="15" xfId="0" applyNumberFormat="1" applyFont="1" applyFill="1" applyBorder="1" applyAlignment="1">
      <alignment horizontal="center"/>
    </xf>
    <xf numFmtId="1" fontId="21" fillId="0" borderId="16" xfId="0" applyNumberFormat="1" applyFont="1" applyFill="1" applyBorder="1" applyAlignment="1">
      <alignment horizontal="right"/>
    </xf>
    <xf numFmtId="0" fontId="0" fillId="0" borderId="17" xfId="0" applyFill="1" applyBorder="1" applyAlignment="1">
      <alignment horizontal="center"/>
    </xf>
    <xf numFmtId="0" fontId="4" fillId="0" borderId="0" xfId="0" applyFont="1" applyFill="1" applyBorder="1" applyProtection="1">
      <protection locked="0"/>
    </xf>
    <xf numFmtId="1" fontId="5" fillId="0" borderId="0" xfId="0" applyNumberFormat="1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165" fontId="6" fillId="2" borderId="18" xfId="0" applyNumberFormat="1" applyFont="1" applyFill="1" applyBorder="1" applyAlignment="1" applyProtection="1">
      <alignment horizontal="right"/>
      <protection locked="0"/>
    </xf>
    <xf numFmtId="165" fontId="6" fillId="2" borderId="0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" fontId="5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8" fontId="0" fillId="2" borderId="0" xfId="0" applyNumberFormat="1" applyFill="1"/>
    <xf numFmtId="0" fontId="4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20" fillId="2" borderId="0" xfId="0" applyFont="1" applyFill="1" applyBorder="1"/>
    <xf numFmtId="1" fontId="0" fillId="0" borderId="23" xfId="0" applyNumberFormat="1" applyFill="1" applyBorder="1" applyAlignment="1">
      <alignment horizontal="center"/>
    </xf>
    <xf numFmtId="2" fontId="0" fillId="0" borderId="5" xfId="0" applyNumberFormat="1" applyFill="1" applyBorder="1"/>
    <xf numFmtId="1" fontId="0" fillId="2" borderId="23" xfId="0" applyNumberFormat="1" applyFill="1" applyBorder="1" applyAlignment="1">
      <alignment horizontal="center"/>
    </xf>
    <xf numFmtId="0" fontId="0" fillId="2" borderId="5" xfId="0" applyFill="1" applyBorder="1"/>
    <xf numFmtId="0" fontId="0" fillId="0" borderId="4" xfId="0" applyBorder="1" applyAlignment="1">
      <alignment horizontal="center"/>
    </xf>
    <xf numFmtId="0" fontId="18" fillId="0" borderId="0" xfId="0" applyFont="1"/>
    <xf numFmtId="0" fontId="20" fillId="0" borderId="0" xfId="0" applyFont="1" applyBorder="1"/>
    <xf numFmtId="0" fontId="12" fillId="2" borderId="19" xfId="0" applyFont="1" applyFill="1" applyBorder="1" applyAlignment="1">
      <alignment horizontal="center"/>
    </xf>
    <xf numFmtId="164" fontId="18" fillId="2" borderId="20" xfId="0" applyNumberFormat="1" applyFont="1" applyFill="1" applyBorder="1" applyAlignment="1">
      <alignment horizontal="right"/>
    </xf>
    <xf numFmtId="0" fontId="20" fillId="2" borderId="20" xfId="0" applyFont="1" applyFill="1" applyBorder="1"/>
    <xf numFmtId="0" fontId="8" fillId="2" borderId="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20" fillId="2" borderId="9" xfId="0" applyFont="1" applyFill="1" applyBorder="1"/>
    <xf numFmtId="1" fontId="0" fillId="2" borderId="24" xfId="0" applyNumberFormat="1" applyFill="1" applyBorder="1" applyAlignment="1">
      <alignment horizontal="center"/>
    </xf>
    <xf numFmtId="0" fontId="0" fillId="2" borderId="10" xfId="0" applyFill="1" applyBorder="1"/>
    <xf numFmtId="0" fontId="21" fillId="2" borderId="16" xfId="0" applyFont="1" applyFill="1" applyBorder="1"/>
    <xf numFmtId="1" fontId="0" fillId="2" borderId="25" xfId="0" applyNumberFormat="1" applyFill="1" applyBorder="1" applyAlignment="1">
      <alignment horizontal="center"/>
    </xf>
    <xf numFmtId="0" fontId="0" fillId="2" borderId="17" xfId="0" applyFill="1" applyBorder="1"/>
    <xf numFmtId="164" fontId="0" fillId="2" borderId="0" xfId="0" applyNumberFormat="1" applyFill="1"/>
    <xf numFmtId="0" fontId="8" fillId="0" borderId="0" xfId="0" applyFont="1"/>
    <xf numFmtId="1" fontId="0" fillId="0" borderId="11" xfId="0" applyNumberFormat="1" applyBorder="1"/>
    <xf numFmtId="1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8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8" fillId="0" borderId="4" xfId="0" applyNumberFormat="1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14" fontId="8" fillId="2" borderId="0" xfId="0" applyNumberFormat="1" applyFont="1" applyFill="1"/>
    <xf numFmtId="1" fontId="8" fillId="0" borderId="5" xfId="0" applyNumberFormat="1" applyFont="1" applyBorder="1" applyAlignment="1">
      <alignment horizontal="left"/>
    </xf>
    <xf numFmtId="1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Documents/Excel/miscellaneous/Rogers_Calcul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-Hourly"/>
      <sheetName val="Load"/>
      <sheetName val="Last Year's Load"/>
      <sheetName val="Calculations"/>
      <sheetName val="Spin"/>
      <sheetName val="Calculator-Peak"/>
    </sheetNames>
    <sheetDataSet>
      <sheetData sheetId="0">
        <row r="6">
          <cell r="E6">
            <v>0</v>
          </cell>
        </row>
        <row r="11">
          <cell r="E11">
            <v>90</v>
          </cell>
        </row>
        <row r="12">
          <cell r="E12">
            <v>45</v>
          </cell>
        </row>
        <row r="16">
          <cell r="E16">
            <v>159</v>
          </cell>
        </row>
        <row r="17">
          <cell r="E17">
            <v>200</v>
          </cell>
        </row>
        <row r="18">
          <cell r="E18">
            <v>359</v>
          </cell>
        </row>
        <row r="19">
          <cell r="E19">
            <v>114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tabSelected="1" workbookViewId="0">
      <selection activeCell="I4" sqref="I4"/>
    </sheetView>
  </sheetViews>
  <sheetFormatPr defaultRowHeight="13.2" x14ac:dyDescent="0.25"/>
  <cols>
    <col min="1" max="1" width="3.109375" customWidth="1"/>
    <col min="2" max="2" width="11.33203125" customWidth="1"/>
    <col min="3" max="3" width="11.44140625" customWidth="1"/>
    <col min="4" max="4" width="11" customWidth="1"/>
    <col min="10" max="10" width="12.6640625" customWidth="1"/>
    <col min="11" max="11" width="11.6640625" bestFit="1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11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915+69+14</f>
        <v>998</v>
      </c>
      <c r="K3" s="10" t="s">
        <v>4</v>
      </c>
      <c r="L3" s="11">
        <f>O29</f>
        <v>611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688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516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95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25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1402</v>
      </c>
      <c r="F9" s="12"/>
      <c r="G9" s="13"/>
      <c r="H9" s="14" t="s">
        <v>20</v>
      </c>
      <c r="I9" s="36">
        <f>SUM(I3:I8)</f>
        <v>1333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82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41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41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65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v>82</v>
      </c>
      <c r="F16" s="64">
        <f>SpinReq+Nonspin</f>
        <v>35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75</v>
      </c>
      <c r="F17" s="64">
        <f>E14+Nonspin</f>
        <v>65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68</v>
      </c>
      <c r="O17" s="129">
        <v>77</v>
      </c>
      <c r="P17" s="130">
        <f>+MIN(O17-N17,Q17*10)</f>
        <v>9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157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41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95</v>
      </c>
      <c r="O19" s="129">
        <v>100</v>
      </c>
      <c r="P19" s="132">
        <f t="shared" si="0"/>
        <v>5</v>
      </c>
      <c r="Q19" s="133">
        <v>3.37</v>
      </c>
      <c r="R19" s="150">
        <f t="shared" si="1"/>
        <v>0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41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200</v>
      </c>
      <c r="O24" s="129">
        <v>210</v>
      </c>
      <c r="P24" s="132">
        <f t="shared" si="0"/>
        <v>10</v>
      </c>
      <c r="Q24" s="133">
        <v>3.6</v>
      </c>
      <c r="R24" s="150">
        <f t="shared" si="1"/>
        <v>0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81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3</v>
      </c>
      <c r="O25" s="139">
        <v>67</v>
      </c>
      <c r="P25" s="132">
        <f t="shared" si="0"/>
        <v>10</v>
      </c>
      <c r="Q25" s="133">
        <v>1</v>
      </c>
      <c r="R25" s="150">
        <f t="shared" si="1"/>
        <v>54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36</v>
      </c>
      <c r="O27" s="129">
        <v>39</v>
      </c>
      <c r="P27" s="132">
        <f t="shared" si="0"/>
        <v>3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516</v>
      </c>
      <c r="O29" s="145">
        <f>SUM(O17:O28)</f>
        <v>611</v>
      </c>
      <c r="P29" s="146">
        <f>SUM(P17:P28)</f>
        <v>41</v>
      </c>
      <c r="Q29" s="147"/>
      <c r="R29" s="151">
        <f>SUM(R17:R28)</f>
        <v>54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102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586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78</v>
      </c>
      <c r="D32" s="118"/>
      <c r="E32" s="119"/>
      <c r="F32" s="165">
        <f>E16</f>
        <v>82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688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41</v>
      </c>
      <c r="H36" s="154" t="s">
        <v>76</v>
      </c>
      <c r="I36" s="153"/>
      <c r="J36" s="153"/>
      <c r="K36" s="163">
        <f>I2</f>
        <v>11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7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>
      <selection activeCell="E7" sqref="E7"/>
    </sheetView>
  </sheetViews>
  <sheetFormatPr defaultRowHeight="13.2" x14ac:dyDescent="0.25"/>
  <cols>
    <col min="1" max="1" width="4.5546875" customWidth="1"/>
    <col min="2" max="2" width="15.5546875" customWidth="1"/>
    <col min="10" max="10" width="13.88671875" customWidth="1"/>
    <col min="11" max="11" width="11.44140625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21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612</v>
      </c>
      <c r="F3" s="5"/>
      <c r="G3" s="6"/>
      <c r="H3" s="7" t="s">
        <v>3</v>
      </c>
      <c r="I3" s="9">
        <f>997+82+20</f>
        <v>1099</v>
      </c>
      <c r="K3" s="10" t="s">
        <v>4</v>
      </c>
      <c r="L3" s="11">
        <f>O29</f>
        <v>612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512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100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612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1452</v>
      </c>
      <c r="F9" s="12"/>
      <c r="G9" s="13"/>
      <c r="H9" s="14" t="s">
        <v>20</v>
      </c>
      <c r="I9" s="36">
        <f>SUM(I3:I8)</f>
        <v>1409</v>
      </c>
      <c r="J9" s="1"/>
      <c r="K9" s="37">
        <f>K7-K8</f>
        <v>3</v>
      </c>
      <c r="M9" s="38">
        <f>M7-M8</f>
        <v>542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87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43.5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43.5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f>+E9-I9</f>
        <v>43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47</v>
      </c>
      <c r="O17" s="129">
        <v>77</v>
      </c>
      <c r="P17" s="130">
        <f>+MIN(O17-N17,Q17*10)</f>
        <v>30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43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-44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44</v>
      </c>
      <c r="O19" s="129">
        <v>100</v>
      </c>
      <c r="P19" s="132">
        <f t="shared" si="0"/>
        <v>33.700000000000003</v>
      </c>
      <c r="Q19" s="133">
        <v>3.37</v>
      </c>
      <c r="R19" s="150">
        <f t="shared" si="1"/>
        <v>22.299999999999997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-44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207</v>
      </c>
      <c r="O24" s="129">
        <v>210</v>
      </c>
      <c r="P24" s="132">
        <f t="shared" si="0"/>
        <v>3</v>
      </c>
      <c r="Q24" s="133">
        <v>3.6</v>
      </c>
      <c r="R24" s="150">
        <f t="shared" si="1"/>
        <v>0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63</v>
      </c>
      <c r="O25" s="139">
        <v>67</v>
      </c>
      <c r="P25" s="132">
        <f t="shared" si="0"/>
        <v>4</v>
      </c>
      <c r="Q25" s="133">
        <v>1</v>
      </c>
      <c r="R25" s="150">
        <f t="shared" si="1"/>
        <v>0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42</v>
      </c>
      <c r="O26" s="129">
        <v>42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36</v>
      </c>
      <c r="O27" s="129">
        <v>39</v>
      </c>
      <c r="P27" s="132">
        <f t="shared" si="0"/>
        <v>3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512</v>
      </c>
      <c r="O29" s="145">
        <f>SUM(O17:O28)</f>
        <v>612</v>
      </c>
      <c r="P29" s="146">
        <f>SUM(P17:P28)</f>
        <v>77.7</v>
      </c>
      <c r="Q29" s="147"/>
      <c r="R29" s="151">
        <f>SUM(R17:R28)</f>
        <v>22.299999999999997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87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77.7</v>
      </c>
      <c r="H36" s="154" t="s">
        <v>76</v>
      </c>
      <c r="I36" s="153"/>
      <c r="J36" s="153"/>
      <c r="K36" s="163">
        <f>I2</f>
        <v>21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>
      <selection activeCell="N26" sqref="N26"/>
    </sheetView>
  </sheetViews>
  <sheetFormatPr defaultRowHeight="13.2" x14ac:dyDescent="0.25"/>
  <cols>
    <col min="1" max="1" width="4.88671875" customWidth="1"/>
    <col min="2" max="2" width="15.6640625" customWidth="1"/>
    <col min="10" max="10" width="13.88671875" customWidth="1"/>
    <col min="11" max="11" width="12.44140625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12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939+71+16</f>
        <v>1026</v>
      </c>
      <c r="K3" s="10" t="s">
        <v>4</v>
      </c>
      <c r="L3" s="11">
        <f>O29</f>
        <v>611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563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48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25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1401</v>
      </c>
      <c r="F9" s="12"/>
      <c r="G9" s="13"/>
      <c r="H9" s="14" t="s">
        <v>20</v>
      </c>
      <c r="I9" s="36">
        <f>SUM(I3:I8)</f>
        <v>1361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88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44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44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f>+E9-I9</f>
        <v>40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75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73</v>
      </c>
      <c r="O17" s="129">
        <v>77</v>
      </c>
      <c r="P17" s="130">
        <f>+MIN(O17-N17,Q17*10)</f>
        <v>4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115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75</v>
      </c>
      <c r="O18" s="129">
        <v>77</v>
      </c>
      <c r="P18" s="132">
        <f t="shared" ref="P18:P28" si="0">+MIN(O18-N18,Q18*10)</f>
        <v>2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-4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95</v>
      </c>
      <c r="O19" s="129">
        <v>100</v>
      </c>
      <c r="P19" s="132">
        <f t="shared" si="0"/>
        <v>5</v>
      </c>
      <c r="Q19" s="133">
        <v>3.37</v>
      </c>
      <c r="R19" s="150">
        <f t="shared" si="1"/>
        <v>0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-4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184</v>
      </c>
      <c r="O24" s="129">
        <v>210</v>
      </c>
      <c r="P24" s="132">
        <f t="shared" si="0"/>
        <v>26</v>
      </c>
      <c r="Q24" s="133">
        <v>3.6</v>
      </c>
      <c r="R24" s="150">
        <f t="shared" si="1"/>
        <v>0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59</v>
      </c>
      <c r="O25" s="139">
        <v>67</v>
      </c>
      <c r="P25" s="132">
        <f t="shared" si="0"/>
        <v>8</v>
      </c>
      <c r="Q25" s="133">
        <v>1</v>
      </c>
      <c r="R25" s="150">
        <f t="shared" si="1"/>
        <v>0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36</v>
      </c>
      <c r="O27" s="129">
        <v>39</v>
      </c>
      <c r="P27" s="132">
        <f t="shared" si="0"/>
        <v>3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563</v>
      </c>
      <c r="O29" s="145">
        <f>SUM(O17:O28)</f>
        <v>611</v>
      </c>
      <c r="P29" s="146">
        <f>SUM(P17:P28)</f>
        <v>48</v>
      </c>
      <c r="Q29" s="147"/>
      <c r="R29" s="151">
        <f>SUM(R17:R28)</f>
        <v>0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102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585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88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48</v>
      </c>
      <c r="H36" s="154" t="s">
        <v>76</v>
      </c>
      <c r="I36" s="153"/>
      <c r="J36" s="153"/>
      <c r="K36" s="163">
        <f>I2</f>
        <v>12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A13" workbookViewId="0">
      <selection activeCell="B19" sqref="B19"/>
    </sheetView>
  </sheetViews>
  <sheetFormatPr defaultRowHeight="13.2" x14ac:dyDescent="0.25"/>
  <cols>
    <col min="1" max="1" width="6.88671875" customWidth="1"/>
    <col min="2" max="2" width="16.109375" customWidth="1"/>
    <col min="10" max="10" width="11.88671875" customWidth="1"/>
    <col min="11" max="11" width="12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13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958+73+16</f>
        <v>1047</v>
      </c>
      <c r="K3" s="10" t="s">
        <v>4</v>
      </c>
      <c r="L3" s="11">
        <f>O29</f>
        <v>611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562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49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1401</v>
      </c>
      <c r="F9" s="12"/>
      <c r="G9" s="13"/>
      <c r="H9" s="14" t="s">
        <v>20</v>
      </c>
      <c r="I9" s="36">
        <f>SUM(I3:I8)</f>
        <v>1357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87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43.5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43.5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f>+E9-I9</f>
        <v>44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50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94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0.5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95</v>
      </c>
      <c r="O19" s="129">
        <v>100</v>
      </c>
      <c r="P19" s="132">
        <f t="shared" si="0"/>
        <v>5</v>
      </c>
      <c r="Q19" s="133">
        <v>3.37</v>
      </c>
      <c r="R19" s="150">
        <f t="shared" si="1"/>
        <v>0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0.5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184</v>
      </c>
      <c r="O24" s="129">
        <v>210</v>
      </c>
      <c r="P24" s="132">
        <f t="shared" si="0"/>
        <v>26</v>
      </c>
      <c r="Q24" s="133">
        <v>3.6</v>
      </c>
      <c r="R24" s="150">
        <f t="shared" si="1"/>
        <v>0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63</v>
      </c>
      <c r="O25" s="139">
        <v>67</v>
      </c>
      <c r="P25" s="132">
        <f t="shared" si="0"/>
        <v>4</v>
      </c>
      <c r="Q25" s="133">
        <v>1</v>
      </c>
      <c r="R25" s="150">
        <f t="shared" si="1"/>
        <v>0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36</v>
      </c>
      <c r="O27" s="129">
        <v>39</v>
      </c>
      <c r="P27" s="132">
        <f t="shared" si="0"/>
        <v>3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562</v>
      </c>
      <c r="O29" s="145">
        <f>SUM(O17:O28)</f>
        <v>611</v>
      </c>
      <c r="P29" s="146">
        <f>SUM(P17:P28)</f>
        <v>49</v>
      </c>
      <c r="Q29" s="147"/>
      <c r="R29" s="151">
        <f>SUM(R17:R28)</f>
        <v>0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87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49</v>
      </c>
      <c r="H36" s="154" t="s">
        <v>76</v>
      </c>
      <c r="I36" s="153"/>
      <c r="J36" s="153"/>
      <c r="K36" s="163">
        <f>I2</f>
        <v>13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C16" workbookViewId="0">
      <selection activeCell="A7" sqref="A7"/>
    </sheetView>
  </sheetViews>
  <sheetFormatPr defaultRowHeight="13.2" x14ac:dyDescent="0.25"/>
  <cols>
    <col min="1" max="1" width="6.5546875" customWidth="1"/>
    <col min="2" max="2" width="15" customWidth="1"/>
    <col min="10" max="10" width="12.6640625" customWidth="1"/>
    <col min="11" max="11" width="11.44140625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14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977+73+14</f>
        <v>1064</v>
      </c>
      <c r="K3" s="10" t="s">
        <v>4</v>
      </c>
      <c r="L3" s="11">
        <f>O29</f>
        <v>611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686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571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40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1400</v>
      </c>
      <c r="F9" s="12"/>
      <c r="G9" s="13"/>
      <c r="H9" s="14" t="s">
        <v>20</v>
      </c>
      <c r="I9" s="36">
        <f>SUM(I3:I8)</f>
        <v>1374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88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44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44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f>+E9-I9</f>
        <v>26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50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76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-18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94</v>
      </c>
      <c r="O19" s="129">
        <v>100</v>
      </c>
      <c r="P19" s="132">
        <f t="shared" si="0"/>
        <v>6</v>
      </c>
      <c r="Q19" s="133">
        <v>3.37</v>
      </c>
      <c r="R19" s="150">
        <f t="shared" si="1"/>
        <v>0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-18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196</v>
      </c>
      <c r="O24" s="129">
        <v>210</v>
      </c>
      <c r="P24" s="132">
        <f t="shared" si="0"/>
        <v>14</v>
      </c>
      <c r="Q24" s="133">
        <v>3.6</v>
      </c>
      <c r="R24" s="150">
        <f t="shared" si="1"/>
        <v>0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63</v>
      </c>
      <c r="O25" s="139">
        <v>67</v>
      </c>
      <c r="P25" s="132">
        <f t="shared" si="0"/>
        <v>4</v>
      </c>
      <c r="Q25" s="133">
        <v>1</v>
      </c>
      <c r="R25" s="150">
        <f t="shared" si="1"/>
        <v>0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34</v>
      </c>
      <c r="O27" s="129">
        <v>39</v>
      </c>
      <c r="P27" s="132">
        <f t="shared" si="0"/>
        <v>5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571</v>
      </c>
      <c r="O29" s="145">
        <f>SUM(O17:O28)</f>
        <v>611</v>
      </c>
      <c r="P29" s="146">
        <f>SUM(P17:P28)</f>
        <v>40</v>
      </c>
      <c r="Q29" s="147"/>
      <c r="R29" s="151">
        <f>SUM(R17:R28)</f>
        <v>0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102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88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686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40</v>
      </c>
      <c r="H36" s="154" t="s">
        <v>76</v>
      </c>
      <c r="I36" s="153"/>
      <c r="J36" s="153"/>
      <c r="K36" s="163">
        <f>I2</f>
        <v>14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A15" workbookViewId="0">
      <selection activeCell="E31" sqref="E31"/>
    </sheetView>
  </sheetViews>
  <sheetFormatPr defaultRowHeight="13.2" x14ac:dyDescent="0.25"/>
  <cols>
    <col min="1" max="1" width="4.44140625" customWidth="1"/>
    <col min="2" max="2" width="16.33203125" customWidth="1"/>
    <col min="10" max="10" width="13.109375" customWidth="1"/>
    <col min="11" max="11" width="11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15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984+73+15</f>
        <v>1072</v>
      </c>
      <c r="K3" s="10" t="s">
        <v>4</v>
      </c>
      <c r="L3" s="11">
        <f>O29</f>
        <v>611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686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555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56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25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1425</v>
      </c>
      <c r="F9" s="12"/>
      <c r="G9" s="13"/>
      <c r="H9" s="14" t="s">
        <v>20</v>
      </c>
      <c r="I9" s="36">
        <f>SUM(I3:I8)</f>
        <v>1382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89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44.5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44.5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f>+E9-I9</f>
        <v>43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25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68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-21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94</v>
      </c>
      <c r="O19" s="129">
        <v>100</v>
      </c>
      <c r="P19" s="132">
        <f t="shared" si="0"/>
        <v>6</v>
      </c>
      <c r="Q19" s="133">
        <v>3.37</v>
      </c>
      <c r="R19" s="150">
        <f t="shared" si="1"/>
        <v>0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-21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181</v>
      </c>
      <c r="O24" s="129">
        <v>210</v>
      </c>
      <c r="P24" s="132">
        <f t="shared" si="0"/>
        <v>29</v>
      </c>
      <c r="Q24" s="133">
        <v>3.6</v>
      </c>
      <c r="R24" s="150">
        <f t="shared" si="1"/>
        <v>0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62</v>
      </c>
      <c r="O25" s="139">
        <v>67</v>
      </c>
      <c r="P25" s="132">
        <f t="shared" si="0"/>
        <v>5</v>
      </c>
      <c r="Q25" s="133">
        <v>1</v>
      </c>
      <c r="R25" s="150">
        <f t="shared" si="1"/>
        <v>0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34</v>
      </c>
      <c r="O27" s="129">
        <v>39</v>
      </c>
      <c r="P27" s="132">
        <f t="shared" si="0"/>
        <v>5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555</v>
      </c>
      <c r="O29" s="145">
        <f>SUM(O17:O28)</f>
        <v>611</v>
      </c>
      <c r="P29" s="146">
        <f>SUM(P17:P28)</f>
        <v>56</v>
      </c>
      <c r="Q29" s="147"/>
      <c r="R29" s="151">
        <f>SUM(R17:R28)</f>
        <v>0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102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89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686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56</v>
      </c>
      <c r="H36" s="154" t="s">
        <v>76</v>
      </c>
      <c r="I36" s="153"/>
      <c r="J36" s="153"/>
      <c r="K36" s="163">
        <f>I2</f>
        <v>15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A11" workbookViewId="0">
      <selection activeCell="G36" sqref="G36"/>
    </sheetView>
  </sheetViews>
  <sheetFormatPr defaultRowHeight="13.2" x14ac:dyDescent="0.25"/>
  <cols>
    <col min="1" max="1" width="3.6640625" customWidth="1"/>
    <col min="2" max="2" width="15.5546875" customWidth="1"/>
    <col min="10" max="10" width="14.33203125" customWidth="1"/>
    <col min="11" max="11" width="11.33203125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16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988+73+15</f>
        <v>1076</v>
      </c>
      <c r="K3" s="10" t="s">
        <v>4</v>
      </c>
      <c r="L3" s="11">
        <f>O29</f>
        <v>611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542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69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1451</v>
      </c>
      <c r="F9" s="12"/>
      <c r="G9" s="13"/>
      <c r="H9" s="14" t="s">
        <v>20</v>
      </c>
      <c r="I9" s="36">
        <f>SUM(I3:I8)</f>
        <v>1386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89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44.5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44.5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f>+E9-I9</f>
        <v>65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65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-24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91</v>
      </c>
      <c r="O19" s="129">
        <v>100</v>
      </c>
      <c r="P19" s="132">
        <f t="shared" si="0"/>
        <v>9</v>
      </c>
      <c r="Q19" s="133">
        <v>3.37</v>
      </c>
      <c r="R19" s="150">
        <f t="shared" si="1"/>
        <v>0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-24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172</v>
      </c>
      <c r="O24" s="129">
        <v>210</v>
      </c>
      <c r="P24" s="132">
        <f t="shared" si="0"/>
        <v>36</v>
      </c>
      <c r="Q24" s="133">
        <v>3.6</v>
      </c>
      <c r="R24" s="150">
        <f t="shared" si="1"/>
        <v>2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60</v>
      </c>
      <c r="O25" s="139">
        <v>67</v>
      </c>
      <c r="P25" s="132">
        <f t="shared" si="0"/>
        <v>7</v>
      </c>
      <c r="Q25" s="133">
        <v>1</v>
      </c>
      <c r="R25" s="150">
        <f t="shared" si="1"/>
        <v>0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35</v>
      </c>
      <c r="O27" s="129">
        <v>39</v>
      </c>
      <c r="P27" s="132">
        <f t="shared" si="0"/>
        <v>4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542</v>
      </c>
      <c r="O29" s="145">
        <f>SUM(O17:O28)</f>
        <v>611</v>
      </c>
      <c r="P29" s="146">
        <f>SUM(P17:P28)</f>
        <v>67</v>
      </c>
      <c r="Q29" s="147"/>
      <c r="R29" s="151">
        <f>SUM(R17:R28)</f>
        <v>2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89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67</v>
      </c>
      <c r="H36" s="154" t="s">
        <v>76</v>
      </c>
      <c r="I36" s="153"/>
      <c r="J36" s="153"/>
      <c r="K36" s="163">
        <f>I2</f>
        <v>16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>
      <selection activeCell="F31" sqref="F31"/>
    </sheetView>
  </sheetViews>
  <sheetFormatPr defaultRowHeight="13.2" x14ac:dyDescent="0.25"/>
  <cols>
    <col min="1" max="1" width="4.88671875" customWidth="1"/>
    <col min="2" max="2" width="16.109375" customWidth="1"/>
    <col min="10" max="10" width="12.33203125" customWidth="1"/>
    <col min="11" max="11" width="12.44140625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17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980+73+21</f>
        <v>1074</v>
      </c>
      <c r="K3" s="10" t="s">
        <v>4</v>
      </c>
      <c r="L3" s="11">
        <f>O29</f>
        <v>611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532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79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1451</v>
      </c>
      <c r="F9" s="12"/>
      <c r="G9" s="13"/>
      <c r="H9" s="14" t="s">
        <v>20</v>
      </c>
      <c r="I9" s="36">
        <f>SUM(I3:I8)</f>
        <v>1384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88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44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44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f>+E9-I9</f>
        <v>67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67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-21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87</v>
      </c>
      <c r="O19" s="129">
        <v>100</v>
      </c>
      <c r="P19" s="132">
        <f t="shared" si="0"/>
        <v>13</v>
      </c>
      <c r="Q19" s="133">
        <v>3.37</v>
      </c>
      <c r="R19" s="150">
        <f t="shared" si="1"/>
        <v>0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-21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164</v>
      </c>
      <c r="O24" s="129">
        <v>210</v>
      </c>
      <c r="P24" s="132">
        <f t="shared" si="0"/>
        <v>36</v>
      </c>
      <c r="Q24" s="133">
        <v>3.6</v>
      </c>
      <c r="R24" s="150">
        <f t="shared" si="1"/>
        <v>10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62</v>
      </c>
      <c r="O25" s="139">
        <v>67</v>
      </c>
      <c r="P25" s="132">
        <f t="shared" si="0"/>
        <v>5</v>
      </c>
      <c r="Q25" s="133">
        <v>1</v>
      </c>
      <c r="R25" s="150">
        <f t="shared" si="1"/>
        <v>0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35</v>
      </c>
      <c r="O27" s="129">
        <v>39</v>
      </c>
      <c r="P27" s="132">
        <f t="shared" si="0"/>
        <v>4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532</v>
      </c>
      <c r="O29" s="145">
        <f>SUM(O17:O28)</f>
        <v>611</v>
      </c>
      <c r="P29" s="146">
        <f>SUM(P17:P28)</f>
        <v>69</v>
      </c>
      <c r="Q29" s="147"/>
      <c r="R29" s="151">
        <f>SUM(R17:R28)</f>
        <v>10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88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69</v>
      </c>
      <c r="H36" s="154" t="s">
        <v>76</v>
      </c>
      <c r="I36" s="153"/>
      <c r="J36" s="153"/>
      <c r="K36" s="163">
        <f>I2</f>
        <v>17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opLeftCell="C4" workbookViewId="0">
      <selection activeCell="O38" sqref="O38"/>
    </sheetView>
  </sheetViews>
  <sheetFormatPr defaultRowHeight="13.2" x14ac:dyDescent="0.25"/>
  <cols>
    <col min="1" max="1" width="4.109375" customWidth="1"/>
    <col min="2" max="2" width="15.33203125" customWidth="1"/>
    <col min="10" max="10" width="12.6640625" customWidth="1"/>
    <col min="11" max="11" width="12.109375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18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967+70+21</f>
        <v>1058</v>
      </c>
      <c r="K3" s="10" t="s">
        <v>4</v>
      </c>
      <c r="L3" s="11">
        <f>O29</f>
        <v>611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687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507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104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1451</v>
      </c>
      <c r="F9" s="12"/>
      <c r="G9" s="13"/>
      <c r="H9" s="14" t="s">
        <v>20</v>
      </c>
      <c r="I9" s="36">
        <f>SUM(I3:I8)</f>
        <v>1368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87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43.5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43.5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f>+E9-I9</f>
        <v>83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70</v>
      </c>
      <c r="O17" s="129">
        <v>77</v>
      </c>
      <c r="P17" s="130">
        <f>+MIN(O17-N17,Q17*10)</f>
        <v>7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83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-4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76</v>
      </c>
      <c r="O19" s="129">
        <v>100</v>
      </c>
      <c r="P19" s="132">
        <f t="shared" si="0"/>
        <v>24</v>
      </c>
      <c r="Q19" s="133">
        <v>3.37</v>
      </c>
      <c r="R19" s="150">
        <f t="shared" si="1"/>
        <v>0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-4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150</v>
      </c>
      <c r="O24" s="129">
        <v>210</v>
      </c>
      <c r="P24" s="132">
        <f t="shared" si="0"/>
        <v>36</v>
      </c>
      <c r="Q24" s="133">
        <v>3.6</v>
      </c>
      <c r="R24" s="150">
        <f t="shared" si="1"/>
        <v>24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62</v>
      </c>
      <c r="O25" s="139">
        <v>67</v>
      </c>
      <c r="P25" s="132">
        <f t="shared" si="0"/>
        <v>5</v>
      </c>
      <c r="Q25" s="133">
        <v>1</v>
      </c>
      <c r="R25" s="150">
        <f t="shared" si="1"/>
        <v>0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35</v>
      </c>
      <c r="O27" s="129">
        <v>39</v>
      </c>
      <c r="P27" s="132">
        <f t="shared" si="0"/>
        <v>4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507</v>
      </c>
      <c r="O29" s="145">
        <f>SUM(O17:O28)</f>
        <v>611</v>
      </c>
      <c r="P29" s="146">
        <f>SUM(P17:P28)</f>
        <v>80</v>
      </c>
      <c r="Q29" s="147"/>
      <c r="R29" s="151">
        <f>SUM(R17:R28)</f>
        <v>24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584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87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687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80</v>
      </c>
      <c r="H36" s="154" t="s">
        <v>76</v>
      </c>
      <c r="I36" s="153"/>
      <c r="J36" s="153"/>
      <c r="K36" s="163">
        <f>I2</f>
        <v>18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workbookViewId="0">
      <selection activeCell="F11" sqref="F11"/>
    </sheetView>
  </sheetViews>
  <sheetFormatPr defaultRowHeight="13.2" x14ac:dyDescent="0.25"/>
  <cols>
    <col min="1" max="1" width="3.88671875" customWidth="1"/>
    <col min="2" max="2" width="15.44140625" customWidth="1"/>
    <col min="10" max="10" width="12.6640625" customWidth="1"/>
    <col min="11" max="11" width="11.33203125" customWidth="1"/>
  </cols>
  <sheetData>
    <row r="1" spans="1:18" ht="15.6" x14ac:dyDescent="0.3">
      <c r="A1" s="1"/>
      <c r="B1" s="166" t="s">
        <v>0</v>
      </c>
      <c r="C1" s="166"/>
      <c r="D1" s="166"/>
      <c r="E1" s="166"/>
      <c r="F1" s="166"/>
      <c r="G1" s="166"/>
      <c r="H1" s="166"/>
      <c r="I1" s="166"/>
      <c r="J1" s="1"/>
      <c r="K1" s="162">
        <v>37101</v>
      </c>
      <c r="L1" s="2"/>
      <c r="M1" s="2"/>
      <c r="N1" s="2"/>
      <c r="O1" s="2"/>
    </row>
    <row r="2" spans="1:18" x14ac:dyDescent="0.25">
      <c r="A2" s="1"/>
      <c r="B2" s="1"/>
      <c r="C2" s="1"/>
      <c r="D2" s="1"/>
      <c r="E2" s="1"/>
      <c r="F2" s="1"/>
      <c r="G2" s="1"/>
      <c r="H2" s="3" t="s">
        <v>1</v>
      </c>
      <c r="I2" s="4">
        <v>20</v>
      </c>
      <c r="J2" s="1"/>
      <c r="K2" s="2"/>
      <c r="L2" s="2"/>
      <c r="M2" s="2"/>
      <c r="N2" s="2"/>
      <c r="O2" s="2"/>
    </row>
    <row r="3" spans="1:18" ht="13.8" x14ac:dyDescent="0.25">
      <c r="A3" s="1"/>
      <c r="B3" s="5"/>
      <c r="C3" s="6"/>
      <c r="D3" s="7" t="s">
        <v>2</v>
      </c>
      <c r="E3" s="8">
        <f>O29</f>
        <v>611</v>
      </c>
      <c r="F3" s="5"/>
      <c r="G3" s="6"/>
      <c r="H3" s="7" t="s">
        <v>3</v>
      </c>
      <c r="I3" s="9">
        <f>995+70+21</f>
        <v>1086</v>
      </c>
      <c r="K3" s="10" t="s">
        <v>4</v>
      </c>
      <c r="L3" s="11">
        <f>O29</f>
        <v>611</v>
      </c>
      <c r="M3" s="2"/>
      <c r="N3" s="2"/>
      <c r="O3" s="2"/>
    </row>
    <row r="4" spans="1:18" ht="13.8" x14ac:dyDescent="0.25">
      <c r="A4" s="1"/>
      <c r="B4" s="12"/>
      <c r="C4" s="13"/>
      <c r="D4" s="14" t="s">
        <v>5</v>
      </c>
      <c r="E4" s="15">
        <f>N32</f>
        <v>686</v>
      </c>
      <c r="F4" s="12"/>
      <c r="G4" s="13"/>
      <c r="H4" s="14" t="s">
        <v>6</v>
      </c>
      <c r="I4" s="16">
        <v>7</v>
      </c>
      <c r="K4" s="17" t="s">
        <v>7</v>
      </c>
      <c r="L4" s="18">
        <f>N29</f>
        <v>548</v>
      </c>
      <c r="M4" s="2"/>
      <c r="N4" s="2"/>
      <c r="O4" s="2"/>
    </row>
    <row r="5" spans="1:18" ht="13.8" x14ac:dyDescent="0.25">
      <c r="A5" s="1"/>
      <c r="B5" s="12"/>
      <c r="C5" s="13"/>
      <c r="D5" s="14" t="s">
        <v>8</v>
      </c>
      <c r="E5" s="19">
        <v>0</v>
      </c>
      <c r="F5" s="12"/>
      <c r="G5" s="13"/>
      <c r="H5" s="14" t="s">
        <v>9</v>
      </c>
      <c r="I5" s="16">
        <v>25</v>
      </c>
      <c r="K5" s="20" t="s">
        <v>10</v>
      </c>
      <c r="L5" s="21">
        <f>L3-L4</f>
        <v>63</v>
      </c>
      <c r="M5" s="2"/>
      <c r="N5" s="2"/>
      <c r="O5" s="2"/>
    </row>
    <row r="6" spans="1:18" ht="13.8" x14ac:dyDescent="0.25">
      <c r="A6" s="1"/>
      <c r="B6" s="12"/>
      <c r="C6" s="13"/>
      <c r="D6" s="14" t="s">
        <v>11</v>
      </c>
      <c r="E6" s="19">
        <v>50</v>
      </c>
      <c r="F6" s="12"/>
      <c r="G6" s="13"/>
      <c r="H6" s="14" t="s">
        <v>12</v>
      </c>
      <c r="I6" s="16">
        <v>150</v>
      </c>
      <c r="J6" s="1"/>
      <c r="K6" s="2"/>
      <c r="L6" s="2"/>
      <c r="M6" s="2"/>
      <c r="N6" s="2"/>
      <c r="O6" s="2"/>
    </row>
    <row r="7" spans="1:18" ht="13.8" x14ac:dyDescent="0.25">
      <c r="A7" s="1"/>
      <c r="B7" s="12"/>
      <c r="C7" s="13"/>
      <c r="D7" s="14" t="s">
        <v>13</v>
      </c>
      <c r="E7" s="16">
        <v>103</v>
      </c>
      <c r="F7" s="12"/>
      <c r="G7" s="13"/>
      <c r="H7" s="14" t="s">
        <v>14</v>
      </c>
      <c r="I7" s="16">
        <v>128</v>
      </c>
      <c r="J7" s="22" t="s">
        <v>15</v>
      </c>
      <c r="K7" s="23">
        <v>133</v>
      </c>
      <c r="L7" s="24" t="s">
        <v>16</v>
      </c>
      <c r="M7" s="25">
        <f>O29</f>
        <v>611</v>
      </c>
      <c r="N7" s="26"/>
      <c r="O7" s="26"/>
    </row>
    <row r="8" spans="1:18" ht="13.8" x14ac:dyDescent="0.25">
      <c r="A8" s="1"/>
      <c r="B8" s="27"/>
      <c r="C8" s="28"/>
      <c r="D8" s="29" t="s">
        <v>71</v>
      </c>
      <c r="E8" s="30">
        <v>0</v>
      </c>
      <c r="F8" s="27"/>
      <c r="G8" s="28"/>
      <c r="H8" s="29" t="s">
        <v>17</v>
      </c>
      <c r="I8" s="31">
        <v>0</v>
      </c>
      <c r="J8" s="32" t="s">
        <v>18</v>
      </c>
      <c r="K8" s="33">
        <v>130</v>
      </c>
      <c r="L8" s="34" t="s">
        <v>70</v>
      </c>
      <c r="M8" s="33">
        <v>70</v>
      </c>
      <c r="N8" s="26"/>
      <c r="O8" s="26"/>
    </row>
    <row r="9" spans="1:18" ht="14.4" thickBot="1" x14ac:dyDescent="0.3">
      <c r="A9" s="1"/>
      <c r="B9" s="12"/>
      <c r="C9" s="13"/>
      <c r="D9" s="14" t="s">
        <v>19</v>
      </c>
      <c r="E9" s="35">
        <f>SUM(E3:E8)</f>
        <v>1450</v>
      </c>
      <c r="F9" s="12"/>
      <c r="G9" s="13"/>
      <c r="H9" s="14" t="s">
        <v>20</v>
      </c>
      <c r="I9" s="36">
        <f>SUM(I3:I8)</f>
        <v>1396</v>
      </c>
      <c r="J9" s="1"/>
      <c r="K9" s="37">
        <f>K7-K8</f>
        <v>3</v>
      </c>
      <c r="M9" s="38">
        <f>M7-M8</f>
        <v>541</v>
      </c>
      <c r="N9" s="39"/>
      <c r="O9" s="39"/>
    </row>
    <row r="10" spans="1:18" ht="14.4" thickTop="1" x14ac:dyDescent="0.25">
      <c r="A10" s="1"/>
      <c r="B10" s="12"/>
      <c r="C10" s="13"/>
      <c r="D10" s="40"/>
      <c r="E10" s="41"/>
      <c r="F10" s="12"/>
      <c r="G10" s="13"/>
      <c r="H10" s="40"/>
      <c r="I10" s="42"/>
      <c r="J10" s="1"/>
      <c r="K10" s="2"/>
      <c r="L10" s="2"/>
      <c r="M10" s="2"/>
      <c r="N10" s="2"/>
      <c r="O10" s="2"/>
    </row>
    <row r="11" spans="1:18" ht="13.8" x14ac:dyDescent="0.25">
      <c r="A11" s="1"/>
      <c r="B11" s="5"/>
      <c r="C11" s="6"/>
      <c r="D11" s="7" t="s">
        <v>62</v>
      </c>
      <c r="E11" s="43">
        <v>88</v>
      </c>
      <c r="F11" s="44"/>
      <c r="G11" s="6"/>
      <c r="H11" s="7" t="s">
        <v>21</v>
      </c>
      <c r="I11" s="45">
        <v>7</v>
      </c>
      <c r="J11" s="46"/>
      <c r="K11" s="2"/>
      <c r="L11" s="47"/>
      <c r="M11" s="48"/>
      <c r="N11" s="49"/>
      <c r="O11" s="50"/>
    </row>
    <row r="12" spans="1:18" ht="13.8" x14ac:dyDescent="0.25">
      <c r="A12" s="1"/>
      <c r="B12" s="12"/>
      <c r="C12" s="13"/>
      <c r="D12" t="s">
        <v>22</v>
      </c>
      <c r="E12" s="51">
        <f>0.5*E11</f>
        <v>44</v>
      </c>
      <c r="F12" s="52"/>
      <c r="G12" s="13"/>
      <c r="H12" s="14" t="s">
        <v>23</v>
      </c>
      <c r="I12" s="53">
        <v>100</v>
      </c>
      <c r="J12" s="1"/>
      <c r="K12" s="2"/>
      <c r="L12" s="54"/>
      <c r="M12" s="55" t="s">
        <v>24</v>
      </c>
      <c r="N12" s="54"/>
      <c r="O12" s="54"/>
    </row>
    <row r="13" spans="1:18" ht="13.8" x14ac:dyDescent="0.25">
      <c r="A13" s="1"/>
      <c r="B13" s="12"/>
      <c r="C13" s="13"/>
      <c r="D13" s="14" t="s">
        <v>25</v>
      </c>
      <c r="E13" s="51">
        <f>+E11-E12</f>
        <v>44</v>
      </c>
      <c r="F13" s="52"/>
      <c r="G13" s="13"/>
      <c r="H13" s="14" t="s">
        <v>26</v>
      </c>
      <c r="I13" s="53">
        <v>25</v>
      </c>
      <c r="J13" s="1"/>
      <c r="K13" s="2"/>
      <c r="L13" s="54"/>
      <c r="M13" s="56"/>
      <c r="N13" s="56"/>
      <c r="O13" s="56"/>
    </row>
    <row r="14" spans="1:18" ht="13.8" x14ac:dyDescent="0.25">
      <c r="A14" s="1"/>
      <c r="B14" s="27"/>
      <c r="C14" s="28"/>
      <c r="D14" s="29" t="s">
        <v>27</v>
      </c>
      <c r="E14" s="57">
        <f>SpinReq+30</f>
        <v>75</v>
      </c>
      <c r="F14" s="58"/>
      <c r="G14" s="28"/>
      <c r="H14" s="29" t="s">
        <v>28</v>
      </c>
      <c r="I14" s="59">
        <v>100</v>
      </c>
      <c r="J14" s="1"/>
      <c r="K14" s="2"/>
      <c r="L14" s="54"/>
      <c r="M14" s="56"/>
      <c r="N14" s="56"/>
      <c r="O14" s="56"/>
    </row>
    <row r="15" spans="1:18" ht="14.4" thickBot="1" x14ac:dyDescent="0.3">
      <c r="A15" s="1"/>
      <c r="B15" s="13"/>
      <c r="C15" s="13"/>
      <c r="D15" s="40"/>
      <c r="E15" s="41"/>
      <c r="F15" s="13"/>
      <c r="G15" s="13"/>
      <c r="H15" s="14"/>
      <c r="I15" s="60"/>
      <c r="J15" s="61" t="s">
        <v>29</v>
      </c>
      <c r="K15" s="62">
        <v>0</v>
      </c>
      <c r="L15" s="54"/>
      <c r="N15" s="56"/>
      <c r="O15" s="56"/>
    </row>
    <row r="16" spans="1:18" ht="14.4" thickTop="1" x14ac:dyDescent="0.25">
      <c r="A16" s="1"/>
      <c r="B16" s="5"/>
      <c r="C16" s="6"/>
      <c r="D16" s="7" t="s">
        <v>30</v>
      </c>
      <c r="E16" s="63">
        <f>+E9-I9</f>
        <v>54</v>
      </c>
      <c r="F16" s="64">
        <f>SpinReq+Nonspin</f>
        <v>245</v>
      </c>
      <c r="G16" s="167" t="s">
        <v>31</v>
      </c>
      <c r="H16" s="168"/>
      <c r="I16" s="168"/>
      <c r="J16" s="169"/>
      <c r="L16" s="54"/>
      <c r="M16" s="124"/>
      <c r="N16" s="125" t="s">
        <v>32</v>
      </c>
      <c r="O16" s="125" t="s">
        <v>33</v>
      </c>
      <c r="P16" s="126" t="s">
        <v>63</v>
      </c>
      <c r="Q16" s="127" t="s">
        <v>65</v>
      </c>
      <c r="R16" s="152" t="s">
        <v>73</v>
      </c>
    </row>
    <row r="17" spans="1:18" ht="13.8" x14ac:dyDescent="0.25">
      <c r="A17" s="1"/>
      <c r="B17" s="12"/>
      <c r="C17" s="13"/>
      <c r="D17" s="14" t="s">
        <v>34</v>
      </c>
      <c r="E17" s="65">
        <f>IF((+I8+IF(I6&gt;I12,I6-I12,0)-E6)&lt;0,0,(+I8+IF(I6&gt;I12,I6-I12,0)-E6))</f>
        <v>0</v>
      </c>
      <c r="F17" s="64">
        <f>E14+Nonspin</f>
        <v>275</v>
      </c>
      <c r="G17" s="5"/>
      <c r="H17" s="66"/>
      <c r="I17" s="7" t="s">
        <v>35</v>
      </c>
      <c r="J17" s="67" t="s">
        <v>36</v>
      </c>
      <c r="K17" s="2"/>
      <c r="L17" s="54"/>
      <c r="M17" s="128" t="s">
        <v>37</v>
      </c>
      <c r="N17" s="68">
        <v>71</v>
      </c>
      <c r="O17" s="129">
        <v>77</v>
      </c>
      <c r="P17" s="130">
        <f>+MIN(O17-N17,Q17*10)</f>
        <v>6</v>
      </c>
      <c r="Q17" s="131">
        <v>3</v>
      </c>
      <c r="R17" s="150">
        <f>(O17-N17)-P17</f>
        <v>0</v>
      </c>
    </row>
    <row r="18" spans="1:18" ht="13.8" x14ac:dyDescent="0.25">
      <c r="A18" s="1"/>
      <c r="B18" s="12"/>
      <c r="C18" s="13"/>
      <c r="D18" s="69" t="s">
        <v>38</v>
      </c>
      <c r="E18" s="70">
        <f>E16+E17</f>
        <v>54</v>
      </c>
      <c r="F18" s="71"/>
      <c r="G18" s="12"/>
      <c r="H18" s="14" t="s">
        <v>39</v>
      </c>
      <c r="I18" s="19">
        <v>0</v>
      </c>
      <c r="J18" s="72">
        <v>0</v>
      </c>
      <c r="K18" s="73">
        <f>SUM(J18*I18)</f>
        <v>0</v>
      </c>
      <c r="L18" s="2"/>
      <c r="M18" s="128">
        <v>2</v>
      </c>
      <c r="N18" s="68">
        <v>73</v>
      </c>
      <c r="O18" s="129">
        <v>77</v>
      </c>
      <c r="P18" s="132">
        <f t="shared" ref="P18:P28" si="0">+MIN(O18-N18,Q18*10)</f>
        <v>4</v>
      </c>
      <c r="Q18" s="133">
        <v>4.5</v>
      </c>
      <c r="R18" s="150">
        <f t="shared" ref="R18:R28" si="1">(O18-N18)-P18</f>
        <v>0</v>
      </c>
    </row>
    <row r="19" spans="1:18" ht="13.8" x14ac:dyDescent="0.25">
      <c r="A19" s="1"/>
      <c r="B19" s="12"/>
      <c r="C19" s="13"/>
      <c r="D19" s="69" t="s">
        <v>40</v>
      </c>
      <c r="E19" s="74">
        <f>+E16-E12-IF((E17-E13)&lt;0,E13-E17,0)</f>
        <v>-34</v>
      </c>
      <c r="F19" s="71"/>
      <c r="G19" s="12"/>
      <c r="H19" s="14" t="s">
        <v>41</v>
      </c>
      <c r="I19" s="19">
        <v>0</v>
      </c>
      <c r="J19" s="72">
        <v>0</v>
      </c>
      <c r="K19" s="73">
        <f>SUM(J19*I19)</f>
        <v>0</v>
      </c>
      <c r="L19" s="2"/>
      <c r="M19" s="128">
        <v>3</v>
      </c>
      <c r="N19" s="68">
        <v>69</v>
      </c>
      <c r="O19" s="129">
        <v>100</v>
      </c>
      <c r="P19" s="132">
        <f t="shared" si="0"/>
        <v>31</v>
      </c>
      <c r="Q19" s="133">
        <v>3.37</v>
      </c>
      <c r="R19" s="150">
        <f t="shared" si="1"/>
        <v>0</v>
      </c>
    </row>
    <row r="20" spans="1:18" ht="13.8" x14ac:dyDescent="0.25">
      <c r="A20" s="1"/>
      <c r="B20" s="12"/>
      <c r="C20" s="13"/>
      <c r="D20" s="14" t="s">
        <v>42</v>
      </c>
      <c r="E20" s="75">
        <v>0</v>
      </c>
      <c r="F20" s="71"/>
      <c r="G20" s="12"/>
      <c r="H20" s="14" t="s">
        <v>43</v>
      </c>
      <c r="I20" s="19">
        <v>0</v>
      </c>
      <c r="J20" s="72">
        <v>0</v>
      </c>
      <c r="K20" s="73">
        <f>SUM(J20*I20)</f>
        <v>0</v>
      </c>
      <c r="L20" s="2"/>
      <c r="M20" s="128" t="s">
        <v>66</v>
      </c>
      <c r="N20" s="68">
        <v>0</v>
      </c>
      <c r="O20" s="129">
        <v>0</v>
      </c>
      <c r="P20" s="132">
        <f t="shared" si="0"/>
        <v>0</v>
      </c>
      <c r="Q20" s="133">
        <v>10</v>
      </c>
      <c r="R20" s="150">
        <f t="shared" si="1"/>
        <v>0</v>
      </c>
    </row>
    <row r="21" spans="1:18" ht="13.8" x14ac:dyDescent="0.25">
      <c r="A21" s="1"/>
      <c r="B21" s="12"/>
      <c r="C21" s="13"/>
      <c r="D21" s="14" t="s">
        <v>44</v>
      </c>
      <c r="E21" s="75">
        <v>0</v>
      </c>
      <c r="F21" s="71"/>
      <c r="G21" s="12"/>
      <c r="H21" s="14" t="s">
        <v>45</v>
      </c>
      <c r="I21" s="19">
        <v>0</v>
      </c>
      <c r="J21" s="72">
        <v>0</v>
      </c>
      <c r="K21" s="73">
        <f>SUM(J21*I21)</f>
        <v>0</v>
      </c>
      <c r="L21" s="2"/>
      <c r="M21" s="134" t="s">
        <v>67</v>
      </c>
      <c r="N21" s="135">
        <v>0</v>
      </c>
      <c r="O21" s="136">
        <v>0</v>
      </c>
      <c r="P21" s="132">
        <f t="shared" si="0"/>
        <v>0</v>
      </c>
      <c r="Q21" s="133">
        <v>10</v>
      </c>
      <c r="R21" s="150">
        <f t="shared" si="1"/>
        <v>0</v>
      </c>
    </row>
    <row r="22" spans="1:18" ht="14.4" thickBot="1" x14ac:dyDescent="0.3">
      <c r="A22" s="1"/>
      <c r="B22" s="12"/>
      <c r="C22" s="13"/>
      <c r="D22" s="13"/>
      <c r="E22" s="42"/>
      <c r="F22" s="71"/>
      <c r="G22" s="76"/>
      <c r="H22" s="14" t="s">
        <v>47</v>
      </c>
      <c r="I22" s="77">
        <v>0</v>
      </c>
      <c r="J22" s="78">
        <v>0</v>
      </c>
      <c r="K22" s="73">
        <f>SUM(J22*I22)</f>
        <v>0</v>
      </c>
      <c r="L22" s="2"/>
      <c r="M22" s="134" t="s">
        <v>68</v>
      </c>
      <c r="N22" s="135">
        <v>0</v>
      </c>
      <c r="O22" s="136">
        <v>0</v>
      </c>
      <c r="P22" s="132">
        <f t="shared" si="0"/>
        <v>0</v>
      </c>
      <c r="Q22" s="133">
        <v>3.33</v>
      </c>
      <c r="R22" s="150">
        <f t="shared" si="1"/>
        <v>0</v>
      </c>
    </row>
    <row r="23" spans="1:18" ht="14.4" thickTop="1" x14ac:dyDescent="0.25">
      <c r="A23" s="1"/>
      <c r="B23" s="79"/>
      <c r="C23" s="80"/>
      <c r="D23" s="81" t="s">
        <v>48</v>
      </c>
      <c r="E23" s="82">
        <f>E19</f>
        <v>-34</v>
      </c>
      <c r="F23" s="71"/>
      <c r="G23" s="12"/>
      <c r="H23" s="14" t="s">
        <v>49</v>
      </c>
      <c r="I23" s="83">
        <f>+SUM(I18:I22)</f>
        <v>0</v>
      </c>
      <c r="J23" s="84" t="str">
        <f>+IF(I23&gt;0,(I18*J18+I19*J19+I20*J20+I21*J21+I22*J22)/I23,"NA")</f>
        <v>NA</v>
      </c>
      <c r="K23" s="73">
        <f>SUM(K18:K22)</f>
        <v>0</v>
      </c>
      <c r="L23" s="85"/>
      <c r="M23" s="134" t="s">
        <v>64</v>
      </c>
      <c r="N23" s="135">
        <v>0</v>
      </c>
      <c r="O23" s="136">
        <v>0</v>
      </c>
      <c r="P23" s="132">
        <f t="shared" si="0"/>
        <v>0</v>
      </c>
      <c r="Q23" s="133">
        <v>3.6</v>
      </c>
      <c r="R23" s="150">
        <f t="shared" si="1"/>
        <v>0</v>
      </c>
    </row>
    <row r="24" spans="1:18" ht="13.8" x14ac:dyDescent="0.25">
      <c r="A24" s="1"/>
      <c r="B24" s="86"/>
      <c r="C24" s="87"/>
      <c r="D24" s="88" t="s">
        <v>50</v>
      </c>
      <c r="E24" s="89">
        <f>+E20*E23</f>
        <v>0</v>
      </c>
      <c r="F24" s="71"/>
      <c r="G24" s="5"/>
      <c r="H24" s="7"/>
      <c r="I24" s="7" t="s">
        <v>35</v>
      </c>
      <c r="J24" s="67" t="s">
        <v>36</v>
      </c>
      <c r="K24" s="2"/>
      <c r="L24" s="2"/>
      <c r="M24" s="128" t="s">
        <v>69</v>
      </c>
      <c r="N24" s="68">
        <v>195</v>
      </c>
      <c r="O24" s="129">
        <v>210</v>
      </c>
      <c r="P24" s="132">
        <f t="shared" si="0"/>
        <v>15</v>
      </c>
      <c r="Q24" s="133">
        <v>3.6</v>
      </c>
      <c r="R24" s="150">
        <f t="shared" si="1"/>
        <v>0</v>
      </c>
    </row>
    <row r="25" spans="1:18" ht="13.8" x14ac:dyDescent="0.25">
      <c r="A25" s="1"/>
      <c r="B25" s="92"/>
      <c r="C25" s="93"/>
      <c r="D25" s="94" t="s">
        <v>51</v>
      </c>
      <c r="E25" s="95">
        <f>+IF(+AND(Deficiency&gt;=0,NFPurchase&gt;=0),Spin-SpinReq,IF(TotalSpin&lt;TotalSpinReq,Spin-TotalSpinReq,Spin-SpinReq))</f>
        <v>114</v>
      </c>
      <c r="F25" s="71"/>
      <c r="G25" s="12"/>
      <c r="H25" s="14" t="s">
        <v>52</v>
      </c>
      <c r="I25" s="19">
        <v>0</v>
      </c>
      <c r="J25" s="72">
        <v>0</v>
      </c>
      <c r="K25" s="73">
        <f>J25*I25</f>
        <v>0</v>
      </c>
      <c r="L25" s="2"/>
      <c r="M25" s="137" t="s">
        <v>46</v>
      </c>
      <c r="N25" s="138">
        <v>62</v>
      </c>
      <c r="O25" s="139">
        <v>67</v>
      </c>
      <c r="P25" s="132">
        <f t="shared" si="0"/>
        <v>5</v>
      </c>
      <c r="Q25" s="133">
        <v>1</v>
      </c>
      <c r="R25" s="150">
        <f t="shared" si="1"/>
        <v>0</v>
      </c>
    </row>
    <row r="26" spans="1:18" ht="13.8" x14ac:dyDescent="0.25">
      <c r="A26" s="1"/>
      <c r="B26" s="98"/>
      <c r="C26" s="99"/>
      <c r="D26" s="100" t="s">
        <v>54</v>
      </c>
      <c r="E26" s="101">
        <f>+E21*E25</f>
        <v>0</v>
      </c>
      <c r="F26" s="71"/>
      <c r="G26" s="12"/>
      <c r="H26" s="14" t="s">
        <v>55</v>
      </c>
      <c r="I26" s="19">
        <v>0</v>
      </c>
      <c r="J26" s="72">
        <v>0</v>
      </c>
      <c r="K26" s="73">
        <f>J26*I26</f>
        <v>0</v>
      </c>
      <c r="L26" s="2"/>
      <c r="M26" s="140">
        <v>6</v>
      </c>
      <c r="N26" s="68">
        <v>41</v>
      </c>
      <c r="O26" s="129">
        <v>41</v>
      </c>
      <c r="P26" s="132">
        <f t="shared" si="0"/>
        <v>0</v>
      </c>
      <c r="Q26" s="133">
        <v>2</v>
      </c>
      <c r="R26" s="150">
        <f t="shared" si="1"/>
        <v>0</v>
      </c>
    </row>
    <row r="27" spans="1:18" ht="13.8" x14ac:dyDescent="0.25">
      <c r="A27" s="1"/>
      <c r="B27" s="105"/>
      <c r="C27" s="105"/>
      <c r="D27" s="105"/>
      <c r="E27" s="71"/>
      <c r="F27" s="71"/>
      <c r="G27" s="12"/>
      <c r="H27" s="14" t="s">
        <v>57</v>
      </c>
      <c r="I27" s="19">
        <v>0</v>
      </c>
      <c r="J27" s="72">
        <v>0</v>
      </c>
      <c r="K27" s="73">
        <f>J27*I27</f>
        <v>0</v>
      </c>
      <c r="L27" s="2"/>
      <c r="M27" s="140">
        <v>7</v>
      </c>
      <c r="N27" s="68">
        <v>37</v>
      </c>
      <c r="O27" s="129">
        <v>39</v>
      </c>
      <c r="P27" s="132">
        <f t="shared" si="0"/>
        <v>2</v>
      </c>
      <c r="Q27" s="133">
        <v>2.1</v>
      </c>
      <c r="R27" s="150">
        <f t="shared" si="1"/>
        <v>0</v>
      </c>
    </row>
    <row r="28" spans="1:18" ht="14.4" thickBot="1" x14ac:dyDescent="0.3">
      <c r="A28" s="1"/>
      <c r="B28" s="106"/>
      <c r="C28" s="106"/>
      <c r="D28" s="107"/>
      <c r="E28" s="105"/>
      <c r="F28" s="71"/>
      <c r="G28" s="12"/>
      <c r="H28" s="14" t="s">
        <v>59</v>
      </c>
      <c r="I28" s="19">
        <v>0</v>
      </c>
      <c r="J28" s="72">
        <v>0</v>
      </c>
      <c r="K28" s="73">
        <f>J28*I28</f>
        <v>0</v>
      </c>
      <c r="L28" s="2"/>
      <c r="M28" s="141">
        <v>8</v>
      </c>
      <c r="N28" s="91">
        <v>0</v>
      </c>
      <c r="O28" s="142">
        <v>0</v>
      </c>
      <c r="P28" s="143">
        <f t="shared" si="0"/>
        <v>0</v>
      </c>
      <c r="Q28" s="144">
        <v>1</v>
      </c>
      <c r="R28" s="150">
        <f t="shared" si="1"/>
        <v>0</v>
      </c>
    </row>
    <row r="29" spans="1:18" ht="15" thickTop="1" thickBot="1" x14ac:dyDescent="0.3">
      <c r="A29" s="1"/>
      <c r="B29" s="111"/>
      <c r="C29" s="106"/>
      <c r="D29" s="112"/>
      <c r="E29" s="106"/>
      <c r="F29" s="71"/>
      <c r="G29" s="12"/>
      <c r="H29" s="14" t="s">
        <v>60</v>
      </c>
      <c r="I29" s="77">
        <v>0</v>
      </c>
      <c r="J29" s="78">
        <v>0</v>
      </c>
      <c r="K29" s="73">
        <f>J29*I29</f>
        <v>0</v>
      </c>
      <c r="L29" s="2"/>
      <c r="M29" s="96" t="s">
        <v>53</v>
      </c>
      <c r="N29" s="97">
        <f>SUM(N17:N28)</f>
        <v>548</v>
      </c>
      <c r="O29" s="145">
        <f>SUM(O17:O28)</f>
        <v>611</v>
      </c>
      <c r="P29" s="146">
        <f>SUM(P17:P28)</f>
        <v>63</v>
      </c>
      <c r="Q29" s="147"/>
      <c r="R29" s="151">
        <f>SUM(R17:R28)</f>
        <v>0</v>
      </c>
    </row>
    <row r="30" spans="1:18" ht="14.4" thickTop="1" x14ac:dyDescent="0.25">
      <c r="A30" s="1"/>
      <c r="B30" s="111"/>
      <c r="C30" s="113"/>
      <c r="D30" s="112"/>
      <c r="E30" s="106"/>
      <c r="F30" s="71"/>
      <c r="G30" s="27"/>
      <c r="H30" s="29" t="s">
        <v>49</v>
      </c>
      <c r="I30" s="114">
        <f>+SUM(I25:I29)</f>
        <v>0</v>
      </c>
      <c r="J30" s="115" t="str">
        <f>+IF(I30&gt;0,(I25*J25+I26*J26+I27*J27+I28*J28+I29*J29)/I30,"NA")</f>
        <v>NA</v>
      </c>
      <c r="K30" s="73">
        <f>SUM(K25:K29)</f>
        <v>0</v>
      </c>
      <c r="L30" s="73"/>
      <c r="M30" s="102" t="s">
        <v>56</v>
      </c>
      <c r="N30" s="103">
        <v>103</v>
      </c>
      <c r="O30" s="104">
        <v>103</v>
      </c>
      <c r="P30" s="148"/>
      <c r="Q30" s="2"/>
    </row>
    <row r="31" spans="1:18" ht="13.8" x14ac:dyDescent="0.25">
      <c r="A31" s="1"/>
      <c r="B31" s="105"/>
      <c r="C31" s="105"/>
      <c r="D31" s="105"/>
      <c r="E31" s="105"/>
      <c r="F31" s="71"/>
      <c r="G31" s="13"/>
      <c r="H31" s="14"/>
      <c r="I31" s="83"/>
      <c r="J31" s="116"/>
      <c r="K31" s="2"/>
      <c r="L31" s="2"/>
      <c r="M31" s="90" t="s">
        <v>58</v>
      </c>
      <c r="N31" s="103">
        <v>583</v>
      </c>
      <c r="O31" s="104">
        <v>602</v>
      </c>
      <c r="P31" s="2"/>
      <c r="Q31" s="2"/>
    </row>
    <row r="32" spans="1:18" ht="14.4" thickBot="1" x14ac:dyDescent="0.3">
      <c r="A32" s="105"/>
      <c r="B32" s="117" t="s">
        <v>61</v>
      </c>
      <c r="C32" s="122" t="s">
        <v>77</v>
      </c>
      <c r="D32" s="118"/>
      <c r="E32" s="119"/>
      <c r="F32" s="164">
        <f>E11</f>
        <v>88</v>
      </c>
      <c r="G32" s="13"/>
      <c r="H32" s="14"/>
      <c r="I32" s="83"/>
      <c r="J32" s="116"/>
      <c r="K32" s="120">
        <f>K23-K30</f>
        <v>0</v>
      </c>
      <c r="L32" s="2"/>
      <c r="M32" s="108"/>
      <c r="N32" s="109">
        <f>SUM(N30:N31)</f>
        <v>686</v>
      </c>
      <c r="O32" s="110">
        <f>SUM(O30:O31)</f>
        <v>705</v>
      </c>
      <c r="P32" s="2"/>
      <c r="Q32" s="2" t="s">
        <v>74</v>
      </c>
    </row>
    <row r="33" spans="1:17" ht="13.8" thickTop="1" x14ac:dyDescent="0.25">
      <c r="A33" s="1"/>
      <c r="B33" s="121"/>
      <c r="C33" s="123" t="s">
        <v>72</v>
      </c>
      <c r="D33" s="105"/>
      <c r="E33" s="105"/>
      <c r="F33" s="71"/>
      <c r="G33" s="71"/>
      <c r="H33" s="71"/>
      <c r="I33" s="71"/>
      <c r="J33" s="1"/>
      <c r="K33" s="73"/>
      <c r="L33" s="2"/>
      <c r="M33" s="2"/>
      <c r="N33" s="2"/>
      <c r="O33" s="2"/>
      <c r="Q33" t="s">
        <v>75</v>
      </c>
    </row>
    <row r="34" spans="1:17" x14ac:dyDescent="0.25">
      <c r="A34" s="1"/>
      <c r="B34" s="1"/>
      <c r="C34" s="149" t="s">
        <v>79</v>
      </c>
      <c r="D34" s="1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</row>
    <row r="35" spans="1:17" x14ac:dyDescent="0.25">
      <c r="G35" s="155"/>
      <c r="H35" s="156"/>
      <c r="I35" s="156"/>
      <c r="J35" s="156"/>
      <c r="K35" s="157"/>
    </row>
    <row r="36" spans="1:17" x14ac:dyDescent="0.25">
      <c r="G36" s="158">
        <f>P29</f>
        <v>63</v>
      </c>
      <c r="H36" s="154" t="s">
        <v>76</v>
      </c>
      <c r="I36" s="153"/>
      <c r="J36" s="153"/>
      <c r="K36" s="163">
        <f>I2</f>
        <v>20</v>
      </c>
    </row>
    <row r="37" spans="1:17" x14ac:dyDescent="0.25">
      <c r="G37" s="159"/>
      <c r="H37" s="160"/>
      <c r="I37" s="160"/>
      <c r="J37" s="160"/>
      <c r="K37" s="161"/>
    </row>
  </sheetData>
  <mergeCells count="2">
    <mergeCell ref="B1:I1"/>
    <mergeCell ref="G16:J16"/>
  </mergeCells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 1100</vt:lpstr>
      <vt:lpstr>HE 1200</vt:lpstr>
      <vt:lpstr>HE 1300</vt:lpstr>
      <vt:lpstr>HE 1400</vt:lpstr>
      <vt:lpstr>HE 1500</vt:lpstr>
      <vt:lpstr>HE 1600</vt:lpstr>
      <vt:lpstr>HE 1700</vt:lpstr>
      <vt:lpstr>HE 1800</vt:lpstr>
      <vt:lpstr>HE 2000</vt:lpstr>
      <vt:lpstr>HE 2100</vt:lpstr>
      <vt:lpstr>'HE 1100'!Print_Area</vt:lpstr>
    </vt:vector>
  </TitlesOfParts>
  <Company>EL PASO ELECTRIC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rhawki1</dc:creator>
  <cp:lastModifiedBy>Havlíček Jan</cp:lastModifiedBy>
  <cp:lastPrinted>2001-07-30T21:27:04Z</cp:lastPrinted>
  <dcterms:created xsi:type="dcterms:W3CDTF">2000-01-21T16:01:53Z</dcterms:created>
  <dcterms:modified xsi:type="dcterms:W3CDTF">2023-09-10T10:58:25Z</dcterms:modified>
</cp:coreProperties>
</file>