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068" yWindow="288" windowWidth="15408"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Deals!$D$109</definedName>
    <definedName name="CISOEndDate">Deals!$D$110</definedName>
    <definedName name="cRows">COUNTA(#REF!)</definedName>
    <definedName name="CurrDate">[1]Top!#REF!</definedName>
    <definedName name="DataAll">Deals!$A$2:$AF$242</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8">Top!$E$5</definedName>
    <definedName name="EndofDPoint">Deals!$C$108</definedName>
    <definedName name="EndofDType">Deals!$B$108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Deals!$A$1:$AF$120</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AD47" i="6"/>
  <c r="AE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F102" i="6"/>
  <c r="AD106" i="6"/>
  <c r="AE106" i="6"/>
  <c r="F112" i="6"/>
  <c r="F113" i="6"/>
  <c r="G113" i="6"/>
  <c r="F114" i="6"/>
  <c r="G114" i="6"/>
  <c r="AD114" i="6"/>
  <c r="AE114" i="6"/>
  <c r="F115" i="6"/>
  <c r="G115" i="6"/>
  <c r="AD115" i="6"/>
  <c r="AE115" i="6"/>
  <c r="F116" i="6"/>
  <c r="G116" i="6"/>
  <c r="F117" i="6"/>
  <c r="G117" i="6"/>
  <c r="F118" i="6"/>
  <c r="G118" i="6"/>
  <c r="F119" i="6"/>
  <c r="G119" i="6"/>
  <c r="AD119" i="6"/>
  <c r="AE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G137" i="6"/>
  <c r="F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G167"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gsolberg</author>
    <author>A satisfied Microsoft Office user</author>
  </authors>
  <commentList>
    <comment ref="H58" authorId="0" shapeId="0">
      <text>
        <r>
          <rPr>
            <b/>
            <sz val="14"/>
            <color indexed="81"/>
            <rFont val="Tahoma"/>
            <family val="2"/>
          </rPr>
          <t>125 MW purchase from ISO not show</t>
        </r>
      </text>
    </comment>
    <comment ref="M58" authorId="1" shapeId="0">
      <text>
        <r>
          <rPr>
            <b/>
            <sz val="10"/>
            <color indexed="81"/>
            <rFont val="Tahoma"/>
            <family val="2"/>
          </rPr>
          <t>gsolberg:</t>
        </r>
        <r>
          <rPr>
            <sz val="10"/>
            <color indexed="81"/>
            <rFont val="Tahoma"/>
            <family val="2"/>
          </rPr>
          <t xml:space="preserve">
25MW Reserves</t>
        </r>
      </text>
    </comment>
    <comment ref="N58" authorId="1" shapeId="0">
      <text>
        <r>
          <rPr>
            <b/>
            <sz val="10"/>
            <color indexed="81"/>
            <rFont val="Tahoma"/>
            <family val="2"/>
          </rPr>
          <t>gsolberg:</t>
        </r>
        <r>
          <rPr>
            <sz val="10"/>
            <color indexed="81"/>
            <rFont val="Tahoma"/>
            <family val="2"/>
          </rPr>
          <t xml:space="preserve">
25MW Reserves</t>
        </r>
      </text>
    </comment>
    <comment ref="O58" authorId="1" shapeId="0">
      <text>
        <r>
          <rPr>
            <b/>
            <sz val="10"/>
            <color indexed="81"/>
            <rFont val="Tahoma"/>
            <family val="2"/>
          </rPr>
          <t>gsolberg:</t>
        </r>
        <r>
          <rPr>
            <sz val="10"/>
            <color indexed="81"/>
            <rFont val="Tahoma"/>
            <family val="2"/>
          </rPr>
          <t xml:space="preserve">
25MW Reserves</t>
        </r>
      </text>
    </comment>
    <comment ref="P58" authorId="1" shapeId="0">
      <text>
        <r>
          <rPr>
            <b/>
            <sz val="10"/>
            <color indexed="81"/>
            <rFont val="Tahoma"/>
            <family val="2"/>
          </rPr>
          <t>gsolberg:</t>
        </r>
        <r>
          <rPr>
            <sz val="10"/>
            <color indexed="81"/>
            <rFont val="Tahoma"/>
            <family val="2"/>
          </rPr>
          <t xml:space="preserve">
25MW Reserves</t>
        </r>
      </text>
    </comment>
    <comment ref="Q58" authorId="1" shapeId="0">
      <text>
        <r>
          <rPr>
            <b/>
            <sz val="10"/>
            <color indexed="81"/>
            <rFont val="Tahoma"/>
            <family val="2"/>
          </rPr>
          <t>gsolberg:</t>
        </r>
        <r>
          <rPr>
            <sz val="10"/>
            <color indexed="81"/>
            <rFont val="Tahoma"/>
            <family val="2"/>
          </rPr>
          <t xml:space="preserve">
25MW Reserves</t>
        </r>
      </text>
    </comment>
    <comment ref="R58" authorId="1" shapeId="0">
      <text>
        <r>
          <rPr>
            <b/>
            <sz val="10"/>
            <color indexed="81"/>
            <rFont val="Tahoma"/>
            <family val="2"/>
          </rPr>
          <t>gsolberg:</t>
        </r>
        <r>
          <rPr>
            <sz val="10"/>
            <color indexed="81"/>
            <rFont val="Tahoma"/>
            <family val="2"/>
          </rPr>
          <t xml:space="preserve">
25MW Reserves</t>
        </r>
      </text>
    </comment>
    <comment ref="S58" authorId="0" shapeId="0">
      <text>
        <r>
          <rPr>
            <b/>
            <sz val="14"/>
            <color indexed="81"/>
            <rFont val="Tahoma"/>
            <family val="2"/>
          </rPr>
          <t>dporter3: 
Buying 25 MW spin from PAC.</t>
        </r>
      </text>
    </comment>
    <comment ref="T58" authorId="0" shapeId="0">
      <text>
        <r>
          <rPr>
            <b/>
            <sz val="14"/>
            <color indexed="81"/>
            <rFont val="Tahoma"/>
            <family val="2"/>
          </rPr>
          <t>dporter3:
Newman 4 tripped.</t>
        </r>
      </text>
    </comment>
    <comment ref="U58" authorId="0" shapeId="0">
      <text>
        <r>
          <rPr>
            <b/>
            <sz val="14"/>
            <color indexed="81"/>
            <rFont val="Tahoma"/>
            <family val="2"/>
          </rPr>
          <t xml:space="preserve">dporter3:
Buying 25 MW Spin from PAC.
</t>
        </r>
      </text>
    </comment>
    <comment ref="V58" authorId="0" shapeId="0">
      <text>
        <r>
          <rPr>
            <b/>
            <sz val="14"/>
            <color indexed="81"/>
            <rFont val="Tahoma"/>
            <family val="2"/>
          </rPr>
          <t>dporter3:
Buying 25 MW spin from PAC.  IID 150 was put in late!</t>
        </r>
      </text>
    </comment>
    <comment ref="W58" authorId="0" shapeId="0">
      <text>
        <r>
          <rPr>
            <b/>
            <sz val="14"/>
            <color indexed="81"/>
            <rFont val="Tahoma"/>
            <family val="2"/>
          </rPr>
          <t xml:space="preserve">dporter3:
Buying 25 MW Spin from PAC
</t>
        </r>
      </text>
    </comment>
    <comment ref="X58" authorId="0" shapeId="0">
      <text>
        <r>
          <rPr>
            <b/>
            <sz val="14"/>
            <color indexed="81"/>
            <rFont val="Tahoma"/>
            <family val="2"/>
          </rPr>
          <t>dporter3:
Buying 25 MW reserves from PAC.</t>
        </r>
      </text>
    </comment>
    <comment ref="Y58" authorId="0" shapeId="0">
      <text>
        <r>
          <rPr>
            <b/>
            <sz val="14"/>
            <color indexed="81"/>
            <rFont val="Tahoma"/>
            <family val="2"/>
          </rPr>
          <t>dporter3: Bought 50 MW spin from PAC.</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LHarasin</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 ref="J81" authorId="2" shapeId="0">
      <text>
        <r>
          <rPr>
            <b/>
            <sz val="10"/>
            <color indexed="81"/>
            <rFont val="Tahoma"/>
            <family val="2"/>
          </rPr>
          <t>LHarasin:</t>
        </r>
        <r>
          <rPr>
            <sz val="10"/>
            <color indexed="81"/>
            <rFont val="Tahoma"/>
            <family val="2"/>
          </rPr>
          <t xml:space="preserve">
50 itegrated to a 13 at 15 after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<sst xmlns="http://schemas.openxmlformats.org/spreadsheetml/2006/main" count="812" uniqueCount="392">
  <si>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</si>
  <si>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</si>
  <si>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</si>
  <si>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</si>
  <si>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</si>
  <si>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</si>
  <si>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</si>
  <si>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</si>
  <si>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</si>
  <si>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</si>
  <si>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</si>
  <si>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</si>
  <si>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</si>
  <si>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</si>
  <si>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</si>
  <si>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</si>
  <si>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</si>
  <si>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</si>
  <si>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</si>
  <si>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</si>
  <si>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</si>
  <si>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</si>
  <si>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</si>
  <si>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</si>
  <si>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</si>
  <si>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</si>
  <si>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</si>
  <si>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</si>
  <si>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</si>
  <si>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</si>
  <si>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</si>
  <si>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</si>
  <si>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</si>
  <si>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</si>
  <si>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</si>
  <si>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</si>
  <si>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</si>
  <si>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</si>
  <si>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</si>
  <si>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</si>
  <si>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</si>
  <si>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</si>
  <si>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</si>
  <si>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</si>
  <si>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</si>
  <si>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</si>
  <si>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</si>
  <si>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</si>
  <si>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</si>
  <si>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</si>
  <si>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</si>
  <si>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</si>
  <si>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</si>
  <si>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</si>
  <si>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</si>
  <si>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</si>
  <si>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</si>
  <si>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</si>
  <si>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</si>
  <si>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</si>
  <si>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</si>
  <si>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</si>
  <si>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</si>
  <si>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</si>
  <si>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</si>
  <si>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</si>
  <si>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</si>
  <si>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</si>
  <si>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</si>
  <si>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</si>
  <si>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</si>
  <si>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</si>
  <si>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</si>
  <si>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</si>
  <si>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</si>
  <si>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</si>
  <si>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</si>
  <si>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</si>
  <si>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</si>
  <si>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</si>
  <si>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</si>
  <si>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</si>
  <si>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</si>
  <si>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</si>
  <si>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</si>
  <si>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</si>
  <si>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</si>
  <si>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</si>
  <si>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</si>
  <si>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</si>
  <si>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</si>
  <si>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</si>
  <si>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</si>
  <si>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</si>
  <si>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</si>
  <si>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</si>
  <si>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</si>
  <si>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</si>
  <si>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</si>
  <si>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</si>
  <si>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</si>
  <si>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</si>
  <si>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</si>
  <si>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</si>
  <si>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</si>
  <si>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</si>
  <si>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</si>
  <si>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</si>
  <si>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</si>
  <si>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</si>
  <si>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</si>
  <si>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</si>
  <si>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</si>
  <si>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</si>
  <si>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</si>
  <si>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</si>
  <si>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</si>
  <si>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</si>
  <si>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</si>
  <si>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</si>
  <si>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</si>
  <si>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</si>
  <si>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</si>
  <si>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</si>
  <si>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</si>
  <si>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</si>
  <si>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</si>
  <si>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</si>
  <si>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</si>
  <si>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</si>
  <si>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</si>
  <si>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</si>
  <si>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</si>
  <si>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</si>
  <si>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</si>
  <si>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</si>
  <si>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</si>
  <si>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</si>
  <si>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</si>
  <si>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</si>
  <si>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</si>
  <si>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</si>
  <si>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</si>
  <si>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</si>
  <si>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</si>
  <si>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</si>
  <si>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</si>
  <si>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</si>
  <si>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</si>
  <si>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</si>
  <si>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</si>
  <si>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</si>
  <si>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</si>
  <si>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</si>
  <si>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</si>
  <si>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</si>
  <si>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</si>
  <si>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</si>
  <si>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</si>
  <si>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</si>
  <si>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</si>
  <si>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</si>
  <si>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</si>
  <si>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</si>
  <si>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</si>
  <si>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</si>
  <si>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</si>
  <si>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</si>
  <si>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</si>
  <si>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</si>
  <si>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</si>
  <si>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</si>
  <si>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</si>
  <si>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</si>
  <si>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</si>
  <si>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</si>
  <si>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</si>
  <si>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</si>
  <si>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</si>
  <si>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</si>
  <si>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</si>
  <si>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</si>
  <si>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</si>
  <si>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</si>
  <si>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</si>
  <si>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</si>
  <si>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</si>
  <si>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</si>
  <si>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</si>
  <si>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</si>
  <si>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</si>
  <si>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</si>
  <si>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</si>
  <si>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</si>
  <si>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</si>
  <si>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</si>
  <si>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</si>
  <si>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</si>
  <si>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</si>
  <si>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</si>
  <si>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</si>
  <si>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</si>
  <si>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</si>
  <si>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</si>
  <si>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</si>
  <si>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</si>
  <si>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</si>
  <si>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</si>
  <si>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</si>
  <si>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</si>
  <si>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</si>
  <si>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</si>
  <si>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</si>
  <si>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</si>
  <si>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</si>
  <si>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</si>
  <si>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</si>
  <si>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</si>
  <si>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</si>
  <si>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</si>
  <si>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</si>
  <si>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</si>
  <si>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</si>
  <si>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</si>
  <si>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</si>
  <si>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</si>
  <si>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</si>
  <si>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</si>
  <si>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</si>
  <si>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</si>
  <si>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</si>
  <si>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</si>
  <si>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</si>
  <si>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</si>
  <si>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</si>
  <si>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</si>
  <si>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</si>
  <si>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</si>
  <si>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</si>
  <si>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</si>
  <si>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</si>
  <si>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</si>
  <si>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</si>
  <si>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</si>
  <si>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</si>
  <si>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</si>
  <si>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</si>
  <si>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</si>
  <si>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</si>
  <si>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</si>
  <si>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</si>
  <si>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</si>
  <si>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</si>
  <si>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</si>
  <si>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</si>
  <si>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</si>
  <si>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</si>
  <si>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</si>
  <si>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</si>
  <si>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</si>
  <si>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</si>
  <si>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</si>
  <si>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</si>
  <si>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</si>
  <si>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</si>
  <si>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</si>
  <si>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</si>
  <si>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</si>
  <si>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</si>
  <si>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</si>
  <si>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</si>
  <si>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</si>
  <si>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</si>
  <si>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</si>
  <si>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</si>
  <si>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</si>
  <si>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</si>
  <si>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</si>
  <si>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</si>
  <si>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</si>
  <si>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</si>
  <si>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</si>
  <si>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</si>
  <si>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</si>
  <si>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</si>
  <si>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</si>
  <si>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</si>
  <si>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</si>
  <si>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</si>
  <si>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</si>
  <si>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</si>
  <si>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</si>
  <si>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</si>
  <si>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</si>
  <si>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</si>
  <si>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</si>
  <si>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</si>
  <si>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</si>
  <si>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</si>
  <si>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</si>
  <si>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</si>
  <si>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</si>
  <si>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</si>
  <si>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</si>
  <si>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</si>
  <si>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</si>
  <si>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</si>
  <si>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</si>
  <si>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</si>
  <si>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</si>
  <si>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</si>
  <si>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</si>
  <si>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</si>
  <si>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</si>
  <si>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</si>
  <si>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</si>
  <si>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</si>
  <si>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</si>
  <si>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</si>
  <si>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</si>
  <si>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</si>
  <si>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</si>
  <si>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</si>
  <si>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</si>
  <si>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</si>
  <si>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</si>
  <si>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</si>
  <si>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</si>
  <si>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</si>
  <si>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</si>
  <si>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</si>
  <si>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</si>
  <si>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</si>
  <si>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</si>
  <si>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</si>
  <si>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</si>
  <si>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</si>
  <si>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</si>
  <si>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</si>
  <si>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</si>
  <si>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</si>
  <si>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</si>
  <si>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</si>
  <si>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</si>
  <si>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</si>
  <si>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</si>
  <si>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</si>
  <si>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</si>
  <si>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</si>
  <si>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</si>
  <si>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</si>
  <si>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</si>
  <si>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</si>
  <si>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</si>
  <si>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</si>
  <si>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</si>
  <si>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</si>
  <si>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</si>
  <si>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</si>
  <si>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</si>
  <si>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</si>
  <si>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</si>
  <si>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HI</t>
  </si>
  <si>
    <t>NEWMN/GT2,UNAV,  0  , 60  , 18  , 60  ,  0  ,1</t>
  </si>
  <si>
    <t>NM/GT2+ST,UNAV,  0  ,100  , 66  ,107  ,  0  ,1</t>
  </si>
  <si>
    <t>PSCO BOOKOUT</t>
  </si>
  <si>
    <t>PSCO/SWPP/EPEC</t>
  </si>
  <si>
    <t>Econ</t>
  </si>
  <si>
    <t>x</t>
  </si>
  <si>
    <t>PSCO/APS/WALC/NEVP</t>
  </si>
  <si>
    <t>EPMI BOOKOUT</t>
  </si>
  <si>
    <t>ISO/SRP</t>
  </si>
  <si>
    <t>NM/GT1+ST,UNAV,  0  ,100  , 61  ,107  ,  0  ,1</t>
  </si>
  <si>
    <t>RIOGRAN 6,UNAV,  0  , 40  , 28  , 48  ,  0  ,1</t>
  </si>
  <si>
    <t>ISO/TEP</t>
  </si>
  <si>
    <t>ISO</t>
  </si>
  <si>
    <t>EPMI</t>
  </si>
  <si>
    <t>FIRM</t>
  </si>
  <si>
    <t>IPC</t>
  </si>
  <si>
    <t>RIOGRAN 7,MANL, 40  , 32  , 30  , 49  ,  0  ,1</t>
  </si>
  <si>
    <t>NEWMAN 1 ,UNAV,  0  , 68  , 39  , 83  ,  0  ,1</t>
  </si>
  <si>
    <t>POWEREX</t>
  </si>
  <si>
    <t>RIOGRAN 8,MANL, 89  , 90  , 60  ,151  ,  0  ,1</t>
  </si>
  <si>
    <t xml:space="preserve">RIOGRANDE,, 129 ,  122,   90, 200 ,   0 , </t>
  </si>
  <si>
    <t>NEWMAN 4 ,ECON,210  ,214  , 86  ,214  ,  4  ,1</t>
  </si>
  <si>
    <t>COPPER   ,MANL, 65  , 69  , 15  , 69  ,  0  ,1</t>
  </si>
  <si>
    <t>PALOVERDE,MANL,390  ,390  ,390  ,600  ,  0  ,1</t>
  </si>
  <si>
    <t>NEWMAN 2 ,MANL, 72  , 77  , 37  , 82  ,  0  ,1</t>
  </si>
  <si>
    <t>NEWMAN 3 ,ECON, 90  , 98  , 35  ,103  ,  9  ,1</t>
  </si>
  <si>
    <t xml:space="preserve">NEWMAN   ,, 373 ,  389,  158, 399 ,  13 , </t>
  </si>
  <si>
    <t>FOURCRNRS,MANL,101  ,101  ,101  ,104  ,  0  ,1</t>
  </si>
  <si>
    <t>LAMBDA, 53.67,  727,  754,   73,    1,   27,29385,94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</si>
</sst>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3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173" fontId="19" fillId="15" borderId="93"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108</xdr:row>
          <xdr:rowOff>167640</xdr:rowOff>
        </xdr:from>
        <xdr:to>
          <xdr:col>12</xdr:col>
          <xdr:colOff>99060</xdr:colOff>
          <xdr:row>109</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110</xdr:row>
      <xdr:rowOff>0</xdr:rowOff>
    </xdr:from>
    <xdr:to>
      <xdr:col>24</xdr:col>
      <xdr:colOff>259080</xdr:colOff>
      <xdr:row>133</xdr:row>
      <xdr:rowOff>76200</xdr:rowOff>
    </xdr:to>
    <xdr:sp macro="" textlink="">
      <xdr:nvSpPr>
        <xdr:cNvPr id="2303" name="Text Box 255"/>
        <xdr:cNvSpPr txBox="1">
          <a:spLocks noChangeArrowheads="1"/>
        </xdr:cNvSpPr>
      </xdr:nvSpPr>
      <xdr:spPr bwMode="auto">
        <a:xfrm>
          <a:off x="5387340" y="1037082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F46" zoomScale="70" workbookViewId="0">
      <selection activeCell="S58" sqref="S58"/>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80">
        <v>37021</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5">
      <c r="A2" s="581"/>
      <c r="B2" s="472" t="s">
        <v>368</v>
      </c>
      <c r="C2" s="472" t="s">
        <v>368</v>
      </c>
      <c r="D2" s="472" t="s">
        <v>368</v>
      </c>
      <c r="E2" s="472" t="s">
        <v>368</v>
      </c>
      <c r="F2" s="472" t="s">
        <v>368</v>
      </c>
      <c r="G2" s="472" t="s">
        <v>368</v>
      </c>
      <c r="H2" s="472" t="s">
        <v>368</v>
      </c>
      <c r="I2" s="472" t="s">
        <v>368</v>
      </c>
      <c r="J2" s="472" t="s">
        <v>368</v>
      </c>
      <c r="K2" s="472" t="s">
        <v>368</v>
      </c>
      <c r="L2" s="472" t="s">
        <v>368</v>
      </c>
      <c r="M2" s="472" t="s">
        <v>368</v>
      </c>
      <c r="N2" s="472" t="s">
        <v>368</v>
      </c>
      <c r="O2" s="472" t="s">
        <v>368</v>
      </c>
      <c r="P2" s="472" t="s">
        <v>368</v>
      </c>
      <c r="Q2" s="472" t="s">
        <v>368</v>
      </c>
      <c r="R2" s="472" t="s">
        <v>368</v>
      </c>
      <c r="S2" s="472" t="s">
        <v>368</v>
      </c>
      <c r="T2" s="472" t="s">
        <v>368</v>
      </c>
      <c r="U2" s="472" t="s">
        <v>368</v>
      </c>
      <c r="V2" s="472" t="s">
        <v>368</v>
      </c>
      <c r="W2" s="472" t="s">
        <v>368</v>
      </c>
      <c r="X2" s="472" t="s">
        <v>368</v>
      </c>
      <c r="Y2" s="566" t="s">
        <v>368</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8" thickBot="1" x14ac:dyDescent="0.3">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5">
      <c r="A4" s="551" t="s">
        <v>306</v>
      </c>
      <c r="B4" s="487">
        <v>711</v>
      </c>
      <c r="C4" s="487">
        <v>672</v>
      </c>
      <c r="D4" s="487">
        <v>667</v>
      </c>
      <c r="E4" s="487">
        <v>662</v>
      </c>
      <c r="F4" s="487">
        <v>690</v>
      </c>
      <c r="G4" s="487">
        <v>748</v>
      </c>
      <c r="H4" s="487">
        <v>817</v>
      </c>
      <c r="I4" s="487">
        <v>879</v>
      </c>
      <c r="J4" s="487">
        <v>936</v>
      </c>
      <c r="K4" s="487">
        <v>986</v>
      </c>
      <c r="L4" s="487">
        <v>1020</v>
      </c>
      <c r="M4" s="487">
        <v>1046</v>
      </c>
      <c r="N4" s="487">
        <v>1071</v>
      </c>
      <c r="O4" s="487">
        <v>1072</v>
      </c>
      <c r="P4" s="487">
        <v>1075</v>
      </c>
      <c r="Q4" s="487">
        <v>1071</v>
      </c>
      <c r="R4" s="487">
        <v>1021</v>
      </c>
      <c r="S4" s="487">
        <v>969</v>
      </c>
      <c r="T4" s="487">
        <v>974</v>
      </c>
      <c r="U4" s="487">
        <v>1003</v>
      </c>
      <c r="V4" s="487">
        <v>996</v>
      </c>
      <c r="W4" s="487">
        <v>890</v>
      </c>
      <c r="X4" s="487">
        <v>797</v>
      </c>
      <c r="Y4" s="488">
        <v>754</v>
      </c>
      <c r="Z4" s="347"/>
      <c r="AA4" s="347"/>
      <c r="AB4" s="347"/>
      <c r="AC4" s="347"/>
      <c r="AD4" s="347"/>
    </row>
    <row r="5" spans="1:213" s="161" customFormat="1" ht="13.8" thickBot="1" x14ac:dyDescent="0.3">
      <c r="A5" s="552" t="s">
        <v>65</v>
      </c>
      <c r="B5" s="593">
        <f>Deals!F4</f>
        <v>25</v>
      </c>
      <c r="C5" s="593">
        <f>Deals!G4</f>
        <v>25</v>
      </c>
      <c r="D5" s="593">
        <f>Deals!H4</f>
        <v>25</v>
      </c>
      <c r="E5" s="593">
        <f>Deals!I4</f>
        <v>25</v>
      </c>
      <c r="F5" s="593">
        <f>Deals!J4</f>
        <v>25</v>
      </c>
      <c r="G5" s="593">
        <f>Deals!K4</f>
        <v>25</v>
      </c>
      <c r="H5" s="593">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5">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ht="12.6" thickBot="1" x14ac:dyDescent="0.3">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1.4" x14ac:dyDescent="0.2">
      <c r="A8" s="474" t="s">
        <v>253</v>
      </c>
      <c r="B8" s="715">
        <f t="array" aca="1" ref="B8" ca="1">SUM(IF((DelPoint= "4C")*(DType = "pre")*(OFFSET(DelPoint,0,B3+2)&lt;0),OFFSET(DelPoint,0,B3+2),0))</f>
        <v>0</v>
      </c>
      <c r="C8" s="715">
        <f t="array" aca="1" ref="C8" ca="1">SUM(IF((DelPoint= "4C")*(DType = "pre")*(OFFSET(DelPoint,0,C3+2)&lt;0),OFFSET(DelPoint,0,C3+2),0))</f>
        <v>0</v>
      </c>
      <c r="D8" s="715">
        <f t="array" aca="1" ref="D8" ca="1">SUM(IF((DelPoint= "4C")*(DType = "pre")*(OFFSET(DelPoint,0,D3+2)&lt;0),OFFSET(DelPoint,0,D3+2),0))</f>
        <v>0</v>
      </c>
      <c r="E8" s="715">
        <f t="array" aca="1" ref="E8" ca="1">SUM(IF((DelPoint= "4C")*(DType = "pre")*(OFFSET(DelPoint,0,E3+2)&lt;0),OFFSET(DelPoint,0,E3+2),0))</f>
        <v>0</v>
      </c>
      <c r="F8" s="715">
        <f t="array" aca="1" ref="F8" ca="1">SUM(IF((DelPoint= "4C")*(DType = "pre")*(OFFSET(DelPoint,0,F3+2)&lt;0),OFFSET(DelPoint,0,F3+2),0))</f>
        <v>0</v>
      </c>
      <c r="G8" s="715">
        <f t="array" aca="1" ref="G8" ca="1">SUM(IF((DelPoint= "4C")*(DType = "pre")*(OFFSET(DelPoint,0,G3+2)&lt;0),OFFSET(DelPoint,0,G3+2),0))</f>
        <v>0</v>
      </c>
      <c r="H8" s="715">
        <f t="array" aca="1" ref="H8" ca="1">SUM(IF((DelPoint= "4C")*(DType = "pre")*(OFFSET(DelPoint,0,H3+2)&lt;0),OFFSET(DelPoint,0,H3+2),0))</f>
        <v>0</v>
      </c>
      <c r="I8" s="715">
        <f t="array" aca="1" ref="I8" ca="1">SUM(IF((DelPoint= "4C")*(DType = "pre")*(OFFSET(DelPoint,0,I3+2)&lt;0),OFFSET(DelPoint,0,I3+2),0))</f>
        <v>0</v>
      </c>
      <c r="J8" s="715">
        <f t="array" aca="1" ref="J8" ca="1">SUM(IF((DelPoint= "4C")*(DType = "pre")*(OFFSET(DelPoint,0,J3+2)&lt;0),OFFSET(DelPoint,0,J3+2),0))</f>
        <v>0</v>
      </c>
      <c r="K8" s="715">
        <f t="array" aca="1" ref="K8" ca="1">SUM(IF((DelPoint= "4C")*(DType = "pre")*(OFFSET(DelPoint,0,K3+2)&lt;0),OFFSET(DelPoint,0,K3+2),0))</f>
        <v>0</v>
      </c>
      <c r="L8" s="715">
        <f t="array" aca="1" ref="L8" ca="1">SUM(IF((DelPoint= "4C")*(DType = "pre")*(OFFSET(DelPoint,0,L3+2)&lt;0),OFFSET(DelPoint,0,L3+2),0))</f>
        <v>0</v>
      </c>
      <c r="M8" s="715">
        <f t="array" aca="1" ref="M8" ca="1">SUM(IF((DelPoint= "4C")*(DType = "pre")*(OFFSET(DelPoint,0,M3+2)&lt;0),OFFSET(DelPoint,0,M3+2),0))</f>
        <v>0</v>
      </c>
      <c r="N8" s="715">
        <f t="array" aca="1" ref="N8" ca="1">SUM(IF((DelPoint= "4C")*(DType = "pre")*(OFFSET(DelPoint,0,N3+2)&lt;0),OFFSET(DelPoint,0,N3+2),0))</f>
        <v>0</v>
      </c>
      <c r="O8" s="715">
        <f t="array" aca="1" ref="O8" ca="1">SUM(IF((DelPoint= "4C")*(DType = "pre")*(OFFSET(DelPoint,0,O3+2)&lt;0),OFFSET(DelPoint,0,O3+2),0))</f>
        <v>0</v>
      </c>
      <c r="P8" s="715">
        <f t="array" aca="1" ref="P8" ca="1">SUM(IF((DelPoint= "4C")*(DType = "pre")*(OFFSET(DelPoint,0,P3+2)&lt;0),OFFSET(DelPoint,0,P3+2),0))</f>
        <v>0</v>
      </c>
      <c r="Q8" s="715">
        <f t="array" aca="1" ref="Q8" ca="1">SUM(IF((DelPoint= "4C")*(DType = "pre")*(OFFSET(DelPoint,0,Q3+2)&lt;0),OFFSET(DelPoint,0,Q3+2),0))</f>
        <v>0</v>
      </c>
      <c r="R8" s="715">
        <f t="array" aca="1" ref="R8" ca="1">SUM(IF((DelPoint= "4C")*(DType = "pre")*(OFFSET(DelPoint,0,R3+2)&lt;0),OFFSET(DelPoint,0,R3+2),0))</f>
        <v>0</v>
      </c>
      <c r="S8" s="715">
        <f t="array" aca="1" ref="S8" ca="1">SUM(IF((DelPoint= "4C")*(DType = "pre")*(OFFSET(DelPoint,0,S3+2)&lt;0),OFFSET(DelPoint,0,S3+2),0))</f>
        <v>0</v>
      </c>
      <c r="T8" s="715">
        <f t="array" aca="1" ref="T8" ca="1">SUM(IF((DelPoint= "4C")*(DType = "pre")*(OFFSET(DelPoint,0,T3+2)&lt;0),OFFSET(DelPoint,0,T3+2),0))</f>
        <v>0</v>
      </c>
      <c r="U8" s="715">
        <f t="array" aca="1" ref="U8" ca="1">SUM(IF((DelPoint= "4C")*(DType = "pre")*(OFFSET(DelPoint,0,U3+2)&lt;0),OFFSET(DelPoint,0,U3+2),0))</f>
        <v>0</v>
      </c>
      <c r="V8" s="715">
        <f t="array" aca="1" ref="V8" ca="1">SUM(IF((DelPoint= "4C")*(DType = "pre")*(OFFSET(DelPoint,0,V3+2)&lt;0),OFFSET(DelPoint,0,V3+2),0))</f>
        <v>0</v>
      </c>
      <c r="W8" s="715">
        <f t="array" aca="1" ref="W8" ca="1">SUM(IF((DelPoint= "4C")*(DType = "pre")*(OFFSET(DelPoint,0,W3+2)&lt;0),OFFSET(DelPoint,0,W3+2),0))</f>
        <v>0</v>
      </c>
      <c r="X8" s="715">
        <f t="array" aca="1" ref="X8" ca="1">SUM(IF((DelPoint= "4C")*(DType = "pre")*(OFFSET(DelPoint,0,X3+2)&lt;0),OFFSET(DelPoint,0,X3+2),0))</f>
        <v>0</v>
      </c>
      <c r="Y8" s="716">
        <f t="array" aca="1" ref="Y8" ca="1">SUM(IF((DelPoint= "4C")*(DType = "pre")*(OFFSET(DelPoint,0,Y3+2)&lt;0),OFFSET(DelPoint,0,Y3+2),0))</f>
        <v>0</v>
      </c>
      <c r="Z8" s="160"/>
      <c r="AA8" s="162"/>
    </row>
    <row r="9" spans="1:213" s="161" customFormat="1" ht="11.4" x14ac:dyDescent="0.2">
      <c r="A9" s="475" t="s">
        <v>28</v>
      </c>
      <c r="B9" s="717"/>
      <c r="C9" s="717"/>
      <c r="D9" s="717"/>
      <c r="E9" s="717">
        <f t="shared" ref="E9:Y9" ca="1" si="0">SUMIF(OFFSET(CBalancingVol,E$3,0),"&lt;0")</f>
        <v>0</v>
      </c>
      <c r="F9" s="717">
        <f t="shared" ca="1" si="0"/>
        <v>0</v>
      </c>
      <c r="G9" s="717">
        <f t="shared" ca="1" si="0"/>
        <v>0</v>
      </c>
      <c r="H9" s="717">
        <f t="shared" ca="1" si="0"/>
        <v>0</v>
      </c>
      <c r="I9" s="717">
        <f t="shared" ca="1" si="0"/>
        <v>0</v>
      </c>
      <c r="J9" s="717">
        <f t="shared" ca="1" si="0"/>
        <v>0</v>
      </c>
      <c r="K9" s="717">
        <f t="shared" ca="1" si="0"/>
        <v>0</v>
      </c>
      <c r="L9" s="717">
        <f t="shared" ca="1" si="0"/>
        <v>0</v>
      </c>
      <c r="M9" s="717">
        <f t="shared" ca="1" si="0"/>
        <v>0</v>
      </c>
      <c r="N9" s="717">
        <f t="shared" ca="1" si="0"/>
        <v>0</v>
      </c>
      <c r="O9" s="717">
        <f t="shared" ca="1" si="0"/>
        <v>0</v>
      </c>
      <c r="P9" s="717">
        <f t="shared" ca="1" si="0"/>
        <v>0</v>
      </c>
      <c r="Q9" s="717">
        <f t="shared" ca="1" si="0"/>
        <v>0</v>
      </c>
      <c r="R9" s="717">
        <f t="shared" ca="1" si="0"/>
        <v>0</v>
      </c>
      <c r="S9" s="717">
        <f t="shared" ca="1" si="0"/>
        <v>0</v>
      </c>
      <c r="T9" s="717">
        <f t="shared" ca="1" si="0"/>
        <v>0</v>
      </c>
      <c r="U9" s="717">
        <f t="shared" ca="1" si="0"/>
        <v>0</v>
      </c>
      <c r="V9" s="717">
        <f t="shared" ca="1" si="0"/>
        <v>0</v>
      </c>
      <c r="W9" s="717">
        <f t="shared" ca="1" si="0"/>
        <v>0</v>
      </c>
      <c r="X9" s="717">
        <f t="shared" ca="1" si="0"/>
        <v>0</v>
      </c>
      <c r="Y9" s="718">
        <f t="shared" ca="1" si="0"/>
        <v>0</v>
      </c>
      <c r="Z9" s="160"/>
      <c r="AA9" s="162"/>
    </row>
    <row r="10" spans="1:213" s="161" customFormat="1" ht="11.4" x14ac:dyDescent="0.2">
      <c r="A10" s="475" t="s">
        <v>359</v>
      </c>
      <c r="B10" s="637"/>
      <c r="C10" s="637"/>
      <c r="D10" s="637"/>
      <c r="E10" s="637"/>
      <c r="F10" s="637"/>
      <c r="G10" s="637"/>
      <c r="H10" s="637"/>
      <c r="I10" s="637"/>
      <c r="J10" s="637"/>
      <c r="K10" s="637"/>
      <c r="L10" s="637"/>
      <c r="M10" s="637"/>
      <c r="N10" s="637"/>
      <c r="O10" s="637"/>
      <c r="P10" s="637"/>
      <c r="Q10" s="637"/>
      <c r="R10" s="637"/>
      <c r="S10" s="637"/>
      <c r="T10" s="637"/>
      <c r="U10" s="637"/>
      <c r="V10" s="637"/>
      <c r="W10" s="637"/>
      <c r="X10" s="637"/>
      <c r="Y10" s="643"/>
      <c r="Z10" s="160"/>
      <c r="AA10" s="162"/>
    </row>
    <row r="11" spans="1:213" s="161" customFormat="1" ht="11.4" x14ac:dyDescent="0.2">
      <c r="A11" s="475" t="s">
        <v>254</v>
      </c>
      <c r="B11" s="637">
        <f t="array" aca="1" ref="B11" ca="1">SUM(IF((DelPoint= "4C")*IF((DType = "firm")+(DType = "econ")&gt;0,1,0)*(OFFSET(DelPoint,0,B3+2)&lt;0),OFFSET(DelPoint,0,B3+2),0))</f>
        <v>0</v>
      </c>
      <c r="C11" s="637">
        <f t="array" aca="1" ref="C11" ca="1">SUM(IF((DelPoint= "4C")*IF((DType = "firm")+(DType = "econ")&gt;0,1,0)*(OFFSET(DelPoint,0,C3+2)&lt;0),OFFSET(DelPoint,0,C3+2),0))</f>
        <v>0</v>
      </c>
      <c r="D11" s="637">
        <f t="array" aca="1" ref="D11" ca="1">SUM(IF((DelPoint= "4C")*IF((DType = "firm")+(DType = "econ")&gt;0,1,0)*(OFFSET(DelPoint,0,D3+2)&lt;0),OFFSET(DelPoint,0,D3+2),0))</f>
        <v>0</v>
      </c>
      <c r="E11" s="637">
        <f t="array" aca="1" ref="E11" ca="1">SUM(IF((DelPoint= "4C")*IF((DType = "firm")+(DType = "econ")&gt;0,1,0)*(OFFSET(DelPoint,0,E3+2)&lt;0),OFFSET(DelPoint,0,E3+2),0))</f>
        <v>0</v>
      </c>
      <c r="F11" s="637">
        <f t="array" aca="1" ref="F11" ca="1">SUM(IF((DelPoint= "4C")*IF((DType = "firm")+(DType = "econ")&gt;0,1,0)*(OFFSET(DelPoint,0,F3+2)&lt;0),OFFSET(DelPoint,0,F3+2),0))</f>
        <v>0</v>
      </c>
      <c r="G11" s="637">
        <f t="array" aca="1" ref="G11" ca="1">SUM(IF((DelPoint= "4C")*IF((DType = "firm")+(DType = "econ")&gt;0,1,0)*(OFFSET(DelPoint,0,G3+2)&lt;0),OFFSET(DelPoint,0,G3+2),0))</f>
        <v>0</v>
      </c>
      <c r="H11" s="637">
        <f t="array" aca="1" ref="H11" ca="1">SUM(IF((DelPoint= "4C")*IF((DType = "firm")+(DType = "econ")&gt;0,1,0)*(OFFSET(DelPoint,0,H3+2)&lt;0),OFFSET(DelPoint,0,H3+2),0))</f>
        <v>0</v>
      </c>
      <c r="I11" s="637">
        <f t="array" aca="1" ref="I11" ca="1">SUM(IF((DelPoint= "4C")*IF((DType = "firm")+(DType = "econ")&gt;0,1,0)*(OFFSET(DelPoint,0,I3+2)&lt;0),OFFSET(DelPoint,0,I3+2),0))</f>
        <v>0</v>
      </c>
      <c r="J11" s="637">
        <f t="array" aca="1" ref="J11" ca="1">SUM(IF((DelPoint= "4C")*IF((DType = "firm")+(DType = "econ")&gt;0,1,0)*(OFFSET(DelPoint,0,J3+2)&lt;0),OFFSET(DelPoint,0,J3+2),0))</f>
        <v>0</v>
      </c>
      <c r="K11" s="637">
        <f t="array" aca="1" ref="K11" ca="1">SUM(IF((DelPoint= "4C")*IF((DType = "firm")+(DType = "econ")&gt;0,1,0)*(OFFSET(DelPoint,0,K3+2)&lt;0),OFFSET(DelPoint,0,K3+2),0))</f>
        <v>0</v>
      </c>
      <c r="L11" s="637">
        <f t="array" aca="1" ref="L11" ca="1">SUM(IF((DelPoint= "4C")*IF((DType = "firm")+(DType = "econ")&gt;0,1,0)*(OFFSET(DelPoint,0,L3+2)&lt;0),OFFSET(DelPoint,0,L3+2),0))</f>
        <v>0</v>
      </c>
      <c r="M11" s="637">
        <f t="array" aca="1" ref="M11" ca="1">SUM(IF((DelPoint= "4C")*IF((DType = "firm")+(DType = "econ")&gt;0,1,0)*(OFFSET(DelPoint,0,M3+2)&lt;0),OFFSET(DelPoint,0,M3+2),0))</f>
        <v>-25</v>
      </c>
      <c r="N11" s="637">
        <f t="array" aca="1" ref="N11" ca="1">SUM(IF((DelPoint= "4C")*IF((DType = "firm")+(DType = "econ")&gt;0,1,0)*(OFFSET(DelPoint,0,N3+2)&lt;0),OFFSET(DelPoint,0,N3+2),0))</f>
        <v>-25</v>
      </c>
      <c r="O11" s="637">
        <f t="array" aca="1" ref="O11" ca="1">SUM(IF((DelPoint= "4C")*IF((DType = "firm")+(DType = "econ")&gt;0,1,0)*(OFFSET(DelPoint,0,O3+2)&lt;0),OFFSET(DelPoint,0,O3+2),0))</f>
        <v>-25</v>
      </c>
      <c r="P11" s="637">
        <f t="array" aca="1" ref="P11" ca="1">SUM(IF((DelPoint= "4C")*IF((DType = "firm")+(DType = "econ")&gt;0,1,0)*(OFFSET(DelPoint,0,P3+2)&lt;0),OFFSET(DelPoint,0,P3+2),0))</f>
        <v>-25</v>
      </c>
      <c r="Q11" s="637">
        <f t="array" aca="1" ref="Q11" ca="1">SUM(IF((DelPoint= "4C")*IF((DType = "firm")+(DType = "econ")&gt;0,1,0)*(OFFSET(DelPoint,0,Q3+2)&lt;0),OFFSET(DelPoint,0,Q3+2),0))</f>
        <v>-25</v>
      </c>
      <c r="R11" s="637">
        <f t="array" aca="1" ref="R11" ca="1">SUM(IF((DelPoint= "4C")*IF((DType = "firm")+(DType = "econ")&gt;0,1,0)*(OFFSET(DelPoint,0,R3+2)&lt;0),OFFSET(DelPoint,0,R3+2),0))</f>
        <v>-25</v>
      </c>
      <c r="S11" s="637">
        <f t="array" aca="1" ref="S11" ca="1">SUM(IF((DelPoint= "4C")*IF((DType = "firm")+(DType = "econ")&gt;0,1,0)*(OFFSET(DelPoint,0,S3+2)&lt;0),OFFSET(DelPoint,0,S3+2),0))</f>
        <v>-25</v>
      </c>
      <c r="T11" s="637">
        <f t="array" aca="1" ref="T11" ca="1">SUM(IF((DelPoint= "4C")*IF((DType = "firm")+(DType = "econ")&gt;0,1,0)*(OFFSET(DelPoint,0,T3+2)&lt;0),OFFSET(DelPoint,0,T3+2),0))</f>
        <v>-25</v>
      </c>
      <c r="U11" s="637">
        <f t="array" aca="1" ref="U11" ca="1">SUM(IF((DelPoint= "4C")*IF((DType = "firm")+(DType = "econ")&gt;0,1,0)*(OFFSET(DelPoint,0,U3+2)&lt;0),OFFSET(DelPoint,0,U3+2),0))</f>
        <v>-25</v>
      </c>
      <c r="V11" s="637">
        <f t="array" aca="1" ref="V11" ca="1">SUM(IF((DelPoint= "4C")*IF((DType = "firm")+(DType = "econ")&gt;0,1,0)*(OFFSET(DelPoint,0,V3+2)&lt;0),OFFSET(DelPoint,0,V3+2),0))</f>
        <v>-25</v>
      </c>
      <c r="W11" s="637">
        <f t="array" aca="1" ref="W11" ca="1">SUM(IF((DelPoint= "4C")*IF((DType = "firm")+(DType = "econ")&gt;0,1,0)*(OFFSET(DelPoint,0,W3+2)&lt;0),OFFSET(DelPoint,0,W3+2),0))</f>
        <v>-25</v>
      </c>
      <c r="X11" s="637">
        <f t="array" aca="1" ref="X11" ca="1">SUM(IF((DelPoint= "4C")*IF((DType = "firm")+(DType = "econ")&gt;0,1,0)*(OFFSET(DelPoint,0,X3+2)&lt;0),OFFSET(DelPoint,0,X3+2),0))</f>
        <v>-25</v>
      </c>
      <c r="Y11" s="637">
        <f t="array" aca="1" ref="Y11" ca="1">SUM(IF((DelPoint= "4C")*IF((DType = "firm")+(DType = "econ")&gt;0,1,0)*(OFFSET(DelPoint,0,Y3+2)&lt;0),OFFSET(DelPoint,0,Y3+2),0))</f>
        <v>-50</v>
      </c>
      <c r="Z11" s="160"/>
      <c r="AA11" s="162"/>
    </row>
    <row r="12" spans="1:213" s="161" customFormat="1" ht="11.4" x14ac:dyDescent="0.2">
      <c r="A12" s="553" t="s">
        <v>255</v>
      </c>
      <c r="B12" s="646">
        <f ca="1">Deals!F96+Deals!F97+Deals!F98+Deals!F99+Deals!F100+Deals!F101</f>
        <v>0</v>
      </c>
      <c r="C12" s="646">
        <f>Deals!G96+Deals!G97+Deals!G98+Deals!G99+Deals!G100+Deals!G101</f>
        <v>0</v>
      </c>
      <c r="D12" s="646">
        <f>Deals!H96+Deals!H97+Deals!H98+Deals!H99+Deals!H100+Deals!H101</f>
        <v>0</v>
      </c>
      <c r="E12" s="646">
        <f>Deals!I96+Deals!I97+Deals!I98+Deals!I99+Deals!I100+Deals!I101</f>
        <v>0</v>
      </c>
      <c r="F12" s="646">
        <f>Deals!J96+Deals!J97+Deals!J98+Deals!J99+Deals!J100+Deals!J101</f>
        <v>0</v>
      </c>
      <c r="G12" s="646">
        <f>Deals!K96+Deals!K97+Deals!K98+Deals!K99+Deals!K100+Deals!K101</f>
        <v>0</v>
      </c>
      <c r="H12" s="646">
        <f>Deals!L96+Deals!L97+Deals!L98+Deals!L99+Deals!L100+Deals!L101</f>
        <v>-150</v>
      </c>
      <c r="I12" s="646">
        <f>Deals!M96+Deals!M97+Deals!M98+Deals!M99+Deals!M100+Deals!M101</f>
        <v>-150</v>
      </c>
      <c r="J12" s="646">
        <f>Deals!N96+Deals!N97+Deals!N98+Deals!N99+Deals!N100+Deals!N101</f>
        <v>-150</v>
      </c>
      <c r="K12" s="646">
        <f>Deals!O96+Deals!O97+Deals!O98+Deals!O99+Deals!O100+Deals!O101</f>
        <v>-150</v>
      </c>
      <c r="L12" s="646">
        <f>Deals!P96+Deals!P97+Deals!P98+Deals!P99+Deals!P100+Deals!P101</f>
        <v>-150</v>
      </c>
      <c r="M12" s="646">
        <f>Deals!Q96+Deals!Q97+Deals!Q98+Deals!Q99+Deals!Q100+Deals!Q101</f>
        <v>-150</v>
      </c>
      <c r="N12" s="646">
        <f>Deals!R96+Deals!R97+Deals!R98+Deals!R99+Deals!R100+Deals!R101</f>
        <v>-150</v>
      </c>
      <c r="O12" s="646">
        <f>Deals!S96+Deals!S97+Deals!S98+Deals!S99+Deals!S100+Deals!S101</f>
        <v>-150</v>
      </c>
      <c r="P12" s="646">
        <f>Deals!T96+Deals!T97+Deals!T98+Deals!T99+Deals!T100+Deals!T101</f>
        <v>-150</v>
      </c>
      <c r="Q12" s="646">
        <f>Deals!U96+Deals!U97+Deals!U98+Deals!U99+Deals!U100+Deals!U101</f>
        <v>-150</v>
      </c>
      <c r="R12" s="646">
        <f>Deals!V96+Deals!V97+Deals!V98+Deals!V99+Deals!V100+Deals!V101</f>
        <v>-150</v>
      </c>
      <c r="S12" s="646">
        <f>Deals!W96+Deals!W97+Deals!W98+Deals!W99+Deals!W100+Deals!W101</f>
        <v>-150</v>
      </c>
      <c r="T12" s="646">
        <f>Deals!X96+Deals!X97+Deals!X98+Deals!X99+Deals!X100+Deals!X101</f>
        <v>-150</v>
      </c>
      <c r="U12" s="646">
        <f>Deals!Y96+Deals!Y97+Deals!Y98+Deals!Y99+Deals!Y100+Deals!Y101</f>
        <v>-150</v>
      </c>
      <c r="V12" s="646">
        <f>Deals!Z96+Deals!Z97+Deals!Z98+Deals!Z99+Deals!Z100+Deals!Z101</f>
        <v>-150</v>
      </c>
      <c r="W12" s="646">
        <f>Deals!AA96+Deals!AA97+Deals!AA98+Deals!AA99+Deals!AA100+Deals!AA101</f>
        <v>-150</v>
      </c>
      <c r="X12" s="646">
        <f>Deals!AB96+Deals!AB97+Deals!AB98+Deals!AB99+Deals!AB100+Deals!AB101</f>
        <v>0</v>
      </c>
      <c r="Y12" s="646">
        <f>Deals!AC96+Deals!AC97+Deals!AC98+Deals!AC99+Deals!AC100+Deals!AC101</f>
        <v>0</v>
      </c>
      <c r="Z12" s="160"/>
      <c r="AA12" s="162"/>
    </row>
    <row r="13" spans="1:213" s="161" customFormat="1" ht="11.4" x14ac:dyDescent="0.2">
      <c r="A13" s="554" t="s">
        <v>31</v>
      </c>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9"/>
      <c r="Z13" s="160"/>
      <c r="AA13" s="162"/>
    </row>
    <row r="14" spans="1:213" s="161" customFormat="1" ht="11.4" x14ac:dyDescent="0.2">
      <c r="A14" s="554" t="s">
        <v>305</v>
      </c>
      <c r="B14" s="646">
        <f>Deals!F16+Deals!F17+Deals!F18+Deals!F19</f>
        <v>-60</v>
      </c>
      <c r="C14" s="646">
        <f>Deals!G16+Deals!G17+Deals!G18+Deals!G19</f>
        <v>-60</v>
      </c>
      <c r="D14" s="646">
        <f>Deals!H16+Deals!H17+Deals!H18+Deals!H19</f>
        <v>-60</v>
      </c>
      <c r="E14" s="646">
        <f>Deals!I16+Deals!I17+Deals!I18+Deals!I19</f>
        <v>-60</v>
      </c>
      <c r="F14" s="646">
        <f>Deals!J16+Deals!J17+Deals!J18+Deals!J19</f>
        <v>-60</v>
      </c>
      <c r="G14" s="646">
        <f>Deals!K16+Deals!K17+Deals!K18+Deals!K19</f>
        <v>-60</v>
      </c>
      <c r="H14" s="646">
        <f>Deals!L16+Deals!L17+Deals!L18+Deals!L19</f>
        <v>-60</v>
      </c>
      <c r="I14" s="646">
        <f>Deals!M16+Deals!M17+Deals!M18+Deals!M19</f>
        <v>-60</v>
      </c>
      <c r="J14" s="646">
        <f>Deals!N16+Deals!N17+Deals!N18+Deals!N19</f>
        <v>-60</v>
      </c>
      <c r="K14" s="646">
        <f>Deals!O16+Deals!O17+Deals!O18+Deals!O19</f>
        <v>-60</v>
      </c>
      <c r="L14" s="646">
        <f>Deals!P16+Deals!P17+Deals!P18+Deals!P19</f>
        <v>-60</v>
      </c>
      <c r="M14" s="646">
        <f>Deals!Q16+Deals!Q17+Deals!Q18+Deals!Q19</f>
        <v>-60</v>
      </c>
      <c r="N14" s="646">
        <f>Deals!R16+Deals!R17+Deals!R18+Deals!R19</f>
        <v>-60</v>
      </c>
      <c r="O14" s="646">
        <f>Deals!S16+Deals!S17+Deals!S18+Deals!S19</f>
        <v>-60</v>
      </c>
      <c r="P14" s="646">
        <f>Deals!T16+Deals!T17+Deals!T18+Deals!T19</f>
        <v>-60</v>
      </c>
      <c r="Q14" s="646">
        <f>Deals!U16+Deals!U17+Deals!U18+Deals!U19</f>
        <v>-60</v>
      </c>
      <c r="R14" s="646">
        <f>Deals!V16+Deals!V17+Deals!V18+Deals!V19</f>
        <v>-60</v>
      </c>
      <c r="S14" s="646">
        <f>Deals!W16+Deals!W17+Deals!W18+Deals!W19</f>
        <v>-60</v>
      </c>
      <c r="T14" s="646">
        <f>Deals!X16+Deals!X17+Deals!X18+Deals!X19</f>
        <v>-60</v>
      </c>
      <c r="U14" s="646">
        <f>Deals!Y16+Deals!Y17+Deals!Y18+Deals!Y19</f>
        <v>-60</v>
      </c>
      <c r="V14" s="646">
        <f>Deals!Z16+Deals!Z17+Deals!Z18+Deals!Z19</f>
        <v>-60</v>
      </c>
      <c r="W14" s="646">
        <f>Deals!AA16+Deals!AA17+Deals!AA18+Deals!AA19</f>
        <v>-60</v>
      </c>
      <c r="X14" s="646">
        <f>Deals!AB16+Deals!AB17+Deals!AB18+Deals!AB19</f>
        <v>-60</v>
      </c>
      <c r="Y14" s="698">
        <f>Deals!AC16+Deals!AC17+Deals!AC18+Deals!AC19</f>
        <v>-60</v>
      </c>
      <c r="Z14" s="160"/>
      <c r="AA14" s="162"/>
    </row>
    <row r="15" spans="1:213" s="161" customFormat="1" ht="11.4" x14ac:dyDescent="0.2">
      <c r="A15" s="555" t="s">
        <v>256</v>
      </c>
      <c r="B15" s="640">
        <f t="array" aca="1" ref="B15" ca="1">SUM(IF((DelPoint= "PV")*IF((DType = "firm")+(DType = "econ")&gt;0,1,0)*(OFFSET(DelPoint,0,B3+2)&lt;0),OFFSET(DelPoint,0,B3+2),0))</f>
        <v>0</v>
      </c>
      <c r="C15" s="640">
        <f t="array" aca="1" ref="C15" ca="1">SUM(IF((DelPoint= "PV")*IF((DType = "firm")+(DType = "econ")&gt;0,1,0)*(OFFSET(DelPoint,0,C3+2)&lt;0),OFFSET(DelPoint,0,C3+2),0))</f>
        <v>0</v>
      </c>
      <c r="D15" s="640">
        <f t="array" aca="1" ref="D15" ca="1">SUM(IF((DelPoint= "PV")*IF((DType = "firm")+(DType = "econ")&gt;0,1,0)*(OFFSET(DelPoint,0,D3+2)&lt;0),OFFSET(DelPoint,0,D3+2),0))</f>
        <v>0</v>
      </c>
      <c r="E15" s="640">
        <f t="array" aca="1" ref="E15" ca="1">SUM(IF((DelPoint= "PV")*IF((DType = "firm")+(DType = "econ")&gt;0,1,0)*(OFFSET(DelPoint,0,E3+2)&lt;0),OFFSET(DelPoint,0,E3+2),0))</f>
        <v>0</v>
      </c>
      <c r="F15" s="640">
        <f t="array" aca="1" ref="F15" ca="1">SUM(IF((DelPoint= "PV")*IF((DType = "firm")+(DType = "econ")&gt;0,1,0)*(OFFSET(DelPoint,0,F3+2)&lt;0),OFFSET(DelPoint,0,F3+2),0))</f>
        <v>0</v>
      </c>
      <c r="G15" s="640">
        <f t="array" aca="1" ref="G15" ca="1">SUM(IF((DelPoint= "PV")*IF((DType = "firm")+(DType = "econ")&gt;0,1,0)*(OFFSET(DelPoint,0,G3+2)&lt;0),OFFSET(DelPoint,0,G3+2),0))</f>
        <v>0</v>
      </c>
      <c r="H15" s="640">
        <f t="array" aca="1" ref="H15" ca="1">SUM(IF((DelPoint= "PV")*IF((DType = "firm")+(DType = "econ")&gt;0,1,0)*(OFFSET(DelPoint,0,H3+2)&lt;0),OFFSET(DelPoint,0,H3+2),0))</f>
        <v>0</v>
      </c>
      <c r="I15" s="640">
        <f t="array" aca="1" ref="I15" ca="1">SUM(IF((DelPoint= "PV")*IF((DType = "firm")+(DType = "econ")&gt;0,1,0)*(OFFSET(DelPoint,0,I3+2)&lt;0),OFFSET(DelPoint,0,I3+2),0))</f>
        <v>0</v>
      </c>
      <c r="J15" s="640">
        <f t="array" aca="1" ref="J15" ca="1">SUM(IF((DelPoint= "PV")*IF((DType = "firm")+(DType = "econ")&gt;0,1,0)*(OFFSET(DelPoint,0,J3+2)&lt;0),OFFSET(DelPoint,0,J3+2),0))</f>
        <v>0</v>
      </c>
      <c r="K15" s="640">
        <f t="array" aca="1" ref="K15" ca="1">SUM(IF((DelPoint= "PV")*IF((DType = "firm")+(DType = "econ")&gt;0,1,0)*(OFFSET(DelPoint,0,K3+2)&lt;0),OFFSET(DelPoint,0,K3+2),0))</f>
        <v>0</v>
      </c>
      <c r="L15" s="640">
        <f t="array" aca="1" ref="L15" ca="1">SUM(IF((DelPoint= "PV")*IF((DType = "firm")+(DType = "econ")&gt;0,1,0)*(OFFSET(DelPoint,0,L3+2)&lt;0),OFFSET(DelPoint,0,L3+2),0))</f>
        <v>0</v>
      </c>
      <c r="M15" s="640">
        <f t="array" aca="1" ref="M15" ca="1">SUM(IF((DelPoint= "PV")*IF((DType = "firm")+(DType = "econ")&gt;0,1,0)*(OFFSET(DelPoint,0,M3+2)&lt;0),OFFSET(DelPoint,0,M3+2),0))</f>
        <v>0</v>
      </c>
      <c r="N15" s="640">
        <f t="array" aca="1" ref="N15" ca="1">SUM(IF((DelPoint= "PV")*IF((DType = "firm")+(DType = "econ")&gt;0,1,0)*(OFFSET(DelPoint,0,N3+2)&lt;0),OFFSET(DelPoint,0,N3+2),0))</f>
        <v>0</v>
      </c>
      <c r="O15" s="640">
        <f t="array" aca="1" ref="O15" ca="1">SUM(IF((DelPoint= "PV")*IF((DType = "firm")+(DType = "econ")&gt;0,1,0)*(OFFSET(DelPoint,0,O3+2)&lt;0),OFFSET(DelPoint,0,O3+2),0))</f>
        <v>0</v>
      </c>
      <c r="P15" s="640">
        <f t="array" aca="1" ref="P15" ca="1">SUM(IF((DelPoint= "PV")*IF((DType = "firm")+(DType = "econ")&gt;0,1,0)*(OFFSET(DelPoint,0,P3+2)&lt;0),OFFSET(DelPoint,0,P3+2),0))</f>
        <v>0</v>
      </c>
      <c r="Q15" s="640">
        <f t="array" aca="1" ref="Q15" ca="1">SUM(IF((DelPoint= "PV")*IF((DType = "firm")+(DType = "econ")&gt;0,1,0)*(OFFSET(DelPoint,0,Q3+2)&lt;0),OFFSET(DelPoint,0,Q3+2),0))</f>
        <v>0</v>
      </c>
      <c r="R15" s="640">
        <f t="array" aca="1" ref="R15" ca="1">SUM(IF((DelPoint= "PV")*IF((DType = "firm")+(DType = "econ")&gt;0,1,0)*(OFFSET(DelPoint,0,R3+2)&lt;0),OFFSET(DelPoint,0,R3+2),0))</f>
        <v>0</v>
      </c>
      <c r="S15" s="640">
        <f t="array" aca="1" ref="S15" ca="1">SUM(IF((DelPoint= "PV")*IF((DType = "firm")+(DType = "econ")&gt;0,1,0)*(OFFSET(DelPoint,0,S3+2)&lt;0),OFFSET(DelPoint,0,S3+2),0))</f>
        <v>0</v>
      </c>
      <c r="T15" s="640">
        <f t="array" aca="1" ref="T15" ca="1">SUM(IF((DelPoint= "PV")*IF((DType = "firm")+(DType = "econ")&gt;0,1,0)*(OFFSET(DelPoint,0,T3+2)&lt;0),OFFSET(DelPoint,0,T3+2),0))</f>
        <v>0</v>
      </c>
      <c r="U15" s="640">
        <f t="array" aca="1" ref="U15" ca="1">SUM(IF((DelPoint= "PV")*IF((DType = "firm")+(DType = "econ")&gt;0,1,0)*(OFFSET(DelPoint,0,U3+2)&lt;0),OFFSET(DelPoint,0,U3+2),0))</f>
        <v>0</v>
      </c>
      <c r="V15" s="640">
        <f t="array" aca="1" ref="V15" ca="1">SUM(IF((DelPoint= "PV")*IF((DType = "firm")+(DType = "econ")&gt;0,1,0)*(OFFSET(DelPoint,0,V3+2)&lt;0),OFFSET(DelPoint,0,V3+2),0))</f>
        <v>0</v>
      </c>
      <c r="W15" s="640">
        <f t="array" aca="1" ref="W15" ca="1">SUM(IF((DelPoint= "PV")*IF((DType = "firm")+(DType = "econ")&gt;0,1,0)*(OFFSET(DelPoint,0,W3+2)&lt;0),OFFSET(DelPoint,0,W3+2),0))</f>
        <v>0</v>
      </c>
      <c r="X15" s="640">
        <f t="array" aca="1" ref="X15" ca="1">SUM(IF((DelPoint= "PV")*IF((DType = "firm")+(DType = "econ")&gt;0,1,0)*(OFFSET(DelPoint,0,X3+2)&lt;0),OFFSET(DelPoint,0,X3+2),0))</f>
        <v>0</v>
      </c>
      <c r="Y15" s="641">
        <f t="array" aca="1" ref="Y15" ca="1">SUM(IF((DelPoint= "PV")*IF((DType = "firm")+(DType = "econ")&gt;0,1,0)*(OFFSET(DelPoint,0,Y3+2)&lt;0),OFFSET(DelPoint,0,Y3+2),0))</f>
        <v>0</v>
      </c>
      <c r="Z15" s="160"/>
      <c r="AA15" s="162"/>
    </row>
    <row r="16" spans="1:213" s="161" customFormat="1" ht="11.4" x14ac:dyDescent="0.2">
      <c r="A16" s="556" t="s">
        <v>259</v>
      </c>
      <c r="B16" s="642">
        <f t="array" aca="1" ref="B16" ca="1">SUM(IF((DelPoint= "hidalgo")*(DType = "pre")*(OFFSET(DelPoint,0,B3+2)&lt;0),OFFSET(DelPoint,0,B3+2),0))</f>
        <v>0</v>
      </c>
      <c r="C16" s="642">
        <f t="array" aca="1" ref="C16" ca="1">SUM(IF((DelPoint= "hidalgo")*(DType = "pre")*(OFFSET(DelPoint,0,C3+2)&lt;0),OFFSET(DelPoint,0,C3+2),0))</f>
        <v>0</v>
      </c>
      <c r="D16" s="642">
        <f t="array" aca="1" ref="D16" ca="1">SUM(IF((DelPoint= "hidalgo")*(DType = "pre")*(OFFSET(DelPoint,0,D3+2)&lt;0),OFFSET(DelPoint,0,D3+2),0))</f>
        <v>0</v>
      </c>
      <c r="E16" s="642">
        <f t="array" aca="1" ref="E16" ca="1">SUM(IF((DelPoint= "hidalgo")*(DType = "pre")*(OFFSET(DelPoint,0,E3+2)&lt;0),OFFSET(DelPoint,0,E3+2),0))</f>
        <v>0</v>
      </c>
      <c r="F16" s="642">
        <f t="array" aca="1" ref="F16" ca="1">SUM(IF((DelPoint= "hidalgo")*(DType = "pre")*(OFFSET(DelPoint,0,F3+2)&lt;0),OFFSET(DelPoint,0,F3+2),0))</f>
        <v>0</v>
      </c>
      <c r="G16" s="642">
        <f t="array" aca="1" ref="G16" ca="1">SUM(IF((DelPoint= "hidalgo")*(DType = "pre")*(OFFSET(DelPoint,0,G3+2)&lt;0),OFFSET(DelPoint,0,G3+2),0))</f>
        <v>0</v>
      </c>
      <c r="H16" s="642">
        <f t="array" aca="1" ref="H16" ca="1">SUM(IF((DelPoint= "hidalgo")*(DType = "pre")*(OFFSET(DelPoint,0,H3+2)&lt;0),OFFSET(DelPoint,0,H3+2),0))</f>
        <v>0</v>
      </c>
      <c r="I16" s="642">
        <f t="array" aca="1" ref="I16" ca="1">SUM(IF((DelPoint= "hidalgo")*(DType = "pre")*(OFFSET(DelPoint,0,I3+2)&lt;0),OFFSET(DelPoint,0,I3+2),0))</f>
        <v>0</v>
      </c>
      <c r="J16" s="642">
        <f t="array" aca="1" ref="J16" ca="1">SUM(IF((DelPoint= "hidalgo")*(DType = "pre")*(OFFSET(DelPoint,0,J3+2)&lt;0),OFFSET(DelPoint,0,J3+2),0))</f>
        <v>0</v>
      </c>
      <c r="K16" s="642">
        <f t="array" aca="1" ref="K16" ca="1">SUM(IF((DelPoint= "hidalgo")*(DType = "pre")*(OFFSET(DelPoint,0,K3+2)&lt;0),OFFSET(DelPoint,0,K3+2),0))</f>
        <v>0</v>
      </c>
      <c r="L16" s="642">
        <f t="array" aca="1" ref="L16" ca="1">SUM(IF((DelPoint= "hidalgo")*(DType = "pre")*(OFFSET(DelPoint,0,L3+2)&lt;0),OFFSET(DelPoint,0,L3+2),0))</f>
        <v>0</v>
      </c>
      <c r="M16" s="642">
        <f t="array" aca="1" ref="M16" ca="1">SUM(IF((DelPoint= "hidalgo")*(DType = "pre")*(OFFSET(DelPoint,0,M3+2)&lt;0),OFFSET(DelPoint,0,M3+2),0))</f>
        <v>0</v>
      </c>
      <c r="N16" s="642">
        <f t="array" aca="1" ref="N16" ca="1">SUM(IF((DelPoint= "hidalgo")*(DType = "pre")*(OFFSET(DelPoint,0,N3+2)&lt;0),OFFSET(DelPoint,0,N3+2),0))</f>
        <v>0</v>
      </c>
      <c r="O16" s="642">
        <f t="array" aca="1" ref="O16" ca="1">SUM(IF((DelPoint= "hidalgo")*(DType = "pre")*(OFFSET(DelPoint,0,O3+2)&lt;0),OFFSET(DelPoint,0,O3+2),0))</f>
        <v>0</v>
      </c>
      <c r="P16" s="642">
        <f t="array" aca="1" ref="P16" ca="1">SUM(IF((DelPoint= "hidalgo")*(DType = "pre")*(OFFSET(DelPoint,0,P3+2)&lt;0),OFFSET(DelPoint,0,P3+2),0))</f>
        <v>0</v>
      </c>
      <c r="Q16" s="642">
        <f t="array" aca="1" ref="Q16" ca="1">SUM(IF((DelPoint= "hidalgo")*(DType = "pre")*(OFFSET(DelPoint,0,Q3+2)&lt;0),OFFSET(DelPoint,0,Q3+2),0))</f>
        <v>0</v>
      </c>
      <c r="R16" s="642">
        <f t="array" aca="1" ref="R16" ca="1">SUM(IF((DelPoint= "hidalgo")*(DType = "pre")*(OFFSET(DelPoint,0,R3+2)&lt;0),OFFSET(DelPoint,0,R3+2),0))</f>
        <v>0</v>
      </c>
      <c r="S16" s="642">
        <f t="array" aca="1" ref="S16" ca="1">SUM(IF((DelPoint= "hidalgo")*(DType = "pre")*(OFFSET(DelPoint,0,S3+2)&lt;0),OFFSET(DelPoint,0,S3+2),0))</f>
        <v>0</v>
      </c>
      <c r="T16" s="642">
        <f t="array" aca="1" ref="T16" ca="1">SUM(IF((DelPoint= "hidalgo")*(DType = "pre")*(OFFSET(DelPoint,0,T3+2)&lt;0),OFFSET(DelPoint,0,T3+2),0))</f>
        <v>0</v>
      </c>
      <c r="U16" s="642">
        <f t="array" aca="1" ref="U16" ca="1">SUM(IF((DelPoint= "hidalgo")*(DType = "pre")*(OFFSET(DelPoint,0,U3+2)&lt;0),OFFSET(DelPoint,0,U3+2),0))</f>
        <v>0</v>
      </c>
      <c r="V16" s="642">
        <f t="array" aca="1" ref="V16" ca="1">SUM(IF((DelPoint= "hidalgo")*(DType = "pre")*(OFFSET(DelPoint,0,V3+2)&lt;0),OFFSET(DelPoint,0,V3+2),0))</f>
        <v>0</v>
      </c>
      <c r="W16" s="642">
        <f t="array" aca="1" ref="W16" ca="1">SUM(IF((DelPoint= "hidalgo")*(DType = "pre")*(OFFSET(DelPoint,0,W3+2)&lt;0),OFFSET(DelPoint,0,W3+2),0))</f>
        <v>0</v>
      </c>
      <c r="X16" s="642">
        <f t="array" aca="1" ref="X16" ca="1">SUM(IF((DelPoint= "hidalgo")*(DType = "pre")*(OFFSET(DelPoint,0,X3+2)&lt;0),OFFSET(DelPoint,0,X3+2),0))</f>
        <v>0</v>
      </c>
      <c r="Y16" s="643">
        <f t="array" aca="1" ref="Y16" ca="1">SUM(IF((DelPoint= "hidalgo")*(DType = "pre")*(OFFSET(DelPoint,0,Y3+2)&lt;0),OFFSET(DelPoint,0,Y3+2),0))</f>
        <v>0</v>
      </c>
      <c r="Z16" s="160"/>
      <c r="AA16" s="162"/>
    </row>
    <row r="17" spans="1:27" s="161" customFormat="1" ht="11.4" x14ac:dyDescent="0.2">
      <c r="A17" s="557" t="s">
        <v>260</v>
      </c>
      <c r="B17" s="644">
        <f t="array" aca="1" ref="B17" ca="1">SUM(IF((DelPoint= "hidalgo")*IF((DType = "firm")+(DType = "econ")&gt;0,1,0)*(OFFSET(DelPoint,0,B3+2)&lt;0),OFFSET(DelPoint,0,B3+2),0))</f>
        <v>0</v>
      </c>
      <c r="C17" s="644">
        <f t="array" aca="1" ref="C17" ca="1">SUM(IF((DelPoint= "hidalgo")*IF((DType = "firm")+(DType = "econ")&gt;0,1,0)*(OFFSET(DelPoint,0,C3+2)&lt;0),OFFSET(DelPoint,0,C3+2),0))</f>
        <v>0</v>
      </c>
      <c r="D17" s="644">
        <f t="array" aca="1" ref="D17" ca="1">SUM(IF((DelPoint= "hidalgo")*IF((DType = "firm")+(DType = "econ")&gt;0,1,0)*(OFFSET(DelPoint,0,D3+2)&lt;0),OFFSET(DelPoint,0,D3+2),0))</f>
        <v>0</v>
      </c>
      <c r="E17" s="644">
        <f t="array" aca="1" ref="E17" ca="1">SUM(IF((DelPoint= "hidalgo")*IF((DType = "firm")+(DType = "econ")&gt;0,1,0)*(OFFSET(DelPoint,0,E3+2)&lt;0),OFFSET(DelPoint,0,E3+2),0))</f>
        <v>0</v>
      </c>
      <c r="F17" s="644">
        <f t="array" aca="1" ref="F17" ca="1">SUM(IF((DelPoint= "hidalgo")*IF((DType = "firm")+(DType = "econ")&gt;0,1,0)*(OFFSET(DelPoint,0,F3+2)&lt;0),OFFSET(DelPoint,0,F3+2),0))</f>
        <v>0</v>
      </c>
      <c r="G17" s="644">
        <f t="array" aca="1" ref="G17" ca="1">SUM(IF((DelPoint= "hidalgo")*IF((DType = "firm")+(DType = "econ")&gt;0,1,0)*(OFFSET(DelPoint,0,G3+2)&lt;0),OFFSET(DelPoint,0,G3+2),0))</f>
        <v>0</v>
      </c>
      <c r="H17" s="644">
        <f t="array" aca="1" ref="H17" ca="1">SUM(IF((DelPoint= "hidalgo")*IF((DType = "firm")+(DType = "econ")&gt;0,1,0)*(OFFSET(DelPoint,0,H3+2)&lt;0),OFFSET(DelPoint,0,H3+2),0))</f>
        <v>0</v>
      </c>
      <c r="I17" s="644">
        <f t="array" aca="1" ref="I17" ca="1">SUM(IF((DelPoint= "hidalgo")*IF((DType = "firm")+(DType = "econ")&gt;0,1,0)*(OFFSET(DelPoint,0,I3+2)&lt;0),OFFSET(DelPoint,0,I3+2),0))</f>
        <v>0</v>
      </c>
      <c r="J17" s="644">
        <f t="array" aca="1" ref="J17" ca="1">SUM(IF((DelPoint= "hidalgo")*IF((DType = "firm")+(DType = "econ")&gt;0,1,0)*(OFFSET(DelPoint,0,J3+2)&lt;0),OFFSET(DelPoint,0,J3+2),0))</f>
        <v>0</v>
      </c>
      <c r="K17" s="644">
        <f t="array" aca="1" ref="K17" ca="1">SUM(IF((DelPoint= "hidalgo")*IF((DType = "firm")+(DType = "econ")&gt;0,1,0)*(OFFSET(DelPoint,0,K3+2)&lt;0),OFFSET(DelPoint,0,K3+2),0))</f>
        <v>0</v>
      </c>
      <c r="L17" s="644">
        <f t="array" aca="1" ref="L17" ca="1">SUM(IF((DelPoint= "hidalgo")*IF((DType = "firm")+(DType = "econ")&gt;0,1,0)*(OFFSET(DelPoint,0,L3+2)&lt;0),OFFSET(DelPoint,0,L3+2),0))</f>
        <v>0</v>
      </c>
      <c r="M17" s="644">
        <f t="array" aca="1" ref="M17" ca="1">SUM(IF((DelPoint= "hidalgo")*IF((DType = "firm")+(DType = "econ")&gt;0,1,0)*(OFFSET(DelPoint,0,M3+2)&lt;0),OFFSET(DelPoint,0,M3+2),0))</f>
        <v>0</v>
      </c>
      <c r="N17" s="644">
        <f t="array" aca="1" ref="N17" ca="1">SUM(IF((DelPoint= "hidalgo")*IF((DType = "firm")+(DType = "econ")&gt;0,1,0)*(OFFSET(DelPoint,0,N3+2)&lt;0),OFFSET(DelPoint,0,N3+2),0))</f>
        <v>0</v>
      </c>
      <c r="O17" s="644">
        <f t="array" aca="1" ref="O17" ca="1">SUM(IF((DelPoint= "hidalgo")*IF((DType = "firm")+(DType = "econ")&gt;0,1,0)*(OFFSET(DelPoint,0,O3+2)&lt;0),OFFSET(DelPoint,0,O3+2),0))</f>
        <v>0</v>
      </c>
      <c r="P17" s="644">
        <f t="array" aca="1" ref="P17" ca="1">SUM(IF((DelPoint= "hidalgo")*IF((DType = "firm")+(DType = "econ")&gt;0,1,0)*(OFFSET(DelPoint,0,P3+2)&lt;0),OFFSET(DelPoint,0,P3+2),0))</f>
        <v>0</v>
      </c>
      <c r="Q17" s="644">
        <f t="array" aca="1" ref="Q17" ca="1">SUM(IF((DelPoint= "hidalgo")*IF((DType = "firm")+(DType = "econ")&gt;0,1,0)*(OFFSET(DelPoint,0,Q3+2)&lt;0),OFFSET(DelPoint,0,Q3+2),0))</f>
        <v>0</v>
      </c>
      <c r="R17" s="644">
        <f t="array" aca="1" ref="R17" ca="1">SUM(IF((DelPoint= "hidalgo")*IF((DType = "firm")+(DType = "econ")&gt;0,1,0)*(OFFSET(DelPoint,0,R3+2)&lt;0),OFFSET(DelPoint,0,R3+2),0))</f>
        <v>0</v>
      </c>
      <c r="S17" s="644">
        <f t="array" aca="1" ref="S17" ca="1">SUM(IF((DelPoint= "hidalgo")*IF((DType = "firm")+(DType = "econ")&gt;0,1,0)*(OFFSET(DelPoint,0,S3+2)&lt;0),OFFSET(DelPoint,0,S3+2),0))</f>
        <v>0</v>
      </c>
      <c r="T17" s="644">
        <f t="array" aca="1" ref="T17" ca="1">SUM(IF((DelPoint= "hidalgo")*IF((DType = "firm")+(DType = "econ")&gt;0,1,0)*(OFFSET(DelPoint,0,T3+2)&lt;0),OFFSET(DelPoint,0,T3+2),0))</f>
        <v>0</v>
      </c>
      <c r="U17" s="644">
        <f t="array" aca="1" ref="U17" ca="1">SUM(IF((DelPoint= "hidalgo")*IF((DType = "firm")+(DType = "econ")&gt;0,1,0)*(OFFSET(DelPoint,0,U3+2)&lt;0),OFFSET(DelPoint,0,U3+2),0))</f>
        <v>0</v>
      </c>
      <c r="V17" s="644"/>
      <c r="W17" s="644">
        <f t="array" aca="1" ref="W17" ca="1">SUM(IF((DelPoint= "hidalgo")*IF((DType = "firm")+(DType = "econ")&gt;0,1,0)*(OFFSET(DelPoint,0,W3+2)&lt;0),OFFSET(DelPoint,0,W3+2),0))</f>
        <v>0</v>
      </c>
      <c r="X17" s="644">
        <f t="array" aca="1" ref="X17" ca="1">SUM(IF((DelPoint= "hidalgo")*IF((DType = "firm")+(DType = "econ")&gt;0,1,0)*(OFFSET(DelPoint,0,X3+2)&lt;0),OFFSET(DelPoint,0,X3+2),0))</f>
        <v>0</v>
      </c>
      <c r="Y17" s="645">
        <f t="array" aca="1" ref="Y17" ca="1">SUM(IF((DelPoint= "hidalgo")*IF((DType = "firm")+(DType = "econ")&gt;0,1,0)*(OFFSET(DelPoint,0,Y3+2)&lt;0),OFFSET(DelPoint,0,Y3+2),0))</f>
        <v>0</v>
      </c>
      <c r="Z17" s="160"/>
      <c r="AA17" s="162"/>
    </row>
    <row r="18" spans="1:27" s="161" customFormat="1" ht="11.4" x14ac:dyDescent="0.2">
      <c r="A18" s="558" t="s">
        <v>277</v>
      </c>
      <c r="B18" s="646">
        <f ca="1">Deals!F7+Deals!F8+Deals!F9</f>
        <v>-103</v>
      </c>
      <c r="C18" s="646">
        <f>Deals!G7+Deals!G8+Deals!G9</f>
        <v>-103</v>
      </c>
      <c r="D18" s="646">
        <f>Deals!H7+Deals!H8+Deals!H9</f>
        <v>-103</v>
      </c>
      <c r="E18" s="646">
        <f>Deals!I7+Deals!I8+Deals!I9</f>
        <v>-103</v>
      </c>
      <c r="F18" s="646">
        <f>Deals!J7+Deals!J8+Deals!J9</f>
        <v>-103</v>
      </c>
      <c r="G18" s="646">
        <f>Deals!K7+Deals!K8+Deals!K9</f>
        <v>-103</v>
      </c>
      <c r="H18" s="646">
        <f>Deals!L7+Deals!L8+Deals!L9</f>
        <v>-103</v>
      </c>
      <c r="I18" s="646">
        <f>Deals!M7+Deals!M8+Deals!M9</f>
        <v>-103</v>
      </c>
      <c r="J18" s="646">
        <f>Deals!N7+Deals!N8+Deals!N9</f>
        <v>-103</v>
      </c>
      <c r="K18" s="646">
        <f>Deals!O7+Deals!O8+Deals!O9</f>
        <v>-103</v>
      </c>
      <c r="L18" s="646">
        <f>Deals!P7+Deals!P8+Deals!P9</f>
        <v>-103</v>
      </c>
      <c r="M18" s="646">
        <f>Deals!Q7+Deals!Q8+Deals!Q9</f>
        <v>-103</v>
      </c>
      <c r="N18" s="646">
        <f>Deals!R7+Deals!R8+Deals!R9</f>
        <v>-103</v>
      </c>
      <c r="O18" s="646">
        <f>Deals!S7+Deals!S8+Deals!S9</f>
        <v>-103</v>
      </c>
      <c r="P18" s="646">
        <f>Deals!T7+Deals!T8+Deals!T9</f>
        <v>-103</v>
      </c>
      <c r="Q18" s="646">
        <f>Deals!U7+Deals!U8+Deals!U9</f>
        <v>-103</v>
      </c>
      <c r="R18" s="646">
        <f>Deals!V7+Deals!V8+Deals!V9</f>
        <v>-103</v>
      </c>
      <c r="S18" s="646">
        <f>Deals!W7+Deals!W8+Deals!W9</f>
        <v>-103</v>
      </c>
      <c r="T18" s="646">
        <f>Deals!X7+Deals!X8+Deals!X9</f>
        <v>-103</v>
      </c>
      <c r="U18" s="646">
        <f>Deals!Y7+Deals!Y8+Deals!Y9</f>
        <v>-103</v>
      </c>
      <c r="V18" s="646">
        <f>Deals!Z7+Deals!Z8+Deals!Z9</f>
        <v>-103</v>
      </c>
      <c r="W18" s="646">
        <f>Deals!AA7+Deals!AA8+Deals!AA9</f>
        <v>-103</v>
      </c>
      <c r="X18" s="646">
        <f>Deals!AB7+Deals!AB8+Deals!AB9</f>
        <v>-103</v>
      </c>
      <c r="Y18" s="698">
        <f>Deals!AC7+Deals!AC8+Deals!AC9</f>
        <v>-103</v>
      </c>
      <c r="Z18" s="160"/>
      <c r="AA18" s="162"/>
    </row>
    <row r="19" spans="1:27" s="161" customFormat="1" ht="11.4" x14ac:dyDescent="0.2">
      <c r="A19" s="559" t="s">
        <v>252</v>
      </c>
      <c r="B19" s="647"/>
      <c r="C19" s="648"/>
      <c r="D19" s="648"/>
      <c r="E19" s="648"/>
      <c r="F19" s="648"/>
      <c r="G19" s="648"/>
      <c r="H19" s="648"/>
      <c r="I19" s="648"/>
      <c r="J19" s="648"/>
      <c r="K19" s="647"/>
      <c r="L19" s="647"/>
      <c r="M19" s="647"/>
      <c r="N19" s="647"/>
      <c r="O19" s="647"/>
      <c r="P19" s="647"/>
      <c r="Q19" s="647"/>
      <c r="R19" s="647"/>
      <c r="S19" s="647"/>
      <c r="T19" s="647"/>
      <c r="U19" s="647"/>
      <c r="V19" s="647"/>
      <c r="W19" s="647"/>
      <c r="X19" s="647"/>
      <c r="Y19" s="649"/>
      <c r="Z19" s="160"/>
      <c r="AA19" s="162"/>
    </row>
    <row r="20" spans="1:27" s="161" customFormat="1" ht="12" thickBot="1" x14ac:dyDescent="0.25">
      <c r="A20" s="560" t="s">
        <v>258</v>
      </c>
      <c r="B20" s="647">
        <f t="array" aca="1" ref="B20" ca="1">SUM(IF((DelPoint= "artesia")*IF((DType = "firm")+(DType = "econ")&gt;0,1,0)*(OFFSET(DelPoint,0,B3+2)&lt;0),OFFSET(DelPoint,0,B3+2),0))</f>
        <v>0</v>
      </c>
      <c r="C20" s="647">
        <f t="array" aca="1" ref="C20" ca="1">SUM(IF((DelPoint= "artesia")*IF((DType = "firm")+(DType = "econ")&gt;0,1,0)*(OFFSET(DelPoint,0,C3+2)&lt;0),OFFSET(DelPoint,0,C3+2),0))</f>
        <v>0</v>
      </c>
      <c r="D20" s="647">
        <f t="array" aca="1" ref="D20" ca="1">SUM(IF((DelPoint= "artesia")*IF((DType = "firm")+(DType = "econ")&gt;0,1,0)*(OFFSET(DelPoint,0,D3+2)&lt;0),OFFSET(DelPoint,0,D3+2),0))</f>
        <v>0</v>
      </c>
      <c r="E20" s="647">
        <f t="array" aca="1" ref="E20" ca="1">SUM(IF((DelPoint= "artesia")*IF((DType = "firm")+(DType = "econ")&gt;0,1,0)*(OFFSET(DelPoint,0,E3+2)&lt;0),OFFSET(DelPoint,0,E3+2),0))</f>
        <v>0</v>
      </c>
      <c r="F20" s="647">
        <f t="array" aca="1" ref="F20" ca="1">SUM(IF((DelPoint= "artesia")*IF((DType = "firm")+(DType = "econ")&gt;0,1,0)*(OFFSET(DelPoint,0,F3+2)&lt;0),OFFSET(DelPoint,0,F3+2),0))</f>
        <v>0</v>
      </c>
      <c r="G20" s="647">
        <f t="array" aca="1" ref="G20" ca="1">SUM(IF((DelPoint= "artesia")*IF((DType = "firm")+(DType = "econ")&gt;0,1,0)*(OFFSET(DelPoint,0,G3+2)&lt;0),OFFSET(DelPoint,0,G3+2),0))</f>
        <v>0</v>
      </c>
      <c r="H20" s="647">
        <f t="array" aca="1" ref="H20" ca="1">SUM(IF((DelPoint= "artesia")*IF((DType = "firm")+(DType = "econ")&gt;0,1,0)*(OFFSET(DelPoint,0,H3+2)&lt;0),OFFSET(DelPoint,0,H3+2),0))</f>
        <v>0</v>
      </c>
      <c r="I20" s="647">
        <f t="array" aca="1" ref="I20" ca="1">SUM(IF((DelPoint= "artesia")*IF((DType = "firm")+(DType = "econ")&gt;0,1,0)*(OFFSET(DelPoint,0,I3+2)&lt;0),OFFSET(DelPoint,0,I3+2),0))</f>
        <v>0</v>
      </c>
      <c r="J20" s="647">
        <f t="array" aca="1" ref="J20" ca="1">SUM(IF((DelPoint= "artesia")*IF((DType = "firm")+(DType = "econ")&gt;0,1,0)*(OFFSET(DelPoint,0,J3+2)&lt;0),OFFSET(DelPoint,0,J3+2),0))</f>
        <v>0</v>
      </c>
      <c r="K20" s="647" t="s">
        <v>360</v>
      </c>
      <c r="L20" s="647">
        <f t="array" aca="1" ref="L20" ca="1">SUM(IF((DelPoint= "artesia")*IF((DType = "firm")+(DType = "econ")&gt;0,1,0)*(OFFSET(DelPoint,0,L3+2)&lt;0),OFFSET(DelPoint,0,L3+2),0))</f>
        <v>0</v>
      </c>
      <c r="M20" s="647">
        <f t="array" aca="1" ref="M20" ca="1">SUM(IF((DelPoint= "artesia")*IF((DType = "firm")+(DType = "econ")&gt;0,1,0)*(OFFSET(DelPoint,0,M3+2)&lt;0),OFFSET(DelPoint,0,M3+2),0))</f>
        <v>0</v>
      </c>
      <c r="N20" s="647">
        <f t="array" aca="1" ref="N20" ca="1">SUM(IF((DelPoint= "artesia")*IF((DType = "firm")+(DType = "econ")&gt;0,1,0)*(OFFSET(DelPoint,0,N3+2)&lt;0),OFFSET(DelPoint,0,N3+2),0))</f>
        <v>0</v>
      </c>
      <c r="O20" s="647"/>
      <c r="P20" s="647"/>
      <c r="Q20" s="647"/>
      <c r="R20" s="647">
        <f t="array" aca="1" ref="R20" ca="1">SUM(IF((DelPoint= "artesia")*IF((DType = "firm")+(DType = "econ")&gt;0,1,0)*(OFFSET(DelPoint,0,R3+2)&lt;0),OFFSET(DelPoint,0,R3+2),0))</f>
        <v>0</v>
      </c>
      <c r="S20" s="647">
        <f t="array" aca="1" ref="S20" ca="1">SUM(IF((DelPoint= "artesia")*IF((DType = "firm")+(DType = "econ")&gt;0,1,0)*(OFFSET(DelPoint,0,S3+2)&lt;0),OFFSET(DelPoint,0,S3+2),0))</f>
        <v>0</v>
      </c>
      <c r="T20" s="647">
        <f t="array" aca="1" ref="T20" ca="1">SUM(IF((DelPoint= "artesia")*IF((DType = "firm")+(DType = "econ")&gt;0,1,0)*(OFFSET(DelPoint,0,T3+2)&lt;0),OFFSET(DelPoint,0,T3+2),0))</f>
        <v>0</v>
      </c>
      <c r="U20" s="647">
        <f t="array" aca="1" ref="U20" ca="1">SUM(IF((DelPoint= "artesia")*IF((DType = "firm")+(DType = "econ")&gt;0,1,0)*(OFFSET(DelPoint,0,U3+2)&lt;0),OFFSET(DelPoint,0,U3+2),0))</f>
        <v>0</v>
      </c>
      <c r="V20" s="647">
        <f t="array" aca="1" ref="V20" ca="1">SUM(IF((DelPoint= "artesia")*IF((DType = "firm")+(DType = "econ")&gt;0,1,0)*(OFFSET(DelPoint,0,V3+2)&lt;0),OFFSET(DelPoint,0,V3+2),0))</f>
        <v>0</v>
      </c>
      <c r="W20" s="647">
        <f t="array" aca="1" ref="W20" ca="1">SUM(IF((DelPoint= "artesia")*IF((DType = "firm")+(DType = "econ")&gt;0,1,0)*(OFFSET(DelPoint,0,W3+2)&lt;0),OFFSET(DelPoint,0,W3+2),0))</f>
        <v>0</v>
      </c>
      <c r="X20" s="647">
        <f t="array" aca="1" ref="X20" ca="1">SUM(IF((DelPoint= "artesia")*IF((DType = "firm")+(DType = "econ")&gt;0,1,0)*(OFFSET(DelPoint,0,X3+2)&lt;0),OFFSET(DelPoint,0,X3+2),0))</f>
        <v>0</v>
      </c>
      <c r="Y20" s="649">
        <f t="array" aca="1" ref="Y20" ca="1">SUM(IF((DelPoint= "artesia")*IF((DType = "firm")+(DType = "econ")&gt;0,1,0)*(OFFSET(DelPoint,0,Y3+2)&lt;0),OFFSET(DelPoint,0,Y3+2),0))</f>
        <v>0</v>
      </c>
      <c r="Z20" s="160"/>
      <c r="AA20" s="162"/>
    </row>
    <row r="21" spans="1:27" s="161" customFormat="1" ht="12" x14ac:dyDescent="0.2">
      <c r="A21" s="504" t="s">
        <v>34</v>
      </c>
      <c r="B21" s="650"/>
      <c r="C21" s="651"/>
      <c r="D21" s="651"/>
      <c r="E21" s="651"/>
      <c r="F21" s="651"/>
      <c r="G21" s="651"/>
      <c r="H21" s="651"/>
      <c r="I21" s="651"/>
      <c r="J21" s="651"/>
      <c r="K21" s="651"/>
      <c r="L21" s="651"/>
      <c r="M21" s="651"/>
      <c r="N21" s="651"/>
      <c r="O21" s="651"/>
      <c r="P21" s="651"/>
      <c r="Q21" s="651"/>
      <c r="R21" s="651"/>
      <c r="S21" s="651"/>
      <c r="T21" s="651"/>
      <c r="U21" s="651"/>
      <c r="V21" s="651"/>
      <c r="W21" s="651"/>
      <c r="X21" s="651"/>
      <c r="Y21" s="652"/>
      <c r="Z21" s="160"/>
      <c r="AA21" s="162"/>
    </row>
    <row r="22" spans="1:27" s="161" customFormat="1" ht="12" x14ac:dyDescent="0.2">
      <c r="A22" s="480" t="s">
        <v>121</v>
      </c>
      <c r="B22" s="653">
        <f ca="1">Deals!F3</f>
        <v>150</v>
      </c>
      <c r="C22" s="653">
        <f>Deals!G3</f>
        <v>150</v>
      </c>
      <c r="D22" s="653">
        <f>Deals!H3</f>
        <v>150</v>
      </c>
      <c r="E22" s="653">
        <f>Deals!I3</f>
        <v>150</v>
      </c>
      <c r="F22" s="653">
        <f>Deals!J3</f>
        <v>150</v>
      </c>
      <c r="G22" s="653">
        <f>Deals!K3</f>
        <v>130</v>
      </c>
      <c r="H22" s="653">
        <f>Deals!L3</f>
        <v>70</v>
      </c>
      <c r="I22" s="653">
        <f>Deals!M3</f>
        <v>100</v>
      </c>
      <c r="J22" s="653">
        <f>Deals!N3</f>
        <v>147</v>
      </c>
      <c r="K22" s="653">
        <f>Deals!O3</f>
        <v>147</v>
      </c>
      <c r="L22" s="653">
        <f>Deals!P3</f>
        <v>147</v>
      </c>
      <c r="M22" s="653">
        <f>Deals!Q3</f>
        <v>147</v>
      </c>
      <c r="N22" s="653">
        <f>Deals!R3</f>
        <v>147</v>
      </c>
      <c r="O22" s="653">
        <f>Deals!S3</f>
        <v>147</v>
      </c>
      <c r="P22" s="653">
        <f>Deals!T3</f>
        <v>147</v>
      </c>
      <c r="Q22" s="653">
        <f>Deals!U3</f>
        <v>147</v>
      </c>
      <c r="R22" s="653">
        <f>Deals!V3</f>
        <v>147</v>
      </c>
      <c r="S22" s="653">
        <f>Deals!W3</f>
        <v>147</v>
      </c>
      <c r="T22" s="653">
        <f>Deals!X3</f>
        <v>147</v>
      </c>
      <c r="U22" s="653">
        <f>Deals!Y3</f>
        <v>150</v>
      </c>
      <c r="V22" s="653">
        <f>Deals!Z3</f>
        <v>150</v>
      </c>
      <c r="W22" s="653">
        <f>Deals!AA3</f>
        <v>150</v>
      </c>
      <c r="X22" s="653">
        <f>Deals!AB3</f>
        <v>150</v>
      </c>
      <c r="Y22" s="654">
        <f>Deals!AC3</f>
        <v>150</v>
      </c>
      <c r="Z22" s="160"/>
      <c r="AA22" s="162"/>
    </row>
    <row r="23" spans="1:27" s="161" customFormat="1" ht="12" x14ac:dyDescent="0.2">
      <c r="A23" s="481" t="s">
        <v>307</v>
      </c>
      <c r="B23" s="655">
        <f>Deals!F5</f>
        <v>39</v>
      </c>
      <c r="C23" s="655">
        <f>Deals!G5</f>
        <v>39</v>
      </c>
      <c r="D23" s="655">
        <f>Deals!H5</f>
        <v>39</v>
      </c>
      <c r="E23" s="655">
        <f>Deals!I5</f>
        <v>39</v>
      </c>
      <c r="F23" s="655">
        <f>Deals!J5</f>
        <v>39</v>
      </c>
      <c r="G23" s="655">
        <f>Deals!K5</f>
        <v>39</v>
      </c>
      <c r="H23" s="655">
        <f>Deals!L5</f>
        <v>39</v>
      </c>
      <c r="I23" s="655">
        <f>Deals!M5</f>
        <v>39</v>
      </c>
      <c r="J23" s="655">
        <f>Deals!N5</f>
        <v>39</v>
      </c>
      <c r="K23" s="655">
        <f>Deals!O5</f>
        <v>39</v>
      </c>
      <c r="L23" s="655">
        <f>Deals!P5</f>
        <v>39</v>
      </c>
      <c r="M23" s="655">
        <f>Deals!Q5</f>
        <v>39</v>
      </c>
      <c r="N23" s="655">
        <f>Deals!R5</f>
        <v>39</v>
      </c>
      <c r="O23" s="655">
        <f>Deals!S5</f>
        <v>39</v>
      </c>
      <c r="P23" s="655">
        <f>Deals!T5</f>
        <v>39</v>
      </c>
      <c r="Q23" s="655">
        <f>Deals!U5</f>
        <v>39</v>
      </c>
      <c r="R23" s="655">
        <f>Deals!V5</f>
        <v>39</v>
      </c>
      <c r="S23" s="655">
        <f>Deals!W5</f>
        <v>39</v>
      </c>
      <c r="T23" s="655">
        <f>Deals!X5</f>
        <v>39</v>
      </c>
      <c r="U23" s="655">
        <f>Deals!Y5</f>
        <v>39</v>
      </c>
      <c r="V23" s="655">
        <f>Deals!Z5</f>
        <v>39</v>
      </c>
      <c r="W23" s="655">
        <f>Deals!AA5</f>
        <v>39</v>
      </c>
      <c r="X23" s="655">
        <f>Deals!AB5</f>
        <v>39</v>
      </c>
      <c r="Y23" s="656">
        <f>Deals!AC5</f>
        <v>39</v>
      </c>
      <c r="Z23" s="160"/>
      <c r="AA23" s="162"/>
    </row>
    <row r="24" spans="1:27" s="163" customFormat="1" ht="12" x14ac:dyDescent="0.2">
      <c r="A24" s="482" t="s">
        <v>35</v>
      </c>
      <c r="B24" s="657"/>
      <c r="C24" s="658"/>
      <c r="D24" s="658"/>
      <c r="E24" s="658"/>
      <c r="F24" s="658"/>
      <c r="G24" s="658"/>
      <c r="H24" s="658"/>
      <c r="I24" s="658"/>
      <c r="J24" s="658"/>
      <c r="K24" s="658"/>
      <c r="L24" s="658"/>
      <c r="M24" s="658"/>
      <c r="N24" s="658"/>
      <c r="O24" s="658" t="s">
        <v>170</v>
      </c>
      <c r="P24" s="658"/>
      <c r="Q24" s="658"/>
      <c r="R24" s="658"/>
      <c r="S24" s="658"/>
      <c r="T24" s="658"/>
      <c r="U24" s="658"/>
      <c r="V24" s="658"/>
      <c r="W24" s="658"/>
      <c r="X24" s="658"/>
      <c r="Y24" s="659"/>
      <c r="Z24" s="340"/>
      <c r="AA24" s="164"/>
    </row>
    <row r="25" spans="1:27" s="161" customFormat="1" ht="11.4" x14ac:dyDescent="0.2">
      <c r="A25" s="475" t="s">
        <v>115</v>
      </c>
      <c r="B25" s="660"/>
      <c r="C25" s="660"/>
      <c r="D25" s="660"/>
      <c r="E25" s="660"/>
      <c r="F25" s="660"/>
      <c r="G25" s="660"/>
      <c r="H25" s="660"/>
      <c r="I25" s="660"/>
      <c r="J25" s="660"/>
      <c r="K25" s="660"/>
      <c r="L25" s="660"/>
      <c r="M25" s="660"/>
      <c r="N25" s="660"/>
      <c r="O25" s="660"/>
      <c r="P25" s="660"/>
      <c r="Q25" s="660"/>
      <c r="R25" s="660"/>
      <c r="S25" s="660"/>
      <c r="T25" s="660"/>
      <c r="U25" s="660"/>
      <c r="V25" s="660"/>
      <c r="W25" s="660"/>
      <c r="X25" s="660"/>
      <c r="Y25" s="699"/>
      <c r="Z25" s="160"/>
      <c r="AA25" s="162"/>
    </row>
    <row r="26" spans="1:27" s="161" customFormat="1" ht="11.4" x14ac:dyDescent="0.2">
      <c r="A26" s="475" t="s">
        <v>116</v>
      </c>
      <c r="B26" s="661">
        <f ca="1">SUMIF(OFFSET(CBalancingVol,B$3,0),"&gt;0")</f>
        <v>0</v>
      </c>
      <c r="C26" s="662">
        <f t="shared" ref="C26:Y26" ca="1" si="1">SUMIF(OFFSET(CBalancingVol,C$3,0),"&gt;0")</f>
        <v>0</v>
      </c>
      <c r="D26" s="662">
        <f t="shared" ca="1" si="1"/>
        <v>0</v>
      </c>
      <c r="E26" s="662">
        <f t="shared" ca="1" si="1"/>
        <v>0</v>
      </c>
      <c r="F26" s="662">
        <f t="shared" ca="1" si="1"/>
        <v>0</v>
      </c>
      <c r="G26" s="662">
        <f t="shared" ca="1" si="1"/>
        <v>0</v>
      </c>
      <c r="H26" s="662">
        <f t="shared" ca="1" si="1"/>
        <v>0</v>
      </c>
      <c r="I26" s="662">
        <f t="shared" ca="1" si="1"/>
        <v>0</v>
      </c>
      <c r="J26" s="662">
        <v>0</v>
      </c>
      <c r="K26" s="662">
        <f t="shared" ca="1" si="1"/>
        <v>0</v>
      </c>
      <c r="L26" s="662">
        <f t="shared" ca="1" si="1"/>
        <v>0</v>
      </c>
      <c r="M26" s="662">
        <f t="shared" ca="1" si="1"/>
        <v>0</v>
      </c>
      <c r="N26" s="662">
        <f t="shared" ca="1" si="1"/>
        <v>0</v>
      </c>
      <c r="O26" s="662">
        <f t="shared" ca="1" si="1"/>
        <v>0</v>
      </c>
      <c r="P26" s="662">
        <f t="shared" ca="1" si="1"/>
        <v>0</v>
      </c>
      <c r="Q26" s="662">
        <f t="shared" ca="1" si="1"/>
        <v>0</v>
      </c>
      <c r="R26" s="662">
        <f t="shared" ca="1" si="1"/>
        <v>0</v>
      </c>
      <c r="S26" s="662">
        <f t="shared" ca="1" si="1"/>
        <v>0</v>
      </c>
      <c r="T26" s="662">
        <f t="shared" ca="1" si="1"/>
        <v>0</v>
      </c>
      <c r="U26" s="662">
        <f t="shared" ca="1" si="1"/>
        <v>0</v>
      </c>
      <c r="V26" s="662">
        <f t="shared" ca="1" si="1"/>
        <v>0</v>
      </c>
      <c r="W26" s="662">
        <f t="shared" ca="1" si="1"/>
        <v>0</v>
      </c>
      <c r="X26" s="662">
        <f t="shared" ca="1" si="1"/>
        <v>0</v>
      </c>
      <c r="Y26" s="663">
        <f t="shared" ca="1" si="1"/>
        <v>0</v>
      </c>
      <c r="Z26" s="160"/>
      <c r="AA26" s="162"/>
    </row>
    <row r="27" spans="1:27" s="161" customFormat="1" ht="11.4" x14ac:dyDescent="0.2">
      <c r="A27" s="562" t="s">
        <v>359</v>
      </c>
      <c r="B27" s="655">
        <f>Deals!F15</f>
        <v>60</v>
      </c>
      <c r="C27" s="655">
        <f>Deals!G15</f>
        <v>60</v>
      </c>
      <c r="D27" s="655">
        <f>Deals!H15</f>
        <v>60</v>
      </c>
      <c r="E27" s="655">
        <f>Deals!I15</f>
        <v>60</v>
      </c>
      <c r="F27" s="655">
        <f>Deals!J15</f>
        <v>60</v>
      </c>
      <c r="G27" s="655">
        <f>Deals!K15</f>
        <v>60</v>
      </c>
      <c r="H27" s="655">
        <f>Deals!L15</f>
        <v>60</v>
      </c>
      <c r="I27" s="655">
        <f>Deals!M15</f>
        <v>60</v>
      </c>
      <c r="J27" s="655">
        <f>Deals!N15</f>
        <v>60</v>
      </c>
      <c r="K27" s="655">
        <f>Deals!O15</f>
        <v>60</v>
      </c>
      <c r="L27" s="655">
        <f>Deals!P15</f>
        <v>60</v>
      </c>
      <c r="M27" s="655">
        <f>Deals!Q15</f>
        <v>60</v>
      </c>
      <c r="N27" s="655">
        <f>Deals!R15</f>
        <v>60</v>
      </c>
      <c r="O27" s="655">
        <f>Deals!S15</f>
        <v>60</v>
      </c>
      <c r="P27" s="655">
        <f>Deals!T15</f>
        <v>60</v>
      </c>
      <c r="Q27" s="655">
        <f>Deals!U15</f>
        <v>60</v>
      </c>
      <c r="R27" s="655">
        <f>Deals!V15</f>
        <v>60</v>
      </c>
      <c r="S27" s="655">
        <f>Deals!W15</f>
        <v>60</v>
      </c>
      <c r="T27" s="655">
        <f>Deals!X15</f>
        <v>60</v>
      </c>
      <c r="U27" s="655">
        <f>Deals!Y15</f>
        <v>60</v>
      </c>
      <c r="V27" s="655">
        <f>Deals!Z15</f>
        <v>60</v>
      </c>
      <c r="W27" s="655">
        <f>Deals!AA15</f>
        <v>60</v>
      </c>
      <c r="X27" s="655">
        <f>Deals!AB15</f>
        <v>60</v>
      </c>
      <c r="Y27" s="656">
        <f>Deals!AC15</f>
        <v>60</v>
      </c>
      <c r="Z27" s="160"/>
      <c r="AA27" s="162"/>
    </row>
    <row r="28" spans="1:27" s="161" customFormat="1" ht="12" thickBot="1" x14ac:dyDescent="0.25">
      <c r="A28" s="579" t="s">
        <v>117</v>
      </c>
      <c r="B28" s="664">
        <f t="array" aca="1" ref="B28" ca="1">SUM(IF((DelPoint= "4C")*IF((DType = "firm")+(DType = "econ")&gt;0,1,0)*(OFFSET(DelPoint,0,B3+2)&gt;0),OFFSET(DelPoint,0,B3+2),0))</f>
        <v>0</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13</v>
      </c>
      <c r="G28" s="664">
        <f t="array" aca="1" ref="G28" ca="1">SUM(IF((DelPoint= "4C")*IF((DType = "firm")+(DType = "econ")&gt;0,1,0)*(OFFSET(DelPoint,0,G3+2)&gt;0),OFFSET(DelPoint,0,G3+2),0))</f>
        <v>0</v>
      </c>
      <c r="H28" s="664">
        <f t="array" aca="1" ref="H28" ca="1">SUM(IF((DelPoint= "4C")*IF((DType = "firm")+(DType = "econ")&gt;0,1,0)*(OFFSET(DelPoint,0,H3+2)&gt;0),OFFSET(DelPoint,0,H3+2),0))</f>
        <v>0</v>
      </c>
      <c r="I28" s="664">
        <f t="array" aca="1" ref="I28" ca="1">SUM(IF((DelPoint= "4C")*IF((DType = "firm")+(DType = "econ")&gt;0,1,0)*(OFFSET(DelPoint,0,I3+2)&gt;0),OFFSET(DelPoint,0,I3+2),0))</f>
        <v>0</v>
      </c>
      <c r="J28" s="664">
        <f t="array" aca="1" ref="J28" ca="1">SUM(IF((DelPoint= "4C")*IF((DType = "firm")+(DType = "econ")&gt;0,1,0)*(OFFSET(DelPoint,0,J3+2)&gt;0),OFFSET(DelPoint,0,J3+2),0))</f>
        <v>75</v>
      </c>
      <c r="K28" s="664">
        <f t="array" aca="1" ref="K28" ca="1">SUM(IF((DelPoint= "4C")*IF((DType = "firm")+(DType = "econ")&gt;0,1,0)*(OFFSET(DelPoint,0,K3+2)&gt;0),OFFSET(DelPoint,0,K3+2),0))</f>
        <v>139</v>
      </c>
      <c r="L28" s="664">
        <f t="array" aca="1" ref="L28" ca="1">SUM(IF((DelPoint= "4C")*IF((DType = "firm")+(DType = "econ")&gt;0,1,0)*(OFFSET(DelPoint,0,L3+2)&gt;0),OFFSET(DelPoint,0,L3+2),0))</f>
        <v>110</v>
      </c>
      <c r="M28" s="664">
        <f t="array" aca="1" ref="M28" ca="1">SUM(IF((DelPoint= "4C")*IF((DType = "firm")+(DType = "econ")&gt;0,1,0)*(OFFSET(DelPoint,0,M3+2)&gt;0),OFFSET(DelPoint,0,M3+2),0))</f>
        <v>104</v>
      </c>
      <c r="N28" s="664">
        <f t="array" aca="1" ref="N28" ca="1">SUM(IF((DelPoint= "4C")*IF((DType = "firm")+(DType = "econ")&gt;0,1,0)*(OFFSET(DelPoint,0,N3+2)&gt;0),OFFSET(DelPoint,0,N3+2),0))</f>
        <v>89</v>
      </c>
      <c r="O28" s="664">
        <f t="array" aca="1" ref="O28" ca="1">SUM(IF((DelPoint= "4C")*IF((DType = "firm")+(DType = "econ")&gt;0,1,0)*(OFFSET(DelPoint,0,O3+2)&gt;0),OFFSET(DelPoint,0,O3+2),0))</f>
        <v>75</v>
      </c>
      <c r="P28" s="664">
        <f t="array" aca="1" ref="P28" ca="1">SUM(IF((DelPoint= "4C")*IF((DType = "firm")+(DType = "econ")&gt;0,1,0)*(OFFSET(DelPoint,0,P3+2)&gt;0),OFFSET(DelPoint,0,P3+2),0))</f>
        <v>75</v>
      </c>
      <c r="Q28" s="664">
        <f t="array" aca="1" ref="Q28" ca="1">SUM(IF((DelPoint= "4C")*IF((DType = "firm")+(DType = "econ")&gt;0,1,0)*(OFFSET(DelPoint,0,Q3+2)&gt;0),OFFSET(DelPoint,0,Q3+2),0))</f>
        <v>75</v>
      </c>
      <c r="R28" s="664">
        <f t="array" aca="1" ref="R28" ca="1">SUM(IF((DelPoint= "4C")*IF((DType = "firm")+(DType = "econ")&gt;0,1,0)*(OFFSET(DelPoint,0,R3+2)&gt;0),OFFSET(DelPoint,0,R3+2),0))</f>
        <v>75</v>
      </c>
      <c r="S28" s="664">
        <f t="array" aca="1" ref="S28" ca="1">SUM(IF((DelPoint= "4C")*IF((DType = "firm")+(DType = "econ")&gt;0,1,0)*(OFFSET(DelPoint,0,S3+2)&gt;0),OFFSET(DelPoint,0,S3+2),0))</f>
        <v>39</v>
      </c>
      <c r="T28" s="664">
        <f t="array" aca="1" ref="T28" ca="1">SUM(IF((DelPoint= "4C")*IF((DType = "firm")+(DType = "econ")&gt;0,1,0)*(OFFSET(DelPoint,0,T3+2)&gt;0),OFFSET(DelPoint,0,T3+2),0))</f>
        <v>0</v>
      </c>
      <c r="U28" s="664">
        <f t="array" aca="1" ref="U28" ca="1">SUM(IF((DelPoint= "4C")*IF((DType = "firm")+(DType = "econ")&gt;0,1,0)*(OFFSET(DelPoint,0,U3+2)&gt;0),OFFSET(DelPoint,0,U3+2),0))</f>
        <v>0</v>
      </c>
      <c r="V28" s="664">
        <f t="array" aca="1" ref="V28" ca="1">SUM(IF((DelPoint= "4C")*IF((DType = "firm")+(DType = "econ")&gt;0,1,0)*(OFFSET(DelPoint,0,V3+2)&gt;0),OFFSET(DelPoint,0,V3+2),0))</f>
        <v>0</v>
      </c>
      <c r="W28" s="664">
        <f t="array" aca="1" ref="W28" ca="1">SUM(IF((DelPoint= "4C")*IF((DType = "firm")+(DType = "econ")&gt;0,1,0)*(OFFSET(DelPoint,0,W3+2)&gt;0),OFFSET(DelPoint,0,W3+2),0))</f>
        <v>61</v>
      </c>
      <c r="X28" s="664">
        <f t="array" aca="1" ref="X28" ca="1">SUM(IF((DelPoint= "4C")*IF((DType = "firm")+(DType = "econ")&gt;0,1,0)*(OFFSET(DelPoint,0,X3+2)&gt;0),OFFSET(DelPoint,0,X3+2),0))</f>
        <v>0</v>
      </c>
      <c r="Y28" s="666">
        <f t="array" aca="1" ref="Y28" ca="1">SUM(IF((DelPoint= "4C")*IF((DType = "firm")+(DType = "econ")&gt;0,1,0)*(OFFSET(DelPoint,0,Y3+2)&gt;0),OFFSET(DelPoint,0,Y3+2),0))</f>
        <v>45</v>
      </c>
      <c r="Z28" s="160"/>
      <c r="AA28" s="162"/>
    </row>
    <row r="29" spans="1:27" s="161" customFormat="1" ht="11.4" x14ac:dyDescent="0.2">
      <c r="A29" s="578" t="s">
        <v>118</v>
      </c>
      <c r="B29" s="667">
        <f t="array" aca="1" ref="B29" ca="1">SUM(IF((DelPoint= "PV")*(DType = "pre")*(OFFSET(DelPoint,0,B3+2)&gt;0),OFFSET(DelPoint,0,B3+2),0))</f>
        <v>50</v>
      </c>
      <c r="C29" s="668">
        <f t="array" aca="1" ref="C29" ca="1">SUM(IF((DelPoint= "PV")*(DType = "pre")*(OFFSET(DelPoint,0,C3+2)&gt;0),OFFSET(DelPoint,0,C3+2),0))</f>
        <v>50</v>
      </c>
      <c r="D29" s="668">
        <f t="array" aca="1" ref="D29" ca="1">SUM(IF((DelPoint= "PV")*(DType = "pre")*(OFFSET(DelPoint,0,D3+2)&gt;0),OFFSET(DelPoint,0,D3+2),0))</f>
        <v>50</v>
      </c>
      <c r="E29" s="667">
        <f t="array" aca="1" ref="E29" ca="1">SUM(IF((DelPoint= "PV")*(DType = "pre")*(OFFSET(DelPoint,0,E3+2)&gt;0),OFFSET(DelPoint,0,E3+2),0))</f>
        <v>50</v>
      </c>
      <c r="F29" s="667">
        <f t="array" aca="1" ref="F29" ca="1">SUM(IF((DelPoint= "PV")*(DType = "pre")*(OFFSET(DelPoint,0,F3+2)&gt;0),OFFSET(DelPoint,0,F3+2),0))</f>
        <v>50</v>
      </c>
      <c r="G29" s="667">
        <f t="array" aca="1" ref="G29" ca="1">SUM(IF((DelPoint= "PV")*(DType = "pre")*(OFFSET(DelPoint,0,G3+2)&gt;0),OFFSET(DelPoint,0,G3+2),0))</f>
        <v>50</v>
      </c>
      <c r="H29" s="667">
        <f t="array" aca="1" ref="H29" ca="1">SUM(IF((DelPoint= "PV")*(DType = "pre")*(OFFSET(DelPoint,0,H3+2)&gt;0),OFFSET(DelPoint,0,H3+2),0))</f>
        <v>25</v>
      </c>
      <c r="I29" s="667">
        <f t="array" aca="1" ref="I29" ca="1">SUM(IF((DelPoint= "PV")*(DType = "pre")*(OFFSET(DelPoint,0,I3+2)&gt;0),OFFSET(DelPoint,0,I3+2),0))</f>
        <v>25</v>
      </c>
      <c r="J29" s="667">
        <f t="array" aca="1" ref="J29" ca="1">SUM(IF((DelPoint= "PV")*(DType = "pre")*(OFFSET(DelPoint,0,J3+2)&gt;0),OFFSET(DelPoint,0,J3+2),0))</f>
        <v>25</v>
      </c>
      <c r="K29" s="667">
        <f t="array" aca="1" ref="K29" ca="1">SUM(IF((DelPoint= "PV")*(DType = "pre")*(OFFSET(DelPoint,0,K3+2)&gt;0),OFFSET(DelPoint,0,K3+2),0))</f>
        <v>25</v>
      </c>
      <c r="L29" s="667">
        <f t="array" aca="1" ref="L29" ca="1">SUM(IF((DelPoint= "PV")*(DType = "pre")*(OFFSET(DelPoint,0,L3+2)&gt;0),OFFSET(DelPoint,0,L3+2),0))</f>
        <v>25</v>
      </c>
      <c r="M29" s="667">
        <f t="array" aca="1" ref="M29" ca="1">SUM(IF((DelPoint= "PV")*(DType = "pre")*(OFFSET(DelPoint,0,M3+2)&gt;0),OFFSET(DelPoint,0,M3+2),0))</f>
        <v>25</v>
      </c>
      <c r="N29" s="667">
        <f t="array" aca="1" ref="N29" ca="1">SUM(IF((DelPoint= "PV")*(DType = "pre")*(OFFSET(DelPoint,0,N3+2)&gt;0),OFFSET(DelPoint,0,N3+2),0))</f>
        <v>25</v>
      </c>
      <c r="O29" s="667">
        <f t="array" aca="1" ref="O29" ca="1">SUM(IF((DelPoint= "PV")*(DType = "pre")*(OFFSET(DelPoint,0,O3+2)&gt;0),OFFSET(DelPoint,0,O3+2),0))</f>
        <v>25</v>
      </c>
      <c r="P29" s="667">
        <f t="array" aca="1" ref="P29" ca="1">SUM(IF((DelPoint= "PV")*(DType = "pre")*(OFFSET(DelPoint,0,P3+2)&gt;0),OFFSET(DelPoint,0,P3+2),0))</f>
        <v>25</v>
      </c>
      <c r="Q29" s="667">
        <f t="array" aca="1" ref="Q29" ca="1">SUM(IF((DelPoint= "PV")*(DType = "pre")*(OFFSET(DelPoint,0,Q3+2)&gt;0),OFFSET(DelPoint,0,Q3+2),0))</f>
        <v>25</v>
      </c>
      <c r="R29" s="667">
        <f t="array" aca="1" ref="R29" ca="1">SUM(IF((DelPoint= "PV")*(DType = "pre")*(OFFSET(DelPoint,0,R3+2)&gt;0),OFFSET(DelPoint,0,R3+2),0))</f>
        <v>25</v>
      </c>
      <c r="S29" s="667">
        <f t="array" aca="1" ref="S29" ca="1">SUM(IF((DelPoint= "PV")*(DType = "pre")*(OFFSET(DelPoint,0,S3+2)&gt;0),OFFSET(DelPoint,0,S3+2),0))</f>
        <v>25</v>
      </c>
      <c r="T29" s="667">
        <f t="array" aca="1" ref="T29" ca="1">SUM(IF((DelPoint= "PV")*(DType = "pre")*(OFFSET(DelPoint,0,T3+2)&gt;0),OFFSET(DelPoint,0,T3+2),0))</f>
        <v>25</v>
      </c>
      <c r="U29" s="667">
        <f t="array" aca="1" ref="U29" ca="1">SUM(IF((DelPoint= "PV")*(DType = "pre")*(OFFSET(DelPoint,0,U3+2)&gt;0),OFFSET(DelPoint,0,U3+2),0))</f>
        <v>25</v>
      </c>
      <c r="V29" s="667">
        <f t="array" aca="1" ref="V29" ca="1">SUM(IF((DelPoint= "PV")*(DType = "pre")*(OFFSET(DelPoint,0,V3+2)&gt;0),OFFSET(DelPoint,0,V3+2),0))</f>
        <v>25</v>
      </c>
      <c r="W29" s="667">
        <f t="array" aca="1" ref="W29" ca="1">SUM(IF((DelPoint= "PV")*(DType = "pre")*(OFFSET(DelPoint,0,W3+2)&gt;0),OFFSET(DelPoint,0,W3+2),0))</f>
        <v>25</v>
      </c>
      <c r="X29" s="667">
        <f t="array" aca="1" ref="X29" ca="1">SUM(IF((DelPoint= "PV")*(DType = "pre")*(OFFSET(DelPoint,0,X3+2)&gt;0),OFFSET(DelPoint,0,X3+2),0))</f>
        <v>50</v>
      </c>
      <c r="Y29" s="669">
        <f t="array" aca="1" ref="Y29" ca="1">SUM(IF((DelPoint= "PV")*(DType = "pre")*(OFFSET(DelPoint,0,Y3+2)&gt;0),OFFSET(DelPoint,0,Y3+2),0))</f>
        <v>50</v>
      </c>
      <c r="Z29" s="160"/>
      <c r="AA29" s="162"/>
    </row>
    <row r="30" spans="1:27" s="161" customFormat="1" ht="11.4" x14ac:dyDescent="0.2">
      <c r="A30" s="476" t="s">
        <v>119</v>
      </c>
      <c r="B30" s="670">
        <f t="shared" ref="B30:H30" ca="1" si="2">SUMIF(OFFSET(PVBalancingVol,B$3,0),"&gt;0")</f>
        <v>0</v>
      </c>
      <c r="C30" s="638">
        <f ca="1">SUMIF(OFFSET(PVBalancingVol,C$3,0),"&gt;0")</f>
        <v>0</v>
      </c>
      <c r="D30" s="638">
        <f t="shared" ca="1" si="2"/>
        <v>0</v>
      </c>
      <c r="E30" s="638">
        <f t="shared" ca="1" si="2"/>
        <v>0</v>
      </c>
      <c r="F30" s="638">
        <f t="shared" ca="1" si="2"/>
        <v>0</v>
      </c>
      <c r="G30" s="199">
        <f t="shared" ca="1" si="2"/>
        <v>0</v>
      </c>
      <c r="H30" s="638">
        <f t="shared" ca="1" si="2"/>
        <v>0</v>
      </c>
      <c r="I30" s="671">
        <f t="array" aca="1" ref="I30" ca="1">SUM(IF((DelPoint= "4C")*(DType = "pre")*(OFFSET(DelPoint,0,I7+2)&gt;0),OFFSET(DelPoint,0,I7+2),0))</f>
        <v>0</v>
      </c>
      <c r="J30" s="671">
        <f t="array" aca="1" ref="J30" ca="1">SUM(IF((DelPoint= "4C")*(DType = "pre")*(OFFSET(DelPoint,0,J7+2)&gt;0),OFFSET(DelPoint,0,J7+2),0))</f>
        <v>0</v>
      </c>
      <c r="K30" s="638">
        <f t="shared" ref="K30:Y30" ca="1" si="3">SUMIF(OFFSET(PVBalancingVol,K$3,0),"&gt;0")</f>
        <v>0</v>
      </c>
      <c r="L30" s="638">
        <f t="shared" ca="1" si="3"/>
        <v>0</v>
      </c>
      <c r="M30" s="638">
        <f t="shared" ca="1" si="3"/>
        <v>0</v>
      </c>
      <c r="N30" s="638">
        <f t="shared" ca="1" si="3"/>
        <v>0</v>
      </c>
      <c r="O30" s="638">
        <f t="shared" ca="1" si="3"/>
        <v>0</v>
      </c>
      <c r="P30" s="638">
        <f t="shared" ca="1" si="3"/>
        <v>0</v>
      </c>
      <c r="Q30" s="638">
        <f t="shared" ca="1" si="3"/>
        <v>0</v>
      </c>
      <c r="R30" s="638">
        <f t="shared" ca="1" si="3"/>
        <v>0</v>
      </c>
      <c r="S30" s="638">
        <f t="shared" ca="1" si="3"/>
        <v>0</v>
      </c>
      <c r="T30" s="638">
        <f t="shared" ca="1" si="3"/>
        <v>0</v>
      </c>
      <c r="U30" s="638">
        <f t="shared" ca="1" si="3"/>
        <v>0</v>
      </c>
      <c r="V30" s="638">
        <f t="shared" ca="1" si="3"/>
        <v>0</v>
      </c>
      <c r="W30" s="638">
        <f t="shared" ca="1" si="3"/>
        <v>0</v>
      </c>
      <c r="X30" s="638">
        <f t="shared" ca="1" si="3"/>
        <v>0</v>
      </c>
      <c r="Y30" s="639">
        <f t="shared" ca="1" si="3"/>
        <v>0</v>
      </c>
      <c r="Z30" s="160"/>
      <c r="AA30" s="162"/>
    </row>
    <row r="31" spans="1:27" s="161" customFormat="1" ht="11.4" x14ac:dyDescent="0.2">
      <c r="A31" s="476" t="s">
        <v>305</v>
      </c>
      <c r="B31" s="671">
        <f ca="1">Deals!F11+Deals!F12+Deals!F13+Deals!F14</f>
        <v>103</v>
      </c>
      <c r="C31" s="671">
        <f>Deals!G11+Deals!G12+Deals!G13+Deals!G14</f>
        <v>103</v>
      </c>
      <c r="D31" s="671">
        <f>Deals!H11+Deals!H12+Deals!H13+Deals!H14</f>
        <v>103</v>
      </c>
      <c r="E31" s="671">
        <f>Deals!I11+Deals!I12+Deals!I13+Deals!I14</f>
        <v>103</v>
      </c>
      <c r="F31" s="671">
        <f>Deals!J11+Deals!J12+Deals!J13+Deals!J14</f>
        <v>103</v>
      </c>
      <c r="G31" s="671">
        <f>Deals!K11+Deals!K12+Deals!K13+Deals!K14</f>
        <v>103</v>
      </c>
      <c r="H31" s="671">
        <f>Deals!L11+Deals!L12+Deals!L13+Deals!L14</f>
        <v>0</v>
      </c>
      <c r="I31" s="671">
        <f>Deals!M11+Deals!M12+Deals!M13+Deals!M14</f>
        <v>0</v>
      </c>
      <c r="J31" s="671">
        <f>Deals!N11+Deals!N12+Deals!N13+Deals!N14</f>
        <v>0</v>
      </c>
      <c r="K31" s="671">
        <f>Deals!O11+Deals!O12+Deals!O13+Deals!O14</f>
        <v>0</v>
      </c>
      <c r="L31" s="671">
        <f>Deals!P11+Deals!P12+Deals!P13+Deals!P14</f>
        <v>0</v>
      </c>
      <c r="M31" s="671">
        <f>Deals!Q11+Deals!Q12+Deals!Q13+Deals!Q14</f>
        <v>0</v>
      </c>
      <c r="N31" s="671">
        <f>Deals!R11+Deals!R12+Deals!R13+Deals!R14</f>
        <v>0</v>
      </c>
      <c r="O31" s="671">
        <f>Deals!S11+Deals!S12+Deals!S13+Deals!S14</f>
        <v>0</v>
      </c>
      <c r="P31" s="671">
        <f>Deals!T11+Deals!T12+Deals!T13+Deals!T14</f>
        <v>0</v>
      </c>
      <c r="Q31" s="671">
        <f>Deals!U11+Deals!U12+Deals!U13+Deals!U14</f>
        <v>0</v>
      </c>
      <c r="R31" s="671">
        <f>Deals!V11+Deals!V12+Deals!V13+Deals!V14</f>
        <v>0</v>
      </c>
      <c r="S31" s="671">
        <f>Deals!W11+Deals!W12+Deals!W13+Deals!W14</f>
        <v>0</v>
      </c>
      <c r="T31" s="671">
        <f>Deals!X11+Deals!X12+Deals!X13+Deals!X14</f>
        <v>0</v>
      </c>
      <c r="U31" s="671">
        <f>Deals!Y11+Deals!Y12+Deals!Y13+Deals!Y14</f>
        <v>0</v>
      </c>
      <c r="V31" s="671">
        <f>Deals!Z11+Deals!Z12+Deals!Z13+Deals!Z14</f>
        <v>0</v>
      </c>
      <c r="W31" s="671">
        <f>Deals!AA11+Deals!AA12+Deals!AA13+Deals!AA14</f>
        <v>0</v>
      </c>
      <c r="X31" s="671">
        <f>Deals!AB11+Deals!AB12+Deals!AB13+Deals!AB14</f>
        <v>103</v>
      </c>
      <c r="Y31" s="700">
        <f>Deals!AC11+Deals!AC12+Deals!AC13+Deals!AC14</f>
        <v>103</v>
      </c>
      <c r="Z31" s="160"/>
      <c r="AA31" s="162"/>
    </row>
    <row r="32" spans="1:27" s="161" customFormat="1" ht="11.4" x14ac:dyDescent="0.2">
      <c r="A32" s="477" t="s">
        <v>120</v>
      </c>
      <c r="B32" s="672">
        <f t="array" aca="1" ref="B32" ca="1">SUM(IF((DelPoint= "PV")*IF((DType = "firm")+(DType = "econ")&gt;0,1,0)*(OFFSET(DelPoint,0,B3+2)&gt;0),OFFSET(DelPoint,0,B3+2),0))</f>
        <v>0</v>
      </c>
      <c r="C32" s="640">
        <f t="array" aca="1" ref="C32" ca="1">SUM(IF((DelPoint= "PV")*IF((DType = "firm")+(DType = "econ")&gt;0,1,0)*(OFFSET(DelPoint,0,C3+2)&gt;0),OFFSET(DelPoint,0,C3+2),0))</f>
        <v>0</v>
      </c>
      <c r="D32" s="640">
        <f t="array" aca="1" ref="D32" ca="1">SUM(IF((DelPoint= "PV")*IF((DType = "firm")+(DType = "econ")&gt;0,1,0)*(OFFSET(DelPoint,0,D3+2)&gt;0),OFFSET(DelPoint,0,D3+2),0))</f>
        <v>25</v>
      </c>
      <c r="E32" s="640">
        <f t="array" aca="1" ref="E32" ca="1">SUM(IF((DelPoint= "PV")*IF((DType = "firm")+(DType = "econ")&gt;0,1,0)*(OFFSET(DelPoint,0,E3+2)&gt;0),OFFSET(DelPoint,0,E3+2),0))</f>
        <v>25</v>
      </c>
      <c r="F32" s="640">
        <f t="array" aca="1" ref="F32" ca="1">SUM(IF((DelPoint= "PV")*IF((DType = "firm")+(DType = "econ")&gt;0,1,0)*(OFFSET(DelPoint,0,F3+2)&gt;0),OFFSET(DelPoint,0,F3+2),0))</f>
        <v>35</v>
      </c>
      <c r="G32" s="640">
        <f t="array" aca="1" ref="G32" ca="1">SUM(IF((DelPoint= "PV")*IF((DType = "firm")+(DType = "econ")&gt;0,1,0)*(OFFSET(DelPoint,0,G3+2)&gt;0),OFFSET(DelPoint,0,G3+2),0))</f>
        <v>35</v>
      </c>
      <c r="H32" s="640">
        <f t="array" aca="1" ref="H32" ca="1">SUM(IF((DelPoint= "PV")*IF((DType = "firm")+(DType = "econ")&gt;0,1,0)*(OFFSET(DelPoint,0,H3+2)&gt;0),OFFSET(DelPoint,0,H3+2),0))</f>
        <v>35</v>
      </c>
      <c r="I32" s="640">
        <f t="array" aca="1" ref="I32" ca="1">SUM(IF((DelPoint= "PV")*IF((DType = "firm")+(DType = "econ")&gt;0,1,0)*(OFFSET(DelPoint,0,I3+2)&gt;0),OFFSET(DelPoint,0,I3+2),0))</f>
        <v>35</v>
      </c>
      <c r="J32" s="640">
        <f t="array" aca="1" ref="J32" ca="1">SUM(IF((DelPoint= "PV")*IF((DType = "firm")+(DType = "econ")&gt;0,1,0)*(OFFSET(DelPoint,0,J3+2)&gt;0),OFFSET(DelPoint,0,J3+2),0))</f>
        <v>50</v>
      </c>
      <c r="K32" s="640">
        <f t="array" aca="1" ref="K32" ca="1">SUM(IF((DelPoint= "PV")*IF((DType = "firm")+(DType = "econ")&gt;0,1,0)*(OFFSET(DelPoint,0,K3+2)&gt;0),OFFSET(DelPoint,0,K3+2),0))</f>
        <v>0</v>
      </c>
      <c r="L32" s="640">
        <f t="array" aca="1" ref="L32" ca="1">SUM(IF((DelPoint= "PV")*IF((DType = "firm")+(DType = "econ")&gt;0,1,0)*(OFFSET(DelPoint,0,L3+2)&gt;0),OFFSET(DelPoint,0,L3+2),0))</f>
        <v>0</v>
      </c>
      <c r="M32" s="640">
        <f t="array" aca="1" ref="M32" ca="1">SUM(IF((DelPoint= "PV")*IF((DType = "firm")+(DType = "econ")&gt;0,1,0)*(OFFSET(DelPoint,0,M3+2)&gt;0),OFFSET(DelPoint,0,M3+2),0))</f>
        <v>0</v>
      </c>
      <c r="N32" s="640">
        <f t="array" aca="1" ref="N32" ca="1">SUM(IF((DelPoint= "PV")*IF((DType = "firm")+(DType = "econ")&gt;0,1,0)*(OFFSET(DelPoint,0,N3+2)&gt;0),OFFSET(DelPoint,0,N3+2),0))</f>
        <v>0</v>
      </c>
      <c r="O32" s="640">
        <f t="array" aca="1" ref="O32" ca="1">SUM(IF((DelPoint= "PV")*IF((DType = "firm")+(DType = "econ")&gt;0,1,0)*(OFFSET(DelPoint,0,O3+2)&gt;0),OFFSET(DelPoint,0,O3+2),0))</f>
        <v>0</v>
      </c>
      <c r="P32" s="640">
        <f t="array" aca="1" ref="P32" ca="1">SUM(IF((DelPoint= "PV")*IF((DType = "firm")+(DType = "econ")&gt;0,1,0)*(OFFSET(DelPoint,0,P3+2)&gt;0),OFFSET(DelPoint,0,P3+2),0))</f>
        <v>0</v>
      </c>
      <c r="Q32" s="640">
        <f t="array" aca="1" ref="Q32" ca="1">SUM(IF((DelPoint= "PV")*IF((DType = "firm")+(DType = "econ")&gt;0,1,0)*(OFFSET(DelPoint,0,Q3+2)&gt;0),OFFSET(DelPoint,0,Q3+2),0))</f>
        <v>0</v>
      </c>
      <c r="R32" s="640">
        <f t="array" aca="1" ref="R32" ca="1">SUM(IF((DelPoint= "PV")*IF((DType = "firm")+(DType = "econ")&gt;0,1,0)*(OFFSET(DelPoint,0,R3+2)&gt;0),OFFSET(DelPoint,0,R3+2),0))</f>
        <v>0</v>
      </c>
      <c r="S32" s="640">
        <f t="array" aca="1" ref="S32" ca="1">SUM(IF((DelPoint= "PV")*IF((DType = "firm")+(DType = "econ")&gt;0,1,0)*(OFFSET(DelPoint,0,S3+2)&gt;0),OFFSET(DelPoint,0,S3+2),0))</f>
        <v>0</v>
      </c>
      <c r="T32" s="640">
        <f t="array" aca="1" ref="T32" ca="1">SUM(IF((DelPoint= "PV")*IF((DType = "firm")+(DType = "econ")&gt;0,1,0)*(OFFSET(DelPoint,0,T3+2)&gt;0),OFFSET(DelPoint,0,T3+2),0))</f>
        <v>0</v>
      </c>
      <c r="U32" s="640">
        <f t="array" aca="1" ref="U32" ca="1">SUM(IF((DelPoint= "PV")*IF((DType = "firm")+(DType = "econ")&gt;0,1,0)*(OFFSET(DelPoint,0,U3+2)&gt;0),OFFSET(DelPoint,0,U3+2),0))</f>
        <v>0</v>
      </c>
      <c r="V32" s="640">
        <f t="array" aca="1" ref="V32" ca="1">SUM(IF((DelPoint= "PV")*IF((DType = "firm")+(DType = "econ")&gt;0,1,0)*(OFFSET(DelPoint,0,V3+2)&gt;0),OFFSET(DelPoint,0,V3+2),0))</f>
        <v>50</v>
      </c>
      <c r="W32" s="640">
        <f t="array" aca="1" ref="W32" ca="1">SUM(IF((DelPoint= "PV")*IF((DType = "firm")+(DType = "econ")&gt;0,1,0)*(OFFSET(DelPoint,0,W3+2)&gt;0),OFFSET(DelPoint,0,W3+2),0))</f>
        <v>75</v>
      </c>
      <c r="X32" s="640">
        <f t="array" aca="1" ref="X32" ca="1">SUM(IF((DelPoint= "PV")*IF((DType = "firm")+(DType = "econ")&gt;0,1,0)*(OFFSET(DelPoint,0,X3+2)&gt;0),OFFSET(DelPoint,0,X3+2),0))</f>
        <v>0</v>
      </c>
      <c r="Y32" s="641">
        <f t="array" aca="1" ref="Y32" ca="1">SUM(IF((DelPoint= "PV")*IF((DType = "firm")+(DType = "econ")&gt;0,1,0)*(OFFSET(DelPoint,0,Y3+2)&gt;0),OFFSET(DelPoint,0,Y3+2),0))</f>
        <v>0</v>
      </c>
      <c r="Z32" s="160"/>
      <c r="AA32" s="162"/>
    </row>
    <row r="33" spans="1:33" s="161" customFormat="1" ht="11.4" x14ac:dyDescent="0.2">
      <c r="A33" s="478" t="s">
        <v>259</v>
      </c>
      <c r="B33" s="642">
        <f t="array" aca="1" ref="B33" ca="1">SUM(IF((DelPoint= "hidalgo")*(DType = "pre")*(OFFSET(DelPoint,0,B3+2)&gt;0),OFFSET(DelPoint,0,B3+2),0))</f>
        <v>0</v>
      </c>
      <c r="C33" s="673">
        <f t="array" aca="1" ref="C33" ca="1">SUM(IF((DelPoint= "hidalgo")*(DType = "pre")*(OFFSET(DelPoint,0,C3+2)&gt;0),OFFSET(DelPoint,0,C3+2),0))</f>
        <v>0</v>
      </c>
      <c r="D33" s="673"/>
      <c r="E33" s="673">
        <f t="array" aca="1" ref="E33" ca="1">SUM(IF((DelPoint= "hidalgo")*(DType = "pre")*(OFFSET(DelPoint,0,E3+2)&gt;0),OFFSET(DelPoint,0,E3+2),0))</f>
        <v>0</v>
      </c>
      <c r="F33" s="673">
        <f t="array" aca="1" ref="F33" ca="1">SUM(IF((DelPoint= "hidalgo")*(DType = "pre")*(OFFSET(DelPoint,0,F3+2)&gt;0),OFFSET(DelPoint,0,F3+2),0))</f>
        <v>0</v>
      </c>
      <c r="G33" s="673">
        <f t="array" aca="1" ref="G33" ca="1">SUM(IF((DelPoint= "hidalgo")*(DType = "pre")*(OFFSET(DelPoint,0,G3+2)&gt;0),OFFSET(DelPoint,0,G3+2),0))</f>
        <v>0</v>
      </c>
      <c r="H33" s="673">
        <f t="array" aca="1" ref="H33" ca="1">SUM(IF((DelPoint= "hidalgo")*(DType = "pre")*(OFFSET(DelPoint,0,H3+2)&gt;0),OFFSET(DelPoint,0,H3+2),0))</f>
        <v>0</v>
      </c>
      <c r="I33" s="642">
        <f t="array" aca="1" ref="I33" ca="1">SUM(IF((DelPoint= "4C")*(DType = "pre")*(OFFSET(DelPoint,0,I9+2)&gt;0),OFFSET(DelPoint,0,I9+2),0))</f>
        <v>0</v>
      </c>
      <c r="J33" s="642">
        <f t="array" aca="1" ref="J33" ca="1">SUM(IF((DelPoint= "4C")*(DType = "pre")*(OFFSET(DelPoint,0,J9+2)&gt;0),OFFSET(DelPoint,0,J9+2),0))</f>
        <v>0</v>
      </c>
      <c r="K33" s="673">
        <f t="array" aca="1" ref="K33" ca="1">SUM(IF((DelPoint= "hidalgo")*(DType = "pre")*(OFFSET(DelPoint,0,K3+2)&gt;0),OFFSET(DelPoint,0,K3+2),0))</f>
        <v>0</v>
      </c>
      <c r="L33" s="673">
        <f t="array" aca="1" ref="L33" ca="1">SUM(IF((DelPoint= "hidalgo")*(DType = "pre")*(OFFSET(DelPoint,0,L3+2)&gt;0),OFFSET(DelPoint,0,L3+2),0))</f>
        <v>0</v>
      </c>
      <c r="M33" s="673">
        <f t="array" aca="1" ref="M33" ca="1">SUM(IF((DelPoint= "hidalgo")*(DType = "pre")*(OFFSET(DelPoint,0,M3+2)&gt;0),OFFSET(DelPoint,0,M3+2),0))</f>
        <v>0</v>
      </c>
      <c r="N33" s="673">
        <f t="array" aca="1" ref="N33" ca="1">SUM(IF((DelPoint= "hidalgo")*(DType = "pre")*(OFFSET(DelPoint,0,N3+2)&gt;0),OFFSET(DelPoint,0,N3+2),0))</f>
        <v>0</v>
      </c>
      <c r="O33" s="673">
        <f t="array" aca="1" ref="O33" ca="1">SUM(IF((DelPoint= "hidalgo")*(DType = "pre")*(OFFSET(DelPoint,0,O3+2)&gt;0),OFFSET(DelPoint,0,O3+2),0))</f>
        <v>0</v>
      </c>
      <c r="P33" s="673">
        <f t="array" aca="1" ref="P33" ca="1">SUM(IF((DelPoint= "hidalgo")*(DType = "pre")*(OFFSET(DelPoint,0,P3+2)&gt;0),OFFSET(DelPoint,0,P3+2),0))</f>
        <v>0</v>
      </c>
      <c r="Q33" s="673">
        <f t="array" aca="1" ref="Q33" ca="1">SUM(IF((DelPoint= "hidalgo")*(DType = "pre")*(OFFSET(DelPoint,0,Q3+2)&gt;0),OFFSET(DelPoint,0,Q3+2),0))</f>
        <v>0</v>
      </c>
      <c r="R33" s="673">
        <f t="array" aca="1" ref="R33" ca="1">SUM(IF((DelPoint= "hidalgo")*(DType = "pre")*(OFFSET(DelPoint,0,R3+2)&gt;0),OFFSET(DelPoint,0,R3+2),0))</f>
        <v>0</v>
      </c>
      <c r="S33" s="673">
        <f t="array" aca="1" ref="S33" ca="1">SUM(IF((DelPoint= "hidalgo")*(DType = "pre")*(OFFSET(DelPoint,0,S3+2)&gt;0),OFFSET(DelPoint,0,S3+2),0))</f>
        <v>0</v>
      </c>
      <c r="T33" s="673">
        <f t="array" aca="1" ref="T33" ca="1">SUM(IF((DelPoint= "hidalgo")*(DType = "pre")*(OFFSET(DelPoint,0,T3+2)&gt;0),OFFSET(DelPoint,0,T3+2),0))</f>
        <v>0</v>
      </c>
      <c r="U33" s="673">
        <f t="array" aca="1" ref="U33" ca="1">SUM(IF((DelPoint= "hidalgo")*(DType = "pre")*(OFFSET(DelPoint,0,U3+2)&gt;0),OFFSET(DelPoint,0,U3+2),0))</f>
        <v>0</v>
      </c>
      <c r="V33" s="673">
        <f t="array" aca="1" ref="V33" ca="1">SUM(IF((DelPoint= "hidalgo")*(DType = "pre")*(OFFSET(DelPoint,0,V3+2)&gt;0),OFFSET(DelPoint,0,V3+2),0))</f>
        <v>0</v>
      </c>
      <c r="W33" s="673">
        <f t="array" aca="1" ref="W33" ca="1">SUM(IF((DelPoint= "hidalgo")*(DType = "pre")*(OFFSET(DelPoint,0,W3+2)&gt;0),OFFSET(DelPoint,0,W3+2),0))</f>
        <v>0</v>
      </c>
      <c r="X33" s="673">
        <f t="array" aca="1" ref="X33" ca="1">SUM(IF((DelPoint= "hidalgo")*(DType = "pre")*(OFFSET(DelPoint,0,X3+2)&gt;0),OFFSET(DelPoint,0,X3+2),0))</f>
        <v>0</v>
      </c>
      <c r="Y33" s="674">
        <f t="array" aca="1" ref="Y33" ca="1">SUM(IF((DelPoint= "hidalgo")*(DType = "pre")*(OFFSET(DelPoint,0,Y3+2)&gt;0),OFFSET(DelPoint,0,Y3+2),0))</f>
        <v>0</v>
      </c>
      <c r="Z33" s="160"/>
      <c r="AA33" s="162"/>
    </row>
    <row r="34" spans="1:33" s="161" customFormat="1" ht="12" thickBot="1" x14ac:dyDescent="0.25">
      <c r="A34" s="483" t="s">
        <v>260</v>
      </c>
      <c r="B34" s="675">
        <f t="array" aca="1" ref="B34" ca="1">SUM(IF((DelPoint= "hidalgo")*IF((DType = "firm")+(DType = "econ")&gt;0,1,0)*(OFFSET(DelPoint,0,B3+2)&gt;0),OFFSET(DelPoint,0,B3+2),0))</f>
        <v>0</v>
      </c>
      <c r="C34" s="676">
        <f t="array" aca="1" ref="C34" ca="1">SUM(IF((DelPoint= "hidalgo")*IF((DType = "firm")+(DType = "econ")&gt;0,1,0)*(OFFSET(DelPoint,0,C3+2)&gt;0),OFFSET(DelPoint,0,C3+2),0))</f>
        <v>0</v>
      </c>
      <c r="D34" s="675">
        <f t="array" aca="1" ref="D34" ca="1">SUM(IF((DelPoint= "hidalgo")*IF((DType = "firm")+(DType = "econ")&gt;0,1,0)*(OFFSET(DelPoint,0,D3+2)&gt;0),OFFSET(DelPoint,0,D3+2),0))</f>
        <v>0</v>
      </c>
      <c r="E34" s="675">
        <f t="array" aca="1" ref="E34" ca="1">SUM(IF((DelPoint= "hidalgo")*IF((DType = "firm")+(DType = "econ")&gt;0,1,0)*(OFFSET(DelPoint,0,E3+2)&gt;0),OFFSET(DelPoint,0,E3+2),0))</f>
        <v>0</v>
      </c>
      <c r="F34" s="675">
        <f t="array" aca="1" ref="F34" ca="1">SUM(IF((DelPoint= "hidalgo")*IF((DType = "firm")+(DType = "econ")&gt;0,1,0)*(OFFSET(DelPoint,0,F3+2)&gt;0),OFFSET(DelPoint,0,F3+2),0))</f>
        <v>0</v>
      </c>
      <c r="G34" s="675">
        <f t="array" aca="1" ref="G34" ca="1">SUM(IF((DelPoint= "hidalgo")*IF((DType = "firm")+(DType = "econ")&gt;0,1,0)*(OFFSET(DelPoint,0,G3+2)&gt;0),OFFSET(DelPoint,0,G3+2),0))</f>
        <v>0</v>
      </c>
      <c r="H34" s="675">
        <f t="array" aca="1" ref="H34" ca="1">SUM(IF((DelPoint= "hidalgo")*IF((DType = "firm")+(DType = "econ")&gt;0,1,0)*(OFFSET(DelPoint,0,H3+2)&gt;0),OFFSET(DelPoint,0,H3+2),0))</f>
        <v>0</v>
      </c>
      <c r="I34" s="675">
        <f t="array" aca="1" ref="I34" ca="1">SUM(IF((DelPoint= "hidalgo")*IF((DType = "firm")+(DType = "econ")&gt;0,1,0)*(OFFSET(DelPoint,0,I3+2)&gt;0),OFFSET(DelPoint,0,I3+2),0))</f>
        <v>0</v>
      </c>
      <c r="J34" s="675">
        <f t="array" aca="1" ref="J34" ca="1">SUM(IF((DelPoint= "hidalgo")*IF((DType = "firm")+(DType = "econ")&gt;0,1,0)*(OFFSET(DelPoint,0,J3+2)&gt;0),OFFSET(DelPoint,0,J3+2),0))</f>
        <v>0</v>
      </c>
      <c r="K34" s="675">
        <f t="array" aca="1" ref="K34" ca="1">SUM(IF((DelPoint= "hidalgo")*IF((DType = "firm")+(DType = "econ")&gt;0,1,0)*(OFFSET(DelPoint,0,K3+2)&gt;0),OFFSET(DelPoint,0,K3+2),0))</f>
        <v>0</v>
      </c>
      <c r="L34" s="675">
        <f t="array" aca="1" ref="L34" ca="1">SUM(IF((DelPoint= "hidalgo")*IF((DType = "firm")+(DType = "econ")&gt;0,1,0)*(OFFSET(DelPoint,0,L3+2)&gt;0),OFFSET(DelPoint,0,L3+2),0))</f>
        <v>0</v>
      </c>
      <c r="M34" s="675">
        <f t="array" aca="1" ref="M34" ca="1">SUM(IF((DelPoint= "hidalgo")*IF((DType = "firm")+(DType = "econ")&gt;0,1,0)*(OFFSET(DelPoint,0,M3+2)&gt;0),OFFSET(DelPoint,0,M3+2),0))</f>
        <v>0</v>
      </c>
      <c r="N34" s="675">
        <f t="array" aca="1" ref="N34" ca="1">SUM(IF((DelPoint= "hidalgo")*IF((DType = "firm")+(DType = "econ")&gt;0,1,0)*(OFFSET(DelPoint,0,N3+2)&gt;0),OFFSET(DelPoint,0,N3+2),0))</f>
        <v>0</v>
      </c>
      <c r="O34" s="675">
        <f t="array" aca="1" ref="O34" ca="1">SUM(IF((DelPoint= "hidalgo")*IF((DType = "firm")+(DType = "econ")&gt;0,1,0)*(OFFSET(DelPoint,0,O3+2)&gt;0),OFFSET(DelPoint,0,O3+2),0))</f>
        <v>0</v>
      </c>
      <c r="P34" s="675">
        <f t="array" aca="1" ref="P34" ca="1">SUM(IF((DelPoint= "hidalgo")*IF((DType = "firm")+(DType = "econ")&gt;0,1,0)*(OFFSET(DelPoint,0,P3+2)&gt;0),OFFSET(DelPoint,0,P3+2),0))</f>
        <v>0</v>
      </c>
      <c r="Q34" s="675">
        <f t="array" aca="1" ref="Q34" ca="1">SUM(IF((DelPoint= "hidalgo")*IF((DType = "firm")+(DType = "econ")&gt;0,1,0)*(OFFSET(DelPoint,0,Q3+2)&gt;0),OFFSET(DelPoint,0,Q3+2),0))</f>
        <v>0</v>
      </c>
      <c r="R34" s="675">
        <f t="array" aca="1" ref="R34" ca="1">SUM(IF((DelPoint= "hidalgo")*IF((DType = "firm")+(DType = "econ")&gt;0,1,0)*(OFFSET(DelPoint,0,R3+2)&gt;0),OFFSET(DelPoint,0,R3+2),0))</f>
        <v>0</v>
      </c>
      <c r="S34" s="675">
        <f t="array" aca="1" ref="S34" ca="1">SUM(IF((DelPoint= "hidalgo")*IF((DType = "firm")+(DType = "econ")&gt;0,1,0)*(OFFSET(DelPoint,0,S3+2)&gt;0),OFFSET(DelPoint,0,S3+2),0))</f>
        <v>0</v>
      </c>
      <c r="T34" s="675">
        <f t="array" aca="1" ref="T34" ca="1">SUM(IF((DelPoint= "hidalgo")*IF((DType = "firm")+(DType = "econ")&gt;0,1,0)*(OFFSET(DelPoint,0,T3+2)&gt;0),OFFSET(DelPoint,0,T3+2),0))</f>
        <v>0</v>
      </c>
      <c r="U34" s="675">
        <f t="array" aca="1" ref="U34" ca="1">SUM(IF((DelPoint= "hidalgo")*IF((DType = "firm")+(DType = "econ")&gt;0,1,0)*(OFFSET(DelPoint,0,U3+2)&gt;0),OFFSET(DelPoint,0,U3+2),0))</f>
        <v>0</v>
      </c>
      <c r="V34" s="675">
        <f t="array" aca="1" ref="V34" ca="1">SUM(IF((DelPoint= "hidalgo")*IF((DType = "firm")+(DType = "econ")&gt;0,1,0)*(OFFSET(DelPoint,0,V3+2)&gt;0),OFFSET(DelPoint,0,V3+2),0))</f>
        <v>0</v>
      </c>
      <c r="W34" s="675">
        <f t="array" aca="1" ref="W34" ca="1">SUM(IF((DelPoint= "hidalgo")*IF((DType = "firm")+(DType = "econ")&gt;0,1,0)*(OFFSET(DelPoint,0,W3+2)&gt;0),OFFSET(DelPoint,0,W3+2),0))</f>
        <v>0</v>
      </c>
      <c r="X34" s="675">
        <f t="array" aca="1" ref="X34" ca="1">SUM(IF((DelPoint= "hidalgo")*IF((DType = "firm")+(DType = "econ")&gt;0,1,0)*(OFFSET(DelPoint,0,X3+2)&gt;0),OFFSET(DelPoint,0,X3+2),0))</f>
        <v>0</v>
      </c>
      <c r="Y34" s="677">
        <f t="array" aca="1" ref="Y34" ca="1">SUM(IF((DelPoint= "hidalgo")*IF((DType = "firm")+(DType = "econ")&gt;0,1,0)*(OFFSET(DelPoint,0,Y3+2)&gt;0),OFFSET(DelPoint,0,Y3+2),0))</f>
        <v>0</v>
      </c>
      <c r="Z34" s="160"/>
      <c r="AA34" s="162"/>
    </row>
    <row r="35" spans="1:33" s="161" customFormat="1" ht="11.4" x14ac:dyDescent="0.2">
      <c r="A35" s="720" t="s">
        <v>252</v>
      </c>
      <c r="B35" s="721">
        <f t="array" aca="1" ref="B35" ca="1">SUM(IF((DelPoint= "SPS")*(DType = "pre")*(OFFSET(DelPoint,0,B3+2)&gt;0),OFFSET(DelPoint,0,B3+2),0))</f>
        <v>0</v>
      </c>
      <c r="C35" s="722">
        <f t="array" aca="1" ref="C35" ca="1">SUM(IF((DelPoint= "SPS")*(DType = "pre")*(OFFSET(DelPoint,0,C3+2)&gt;0),OFFSET(DelPoint,0,C3+2),0))</f>
        <v>0</v>
      </c>
      <c r="D35" s="722">
        <f t="array" aca="1" ref="D35" ca="1">SUM(IF((DelPoint= "SPS")*(DType = "pre")*(OFFSET(DelPoint,0,D3+2)&gt;0),OFFSET(DelPoint,0,D3+2),0))</f>
        <v>0</v>
      </c>
      <c r="E35" s="722">
        <f t="array" aca="1" ref="E35" ca="1">SUM(IF((DelPoint= "SPS")*(DType = "pre")*(OFFSET(DelPoint,0,E3+2)&gt;0),OFFSET(DelPoint,0,E3+2),0))</f>
        <v>0</v>
      </c>
      <c r="F35" s="722">
        <f t="array" aca="1" ref="F35" ca="1">SUM(IF((DelPoint= "SPS")*(DType = "pre")*(OFFSET(DelPoint,0,F3+2)&gt;0),OFFSET(DelPoint,0,F3+2),0))</f>
        <v>0</v>
      </c>
      <c r="G35" s="722">
        <f t="array" aca="1" ref="G35" ca="1">SUM(IF((DelPoint= "SPS")*(DType = "pre")*(OFFSET(DelPoint,0,G3+2)&gt;0),OFFSET(DelPoint,0,G3+2),0))</f>
        <v>0</v>
      </c>
      <c r="H35" s="722">
        <f t="array" aca="1" ref="H35" ca="1">SUM(IF((DelPoint= "SPS")*(DType = "pre")*(OFFSET(DelPoint,0,H3+2)&gt;0),OFFSET(DelPoint,0,H3+2),0))</f>
        <v>0</v>
      </c>
      <c r="I35" s="722">
        <f t="array" aca="1" ref="I35" ca="1">SUM(IF((DelPoint= "SPS")*(DType = "pre")*(OFFSET(DelPoint,0,I3+2)&gt;0),OFFSET(DelPoint,0,I3+2),0))</f>
        <v>0</v>
      </c>
      <c r="J35" s="722">
        <f t="array" aca="1" ref="J35" ca="1">SUM(IF((DelPoint= "SPS")*(DType = "pre")*(OFFSET(DelPoint,0,J3+2)&gt;0),OFFSET(DelPoint,0,J3+2),0))</f>
        <v>0</v>
      </c>
      <c r="K35" s="722">
        <f t="array" aca="1" ref="K35" ca="1">SUM(IF((DelPoint= "SPS")*(DType = "pre")*(OFFSET(DelPoint,0,K3+2)&gt;0),OFFSET(DelPoint,0,K3+2),0))</f>
        <v>0</v>
      </c>
      <c r="L35" s="722">
        <f t="array" aca="1" ref="L35" ca="1">SUM(IF((DelPoint= "SPS")*(DType = "pre")*(OFFSET(DelPoint,0,L3+2)&gt;0),OFFSET(DelPoint,0,L3+2),0))</f>
        <v>0</v>
      </c>
      <c r="M35" s="722">
        <f t="array" aca="1" ref="M35" ca="1">SUM(IF((DelPoint= "SPS")*(DType = "pre")*(OFFSET(DelPoint,0,M3+2)&gt;0),OFFSET(DelPoint,0,M3+2),0))</f>
        <v>0</v>
      </c>
      <c r="N35" s="722">
        <f t="array" aca="1" ref="N35" ca="1">SUM(IF((DelPoint= "SPS")*(DType = "pre")*(OFFSET(DelPoint,0,N3+2)&gt;0),OFFSET(DelPoint,0,N3+2),0))</f>
        <v>0</v>
      </c>
      <c r="O35" s="722">
        <f t="array" aca="1" ref="O35" ca="1">SUM(IF((DelPoint= "SPS")*(DType = "pre")*(OFFSET(DelPoint,0,O3+2)&gt;0),OFFSET(DelPoint,0,O3+2),0))</f>
        <v>0</v>
      </c>
      <c r="P35" s="722">
        <f t="array" aca="1" ref="P35" ca="1">SUM(IF((DelPoint= "SPS")*(DType = "pre")*(OFFSET(DelPoint,0,P3+2)&gt;0),OFFSET(DelPoint,0,P3+2),0))</f>
        <v>0</v>
      </c>
      <c r="Q35" s="722">
        <f t="array" aca="1" ref="Q35" ca="1">SUM(IF((DelPoint= "SPS")*(DType = "pre")*(OFFSET(DelPoint,0,Q3+2)&gt;0),OFFSET(DelPoint,0,Q3+2),0))</f>
        <v>0</v>
      </c>
      <c r="R35" s="722">
        <f t="array" aca="1" ref="R35" ca="1">SUM(IF((DelPoint= "SPS")*(DType = "pre")*(OFFSET(DelPoint,0,R3+2)&gt;0),OFFSET(DelPoint,0,R3+2),0))</f>
        <v>0</v>
      </c>
      <c r="S35" s="722">
        <f t="array" aca="1" ref="S35" ca="1">SUM(IF((DelPoint= "SPS")*(DType = "pre")*(OFFSET(DelPoint,0,S3+2)&gt;0),OFFSET(DelPoint,0,S3+2),0))</f>
        <v>0</v>
      </c>
      <c r="T35" s="722">
        <f t="array" aca="1" ref="T35" ca="1">SUM(IF((DelPoint= "SPS")*(DType = "pre")*(OFFSET(DelPoint,0,T3+2)&gt;0),OFFSET(DelPoint,0,T3+2),0))</f>
        <v>0</v>
      </c>
      <c r="U35" s="722">
        <f t="array" aca="1" ref="U35" ca="1">SUM(IF((DelPoint= "SPS")*(DType = "pre")*(OFFSET(DelPoint,0,U3+2)&gt;0),OFFSET(DelPoint,0,U3+2),0))</f>
        <v>0</v>
      </c>
      <c r="V35" s="722">
        <f t="array" aca="1" ref="V35" ca="1">SUM(IF((DelPoint= "SPS")*(DType = "pre")*(OFFSET(DelPoint,0,V3+2)&gt;0),OFFSET(DelPoint,0,V3+2),0))</f>
        <v>0</v>
      </c>
      <c r="W35" s="722">
        <f t="array" aca="1" ref="W35" ca="1">SUM(IF((DelPoint= "SPS")*(DType = "pre")*(OFFSET(DelPoint,0,W3+2)&gt;0),OFFSET(DelPoint,0,W3+2),0))</f>
        <v>0</v>
      </c>
      <c r="X35" s="722">
        <f t="array" aca="1" ref="X35" ca="1">SUM(IF((DelPoint= "SPS")*(DType = "pre")*(OFFSET(DelPoint,0,X3+2)&gt;0),OFFSET(DelPoint,0,X3+2),0))</f>
        <v>0</v>
      </c>
      <c r="Y35" s="723">
        <f t="array" aca="1" ref="Y35" ca="1">SUM(IF((DelPoint= "SPS")*(DType = "pre")*(OFFSET(DelPoint,0,Y3+2)&gt;0),OFFSET(DelPoint,0,Y3+2),0))</f>
        <v>0</v>
      </c>
      <c r="Z35" s="160"/>
      <c r="AA35" s="162"/>
    </row>
    <row r="36" spans="1:33" s="161" customFormat="1" ht="11.4"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ht="12" thickBot="1" x14ac:dyDescent="0.25">
      <c r="A37" s="701"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ht="12.6" thickBot="1" x14ac:dyDescent="0.25">
      <c r="A38" s="697" t="s">
        <v>122</v>
      </c>
      <c r="B38" s="502">
        <f ca="1">SUM(B22:B37)+B4+B5</f>
        <v>1138</v>
      </c>
      <c r="C38" s="502">
        <f ca="1">SUM(C22:C37)+C4+C5</f>
        <v>1099</v>
      </c>
      <c r="D38" s="502">
        <f ca="1">SUM(D22:D37)+D4+D5</f>
        <v>1119</v>
      </c>
      <c r="E38" s="502">
        <f ca="1">SUM(E22:E37)+E4+E5</f>
        <v>1114</v>
      </c>
      <c r="F38" s="502">
        <f ca="1">SUM(F22:F37)+F4+F5</f>
        <v>1165</v>
      </c>
      <c r="G38" s="502">
        <f t="shared" ref="G38:Y38" ca="1" si="6">SUM(G22:G37)+G4+G5</f>
        <v>1190</v>
      </c>
      <c r="H38" s="502">
        <f t="shared" ca="1" si="6"/>
        <v>1071</v>
      </c>
      <c r="I38" s="502">
        <f t="shared" ca="1" si="6"/>
        <v>1163</v>
      </c>
      <c r="J38" s="502">
        <f t="shared" ca="1" si="6"/>
        <v>1357</v>
      </c>
      <c r="K38" s="502">
        <f t="shared" ca="1" si="6"/>
        <v>1421</v>
      </c>
      <c r="L38" s="502">
        <f t="shared" ca="1" si="6"/>
        <v>1426</v>
      </c>
      <c r="M38" s="502">
        <f t="shared" ca="1" si="6"/>
        <v>1446</v>
      </c>
      <c r="N38" s="502">
        <f t="shared" ca="1" si="6"/>
        <v>1456</v>
      </c>
      <c r="O38" s="502">
        <f t="shared" ca="1" si="6"/>
        <v>1443</v>
      </c>
      <c r="P38" s="502">
        <f t="shared" ca="1" si="6"/>
        <v>1446</v>
      </c>
      <c r="Q38" s="502">
        <f t="shared" ca="1" si="6"/>
        <v>1442</v>
      </c>
      <c r="R38" s="502">
        <f t="shared" ca="1" si="6"/>
        <v>1392</v>
      </c>
      <c r="S38" s="502">
        <f t="shared" ca="1" si="6"/>
        <v>1304</v>
      </c>
      <c r="T38" s="502">
        <f t="shared" ca="1" si="6"/>
        <v>1270</v>
      </c>
      <c r="U38" s="502">
        <f t="shared" ca="1" si="6"/>
        <v>1302</v>
      </c>
      <c r="V38" s="502">
        <f t="shared" ca="1" si="6"/>
        <v>1345</v>
      </c>
      <c r="W38" s="502">
        <f t="shared" ca="1" si="6"/>
        <v>1325</v>
      </c>
      <c r="X38" s="502">
        <f t="shared" ca="1" si="6"/>
        <v>1224</v>
      </c>
      <c r="Y38" s="503">
        <f t="shared" ca="1" si="6"/>
        <v>1226</v>
      </c>
      <c r="Z38" s="341"/>
      <c r="AA38" s="162"/>
    </row>
    <row r="39" spans="1:33" s="161" customFormat="1" ht="16.2"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ht="12.6"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57</v>
      </c>
      <c r="C41" s="191">
        <v>40</v>
      </c>
      <c r="D41" s="191">
        <v>41</v>
      </c>
      <c r="E41" s="546">
        <v>39</v>
      </c>
      <c r="F41" s="191">
        <v>49</v>
      </c>
      <c r="G41" s="191">
        <v>50</v>
      </c>
      <c r="H41" s="191">
        <v>39</v>
      </c>
      <c r="I41" s="191">
        <v>39</v>
      </c>
      <c r="J41" s="191">
        <v>67</v>
      </c>
      <c r="K41" s="191">
        <v>67</v>
      </c>
      <c r="L41" s="191">
        <v>76</v>
      </c>
      <c r="M41" s="191">
        <v>76</v>
      </c>
      <c r="N41" s="191">
        <v>76</v>
      </c>
      <c r="O41" s="191">
        <v>76</v>
      </c>
      <c r="P41" s="191">
        <v>76</v>
      </c>
      <c r="Q41" s="191">
        <v>70</v>
      </c>
      <c r="R41" s="191">
        <v>41</v>
      </c>
      <c r="S41" s="191">
        <v>39</v>
      </c>
      <c r="T41" s="191">
        <v>0</v>
      </c>
      <c r="U41" s="191">
        <v>0</v>
      </c>
      <c r="V41" s="191">
        <v>0</v>
      </c>
      <c r="W41" s="191">
        <v>0</v>
      </c>
      <c r="X41" s="191">
        <v>0</v>
      </c>
      <c r="Y41" s="522">
        <v>0</v>
      </c>
      <c r="Z41" s="343">
        <v>80</v>
      </c>
      <c r="AA41" s="203">
        <f ca="1">-Economics!D34/Economics!I34</f>
        <v>11667.32102997449</v>
      </c>
    </row>
    <row r="42" spans="1:33" s="161" customFormat="1" ht="15" customHeight="1" x14ac:dyDescent="0.2">
      <c r="A42" s="521" t="s">
        <v>131</v>
      </c>
      <c r="B42" s="191">
        <v>31</v>
      </c>
      <c r="C42" s="191">
        <v>31</v>
      </c>
      <c r="D42" s="191">
        <v>31</v>
      </c>
      <c r="E42" s="546">
        <v>31</v>
      </c>
      <c r="F42" s="191">
        <v>62</v>
      </c>
      <c r="G42" s="191">
        <v>61</v>
      </c>
      <c r="H42" s="191">
        <v>40</v>
      </c>
      <c r="I42" s="191">
        <v>42</v>
      </c>
      <c r="J42" s="191">
        <v>49</v>
      </c>
      <c r="K42" s="191">
        <v>77</v>
      </c>
      <c r="L42" s="191">
        <v>77</v>
      </c>
      <c r="M42" s="191">
        <v>77</v>
      </c>
      <c r="N42" s="191">
        <v>77</v>
      </c>
      <c r="O42" s="191">
        <v>77</v>
      </c>
      <c r="P42" s="191">
        <v>77</v>
      </c>
      <c r="Q42" s="191">
        <v>72</v>
      </c>
      <c r="R42" s="191">
        <v>73</v>
      </c>
      <c r="S42" s="191">
        <v>77</v>
      </c>
      <c r="T42" s="191">
        <v>73</v>
      </c>
      <c r="U42" s="191">
        <v>73</v>
      </c>
      <c r="V42" s="191">
        <v>73</v>
      </c>
      <c r="W42" s="191">
        <v>74</v>
      </c>
      <c r="X42" s="191">
        <v>73</v>
      </c>
      <c r="Y42" s="522">
        <v>72</v>
      </c>
      <c r="Z42" s="343">
        <v>78</v>
      </c>
      <c r="AA42" s="203">
        <f ca="1">-Economics!D35/Economics!I35</f>
        <v>15640.582150829083</v>
      </c>
    </row>
    <row r="43" spans="1:33" s="161" customFormat="1" ht="12.75" customHeight="1" x14ac:dyDescent="0.2">
      <c r="A43" s="523" t="s">
        <v>132</v>
      </c>
      <c r="B43" s="192">
        <v>100</v>
      </c>
      <c r="C43" s="192">
        <v>75</v>
      </c>
      <c r="D43" s="192">
        <v>97</v>
      </c>
      <c r="E43" s="547">
        <v>93</v>
      </c>
      <c r="F43" s="192">
        <v>88</v>
      </c>
      <c r="G43" s="192">
        <v>100</v>
      </c>
      <c r="H43" s="192">
        <v>39</v>
      </c>
      <c r="I43" s="192">
        <v>42</v>
      </c>
      <c r="J43" s="192">
        <v>92</v>
      </c>
      <c r="K43" s="192">
        <v>100</v>
      </c>
      <c r="L43" s="192">
        <v>94</v>
      </c>
      <c r="M43" s="192">
        <v>93</v>
      </c>
      <c r="N43" s="192">
        <v>97</v>
      </c>
      <c r="O43" s="192">
        <v>80</v>
      </c>
      <c r="P43" s="192">
        <v>72</v>
      </c>
      <c r="Q43" s="192">
        <v>92</v>
      </c>
      <c r="R43" s="192">
        <v>58</v>
      </c>
      <c r="S43" s="192">
        <v>38</v>
      </c>
      <c r="T43" s="192">
        <v>95</v>
      </c>
      <c r="U43" s="192">
        <v>58</v>
      </c>
      <c r="V43" s="192">
        <v>74</v>
      </c>
      <c r="W43" s="192">
        <v>70</v>
      </c>
      <c r="X43" s="192">
        <v>94</v>
      </c>
      <c r="Y43" s="524">
        <v>90</v>
      </c>
      <c r="Z43" s="345">
        <v>103</v>
      </c>
      <c r="AA43" s="204">
        <f ca="1">-Economics!D36/Economics!I36</f>
        <v>19579.410475127552</v>
      </c>
    </row>
    <row r="44" spans="1:33" s="161" customFormat="1" ht="12.75" customHeight="1" x14ac:dyDescent="0.2">
      <c r="A44" s="521"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22">
        <v>0</v>
      </c>
      <c r="Z44" s="343">
        <v>40</v>
      </c>
      <c r="AA44" s="203">
        <f ca="1">-Economics!D37/Economics!I37</f>
        <v>0</v>
      </c>
    </row>
    <row r="45" spans="1:33" s="161" customFormat="1" ht="12.75" customHeight="1" x14ac:dyDescent="0.2">
      <c r="A45" s="521"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30</v>
      </c>
      <c r="U45" s="191">
        <v>0</v>
      </c>
      <c r="V45" s="191">
        <v>0</v>
      </c>
      <c r="W45" s="191">
        <v>0</v>
      </c>
      <c r="X45" s="191">
        <v>0</v>
      </c>
      <c r="Y45" s="522">
        <v>0</v>
      </c>
      <c r="Z45" s="343">
        <v>40</v>
      </c>
      <c r="AA45" s="203">
        <f ca="1">-Economics!D38/Economics!I38</f>
        <v>451.01209368024553</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f ca="1">-Economics!D39/Economics!I39</f>
        <v>0</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f ca="1">-Economics!D40/Economics!I40</f>
        <v>0</v>
      </c>
    </row>
    <row r="48" spans="1:33" s="161" customFormat="1" ht="12.75" customHeight="1" x14ac:dyDescent="0.2">
      <c r="A48" s="523" t="s">
        <v>133</v>
      </c>
      <c r="B48" s="192">
        <v>205</v>
      </c>
      <c r="C48" s="192">
        <v>205</v>
      </c>
      <c r="D48" s="192">
        <v>205</v>
      </c>
      <c r="E48" s="192">
        <v>206</v>
      </c>
      <c r="F48" s="192">
        <v>204</v>
      </c>
      <c r="G48" s="192">
        <v>204</v>
      </c>
      <c r="H48" s="192">
        <v>126</v>
      </c>
      <c r="I48" s="192">
        <v>127</v>
      </c>
      <c r="J48" s="192">
        <v>203</v>
      </c>
      <c r="K48" s="192">
        <v>206</v>
      </c>
      <c r="L48" s="192">
        <v>205</v>
      </c>
      <c r="M48" s="192">
        <v>206</v>
      </c>
      <c r="N48" s="192">
        <v>206</v>
      </c>
      <c r="O48" s="192">
        <v>206</v>
      </c>
      <c r="P48" s="192">
        <v>209</v>
      </c>
      <c r="Q48" s="192">
        <v>209</v>
      </c>
      <c r="R48" s="192">
        <v>210</v>
      </c>
      <c r="S48" s="192">
        <v>206</v>
      </c>
      <c r="T48" s="192">
        <v>0</v>
      </c>
      <c r="U48" s="192">
        <v>209</v>
      </c>
      <c r="V48" s="192">
        <v>210</v>
      </c>
      <c r="W48" s="192">
        <v>209</v>
      </c>
      <c r="X48" s="192">
        <v>210</v>
      </c>
      <c r="Y48" s="524">
        <v>210</v>
      </c>
      <c r="Z48" s="345">
        <v>212</v>
      </c>
      <c r="AA48" s="204">
        <f ca="1">-Economics!D41/Economics!I41</f>
        <v>42473.860012755104</v>
      </c>
    </row>
    <row r="49" spans="1:27" s="161" customFormat="1" ht="12.75" customHeight="1" x14ac:dyDescent="0.2">
      <c r="A49" s="523" t="s">
        <v>134</v>
      </c>
      <c r="B49" s="192">
        <v>0</v>
      </c>
      <c r="C49" s="192">
        <v>0</v>
      </c>
      <c r="D49" s="192">
        <v>0</v>
      </c>
      <c r="E49" s="192">
        <v>0</v>
      </c>
      <c r="F49" s="192">
        <v>0</v>
      </c>
      <c r="G49" s="192">
        <v>0</v>
      </c>
      <c r="H49" s="192">
        <v>0</v>
      </c>
      <c r="I49" s="192">
        <v>0</v>
      </c>
      <c r="J49" s="192">
        <v>0</v>
      </c>
      <c r="K49" s="192">
        <v>43</v>
      </c>
      <c r="L49" s="192">
        <v>29</v>
      </c>
      <c r="M49" s="192">
        <v>65</v>
      </c>
      <c r="N49" s="192">
        <v>62</v>
      </c>
      <c r="O49" s="192">
        <v>63</v>
      </c>
      <c r="P49" s="192">
        <v>63</v>
      </c>
      <c r="Q49" s="192">
        <v>63</v>
      </c>
      <c r="R49" s="192">
        <v>63</v>
      </c>
      <c r="S49" s="192">
        <v>4</v>
      </c>
      <c r="T49" s="192">
        <v>32</v>
      </c>
      <c r="U49" s="192">
        <v>32</v>
      </c>
      <c r="V49" s="192">
        <v>20</v>
      </c>
      <c r="W49" s="192">
        <v>38</v>
      </c>
      <c r="X49" s="192">
        <v>65</v>
      </c>
      <c r="Y49" s="192">
        <v>65</v>
      </c>
      <c r="Z49" s="345">
        <v>68</v>
      </c>
      <c r="AA49" s="204">
        <f ca="1">-Economics!D42/Economics!I42</f>
        <v>9960.8079559948983</v>
      </c>
    </row>
    <row r="50" spans="1:27" s="161" customFormat="1" ht="12.75" customHeight="1" x14ac:dyDescent="0.2">
      <c r="A50" s="521" t="s">
        <v>135</v>
      </c>
      <c r="B50" s="191">
        <v>0</v>
      </c>
      <c r="C50" s="191">
        <v>0</v>
      </c>
      <c r="D50" s="191">
        <v>0</v>
      </c>
      <c r="E50" s="191">
        <v>0</v>
      </c>
      <c r="F50" s="191">
        <v>0</v>
      </c>
      <c r="G50" s="191">
        <v>0</v>
      </c>
      <c r="H50" s="191"/>
      <c r="I50" s="191">
        <v>0</v>
      </c>
      <c r="J50" s="191">
        <v>0</v>
      </c>
      <c r="K50" s="191">
        <v>0</v>
      </c>
      <c r="L50" s="191">
        <v>0</v>
      </c>
      <c r="M50" s="191">
        <v>0</v>
      </c>
      <c r="N50" s="191">
        <v>0</v>
      </c>
      <c r="O50" s="191">
        <v>0</v>
      </c>
      <c r="P50" s="191">
        <v>0</v>
      </c>
      <c r="Q50" s="191">
        <v>0</v>
      </c>
      <c r="R50" s="191">
        <v>0</v>
      </c>
      <c r="S50" s="191">
        <v>0</v>
      </c>
      <c r="T50" s="191">
        <v>0</v>
      </c>
      <c r="U50" s="191">
        <v>0</v>
      </c>
      <c r="V50" s="191"/>
      <c r="W50" s="191">
        <v>0</v>
      </c>
      <c r="X50" s="191">
        <v>0</v>
      </c>
      <c r="Y50" s="522">
        <v>0</v>
      </c>
      <c r="Z50" s="343">
        <v>48</v>
      </c>
      <c r="AA50" s="203">
        <f ca="1">-Economics!D43/Economics!I43</f>
        <v>0</v>
      </c>
    </row>
    <row r="51" spans="1:27" s="161" customFormat="1" ht="12.75" customHeight="1" x14ac:dyDescent="0.2">
      <c r="A51" s="521" t="s">
        <v>136</v>
      </c>
      <c r="B51" s="191">
        <v>27</v>
      </c>
      <c r="C51" s="191">
        <v>27</v>
      </c>
      <c r="D51" s="191">
        <v>27</v>
      </c>
      <c r="E51" s="191">
        <v>27</v>
      </c>
      <c r="F51" s="191">
        <v>33</v>
      </c>
      <c r="G51" s="191">
        <v>29</v>
      </c>
      <c r="H51" s="191">
        <v>28</v>
      </c>
      <c r="I51" s="191">
        <v>31</v>
      </c>
      <c r="J51" s="191">
        <v>31</v>
      </c>
      <c r="K51" s="191">
        <v>32</v>
      </c>
      <c r="L51" s="191">
        <v>31</v>
      </c>
      <c r="M51" s="191">
        <v>30</v>
      </c>
      <c r="N51" s="191">
        <v>33</v>
      </c>
      <c r="O51" s="191">
        <v>40</v>
      </c>
      <c r="P51" s="191">
        <v>40</v>
      </c>
      <c r="Q51" s="191">
        <v>40</v>
      </c>
      <c r="R51" s="191">
        <v>40</v>
      </c>
      <c r="S51" s="191">
        <v>28</v>
      </c>
      <c r="T51" s="191">
        <v>40</v>
      </c>
      <c r="U51" s="191">
        <v>40</v>
      </c>
      <c r="V51" s="191">
        <v>40</v>
      </c>
      <c r="W51" s="191">
        <v>40</v>
      </c>
      <c r="X51" s="191">
        <v>40</v>
      </c>
      <c r="Y51" s="522">
        <v>40</v>
      </c>
      <c r="Z51" s="343">
        <v>44</v>
      </c>
      <c r="AA51" s="203">
        <f ca="1">-Economics!D44/Economics!I44</f>
        <v>8715.0390625</v>
      </c>
    </row>
    <row r="52" spans="1:27" s="161" customFormat="1" ht="12.75" customHeight="1" thickBot="1" x14ac:dyDescent="0.25">
      <c r="A52" s="521" t="s">
        <v>137</v>
      </c>
      <c r="B52" s="191">
        <v>60</v>
      </c>
      <c r="C52" s="191">
        <v>60</v>
      </c>
      <c r="D52" s="191">
        <v>60</v>
      </c>
      <c r="E52" s="191">
        <v>60</v>
      </c>
      <c r="F52" s="191">
        <v>71</v>
      </c>
      <c r="G52" s="191">
        <v>90</v>
      </c>
      <c r="H52" s="191">
        <v>90</v>
      </c>
      <c r="I52" s="191">
        <v>89</v>
      </c>
      <c r="J52" s="191">
        <v>90</v>
      </c>
      <c r="K52" s="191">
        <v>90</v>
      </c>
      <c r="L52" s="191">
        <v>90</v>
      </c>
      <c r="M52" s="191">
        <v>89</v>
      </c>
      <c r="N52" s="191">
        <v>89</v>
      </c>
      <c r="O52" s="191">
        <v>89</v>
      </c>
      <c r="P52" s="191">
        <v>89</v>
      </c>
      <c r="Q52" s="191">
        <v>89</v>
      </c>
      <c r="R52" s="191">
        <v>90</v>
      </c>
      <c r="S52" s="191">
        <v>89</v>
      </c>
      <c r="T52" s="191">
        <v>89</v>
      </c>
      <c r="U52" s="191">
        <v>90</v>
      </c>
      <c r="V52" s="191">
        <v>90</v>
      </c>
      <c r="W52" s="191">
        <v>89</v>
      </c>
      <c r="X52" s="191">
        <v>89</v>
      </c>
      <c r="Y52" s="522">
        <v>89</v>
      </c>
      <c r="Z52" s="346">
        <v>130</v>
      </c>
      <c r="AA52" s="205">
        <f ca="1">-Economics!D45/Economics!I45</f>
        <v>20434.434808612441</v>
      </c>
    </row>
    <row r="53" spans="1:27" s="161" customFormat="1" ht="12.75" customHeight="1" thickTop="1" x14ac:dyDescent="0.2">
      <c r="A53" s="521" t="s">
        <v>127</v>
      </c>
      <c r="B53" s="191">
        <v>131</v>
      </c>
      <c r="C53" s="191">
        <v>132</v>
      </c>
      <c r="D53" s="191">
        <v>132</v>
      </c>
      <c r="E53" s="191">
        <v>131</v>
      </c>
      <c r="F53" s="191">
        <v>131</v>
      </c>
      <c r="G53" s="191">
        <v>132</v>
      </c>
      <c r="H53" s="191">
        <v>132</v>
      </c>
      <c r="I53" s="191">
        <v>131</v>
      </c>
      <c r="J53" s="191">
        <v>132</v>
      </c>
      <c r="K53" s="191">
        <v>131</v>
      </c>
      <c r="L53" s="191">
        <v>131</v>
      </c>
      <c r="M53" s="191">
        <v>130</v>
      </c>
      <c r="N53" s="191">
        <v>130</v>
      </c>
      <c r="O53" s="191">
        <v>131</v>
      </c>
      <c r="P53" s="191">
        <v>131</v>
      </c>
      <c r="Q53" s="191">
        <v>131</v>
      </c>
      <c r="R53" s="191">
        <v>130</v>
      </c>
      <c r="S53" s="191">
        <v>131</v>
      </c>
      <c r="T53" s="191">
        <v>130</v>
      </c>
      <c r="U53" s="191">
        <v>130</v>
      </c>
      <c r="V53" s="191">
        <v>130</v>
      </c>
      <c r="W53" s="191">
        <v>130</v>
      </c>
      <c r="X53" s="191">
        <v>130</v>
      </c>
      <c r="Y53" s="522">
        <v>130</v>
      </c>
      <c r="Z53" s="343">
        <v>198</v>
      </c>
      <c r="AA53" s="201"/>
    </row>
    <row r="54" spans="1:27" s="161" customFormat="1" ht="12.75" customHeight="1" x14ac:dyDescent="0.2">
      <c r="A54" s="521" t="s">
        <v>128</v>
      </c>
      <c r="B54" s="191">
        <v>131</v>
      </c>
      <c r="C54" s="191">
        <v>132</v>
      </c>
      <c r="D54" s="191">
        <v>132</v>
      </c>
      <c r="E54" s="191">
        <v>131</v>
      </c>
      <c r="F54" s="191">
        <v>131</v>
      </c>
      <c r="G54" s="191">
        <v>132</v>
      </c>
      <c r="H54" s="191">
        <v>132</v>
      </c>
      <c r="I54" s="191">
        <v>131</v>
      </c>
      <c r="J54" s="191">
        <v>132</v>
      </c>
      <c r="K54" s="191">
        <v>131</v>
      </c>
      <c r="L54" s="191">
        <v>131</v>
      </c>
      <c r="M54" s="191">
        <v>130</v>
      </c>
      <c r="N54" s="191">
        <v>130</v>
      </c>
      <c r="O54" s="191">
        <v>131</v>
      </c>
      <c r="P54" s="191">
        <v>131</v>
      </c>
      <c r="Q54" s="191">
        <v>131</v>
      </c>
      <c r="R54" s="191">
        <v>130</v>
      </c>
      <c r="S54" s="191">
        <v>131</v>
      </c>
      <c r="T54" s="191">
        <v>130</v>
      </c>
      <c r="U54" s="191">
        <v>130</v>
      </c>
      <c r="V54" s="191">
        <v>130</v>
      </c>
      <c r="W54" s="191">
        <v>130</v>
      </c>
      <c r="X54" s="191">
        <v>130</v>
      </c>
      <c r="Y54" s="522">
        <v>130</v>
      </c>
      <c r="Z54" s="343">
        <v>198</v>
      </c>
      <c r="AA54" s="201"/>
    </row>
    <row r="55" spans="1:27" s="161" customFormat="1" ht="12.75" customHeight="1" x14ac:dyDescent="0.2">
      <c r="A55" s="521" t="s">
        <v>129</v>
      </c>
      <c r="B55" s="191">
        <v>131</v>
      </c>
      <c r="C55" s="191">
        <v>130</v>
      </c>
      <c r="D55" s="191">
        <v>132</v>
      </c>
      <c r="E55" s="191">
        <v>131</v>
      </c>
      <c r="F55" s="191">
        <v>131</v>
      </c>
      <c r="G55" s="191">
        <v>132</v>
      </c>
      <c r="H55" s="191">
        <v>132</v>
      </c>
      <c r="I55" s="191">
        <v>131</v>
      </c>
      <c r="J55" s="191">
        <v>132</v>
      </c>
      <c r="K55" s="191">
        <v>131</v>
      </c>
      <c r="L55" s="191">
        <v>131</v>
      </c>
      <c r="M55" s="191">
        <v>130</v>
      </c>
      <c r="N55" s="191">
        <v>130</v>
      </c>
      <c r="O55" s="191">
        <v>131</v>
      </c>
      <c r="P55" s="191">
        <v>131</v>
      </c>
      <c r="Q55" s="191">
        <v>131</v>
      </c>
      <c r="R55" s="191">
        <v>130</v>
      </c>
      <c r="S55" s="191">
        <v>130</v>
      </c>
      <c r="T55" s="191">
        <v>130</v>
      </c>
      <c r="U55" s="191">
        <v>130</v>
      </c>
      <c r="V55" s="191">
        <v>130</v>
      </c>
      <c r="W55" s="191">
        <v>130</v>
      </c>
      <c r="X55" s="191">
        <v>130</v>
      </c>
      <c r="Y55" s="522">
        <v>130</v>
      </c>
      <c r="Z55" s="343">
        <v>198</v>
      </c>
      <c r="AA55" s="201"/>
    </row>
    <row r="56" spans="1:27" s="161" customFormat="1" ht="12.75" customHeight="1" x14ac:dyDescent="0.2">
      <c r="A56" s="521" t="s">
        <v>125</v>
      </c>
      <c r="B56" s="191">
        <v>103</v>
      </c>
      <c r="C56" s="191">
        <v>103</v>
      </c>
      <c r="D56" s="191">
        <v>102</v>
      </c>
      <c r="E56" s="191">
        <v>101</v>
      </c>
      <c r="F56" s="191">
        <v>101</v>
      </c>
      <c r="G56" s="191">
        <v>105</v>
      </c>
      <c r="H56" s="191">
        <v>105</v>
      </c>
      <c r="I56" s="191">
        <v>80</v>
      </c>
      <c r="J56" s="191">
        <v>105</v>
      </c>
      <c r="K56" s="191">
        <v>105</v>
      </c>
      <c r="L56" s="191">
        <v>105</v>
      </c>
      <c r="M56" s="191">
        <v>105</v>
      </c>
      <c r="N56" s="191">
        <v>106</v>
      </c>
      <c r="O56" s="191">
        <v>104</v>
      </c>
      <c r="P56" s="191">
        <v>105</v>
      </c>
      <c r="Q56" s="191">
        <v>106</v>
      </c>
      <c r="R56" s="191">
        <v>104</v>
      </c>
      <c r="S56" s="191">
        <v>105</v>
      </c>
      <c r="T56" s="191">
        <v>104</v>
      </c>
      <c r="U56" s="191">
        <v>103</v>
      </c>
      <c r="V56" s="191">
        <v>104</v>
      </c>
      <c r="W56" s="191">
        <v>104</v>
      </c>
      <c r="X56" s="191">
        <v>103</v>
      </c>
      <c r="Y56" s="522">
        <v>101</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3">
      <c r="A58" s="525" t="s">
        <v>10</v>
      </c>
      <c r="B58" s="526">
        <f ca="1">B59-B38</f>
        <v>1</v>
      </c>
      <c r="C58" s="526">
        <f t="shared" ref="C58:Y58" ca="1" si="7">C59-C38</f>
        <v>-1</v>
      </c>
      <c r="D58" s="526">
        <f t="shared" ca="1" si="7"/>
        <v>3</v>
      </c>
      <c r="E58" s="526">
        <f t="shared" ca="1" si="7"/>
        <v>-1</v>
      </c>
      <c r="F58" s="526">
        <f t="shared" ca="1" si="7"/>
        <v>-1</v>
      </c>
      <c r="G58" s="526">
        <f t="shared" ca="1" si="7"/>
        <v>8</v>
      </c>
      <c r="H58" s="526">
        <f ca="1">H59-H38</f>
        <v>105</v>
      </c>
      <c r="I58" s="526">
        <f t="shared" ca="1" si="7"/>
        <v>-7</v>
      </c>
      <c r="J58" s="526">
        <f t="shared" ca="1" si="7"/>
        <v>-11</v>
      </c>
      <c r="K58" s="526">
        <f t="shared" ca="1" si="7"/>
        <v>5</v>
      </c>
      <c r="L58" s="526">
        <f t="shared" ca="1" si="7"/>
        <v>-13</v>
      </c>
      <c r="M58" s="526">
        <f t="shared" ref="M58:S58" ca="1" si="8">M59-M38</f>
        <v>23</v>
      </c>
      <c r="N58" s="526">
        <f t="shared" ca="1" si="8"/>
        <v>18</v>
      </c>
      <c r="O58" s="526">
        <f t="shared" ca="1" si="8"/>
        <v>23</v>
      </c>
      <c r="P58" s="526">
        <f t="shared" ca="1" si="8"/>
        <v>16</v>
      </c>
      <c r="Q58" s="526">
        <f t="shared" ca="1" si="8"/>
        <v>30</v>
      </c>
      <c r="R58" s="526">
        <f t="shared" ca="1" si="8"/>
        <v>15</v>
      </c>
      <c r="S58" s="526">
        <f t="shared" ca="1" si="8"/>
        <v>12</v>
      </c>
      <c r="T58" s="526">
        <f t="shared" ca="1" si="7"/>
        <v>-79</v>
      </c>
      <c r="U58" s="526">
        <f t="shared" ca="1" si="7"/>
        <v>31</v>
      </c>
      <c r="V58" s="526">
        <f t="shared" ca="1" si="7"/>
        <v>-6</v>
      </c>
      <c r="W58" s="526">
        <f t="shared" ca="1" si="7"/>
        <v>27</v>
      </c>
      <c r="X58" s="526">
        <f t="shared" ca="1" si="7"/>
        <v>28</v>
      </c>
      <c r="Y58" s="526">
        <f t="shared" ca="1" si="7"/>
        <v>44</v>
      </c>
      <c r="Z58" s="344">
        <f ca="1">SUM(Z41:Z55)+Z41+Z42+Z43+Z48+Z49+Z50+Z51+Z52</f>
        <v>2416</v>
      </c>
      <c r="AA58" s="202">
        <f ca="1">SUM(AA41:AA55)</f>
        <v>128922.46758947382</v>
      </c>
    </row>
    <row r="59" spans="1:27" s="161" customFormat="1" ht="12" x14ac:dyDescent="0.2">
      <c r="A59" s="515"/>
      <c r="B59" s="516">
        <f t="shared" ref="B59:Y59" ca="1" si="9">SUM(B41:B57)-SUM(B7:B20)</f>
        <v>1139</v>
      </c>
      <c r="C59" s="516">
        <f t="shared" ca="1" si="9"/>
        <v>1098</v>
      </c>
      <c r="D59" s="516">
        <f t="shared" ca="1" si="9"/>
        <v>1122</v>
      </c>
      <c r="E59" s="516">
        <f t="shared" ca="1" si="9"/>
        <v>1113</v>
      </c>
      <c r="F59" s="516">
        <f t="shared" ca="1" si="9"/>
        <v>1164</v>
      </c>
      <c r="G59" s="516">
        <f t="shared" ca="1" si="9"/>
        <v>1198</v>
      </c>
      <c r="H59" s="516">
        <f t="shared" ca="1" si="9"/>
        <v>1176</v>
      </c>
      <c r="I59" s="516">
        <f t="shared" ca="1" si="9"/>
        <v>1156</v>
      </c>
      <c r="J59" s="516">
        <f t="shared" ca="1" si="9"/>
        <v>1346</v>
      </c>
      <c r="K59" s="516">
        <f t="shared" ca="1" si="9"/>
        <v>1426</v>
      </c>
      <c r="L59" s="516">
        <f t="shared" ca="1" si="9"/>
        <v>1413</v>
      </c>
      <c r="M59" s="516">
        <f t="shared" ca="1" si="9"/>
        <v>1469</v>
      </c>
      <c r="N59" s="516">
        <f t="shared" ca="1" si="9"/>
        <v>1474</v>
      </c>
      <c r="O59" s="516">
        <f t="shared" ca="1" si="9"/>
        <v>1466</v>
      </c>
      <c r="P59" s="516">
        <f t="shared" ca="1" si="9"/>
        <v>1462</v>
      </c>
      <c r="Q59" s="516">
        <f t="shared" ca="1" si="9"/>
        <v>1472</v>
      </c>
      <c r="R59" s="516">
        <f ca="1">SUM(R41:R57)-SUM(R7:R20)</f>
        <v>1407</v>
      </c>
      <c r="S59" s="516">
        <f t="shared" ca="1" si="9"/>
        <v>1316</v>
      </c>
      <c r="T59" s="516">
        <f ca="1">SUM(T41:T57)-SUM(T7:T20)</f>
        <v>1191</v>
      </c>
      <c r="U59" s="516">
        <f t="shared" ca="1" si="9"/>
        <v>1333</v>
      </c>
      <c r="V59" s="516">
        <f t="shared" ca="1" si="9"/>
        <v>1339</v>
      </c>
      <c r="W59" s="516">
        <f t="shared" ca="1" si="9"/>
        <v>1352</v>
      </c>
      <c r="X59" s="516">
        <f t="shared" ca="1" si="9"/>
        <v>1252</v>
      </c>
      <c r="Y59" s="516">
        <f t="shared" ca="1" si="9"/>
        <v>1270</v>
      </c>
      <c r="Z59" s="206">
        <f ca="1">SUM(Economics!D28:D45)</f>
        <v>-346165.37879861327</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150</v>
      </c>
      <c r="C62" s="169">
        <f t="shared" ca="1" si="11"/>
        <v>151</v>
      </c>
      <c r="D62" s="169">
        <f t="shared" ca="1" si="11"/>
        <v>128</v>
      </c>
      <c r="E62" s="169">
        <f t="shared" ca="1" si="11"/>
        <v>125</v>
      </c>
      <c r="F62" s="169">
        <f t="shared" ca="1" si="11"/>
        <v>115</v>
      </c>
      <c r="G62" s="169">
        <f t="shared" ca="1" si="11"/>
        <v>138</v>
      </c>
      <c r="H62" s="169">
        <f t="shared" ca="1" si="11"/>
        <v>476</v>
      </c>
      <c r="I62" s="169">
        <f t="shared" ca="1" si="11"/>
        <v>443</v>
      </c>
      <c r="J62" s="169">
        <f ca="1">-SUM(J12:J15,J29:J32,J22) + SUM(J53:J55)</f>
        <v>384</v>
      </c>
      <c r="K62" s="169">
        <f t="shared" ca="1" si="11"/>
        <v>431</v>
      </c>
      <c r="L62" s="169">
        <f t="shared" ca="1" si="11"/>
        <v>431</v>
      </c>
      <c r="M62" s="169">
        <f t="shared" ca="1" si="11"/>
        <v>428</v>
      </c>
      <c r="N62" s="169">
        <f t="shared" ca="1" si="11"/>
        <v>428</v>
      </c>
      <c r="O62" s="169">
        <f t="shared" ca="1" si="11"/>
        <v>431</v>
      </c>
      <c r="P62" s="169">
        <f t="shared" ca="1" si="11"/>
        <v>431</v>
      </c>
      <c r="Q62" s="169">
        <f t="shared" ca="1" si="11"/>
        <v>431</v>
      </c>
      <c r="R62" s="169">
        <f t="shared" ca="1" si="11"/>
        <v>428</v>
      </c>
      <c r="S62" s="169">
        <f t="shared" ca="1" si="11"/>
        <v>430</v>
      </c>
      <c r="T62" s="169">
        <f t="shared" ca="1" si="11"/>
        <v>428</v>
      </c>
      <c r="U62" s="169">
        <f t="shared" ca="1" si="11"/>
        <v>425</v>
      </c>
      <c r="V62" s="169">
        <f t="shared" ca="1" si="11"/>
        <v>375</v>
      </c>
      <c r="W62" s="169">
        <f t="shared" ca="1" si="11"/>
        <v>350</v>
      </c>
      <c r="X62" s="169">
        <f t="shared" ca="1" si="11"/>
        <v>147</v>
      </c>
      <c r="Y62" s="170">
        <f t="shared" ca="1" si="11"/>
        <v>147</v>
      </c>
      <c r="Z62" s="193"/>
      <c r="AA62" s="162"/>
    </row>
    <row r="63" spans="1:27" s="161" customFormat="1" ht="12" x14ac:dyDescent="0.2">
      <c r="A63" s="195" t="s">
        <v>141</v>
      </c>
      <c r="B63" s="169">
        <f t="shared" ref="B63:L63" ca="1" si="12">-SUM(B8:B11,B25:B28) + SUM(B56:B57)</f>
        <v>43</v>
      </c>
      <c r="C63" s="169">
        <f t="shared" ca="1" si="12"/>
        <v>43</v>
      </c>
      <c r="D63" s="169">
        <f t="shared" ca="1" si="12"/>
        <v>42</v>
      </c>
      <c r="E63" s="169">
        <f t="shared" ca="1" si="12"/>
        <v>41</v>
      </c>
      <c r="F63" s="169">
        <f t="shared" ca="1" si="12"/>
        <v>28</v>
      </c>
      <c r="G63" s="169">
        <f t="shared" ca="1" si="12"/>
        <v>45</v>
      </c>
      <c r="H63" s="169">
        <f t="shared" ca="1" si="12"/>
        <v>45</v>
      </c>
      <c r="I63" s="169">
        <f t="shared" ca="1" si="12"/>
        <v>20</v>
      </c>
      <c r="J63" s="169">
        <f t="shared" ca="1" si="12"/>
        <v>-30</v>
      </c>
      <c r="K63" s="169">
        <f t="shared" ca="1" si="12"/>
        <v>-94</v>
      </c>
      <c r="L63" s="169">
        <f t="shared" ca="1" si="12"/>
        <v>-65</v>
      </c>
      <c r="M63" s="169">
        <f ca="1">-SUM(M8:M11,M25:M28) + SUM(M57:M57)</f>
        <v>-139</v>
      </c>
      <c r="N63" s="169">
        <f t="shared" ref="N63:Y63" ca="1" si="13">-SUM(N8:N11,N25:N28) + SUM(N56:N57)</f>
        <v>-18</v>
      </c>
      <c r="O63" s="169">
        <f t="shared" ca="1" si="13"/>
        <v>-6</v>
      </c>
      <c r="P63" s="169">
        <f t="shared" ca="1" si="13"/>
        <v>-5</v>
      </c>
      <c r="Q63" s="169">
        <f t="shared" ca="1" si="13"/>
        <v>-4</v>
      </c>
      <c r="R63" s="169">
        <f t="shared" ca="1" si="13"/>
        <v>-6</v>
      </c>
      <c r="S63" s="169">
        <f t="shared" ca="1" si="13"/>
        <v>31</v>
      </c>
      <c r="T63" s="169">
        <f t="shared" ca="1" si="13"/>
        <v>69</v>
      </c>
      <c r="U63" s="169">
        <f t="shared" ca="1" si="13"/>
        <v>68</v>
      </c>
      <c r="V63" s="169">
        <f t="shared" ca="1" si="13"/>
        <v>69</v>
      </c>
      <c r="W63" s="169">
        <f t="shared" ca="1" si="13"/>
        <v>8</v>
      </c>
      <c r="X63" s="169">
        <f t="shared" ca="1" si="13"/>
        <v>68</v>
      </c>
      <c r="Y63" s="170">
        <f t="shared" ca="1" si="13"/>
        <v>46</v>
      </c>
      <c r="Z63" s="193"/>
      <c r="AA63" s="162"/>
    </row>
    <row r="64" spans="1:27" s="161" customFormat="1" ht="12" x14ac:dyDescent="0.2">
      <c r="A64" s="195" t="s">
        <v>142</v>
      </c>
      <c r="B64" s="169">
        <f ca="1">IF(B62+B63&gt;645,"err",B62+B63)</f>
        <v>193</v>
      </c>
      <c r="C64" s="169">
        <f t="shared" ref="C64:Y64" ca="1" si="14">IF(C62+C63&gt;645,"err",C62+C63)</f>
        <v>194</v>
      </c>
      <c r="D64" s="169">
        <f t="shared" ca="1" si="14"/>
        <v>170</v>
      </c>
      <c r="E64" s="169">
        <f t="shared" ca="1" si="14"/>
        <v>166</v>
      </c>
      <c r="F64" s="169">
        <f t="shared" ca="1" si="14"/>
        <v>143</v>
      </c>
      <c r="G64" s="169">
        <f t="shared" ca="1" si="14"/>
        <v>183</v>
      </c>
      <c r="H64" s="169">
        <f t="shared" ca="1" si="14"/>
        <v>521</v>
      </c>
      <c r="I64" s="169">
        <f t="shared" ca="1" si="14"/>
        <v>463</v>
      </c>
      <c r="J64" s="169">
        <f t="shared" ca="1" si="14"/>
        <v>354</v>
      </c>
      <c r="K64" s="169">
        <f t="shared" ca="1" si="14"/>
        <v>337</v>
      </c>
      <c r="L64" s="169">
        <f t="shared" ca="1" si="14"/>
        <v>366</v>
      </c>
      <c r="M64" s="169">
        <f t="shared" ca="1" si="14"/>
        <v>289</v>
      </c>
      <c r="N64" s="169">
        <f t="shared" ca="1" si="14"/>
        <v>410</v>
      </c>
      <c r="O64" s="169">
        <f t="shared" ca="1" si="14"/>
        <v>425</v>
      </c>
      <c r="P64" s="169">
        <f t="shared" ca="1" si="14"/>
        <v>426</v>
      </c>
      <c r="Q64" s="169">
        <f t="shared" ca="1" si="14"/>
        <v>427</v>
      </c>
      <c r="R64" s="169">
        <f t="shared" ca="1" si="14"/>
        <v>422</v>
      </c>
      <c r="S64" s="169">
        <f t="shared" ca="1" si="14"/>
        <v>461</v>
      </c>
      <c r="T64" s="169">
        <f t="shared" ca="1" si="14"/>
        <v>497</v>
      </c>
      <c r="U64" s="169">
        <f t="shared" ca="1" si="14"/>
        <v>493</v>
      </c>
      <c r="V64" s="169">
        <f t="shared" ca="1" si="14"/>
        <v>444</v>
      </c>
      <c r="W64" s="169">
        <f t="shared" ca="1" si="14"/>
        <v>358</v>
      </c>
      <c r="X64" s="169">
        <f t="shared" ca="1" si="14"/>
        <v>215</v>
      </c>
      <c r="Y64" s="170">
        <f t="shared" ca="1" si="14"/>
        <v>193</v>
      </c>
      <c r="Z64" s="194"/>
      <c r="AA64" s="162"/>
    </row>
    <row r="65" spans="1:27" s="161" customFormat="1" ht="12" x14ac:dyDescent="0.2">
      <c r="A65" s="195" t="s">
        <v>18</v>
      </c>
      <c r="B65" s="169">
        <f ca="1">SUM(B61:B63)</f>
        <v>193</v>
      </c>
      <c r="C65" s="169">
        <f t="shared" ref="C65:Y65" ca="1" si="15">SUM(C61:C63)</f>
        <v>194</v>
      </c>
      <c r="D65" s="169">
        <f t="shared" ca="1" si="15"/>
        <v>170</v>
      </c>
      <c r="E65" s="169">
        <f t="shared" ca="1" si="15"/>
        <v>166</v>
      </c>
      <c r="F65" s="169">
        <f t="shared" ca="1" si="15"/>
        <v>143</v>
      </c>
      <c r="G65" s="169">
        <f t="shared" ca="1" si="15"/>
        <v>183</v>
      </c>
      <c r="H65" s="169">
        <f t="shared" ca="1" si="15"/>
        <v>521</v>
      </c>
      <c r="I65" s="169">
        <f t="shared" ca="1" si="15"/>
        <v>463</v>
      </c>
      <c r="J65" s="169">
        <f t="shared" ca="1" si="15"/>
        <v>354</v>
      </c>
      <c r="K65" s="169">
        <f t="shared" ca="1" si="15"/>
        <v>337</v>
      </c>
      <c r="L65" s="169">
        <f t="shared" ca="1" si="15"/>
        <v>366</v>
      </c>
      <c r="M65" s="169">
        <f t="shared" ca="1" si="15"/>
        <v>289</v>
      </c>
      <c r="N65" s="169">
        <f t="shared" ca="1" si="15"/>
        <v>410</v>
      </c>
      <c r="O65" s="169">
        <f t="shared" ca="1" si="15"/>
        <v>425</v>
      </c>
      <c r="P65" s="169">
        <f t="shared" ca="1" si="15"/>
        <v>426</v>
      </c>
      <c r="Q65" s="169">
        <f t="shared" ca="1" si="15"/>
        <v>427</v>
      </c>
      <c r="R65" s="169">
        <f t="shared" ca="1" si="15"/>
        <v>422</v>
      </c>
      <c r="S65" s="169">
        <f t="shared" ca="1" si="15"/>
        <v>461</v>
      </c>
      <c r="T65" s="169">
        <f t="shared" ca="1" si="15"/>
        <v>497</v>
      </c>
      <c r="U65" s="169">
        <f t="shared" ca="1" si="15"/>
        <v>493</v>
      </c>
      <c r="V65" s="169">
        <f t="shared" ca="1" si="15"/>
        <v>444</v>
      </c>
      <c r="W65" s="169">
        <f t="shared" ca="1" si="15"/>
        <v>358</v>
      </c>
      <c r="X65" s="169">
        <f t="shared" ca="1" si="15"/>
        <v>215</v>
      </c>
      <c r="Y65" s="170">
        <f t="shared" ca="1" si="15"/>
        <v>193</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368</v>
      </c>
      <c r="C67" s="169">
        <f t="array" ref="C67">SUM(IF(C$41:C$55 = 0,0,$Z$41:$Z$55-C$41:C$55))-INDEX(Balancing!$R$4:$R$27,C$3)</f>
        <v>409</v>
      </c>
      <c r="D67" s="169">
        <f t="array" ref="D67">SUM(IF(D$41:D$55 = 0,0,$Z$41:$Z$55-D$41:D$55))-INDEX(Balancing!$R$4:$R$27,D$3)</f>
        <v>384</v>
      </c>
      <c r="E67" s="169">
        <f t="array" ref="E67">SUM(IF(E$41:E$55 = 0,0,$Z$41:$Z$55-E$41:E$55))-INDEX(Balancing!$R$4:$R$27,E$3)</f>
        <v>392</v>
      </c>
      <c r="F67" s="169">
        <f t="array" ref="F67">SUM(IF(F$41:F$55 = 0,0,$Z$41:$Z$55-F$41:F$55))-INDEX(Balancing!$R$4:$R$27,F$3)</f>
        <v>341</v>
      </c>
      <c r="G67" s="169">
        <f t="array" ref="G67">SUM(IF(G$41:G$55 = 0,0,$Z$41:$Z$55-G$41:G$55))-INDEX(Balancing!$R$4:$R$27,G$3)</f>
        <v>311</v>
      </c>
      <c r="H67" s="169">
        <f t="array" ref="H67">SUM(IF(H$41:H$55 = 0,0,$Z$41:$Z$55-H$41:H$55))-INDEX(Balancing!$R$4:$R$27,H$3)</f>
        <v>483</v>
      </c>
      <c r="I67" s="169">
        <f t="array" ref="I67">SUM(IF(I$41:I$55 = 0,0,$Z$41:$Z$55-I$41:I$55))-INDEX(Balancing!$R$4:$R$27,I$3)</f>
        <v>478</v>
      </c>
      <c r="J67" s="169">
        <f t="array" ref="J67">SUM(IF(J$41:J$55 = 0,0,$Z$41:$Z$55-J$41:J$55))-INDEX(Balancing!$R$4:$R$27,J$3)</f>
        <v>313</v>
      </c>
      <c r="K67" s="169">
        <f t="array" ref="K67">SUM(IF(K$41:K$55 = 0,0,$Z$41:$Z$55-K$41:K$55))-INDEX(Balancing!$R$4:$R$27,K$3)</f>
        <v>301</v>
      </c>
      <c r="L67" s="169">
        <f t="array" ref="L67">SUM(IF(L$41:L$55 = 0,0,$Z$41:$Z$55-L$41:L$55))-INDEX(Balancing!$R$4:$R$27,L$3)</f>
        <v>314</v>
      </c>
      <c r="M67" s="169">
        <f t="array" ref="M67">SUM(IF(M$41:M$55 = 0,0,$Z$41:$Z$55-M$41:M$55))-INDEX(Balancing!$R$4:$R$27,M$3)</f>
        <v>283</v>
      </c>
      <c r="N67" s="169">
        <v>179</v>
      </c>
      <c r="O67" s="169">
        <f t="array" ref="O67">SUM(IF(O$41:O$55 = 0,0,$Z$41:$Z$55-O$41:O$55))-INDEX(Balancing!$R$4:$R$27,O$3)</f>
        <v>285</v>
      </c>
      <c r="P67" s="169">
        <f t="array" ref="P67">SUM(IF(P$41:P$55 = 0,0,$Z$41:$Z$55-P$41:P$55))-INDEX(Balancing!$R$4:$R$27,P$3)</f>
        <v>290</v>
      </c>
      <c r="Q67" s="169">
        <f t="array" ref="Q67">SUM(IF(Q$41:Q$55 = 0,0,$Z$41:$Z$55-Q$41:Q$55))-INDEX(Balancing!$R$4:$R$27,Q$3)</f>
        <v>281</v>
      </c>
      <c r="R67" s="169">
        <f t="array" ref="R67">SUM(IF(R$41:R$55 = 0,0,$Z$41:$Z$55-R$41:R$55))-INDEX(Balancing!$R$4:$R$27,R$3)</f>
        <v>344</v>
      </c>
      <c r="S67" s="169">
        <f t="array" ref="S67">SUM(IF(S$41:S$55 = 0,0,$Z$41:$Z$55-S$41:S$55))-INDEX(Balancing!$R$4:$R$27,S$3)</f>
        <v>436</v>
      </c>
      <c r="T67" s="169">
        <f t="array" ref="T67">SUM(IF(T$41:T$55 = 0,0,$Z$41:$Z$55-T$41:T$55))-INDEX(Balancing!$R$4:$R$27,T$3)</f>
        <v>308</v>
      </c>
      <c r="U67" s="169">
        <f t="array" ref="U67">SUM(IF(U$41:U$55 = 0,0,$Z$41:$Z$55-U$41:U$55))-INDEX(Balancing!$R$4:$R$27,U$3)</f>
        <v>337</v>
      </c>
      <c r="V67" s="169">
        <f t="array" ref="V67">SUM(IF(V$41:V$55 = 0,0,$Z$41:$Z$55-V$41:V$55))-INDEX(Balancing!$R$4:$R$27,V$3)</f>
        <v>332</v>
      </c>
      <c r="W67" s="169">
        <f t="array" ref="W67">SUM(IF(W$41:W$55 = 0,0,$Z$41:$Z$55-W$41:W$55))-INDEX(Balancing!$R$4:$R$27,W$3)</f>
        <v>319</v>
      </c>
      <c r="X67" s="169">
        <f t="array" ref="X67">SUM(IF(X$41:X$55 = 0,0,$Z$41:$Z$55-X$41:X$55))-INDEX(Balancing!$R$4:$R$27,X$3)</f>
        <v>268</v>
      </c>
      <c r="Y67" s="170">
        <f t="array" ref="Y67">SUM(IF(Y$41:Y$55 = 0,0,$Z$41:$Z$55-Y$41:Y$55))-INDEX(Balancing!$R$4:$R$27,Y$3)</f>
        <v>273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50</v>
      </c>
      <c r="C69" s="171">
        <f t="shared" si="16"/>
        <v>47</v>
      </c>
      <c r="D69" s="171">
        <f t="shared" si="16"/>
        <v>47</v>
      </c>
      <c r="E69" s="171">
        <f t="shared" si="16"/>
        <v>46</v>
      </c>
      <c r="F69" s="171">
        <f t="shared" si="16"/>
        <v>48</v>
      </c>
      <c r="G69" s="171">
        <f t="shared" si="16"/>
        <v>52</v>
      </c>
      <c r="H69" s="171">
        <f t="shared" ref="H69:X69" si="17">IF(H67&lt;0.07*I4,"err",ROUND(I4*0.07,0))</f>
        <v>62</v>
      </c>
      <c r="I69" s="171">
        <f t="shared" si="17"/>
        <v>66</v>
      </c>
      <c r="J69" s="171">
        <f t="shared" si="17"/>
        <v>69</v>
      </c>
      <c r="K69" s="171">
        <f t="shared" si="17"/>
        <v>71</v>
      </c>
      <c r="L69" s="171">
        <f t="shared" si="17"/>
        <v>73</v>
      </c>
      <c r="M69" s="171">
        <f t="shared" si="17"/>
        <v>75</v>
      </c>
      <c r="N69" s="171">
        <f t="shared" si="17"/>
        <v>75</v>
      </c>
      <c r="O69" s="171">
        <f t="shared" si="17"/>
        <v>75</v>
      </c>
      <c r="P69" s="171">
        <f t="shared" si="17"/>
        <v>75</v>
      </c>
      <c r="Q69" s="171">
        <f t="shared" si="17"/>
        <v>71</v>
      </c>
      <c r="R69" s="171">
        <f t="shared" si="17"/>
        <v>68</v>
      </c>
      <c r="S69" s="171">
        <f t="shared" si="17"/>
        <v>68</v>
      </c>
      <c r="T69" s="171">
        <f t="shared" si="17"/>
        <v>70</v>
      </c>
      <c r="U69" s="171">
        <f t="shared" si="17"/>
        <v>70</v>
      </c>
      <c r="V69" s="171">
        <f t="shared" si="17"/>
        <v>62</v>
      </c>
      <c r="W69" s="171">
        <f t="shared" si="17"/>
        <v>56</v>
      </c>
      <c r="X69" s="171">
        <f t="shared" si="17"/>
        <v>53</v>
      </c>
      <c r="Y69" s="172" t="e">
        <f>IF(Y67&lt;0.07*#REF!,"err",ROUND(#REF!*0.07,0))</f>
        <v>#REF!</v>
      </c>
      <c r="Z69" s="193"/>
      <c r="AA69" s="162"/>
    </row>
    <row r="70" spans="1:27" s="283" customFormat="1" ht="12.6"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5">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5">
      <c r="A78" s="279" t="s">
        <v>155</v>
      </c>
      <c r="B78" s="452">
        <f t="shared" ref="B78:Y78" ca="1" si="18">(B22+B25+B29)</f>
        <v>200</v>
      </c>
      <c r="C78" s="452">
        <f t="shared" ca="1" si="18"/>
        <v>200</v>
      </c>
      <c r="D78" s="452">
        <f t="shared" ca="1" si="18"/>
        <v>200</v>
      </c>
      <c r="E78" s="452">
        <f t="shared" ca="1" si="18"/>
        <v>200</v>
      </c>
      <c r="F78" s="452">
        <f t="shared" ca="1" si="18"/>
        <v>200</v>
      </c>
      <c r="G78" s="452">
        <f t="shared" ca="1" si="18"/>
        <v>180</v>
      </c>
      <c r="H78" s="452">
        <f t="shared" ca="1" si="18"/>
        <v>95</v>
      </c>
      <c r="I78" s="452">
        <f t="shared" ca="1" si="18"/>
        <v>125</v>
      </c>
      <c r="J78" s="452">
        <f t="shared" ca="1" si="18"/>
        <v>172</v>
      </c>
      <c r="K78" s="452">
        <f t="shared" ca="1" si="18"/>
        <v>172</v>
      </c>
      <c r="L78" s="452">
        <f t="shared" ca="1" si="18"/>
        <v>172</v>
      </c>
      <c r="M78" s="452">
        <f t="shared" ca="1" si="18"/>
        <v>172</v>
      </c>
      <c r="N78" s="452">
        <f t="shared" ca="1" si="18"/>
        <v>172</v>
      </c>
      <c r="O78" s="452">
        <f t="shared" ca="1" si="18"/>
        <v>172</v>
      </c>
      <c r="P78" s="452">
        <f t="shared" ca="1" si="18"/>
        <v>172</v>
      </c>
      <c r="Q78" s="452">
        <f t="shared" ca="1" si="18"/>
        <v>172</v>
      </c>
      <c r="R78" s="452">
        <f t="shared" ca="1" si="18"/>
        <v>172</v>
      </c>
      <c r="S78" s="452">
        <f t="shared" ca="1" si="18"/>
        <v>172</v>
      </c>
      <c r="T78" s="452">
        <f t="shared" ca="1" si="18"/>
        <v>172</v>
      </c>
      <c r="U78" s="452">
        <f t="shared" ca="1" si="18"/>
        <v>175</v>
      </c>
      <c r="V78" s="452">
        <f t="shared" ca="1" si="18"/>
        <v>175</v>
      </c>
      <c r="W78" s="452">
        <f t="shared" ca="1" si="18"/>
        <v>175</v>
      </c>
      <c r="X78" s="452">
        <f t="shared" ca="1" si="18"/>
        <v>200</v>
      </c>
      <c r="Y78" s="452">
        <f t="shared" ca="1" si="18"/>
        <v>200</v>
      </c>
      <c r="Z78" s="161"/>
      <c r="AA78" s="162"/>
    </row>
    <row r="79" spans="1:27" x14ac:dyDescent="0.25">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5">
      <c r="A80" s="279" t="s">
        <v>157</v>
      </c>
      <c r="B80" s="453">
        <f>Deals!AD133</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5">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5">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5">
      <c r="A83" s="279" t="s">
        <v>161</v>
      </c>
      <c r="B83" s="280">
        <f ca="1">SUM(B78:Y78)</f>
        <v>4217</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9"/>
      <c r="Z85" s="161"/>
      <c r="AA85" s="162"/>
    </row>
    <row r="86" spans="1:27" x14ac:dyDescent="0.25">
      <c r="A86" s="279"/>
      <c r="X86" s="214"/>
      <c r="Y86" s="215" t="s">
        <v>163</v>
      </c>
      <c r="Z86" s="247" t="e">
        <f>SUM(Z89,Z92,Z95,Z98,Z101,Z105,Z110,Z115,Z120,Z125,Z130,Z135,Z140,Z145,Z150,Z155,Z160)</f>
        <v>#REF!</v>
      </c>
    </row>
    <row r="87" spans="1:27" x14ac:dyDescent="0.25">
      <c r="X87" s="216"/>
      <c r="Y87" s="217" t="s">
        <v>164</v>
      </c>
      <c r="Z87" s="248">
        <f ca="1">SUM(Z90,Z93,Z96,Z99,Z102,Z107,Z112,Z117,Z122,Z127,Z132,Z137,Z142,Z147,Z152,Z157,Z162)</f>
        <v>253127.71990195441</v>
      </c>
    </row>
    <row r="88" spans="1:27" ht="13.8" thickBot="1" x14ac:dyDescent="0.3">
      <c r="A88" s="173" t="s">
        <v>165</v>
      </c>
      <c r="X88" s="218"/>
      <c r="Y88" s="219" t="s">
        <v>166</v>
      </c>
      <c r="Z88" s="249" t="e">
        <f ca="1">Z86-Z87</f>
        <v>#REF!</v>
      </c>
    </row>
    <row r="89" spans="1:27" x14ac:dyDescent="0.25">
      <c r="A89" s="220" t="str">
        <f>Economics!A28</f>
        <v>4 Corners Unit 4</v>
      </c>
      <c r="B89" s="221">
        <f t="shared" ref="B89:Y89" si="19">B56</f>
        <v>103</v>
      </c>
      <c r="C89" s="221">
        <f t="shared" si="19"/>
        <v>103</v>
      </c>
      <c r="D89" s="221">
        <f t="shared" si="19"/>
        <v>102</v>
      </c>
      <c r="E89" s="221">
        <f>E56</f>
        <v>101</v>
      </c>
      <c r="F89" s="221">
        <f t="shared" si="19"/>
        <v>101</v>
      </c>
      <c r="G89" s="221">
        <f t="shared" si="19"/>
        <v>105</v>
      </c>
      <c r="H89" s="221">
        <f t="shared" si="19"/>
        <v>105</v>
      </c>
      <c r="I89" s="221">
        <f t="shared" si="19"/>
        <v>80</v>
      </c>
      <c r="J89" s="221">
        <f t="shared" si="19"/>
        <v>105</v>
      </c>
      <c r="K89" s="221">
        <f t="shared" si="19"/>
        <v>105</v>
      </c>
      <c r="L89" s="221">
        <f t="shared" si="19"/>
        <v>105</v>
      </c>
      <c r="M89" s="221">
        <f>M57</f>
        <v>0</v>
      </c>
      <c r="N89" s="221">
        <f t="shared" si="19"/>
        <v>106</v>
      </c>
      <c r="O89" s="221">
        <f t="shared" si="19"/>
        <v>104</v>
      </c>
      <c r="P89" s="221">
        <f t="shared" si="19"/>
        <v>105</v>
      </c>
      <c r="Q89" s="221">
        <f t="shared" si="19"/>
        <v>106</v>
      </c>
      <c r="R89" s="221">
        <f t="shared" si="19"/>
        <v>104</v>
      </c>
      <c r="S89" s="221">
        <f t="shared" si="19"/>
        <v>105</v>
      </c>
      <c r="T89" s="221">
        <f t="shared" si="19"/>
        <v>104</v>
      </c>
      <c r="U89" s="221">
        <f t="shared" si="19"/>
        <v>103</v>
      </c>
      <c r="V89" s="221">
        <f t="shared" si="19"/>
        <v>104</v>
      </c>
      <c r="W89" s="221">
        <f t="shared" si="19"/>
        <v>104</v>
      </c>
      <c r="X89" s="221">
        <f t="shared" si="19"/>
        <v>103</v>
      </c>
      <c r="Y89" s="221">
        <f t="shared" si="19"/>
        <v>101</v>
      </c>
      <c r="Z89" s="250">
        <f t="array" ref="Z89">SUM(B89:Y89*Economics!F$28)</f>
        <v>30909.016320000021</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8" thickBot="1" x14ac:dyDescent="0.3">
      <c r="A91" s="187" t="s">
        <v>166</v>
      </c>
      <c r="B91" s="200">
        <f t="shared" ref="B91:Y91" si="20">B90-B89</f>
        <v>0</v>
      </c>
      <c r="C91" s="200">
        <f t="shared" si="20"/>
        <v>-51</v>
      </c>
      <c r="D91" s="200">
        <f t="shared" si="20"/>
        <v>-100</v>
      </c>
      <c r="E91" s="200">
        <f t="shared" si="20"/>
        <v>-99</v>
      </c>
      <c r="F91" s="200">
        <f t="shared" si="20"/>
        <v>-99</v>
      </c>
      <c r="G91" s="200">
        <f t="shared" si="20"/>
        <v>-103</v>
      </c>
      <c r="H91" s="200">
        <f t="shared" si="20"/>
        <v>-53</v>
      </c>
      <c r="I91" s="200">
        <f t="shared" si="20"/>
        <v>-28</v>
      </c>
      <c r="J91" s="200">
        <f t="shared" si="20"/>
        <v>-53</v>
      </c>
      <c r="K91" s="200">
        <f t="shared" si="20"/>
        <v>-53</v>
      </c>
      <c r="L91" s="200">
        <f t="shared" si="20"/>
        <v>-2</v>
      </c>
      <c r="M91" s="200">
        <f t="shared" si="20"/>
        <v>103</v>
      </c>
      <c r="N91" s="200">
        <f t="shared" si="20"/>
        <v>-3</v>
      </c>
      <c r="O91" s="200">
        <f t="shared" si="20"/>
        <v>-1</v>
      </c>
      <c r="P91" s="200">
        <f t="shared" si="20"/>
        <v>-2</v>
      </c>
      <c r="Q91" s="200">
        <f t="shared" si="20"/>
        <v>-3</v>
      </c>
      <c r="R91" s="200">
        <f t="shared" si="20"/>
        <v>-1</v>
      </c>
      <c r="S91" s="200">
        <f t="shared" si="20"/>
        <v>-2</v>
      </c>
      <c r="T91" s="200">
        <f t="shared" si="20"/>
        <v>-1</v>
      </c>
      <c r="U91" s="200">
        <f t="shared" si="20"/>
        <v>0</v>
      </c>
      <c r="V91" s="200">
        <f t="shared" si="20"/>
        <v>-52</v>
      </c>
      <c r="W91" s="200">
        <f t="shared" si="20"/>
        <v>-52</v>
      </c>
      <c r="X91" s="200">
        <f t="shared" si="20"/>
        <v>-51</v>
      </c>
      <c r="Y91" s="200">
        <f t="shared" si="20"/>
        <v>-49</v>
      </c>
      <c r="Z91" s="253">
        <f>Z89-Z90</f>
        <v>9871.5344000000259</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8" thickBot="1" x14ac:dyDescent="0.3">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5">
      <c r="A95" s="183" t="str">
        <f>Economics!A30</f>
        <v>PV Unit 1</v>
      </c>
      <c r="B95" s="181">
        <f t="shared" ref="B95:Y95" si="23">B53</f>
        <v>131</v>
      </c>
      <c r="C95" s="181">
        <f t="shared" si="23"/>
        <v>132</v>
      </c>
      <c r="D95" s="181">
        <f t="shared" si="23"/>
        <v>132</v>
      </c>
      <c r="E95" s="181">
        <f>E53</f>
        <v>131</v>
      </c>
      <c r="F95" s="181">
        <f t="shared" si="23"/>
        <v>131</v>
      </c>
      <c r="G95" s="181">
        <f t="shared" si="23"/>
        <v>132</v>
      </c>
      <c r="H95" s="181">
        <f t="shared" si="23"/>
        <v>132</v>
      </c>
      <c r="I95" s="181">
        <f t="shared" si="23"/>
        <v>131</v>
      </c>
      <c r="J95" s="181">
        <f t="shared" si="23"/>
        <v>132</v>
      </c>
      <c r="K95" s="181">
        <f t="shared" si="23"/>
        <v>131</v>
      </c>
      <c r="L95" s="181">
        <f t="shared" si="23"/>
        <v>131</v>
      </c>
      <c r="M95" s="181">
        <f t="shared" si="23"/>
        <v>130</v>
      </c>
      <c r="N95" s="181">
        <f t="shared" si="23"/>
        <v>130</v>
      </c>
      <c r="O95" s="181">
        <f t="shared" si="23"/>
        <v>131</v>
      </c>
      <c r="P95" s="181">
        <f t="shared" si="23"/>
        <v>131</v>
      </c>
      <c r="Q95" s="181">
        <f t="shared" si="23"/>
        <v>131</v>
      </c>
      <c r="R95" s="181">
        <f t="shared" si="23"/>
        <v>130</v>
      </c>
      <c r="S95" s="181">
        <f t="shared" si="23"/>
        <v>131</v>
      </c>
      <c r="T95" s="181">
        <f t="shared" si="23"/>
        <v>130</v>
      </c>
      <c r="U95" s="181">
        <f t="shared" si="23"/>
        <v>130</v>
      </c>
      <c r="V95" s="181">
        <f t="shared" si="23"/>
        <v>130</v>
      </c>
      <c r="W95" s="181">
        <f t="shared" si="23"/>
        <v>130</v>
      </c>
      <c r="X95" s="181">
        <f t="shared" si="23"/>
        <v>130</v>
      </c>
      <c r="Y95" s="181">
        <f t="shared" si="23"/>
        <v>130</v>
      </c>
      <c r="Z95" s="252">
        <f t="array" ref="Z95">SUM(B95:Y95*Economics!F$30)</f>
        <v>19141.439999999999</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8" thickBot="1" x14ac:dyDescent="0.3">
      <c r="A97" s="187" t="s">
        <v>166</v>
      </c>
      <c r="B97" s="200">
        <f t="shared" ref="B97:Y97" si="24">B96-B95</f>
        <v>69</v>
      </c>
      <c r="C97" s="200">
        <f t="shared" si="24"/>
        <v>68</v>
      </c>
      <c r="D97" s="200">
        <f t="shared" si="24"/>
        <v>68</v>
      </c>
      <c r="E97" s="200">
        <f t="shared" si="24"/>
        <v>69</v>
      </c>
      <c r="F97" s="200">
        <f t="shared" si="24"/>
        <v>69</v>
      </c>
      <c r="G97" s="200">
        <f t="shared" si="24"/>
        <v>68</v>
      </c>
      <c r="H97" s="200">
        <f t="shared" si="24"/>
        <v>68</v>
      </c>
      <c r="I97" s="200">
        <f t="shared" si="24"/>
        <v>69</v>
      </c>
      <c r="J97" s="200">
        <f t="shared" si="24"/>
        <v>68</v>
      </c>
      <c r="K97" s="200">
        <f t="shared" si="24"/>
        <v>69</v>
      </c>
      <c r="L97" s="200">
        <f t="shared" si="24"/>
        <v>69</v>
      </c>
      <c r="M97" s="200">
        <f t="shared" si="24"/>
        <v>70</v>
      </c>
      <c r="N97" s="200">
        <f t="shared" si="24"/>
        <v>70</v>
      </c>
      <c r="O97" s="200">
        <f t="shared" si="24"/>
        <v>69</v>
      </c>
      <c r="P97" s="200">
        <f t="shared" si="24"/>
        <v>69</v>
      </c>
      <c r="Q97" s="200">
        <f t="shared" si="24"/>
        <v>69</v>
      </c>
      <c r="R97" s="200">
        <f t="shared" si="24"/>
        <v>70</v>
      </c>
      <c r="S97" s="200">
        <f t="shared" si="24"/>
        <v>69</v>
      </c>
      <c r="T97" s="200">
        <f t="shared" si="24"/>
        <v>70</v>
      </c>
      <c r="U97" s="200">
        <f t="shared" si="24"/>
        <v>70</v>
      </c>
      <c r="V97" s="200">
        <f t="shared" si="24"/>
        <v>70</v>
      </c>
      <c r="W97" s="200">
        <f t="shared" si="24"/>
        <v>70</v>
      </c>
      <c r="X97" s="200">
        <f t="shared" si="24"/>
        <v>70</v>
      </c>
      <c r="Y97" s="200">
        <f t="shared" si="24"/>
        <v>70</v>
      </c>
      <c r="Z97" s="253">
        <f>Z95-Z96</f>
        <v>-10119.360000000011</v>
      </c>
    </row>
    <row r="98" spans="1:29" x14ac:dyDescent="0.25">
      <c r="A98" s="183" t="str">
        <f>Economics!A31</f>
        <v>PV Unit 2</v>
      </c>
      <c r="B98" s="181">
        <f t="shared" ref="B98:Y98" si="25">B54</f>
        <v>131</v>
      </c>
      <c r="C98" s="181">
        <f t="shared" si="25"/>
        <v>132</v>
      </c>
      <c r="D98" s="181">
        <f t="shared" si="25"/>
        <v>132</v>
      </c>
      <c r="E98" s="181">
        <f>E54</f>
        <v>131</v>
      </c>
      <c r="F98" s="181">
        <f t="shared" si="25"/>
        <v>131</v>
      </c>
      <c r="G98" s="181">
        <f t="shared" si="25"/>
        <v>132</v>
      </c>
      <c r="H98" s="181">
        <f t="shared" si="25"/>
        <v>132</v>
      </c>
      <c r="I98" s="181">
        <f t="shared" si="25"/>
        <v>131</v>
      </c>
      <c r="J98" s="181">
        <f t="shared" si="25"/>
        <v>132</v>
      </c>
      <c r="K98" s="181">
        <f t="shared" si="25"/>
        <v>131</v>
      </c>
      <c r="L98" s="181">
        <f t="shared" si="25"/>
        <v>131</v>
      </c>
      <c r="M98" s="181">
        <f t="shared" si="25"/>
        <v>130</v>
      </c>
      <c r="N98" s="181">
        <f t="shared" si="25"/>
        <v>130</v>
      </c>
      <c r="O98" s="181">
        <f t="shared" si="25"/>
        <v>131</v>
      </c>
      <c r="P98" s="181">
        <f t="shared" si="25"/>
        <v>131</v>
      </c>
      <c r="Q98" s="181">
        <f t="shared" si="25"/>
        <v>131</v>
      </c>
      <c r="R98" s="181">
        <f t="shared" si="25"/>
        <v>130</v>
      </c>
      <c r="S98" s="181">
        <f t="shared" si="25"/>
        <v>131</v>
      </c>
      <c r="T98" s="181">
        <f t="shared" si="25"/>
        <v>130</v>
      </c>
      <c r="U98" s="181">
        <f t="shared" si="25"/>
        <v>130</v>
      </c>
      <c r="V98" s="181">
        <f t="shared" si="25"/>
        <v>130</v>
      </c>
      <c r="W98" s="181">
        <f t="shared" si="25"/>
        <v>130</v>
      </c>
      <c r="X98" s="181">
        <f t="shared" si="25"/>
        <v>130</v>
      </c>
      <c r="Y98" s="181">
        <f t="shared" si="25"/>
        <v>130</v>
      </c>
      <c r="Z98" s="252">
        <f t="array" ref="Z98">SUM(B98:Y98*Economics!F$31)</f>
        <v>19141.439999999999</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8" thickBot="1" x14ac:dyDescent="0.3">
      <c r="A100" s="187" t="s">
        <v>166</v>
      </c>
      <c r="B100" s="200">
        <f t="shared" ref="B100:Y100" si="26">B99-B98</f>
        <v>63</v>
      </c>
      <c r="C100" s="200">
        <f t="shared" si="26"/>
        <v>62</v>
      </c>
      <c r="D100" s="200">
        <f t="shared" si="26"/>
        <v>62</v>
      </c>
      <c r="E100" s="200">
        <f t="shared" si="26"/>
        <v>63</v>
      </c>
      <c r="F100" s="200">
        <f t="shared" si="26"/>
        <v>64</v>
      </c>
      <c r="G100" s="200">
        <f t="shared" si="26"/>
        <v>63</v>
      </c>
      <c r="H100" s="200">
        <f t="shared" si="26"/>
        <v>63</v>
      </c>
      <c r="I100" s="200">
        <f t="shared" si="26"/>
        <v>64</v>
      </c>
      <c r="J100" s="200">
        <f t="shared" si="26"/>
        <v>63</v>
      </c>
      <c r="K100" s="200">
        <f t="shared" si="26"/>
        <v>64</v>
      </c>
      <c r="L100" s="200">
        <f t="shared" si="26"/>
        <v>64</v>
      </c>
      <c r="M100" s="200">
        <f t="shared" si="26"/>
        <v>65</v>
      </c>
      <c r="N100" s="200">
        <f t="shared" si="26"/>
        <v>65</v>
      </c>
      <c r="O100" s="200">
        <f t="shared" si="26"/>
        <v>64</v>
      </c>
      <c r="P100" s="200">
        <f t="shared" si="26"/>
        <v>64</v>
      </c>
      <c r="Q100" s="200">
        <f t="shared" si="26"/>
        <v>64</v>
      </c>
      <c r="R100" s="200">
        <f t="shared" si="26"/>
        <v>65</v>
      </c>
      <c r="S100" s="200">
        <f t="shared" si="26"/>
        <v>64</v>
      </c>
      <c r="T100" s="200">
        <f t="shared" si="26"/>
        <v>65</v>
      </c>
      <c r="U100" s="200">
        <f t="shared" si="26"/>
        <v>65</v>
      </c>
      <c r="V100" s="200">
        <f t="shared" si="26"/>
        <v>65</v>
      </c>
      <c r="W100" s="200">
        <f t="shared" si="26"/>
        <v>65</v>
      </c>
      <c r="X100" s="200">
        <f t="shared" si="26"/>
        <v>65</v>
      </c>
      <c r="Y100" s="200">
        <f t="shared" si="26"/>
        <v>65</v>
      </c>
      <c r="Z100" s="253">
        <f>Z98-Z99</f>
        <v>-9363.4560000000092</v>
      </c>
    </row>
    <row r="101" spans="1:29" x14ac:dyDescent="0.25">
      <c r="A101" s="183" t="str">
        <f>Economics!A32</f>
        <v>PV Unit 3</v>
      </c>
      <c r="B101" s="181">
        <f t="shared" ref="B101:Y101" si="27">B55</f>
        <v>131</v>
      </c>
      <c r="C101" s="181">
        <f t="shared" si="27"/>
        <v>130</v>
      </c>
      <c r="D101" s="181">
        <f t="shared" si="27"/>
        <v>132</v>
      </c>
      <c r="E101" s="181">
        <f>E55</f>
        <v>131</v>
      </c>
      <c r="F101" s="181">
        <f t="shared" si="27"/>
        <v>131</v>
      </c>
      <c r="G101" s="181">
        <f t="shared" si="27"/>
        <v>132</v>
      </c>
      <c r="H101" s="181">
        <f t="shared" si="27"/>
        <v>132</v>
      </c>
      <c r="I101" s="181">
        <f t="shared" si="27"/>
        <v>131</v>
      </c>
      <c r="J101" s="181">
        <f t="shared" si="27"/>
        <v>132</v>
      </c>
      <c r="K101" s="181">
        <f t="shared" si="27"/>
        <v>131</v>
      </c>
      <c r="L101" s="181">
        <f t="shared" si="27"/>
        <v>131</v>
      </c>
      <c r="M101" s="181">
        <f t="shared" si="27"/>
        <v>130</v>
      </c>
      <c r="N101" s="181">
        <f t="shared" si="27"/>
        <v>130</v>
      </c>
      <c r="O101" s="181">
        <f t="shared" si="27"/>
        <v>131</v>
      </c>
      <c r="P101" s="181">
        <f t="shared" si="27"/>
        <v>131</v>
      </c>
      <c r="Q101" s="181">
        <f t="shared" si="27"/>
        <v>131</v>
      </c>
      <c r="R101" s="181">
        <f t="shared" si="27"/>
        <v>130</v>
      </c>
      <c r="S101" s="181">
        <f t="shared" si="27"/>
        <v>130</v>
      </c>
      <c r="T101" s="181">
        <f t="shared" si="27"/>
        <v>130</v>
      </c>
      <c r="U101" s="181">
        <f t="shared" si="27"/>
        <v>130</v>
      </c>
      <c r="V101" s="181">
        <f t="shared" si="27"/>
        <v>130</v>
      </c>
      <c r="W101" s="181">
        <f t="shared" si="27"/>
        <v>130</v>
      </c>
      <c r="X101" s="181">
        <f t="shared" si="27"/>
        <v>130</v>
      </c>
      <c r="Y101" s="181">
        <f t="shared" si="27"/>
        <v>130</v>
      </c>
      <c r="Z101" s="252">
        <f t="array" ref="Z101">SUM(B101:Y101*Economics!F$32)</f>
        <v>19123.151999999998</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8" thickBot="1" x14ac:dyDescent="0.3">
      <c r="A103" s="187" t="s">
        <v>166</v>
      </c>
      <c r="B103" s="200">
        <f t="shared" ref="B103:Y103" si="28">B102-B101</f>
        <v>69</v>
      </c>
      <c r="C103" s="200">
        <f t="shared" si="28"/>
        <v>70</v>
      </c>
      <c r="D103" s="200">
        <f t="shared" si="28"/>
        <v>68</v>
      </c>
      <c r="E103" s="200">
        <f t="shared" si="28"/>
        <v>69</v>
      </c>
      <c r="F103" s="200">
        <f t="shared" si="28"/>
        <v>69</v>
      </c>
      <c r="G103" s="200">
        <f t="shared" si="28"/>
        <v>68</v>
      </c>
      <c r="H103" s="200">
        <f t="shared" si="28"/>
        <v>68</v>
      </c>
      <c r="I103" s="200">
        <f t="shared" si="28"/>
        <v>69</v>
      </c>
      <c r="J103" s="200">
        <f t="shared" si="28"/>
        <v>68</v>
      </c>
      <c r="K103" s="200">
        <f t="shared" si="28"/>
        <v>69</v>
      </c>
      <c r="L103" s="200">
        <f t="shared" si="28"/>
        <v>69</v>
      </c>
      <c r="M103" s="200">
        <f t="shared" si="28"/>
        <v>70</v>
      </c>
      <c r="N103" s="200">
        <f t="shared" si="28"/>
        <v>70</v>
      </c>
      <c r="O103" s="200">
        <f t="shared" si="28"/>
        <v>69</v>
      </c>
      <c r="P103" s="200">
        <f t="shared" si="28"/>
        <v>69</v>
      </c>
      <c r="Q103" s="200">
        <f t="shared" si="28"/>
        <v>69</v>
      </c>
      <c r="R103" s="200">
        <f t="shared" si="28"/>
        <v>70</v>
      </c>
      <c r="S103" s="200">
        <f t="shared" si="28"/>
        <v>70</v>
      </c>
      <c r="T103" s="200">
        <f t="shared" si="28"/>
        <v>70</v>
      </c>
      <c r="U103" s="200">
        <f t="shared" si="28"/>
        <v>70</v>
      </c>
      <c r="V103" s="200">
        <f t="shared" si="28"/>
        <v>70</v>
      </c>
      <c r="W103" s="200">
        <f t="shared" si="28"/>
        <v>70</v>
      </c>
      <c r="X103" s="200">
        <f t="shared" si="28"/>
        <v>70</v>
      </c>
      <c r="Y103" s="200">
        <f t="shared" si="28"/>
        <v>70</v>
      </c>
      <c r="Z103" s="253">
        <f>Z101-Z102</f>
        <v>-10137.648000000012</v>
      </c>
    </row>
    <row r="104" spans="1:29" x14ac:dyDescent="0.25">
      <c r="A104" s="183" t="str">
        <f>Economics!A34</f>
        <v>Newman 1</v>
      </c>
      <c r="B104" s="181">
        <v>31</v>
      </c>
      <c r="C104" s="181">
        <f t="shared" ref="C104:R104" si="29">C41</f>
        <v>40</v>
      </c>
      <c r="D104" s="181">
        <f t="shared" si="29"/>
        <v>41</v>
      </c>
      <c r="E104" s="181">
        <f>E41</f>
        <v>39</v>
      </c>
      <c r="F104" s="181">
        <f t="shared" si="29"/>
        <v>49</v>
      </c>
      <c r="G104" s="181">
        <f t="shared" si="29"/>
        <v>50</v>
      </c>
      <c r="H104" s="181">
        <f t="shared" si="29"/>
        <v>39</v>
      </c>
      <c r="I104" s="181">
        <f>I41</f>
        <v>39</v>
      </c>
      <c r="J104" s="181">
        <f t="shared" si="29"/>
        <v>67</v>
      </c>
      <c r="K104" s="181">
        <f t="shared" si="29"/>
        <v>67</v>
      </c>
      <c r="L104" s="181">
        <f t="shared" si="29"/>
        <v>76</v>
      </c>
      <c r="M104" s="181">
        <f t="shared" si="29"/>
        <v>76</v>
      </c>
      <c r="N104" s="181">
        <f t="shared" si="29"/>
        <v>76</v>
      </c>
      <c r="O104" s="181">
        <f t="shared" si="29"/>
        <v>76</v>
      </c>
      <c r="P104" s="181">
        <f t="shared" si="29"/>
        <v>76</v>
      </c>
      <c r="Q104" s="181">
        <f t="shared" si="29"/>
        <v>70</v>
      </c>
      <c r="R104" s="181">
        <f t="shared" si="29"/>
        <v>41</v>
      </c>
      <c r="S104" s="181">
        <v>34</v>
      </c>
      <c r="T104" s="181">
        <v>34</v>
      </c>
      <c r="U104" s="181">
        <v>34</v>
      </c>
      <c r="V104" s="181">
        <v>34</v>
      </c>
      <c r="W104" s="181">
        <f>W41</f>
        <v>0</v>
      </c>
      <c r="X104" s="181">
        <f>X41</f>
        <v>0</v>
      </c>
      <c r="Y104" s="181">
        <f>Y41</f>
        <v>0</v>
      </c>
      <c r="Z104" s="212">
        <f>SUM(B104:Y104)</f>
        <v>1089</v>
      </c>
      <c r="AA104" s="311" t="s">
        <v>167</v>
      </c>
    </row>
    <row r="105" spans="1:29" x14ac:dyDescent="0.25">
      <c r="A105" s="185">
        <f>Economics!$I34</f>
        <v>1.96</v>
      </c>
      <c r="B105" s="189">
        <f t="shared" ref="B105:Y105" ca="1" si="30">IndGencost(B104,OFFSET(HeatRateStart,1,MATCH($A104,HeatRateNames,0)-1,250,1),$A105)</f>
        <v>23.547401890555044</v>
      </c>
      <c r="C105" s="189">
        <f t="shared" ca="1" si="30"/>
        <v>22.97335644712448</v>
      </c>
      <c r="D105" s="189">
        <f t="shared" ca="1" si="30"/>
        <v>22.926559773042957</v>
      </c>
      <c r="E105" s="189">
        <f ca="1">IndGencost(E104,OFFSET(HeatRateStart,1,MATCH($A104,HeatRateNames,0)-1,250,1),$A105)</f>
        <v>23.022853483985266</v>
      </c>
      <c r="F105" s="189">
        <f t="shared" ca="1" si="30"/>
        <v>22.629560040433258</v>
      </c>
      <c r="G105" s="189">
        <f t="shared" ca="1" si="30"/>
        <v>22.600172439861296</v>
      </c>
      <c r="H105" s="189">
        <f t="shared" ca="1" si="30"/>
        <v>23.022853483985266</v>
      </c>
      <c r="I105" s="189">
        <f t="shared" ca="1" si="30"/>
        <v>23.022853483985266</v>
      </c>
      <c r="J105" s="189">
        <f t="shared" ca="1" si="30"/>
        <v>22.261566636256173</v>
      </c>
      <c r="K105" s="189">
        <f t="shared" ca="1" si="30"/>
        <v>22.261566636256173</v>
      </c>
      <c r="L105" s="189">
        <f t="shared" ca="1" si="30"/>
        <v>22.16167504185325</v>
      </c>
      <c r="M105" s="189">
        <f t="shared" ca="1" si="30"/>
        <v>22.16167504185325</v>
      </c>
      <c r="N105" s="189">
        <f t="shared" ca="1" si="30"/>
        <v>22.16167504185325</v>
      </c>
      <c r="O105" s="189">
        <f t="shared" ca="1" si="30"/>
        <v>22.16167504185325</v>
      </c>
      <c r="P105" s="189">
        <f t="shared" ca="1" si="30"/>
        <v>22.16167504185325</v>
      </c>
      <c r="Q105" s="189">
        <f t="shared" ca="1" si="30"/>
        <v>22.223908432538167</v>
      </c>
      <c r="R105" s="189">
        <f t="shared" ca="1" si="30"/>
        <v>22.926559773042957</v>
      </c>
      <c r="S105" s="189">
        <f t="shared" ca="1" si="30"/>
        <v>23.319183465619929</v>
      </c>
      <c r="T105" s="189">
        <f t="shared" ca="1" si="30"/>
        <v>23.319183465619929</v>
      </c>
      <c r="U105" s="189">
        <f t="shared" ca="1" si="30"/>
        <v>23.319183465619929</v>
      </c>
      <c r="V105" s="189">
        <f t="shared" ca="1" si="30"/>
        <v>23.319183465619929</v>
      </c>
      <c r="W105" s="189">
        <f t="shared" ca="1" si="30"/>
        <v>0</v>
      </c>
      <c r="X105" s="189">
        <f t="shared" ca="1" si="30"/>
        <v>0</v>
      </c>
      <c r="Y105" s="189">
        <f t="shared" ca="1" si="30"/>
        <v>0</v>
      </c>
      <c r="Z105" s="252">
        <f t="array" aca="1" ref="Z105" ca="1">SUM(B104:Y104*B105:Y105)</f>
        <v>24592.981526246822</v>
      </c>
      <c r="AA105" s="311"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8" thickBot="1" x14ac:dyDescent="0.3">
      <c r="A108" s="187" t="s">
        <v>166</v>
      </c>
      <c r="B108" s="188">
        <f t="shared" ref="B108:Y108" ca="1" si="32">B107-B105</f>
        <v>8.6997236101804987E-2</v>
      </c>
      <c r="C108" s="188">
        <f t="shared" ca="1" si="32"/>
        <v>0.66104267953236828</v>
      </c>
      <c r="D108" s="188">
        <f t="shared" ca="1" si="32"/>
        <v>0.70783935361389183</v>
      </c>
      <c r="E108" s="188">
        <f t="shared" ca="1" si="32"/>
        <v>0.61154564267158307</v>
      </c>
      <c r="F108" s="188">
        <f t="shared" ca="1" si="32"/>
        <v>1.0048390862235905</v>
      </c>
      <c r="G108" s="188">
        <f t="shared" ca="1" si="32"/>
        <v>1.0342266867955523</v>
      </c>
      <c r="H108" s="188">
        <f t="shared" ca="1" si="32"/>
        <v>0.61154564267158307</v>
      </c>
      <c r="I108" s="188">
        <f t="shared" ca="1" si="32"/>
        <v>0.61154564267158307</v>
      </c>
      <c r="J108" s="188">
        <f t="shared" ca="1" si="32"/>
        <v>1.3728324904006755</v>
      </c>
      <c r="K108" s="188">
        <f t="shared" ca="1" si="32"/>
        <v>1.3728324904006755</v>
      </c>
      <c r="L108" s="188">
        <f t="shared" ca="1" si="32"/>
        <v>1.4727240848035983</v>
      </c>
      <c r="M108" s="188">
        <f t="shared" ca="1" si="32"/>
        <v>1.4727240848035983</v>
      </c>
      <c r="N108" s="188">
        <f t="shared" ca="1" si="32"/>
        <v>1.4727240848035983</v>
      </c>
      <c r="O108" s="188">
        <f t="shared" ca="1" si="32"/>
        <v>1.4727240848035983</v>
      </c>
      <c r="P108" s="188">
        <f t="shared" ca="1" si="32"/>
        <v>1.4727240848035983</v>
      </c>
      <c r="Q108" s="188">
        <f t="shared" ca="1" si="32"/>
        <v>1.4104906941186819</v>
      </c>
      <c r="R108" s="188">
        <f t="shared" ca="1" si="32"/>
        <v>0.70783935361389183</v>
      </c>
      <c r="S108" s="188">
        <f t="shared" ca="1" si="32"/>
        <v>0.31521566103691967</v>
      </c>
      <c r="T108" s="188">
        <f t="shared" ca="1" si="32"/>
        <v>0.31521566103691967</v>
      </c>
      <c r="U108" s="188">
        <f t="shared" ca="1" si="32"/>
        <v>0.31521566103691967</v>
      </c>
      <c r="V108" s="188">
        <f t="shared" ca="1" si="32"/>
        <v>0.31521566103691967</v>
      </c>
      <c r="W108" s="188">
        <f t="shared" ca="1" si="32"/>
        <v>23.634399126656849</v>
      </c>
      <c r="X108" s="188">
        <f t="shared" ca="1" si="32"/>
        <v>23.634399126656849</v>
      </c>
      <c r="Y108" s="188">
        <f t="shared" ca="1" si="32"/>
        <v>23.634399126656849</v>
      </c>
      <c r="Z108" s="253">
        <f ca="1">Z105-Z107</f>
        <v>7576.2141550538945</v>
      </c>
    </row>
    <row r="109" spans="1:29" x14ac:dyDescent="0.25">
      <c r="A109" s="183" t="str">
        <f>Economics!A35</f>
        <v>Newman 2</v>
      </c>
      <c r="B109" s="181">
        <f>B42</f>
        <v>31</v>
      </c>
      <c r="C109" s="181">
        <f t="shared" ref="C109:Y109" si="33">C42</f>
        <v>31</v>
      </c>
      <c r="D109" s="181">
        <f t="shared" si="33"/>
        <v>31</v>
      </c>
      <c r="E109" s="181">
        <f>E42</f>
        <v>31</v>
      </c>
      <c r="F109" s="181">
        <f t="shared" si="33"/>
        <v>62</v>
      </c>
      <c r="G109" s="181">
        <f t="shared" si="33"/>
        <v>61</v>
      </c>
      <c r="H109" s="181">
        <f t="shared" si="33"/>
        <v>40</v>
      </c>
      <c r="I109" s="181">
        <f>I42</f>
        <v>42</v>
      </c>
      <c r="J109" s="181">
        <f t="shared" si="33"/>
        <v>49</v>
      </c>
      <c r="K109" s="181">
        <f t="shared" si="33"/>
        <v>77</v>
      </c>
      <c r="L109" s="181">
        <f t="shared" si="33"/>
        <v>77</v>
      </c>
      <c r="M109" s="181">
        <f t="shared" si="33"/>
        <v>77</v>
      </c>
      <c r="N109" s="181">
        <f t="shared" si="33"/>
        <v>77</v>
      </c>
      <c r="O109" s="181">
        <f t="shared" si="33"/>
        <v>77</v>
      </c>
      <c r="P109" s="181">
        <f t="shared" si="33"/>
        <v>77</v>
      </c>
      <c r="Q109" s="181">
        <f t="shared" si="33"/>
        <v>72</v>
      </c>
      <c r="R109" s="181">
        <f t="shared" si="33"/>
        <v>73</v>
      </c>
      <c r="S109" s="181">
        <f t="shared" si="33"/>
        <v>77</v>
      </c>
      <c r="T109" s="181">
        <f t="shared" si="33"/>
        <v>73</v>
      </c>
      <c r="U109" s="181">
        <f t="shared" si="33"/>
        <v>73</v>
      </c>
      <c r="V109" s="181">
        <f t="shared" si="33"/>
        <v>73</v>
      </c>
      <c r="W109" s="181">
        <f t="shared" si="33"/>
        <v>74</v>
      </c>
      <c r="X109" s="181">
        <f t="shared" si="33"/>
        <v>73</v>
      </c>
      <c r="Y109" s="181">
        <f t="shared" si="33"/>
        <v>72</v>
      </c>
      <c r="Z109" s="212">
        <f>SUM(B109:Y109)</f>
        <v>1500</v>
      </c>
      <c r="AA109" s="311" t="s">
        <v>171</v>
      </c>
    </row>
    <row r="110" spans="1:29" x14ac:dyDescent="0.25">
      <c r="A110" s="185">
        <f>Economics!$I35</f>
        <v>1.96</v>
      </c>
      <c r="B110" s="189">
        <f t="shared" ref="B110:Y110" ca="1" si="34">IndGencost(B109,OFFSET(HeatRateStart,1,MATCH($A109,HeatRateNames,0)-1,250,1),$A110)</f>
        <v>21.59118971054631</v>
      </c>
      <c r="C110" s="189">
        <f t="shared" ca="1" si="34"/>
        <v>21.59118971054631</v>
      </c>
      <c r="D110" s="189">
        <f t="shared" ca="1" si="34"/>
        <v>21.59118971054631</v>
      </c>
      <c r="E110" s="189">
        <f ca="1">IndGencost(E109,OFFSET(HeatRateStart,1,MATCH($A109,HeatRateNames,0)-1,250,1),$A110)</f>
        <v>21.59118971054631</v>
      </c>
      <c r="F110" s="189">
        <f t="shared" ca="1" si="34"/>
        <v>20.392637042057899</v>
      </c>
      <c r="G110" s="189">
        <f t="shared" ca="1" si="34"/>
        <v>20.407176593900903</v>
      </c>
      <c r="H110" s="189">
        <f t="shared" ca="1" si="34"/>
        <v>21.000420408725741</v>
      </c>
      <c r="I110" s="189">
        <f t="shared" ca="1" si="34"/>
        <v>20.908963073612398</v>
      </c>
      <c r="J110" s="189">
        <f t="shared" ca="1" si="34"/>
        <v>20.66101240211993</v>
      </c>
      <c r="K110" s="189">
        <f t="shared" ca="1" si="34"/>
        <v>20.252240030527737</v>
      </c>
      <c r="L110" s="189">
        <f t="shared" ca="1" si="34"/>
        <v>20.252240030527737</v>
      </c>
      <c r="M110" s="189">
        <f t="shared" ca="1" si="34"/>
        <v>20.252240030527737</v>
      </c>
      <c r="N110" s="189">
        <f t="shared" ca="1" si="34"/>
        <v>20.252240030527737</v>
      </c>
      <c r="O110" s="189">
        <f t="shared" ca="1" si="34"/>
        <v>20.252240030527737</v>
      </c>
      <c r="P110" s="189">
        <f t="shared" ca="1" si="34"/>
        <v>20.252240030527737</v>
      </c>
      <c r="Q110" s="189">
        <f t="shared" ca="1" si="34"/>
        <v>20.285325283696917</v>
      </c>
      <c r="R110" s="189">
        <f t="shared" ca="1" si="34"/>
        <v>20.277776449455629</v>
      </c>
      <c r="S110" s="189">
        <f t="shared" ca="1" si="34"/>
        <v>20.252240030527737</v>
      </c>
      <c r="T110" s="189">
        <f t="shared" ca="1" si="34"/>
        <v>20.277776449455629</v>
      </c>
      <c r="U110" s="189">
        <f t="shared" ca="1" si="34"/>
        <v>20.277776449455629</v>
      </c>
      <c r="V110" s="189">
        <f t="shared" ca="1" si="34"/>
        <v>20.277776449455629</v>
      </c>
      <c r="W110" s="189">
        <f t="shared" ca="1" si="34"/>
        <v>20.270712394523621</v>
      </c>
      <c r="X110" s="189">
        <f t="shared" ca="1" si="34"/>
        <v>20.277776449455629</v>
      </c>
      <c r="Y110" s="189">
        <f t="shared" ca="1" si="34"/>
        <v>20.285325283696917</v>
      </c>
      <c r="Z110" s="252">
        <f t="array" aca="1" ref="Z110" ca="1">SUM(B109:Y109*B110:Y110)</f>
        <v>30655.53700464077</v>
      </c>
      <c r="AA110" s="311"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8" thickBot="1" x14ac:dyDescent="0.3">
      <c r="A113" s="187" t="s">
        <v>166</v>
      </c>
      <c r="B113" s="188">
        <f t="shared" ref="B113:Y113" ca="1" si="36">B112-B110</f>
        <v>0</v>
      </c>
      <c r="C113" s="188">
        <f t="shared" ca="1" si="36"/>
        <v>0</v>
      </c>
      <c r="D113" s="188">
        <f t="shared" ca="1" si="36"/>
        <v>0</v>
      </c>
      <c r="E113" s="188">
        <f t="shared" ca="1" si="36"/>
        <v>0</v>
      </c>
      <c r="F113" s="188">
        <f t="shared" ca="1" si="36"/>
        <v>1.1985526684884107</v>
      </c>
      <c r="G113" s="188">
        <f t="shared" ca="1" si="36"/>
        <v>1.1840131166454064</v>
      </c>
      <c r="H113" s="188">
        <f t="shared" ca="1" si="36"/>
        <v>0.59076930182056842</v>
      </c>
      <c r="I113" s="188">
        <f t="shared" ca="1" si="36"/>
        <v>0.68222663693391183</v>
      </c>
      <c r="J113" s="188">
        <f t="shared" ca="1" si="36"/>
        <v>0.93017730842638002</v>
      </c>
      <c r="K113" s="188">
        <f t="shared" ca="1" si="36"/>
        <v>1.3389496800185725</v>
      </c>
      <c r="L113" s="188">
        <f t="shared" ca="1" si="36"/>
        <v>1.3389496800185725</v>
      </c>
      <c r="M113" s="188">
        <f t="shared" ca="1" si="36"/>
        <v>1.3389496800185725</v>
      </c>
      <c r="N113" s="188">
        <f t="shared" ca="1" si="36"/>
        <v>1.3389496800185725</v>
      </c>
      <c r="O113" s="188">
        <f t="shared" ca="1" si="36"/>
        <v>1.3389496800185725</v>
      </c>
      <c r="P113" s="188">
        <f t="shared" ca="1" si="36"/>
        <v>1.3389496800185725</v>
      </c>
      <c r="Q113" s="188">
        <f t="shared" ca="1" si="36"/>
        <v>1.3058644268493929</v>
      </c>
      <c r="R113" s="188">
        <f t="shared" ca="1" si="36"/>
        <v>1.3134132610906804</v>
      </c>
      <c r="S113" s="188">
        <f t="shared" ca="1" si="36"/>
        <v>1.3389496800185725</v>
      </c>
      <c r="T113" s="188">
        <f t="shared" ca="1" si="36"/>
        <v>1.3134132610906804</v>
      </c>
      <c r="U113" s="188">
        <f t="shared" ca="1" si="36"/>
        <v>1.3134132610906804</v>
      </c>
      <c r="V113" s="188">
        <f t="shared" ca="1" si="36"/>
        <v>1.3134132610906804</v>
      </c>
      <c r="W113" s="188">
        <f t="shared" ca="1" si="36"/>
        <v>1.3204773160226893</v>
      </c>
      <c r="X113" s="188">
        <f t="shared" ca="1" si="36"/>
        <v>1.3134132610906804</v>
      </c>
      <c r="Y113" s="188">
        <f t="shared" ca="1" si="36"/>
        <v>1.3058644268493929</v>
      </c>
      <c r="Z113" s="253">
        <f ca="1">Z110-Z112</f>
        <v>14591.691859994306</v>
      </c>
      <c r="AC113" s="174"/>
    </row>
    <row r="114" spans="1:29" x14ac:dyDescent="0.25">
      <c r="A114" s="183" t="str">
        <f>Economics!A36</f>
        <v>Newman 3</v>
      </c>
      <c r="B114" s="181">
        <f t="shared" ref="B114:Y114" si="37">B43</f>
        <v>100</v>
      </c>
      <c r="C114" s="181">
        <f t="shared" si="37"/>
        <v>75</v>
      </c>
      <c r="D114" s="181">
        <f t="shared" si="37"/>
        <v>97</v>
      </c>
      <c r="E114" s="181">
        <f>E43</f>
        <v>93</v>
      </c>
      <c r="F114" s="181">
        <f t="shared" si="37"/>
        <v>88</v>
      </c>
      <c r="G114" s="181">
        <f t="shared" si="37"/>
        <v>100</v>
      </c>
      <c r="H114" s="181">
        <f t="shared" si="37"/>
        <v>39</v>
      </c>
      <c r="I114" s="181">
        <f t="shared" si="37"/>
        <v>42</v>
      </c>
      <c r="J114" s="181">
        <f t="shared" si="37"/>
        <v>92</v>
      </c>
      <c r="K114" s="181">
        <f t="shared" si="37"/>
        <v>100</v>
      </c>
      <c r="L114" s="181">
        <f t="shared" si="37"/>
        <v>94</v>
      </c>
      <c r="M114" s="181">
        <f t="shared" si="37"/>
        <v>93</v>
      </c>
      <c r="N114" s="181">
        <f t="shared" si="37"/>
        <v>97</v>
      </c>
      <c r="O114" s="181">
        <f t="shared" si="37"/>
        <v>80</v>
      </c>
      <c r="P114" s="181">
        <f t="shared" si="37"/>
        <v>72</v>
      </c>
      <c r="Q114" s="181">
        <f t="shared" si="37"/>
        <v>92</v>
      </c>
      <c r="R114" s="181">
        <f t="shared" si="37"/>
        <v>58</v>
      </c>
      <c r="S114" s="181">
        <f t="shared" si="37"/>
        <v>38</v>
      </c>
      <c r="T114" s="181">
        <f t="shared" si="37"/>
        <v>95</v>
      </c>
      <c r="U114" s="181">
        <f t="shared" si="37"/>
        <v>58</v>
      </c>
      <c r="V114" s="181">
        <f t="shared" si="37"/>
        <v>74</v>
      </c>
      <c r="W114" s="181">
        <f t="shared" si="37"/>
        <v>70</v>
      </c>
      <c r="X114" s="181">
        <f t="shared" si="37"/>
        <v>94</v>
      </c>
      <c r="Y114" s="181">
        <f t="shared" si="37"/>
        <v>90</v>
      </c>
      <c r="Z114" s="212">
        <f>SUM(B114:Y114)</f>
        <v>1931</v>
      </c>
      <c r="AA114" s="311" t="s">
        <v>173</v>
      </c>
    </row>
    <row r="115" spans="1:29" x14ac:dyDescent="0.25">
      <c r="A115" s="185">
        <f>Economics!$I36</f>
        <v>1.96</v>
      </c>
      <c r="B115" s="189">
        <f t="shared" ref="B115:Y115" ca="1" si="38">IndGencost(B114,OFFSET(HeatRateStart,1,MATCH($A114,HeatRateNames,0)-1,250,1),$A115)</f>
        <v>19.769932384777071</v>
      </c>
      <c r="C115" s="189">
        <f t="shared" ca="1" si="38"/>
        <v>19.790643051846821</v>
      </c>
      <c r="D115" s="189">
        <f t="shared" ca="1" si="38"/>
        <v>19.754517085507974</v>
      </c>
      <c r="E115" s="189">
        <f ca="1">IndGencost(E114,OFFSET(HeatRateStart,1,MATCH($A114,HeatRateNames,0)-1,250,1),$A115)</f>
        <v>19.740087696024169</v>
      </c>
      <c r="F115" s="189">
        <f t="shared" ca="1" si="38"/>
        <v>19.733235838608309</v>
      </c>
      <c r="G115" s="189">
        <f t="shared" ca="1" si="38"/>
        <v>19.769932384777071</v>
      </c>
      <c r="H115" s="189">
        <f t="shared" ca="1" si="38"/>
        <v>21.301833235104883</v>
      </c>
      <c r="I115" s="189">
        <f t="shared" ca="1" si="38"/>
        <v>21.01689374237969</v>
      </c>
      <c r="J115" s="189">
        <f t="shared" ca="1" si="38"/>
        <v>19.737669079801311</v>
      </c>
      <c r="K115" s="189">
        <f t="shared" ca="1" si="38"/>
        <v>19.769932384777071</v>
      </c>
      <c r="L115" s="189">
        <f t="shared" ca="1" si="38"/>
        <v>19.742996979997514</v>
      </c>
      <c r="M115" s="189">
        <f t="shared" ca="1" si="38"/>
        <v>19.740087696024169</v>
      </c>
      <c r="N115" s="189">
        <f t="shared" ca="1" si="38"/>
        <v>19.754517085507974</v>
      </c>
      <c r="O115" s="189">
        <f t="shared" ca="1" si="38"/>
        <v>19.753615384459493</v>
      </c>
      <c r="P115" s="189">
        <f t="shared" ca="1" si="38"/>
        <v>19.823821496937008</v>
      </c>
      <c r="Q115" s="189">
        <f t="shared" ca="1" si="38"/>
        <v>19.737669079801311</v>
      </c>
      <c r="R115" s="189">
        <f t="shared" ca="1" si="38"/>
        <v>20.128592115895497</v>
      </c>
      <c r="S115" s="189">
        <f t="shared" ca="1" si="38"/>
        <v>21.409493048266363</v>
      </c>
      <c r="T115" s="189">
        <f t="shared" ca="1" si="38"/>
        <v>19.746381436950283</v>
      </c>
      <c r="U115" s="189">
        <f t="shared" ca="1" si="38"/>
        <v>20.128592115895497</v>
      </c>
      <c r="V115" s="189">
        <f t="shared" ca="1" si="38"/>
        <v>19.800714979970774</v>
      </c>
      <c r="W115" s="189">
        <f t="shared" ca="1" si="38"/>
        <v>19.851160386357989</v>
      </c>
      <c r="X115" s="189">
        <f t="shared" ca="1" si="38"/>
        <v>19.742996979997514</v>
      </c>
      <c r="Y115" s="189">
        <f t="shared" ca="1" si="38"/>
        <v>19.734369272973801</v>
      </c>
      <c r="Z115" s="252">
        <f t="array" aca="1" ref="Z115" ca="1">SUM(B114:Y114*B115:Y115)</f>
        <v>38375.646306895258</v>
      </c>
      <c r="AA115" s="311"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8" thickBot="1" x14ac:dyDescent="0.3">
      <c r="A118" s="187" t="s">
        <v>166</v>
      </c>
      <c r="B118" s="188">
        <f t="shared" ref="B118:Y118" ca="1" si="40">B117-B115</f>
        <v>-19.769932384777071</v>
      </c>
      <c r="C118" s="188">
        <f t="shared" ca="1" si="40"/>
        <v>-19.790643051846821</v>
      </c>
      <c r="D118" s="188">
        <f t="shared" ca="1" si="40"/>
        <v>-19.754517085507974</v>
      </c>
      <c r="E118" s="188">
        <f t="shared" ca="1" si="40"/>
        <v>-19.740087696024169</v>
      </c>
      <c r="F118" s="188">
        <f t="shared" ca="1" si="40"/>
        <v>-19.733235838608309</v>
      </c>
      <c r="G118" s="188">
        <f t="shared" ca="1" si="40"/>
        <v>-19.769932384777071</v>
      </c>
      <c r="H118" s="188">
        <f t="shared" ca="1" si="40"/>
        <v>-21.301833235104883</v>
      </c>
      <c r="I118" s="188">
        <f t="shared" ca="1" si="40"/>
        <v>-21.01689374237969</v>
      </c>
      <c r="J118" s="188">
        <f t="shared" ca="1" si="40"/>
        <v>-19.737669079801311</v>
      </c>
      <c r="K118" s="188">
        <f t="shared" ca="1" si="40"/>
        <v>-19.769932384777071</v>
      </c>
      <c r="L118" s="188">
        <f t="shared" ca="1" si="40"/>
        <v>-19.742996979997514</v>
      </c>
      <c r="M118" s="188">
        <f t="shared" ca="1" si="40"/>
        <v>-19.740087696024169</v>
      </c>
      <c r="N118" s="188">
        <f t="shared" ca="1" si="40"/>
        <v>-19.754517085507974</v>
      </c>
      <c r="O118" s="188">
        <f t="shared" ca="1" si="40"/>
        <v>-19.753615384459493</v>
      </c>
      <c r="P118" s="188">
        <f t="shared" ca="1" si="40"/>
        <v>-19.823821496937008</v>
      </c>
      <c r="Q118" s="188">
        <f t="shared" ca="1" si="40"/>
        <v>-19.737669079801311</v>
      </c>
      <c r="R118" s="188">
        <f t="shared" ca="1" si="40"/>
        <v>-20.128592115895497</v>
      </c>
      <c r="S118" s="188">
        <f t="shared" ca="1" si="40"/>
        <v>-21.409493048266363</v>
      </c>
      <c r="T118" s="188">
        <f t="shared" ca="1" si="40"/>
        <v>-19.746381436950283</v>
      </c>
      <c r="U118" s="188">
        <f t="shared" ca="1" si="40"/>
        <v>-20.128592115895497</v>
      </c>
      <c r="V118" s="188">
        <f t="shared" ca="1" si="40"/>
        <v>-19.800714979970774</v>
      </c>
      <c r="W118" s="188">
        <f t="shared" ca="1" si="40"/>
        <v>-19.851160386357989</v>
      </c>
      <c r="X118" s="188">
        <f t="shared" ca="1" si="40"/>
        <v>-19.742996979997514</v>
      </c>
      <c r="Y118" s="188">
        <f t="shared" ca="1" si="40"/>
        <v>-19.734369272973801</v>
      </c>
      <c r="Z118" s="253">
        <f ca="1">Z115-Z117</f>
        <v>38375.646306895258</v>
      </c>
    </row>
    <row r="119" spans="1:29" x14ac:dyDescent="0.25">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0</v>
      </c>
      <c r="AA119" s="311" t="s">
        <v>175</v>
      </c>
    </row>
    <row r="120" spans="1:29" x14ac:dyDescent="0.25">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52">
        <f t="array" aca="1" ref="Z120" ca="1">SUM(B119:Y119*B120:Y120)</f>
        <v>0</v>
      </c>
      <c r="AA120" s="311" t="s">
        <v>168</v>
      </c>
    </row>
    <row r="121" spans="1:29" x14ac:dyDescent="0.25">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0</v>
      </c>
    </row>
    <row r="122" spans="1:29" x14ac:dyDescent="0.25">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51">
        <f t="array" aca="1" ref="Z122" ca="1">SUM(B121:Y121*B122:Y122)</f>
        <v>0</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5">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30</v>
      </c>
      <c r="U124" s="181">
        <f t="shared" si="46"/>
        <v>0</v>
      </c>
      <c r="V124" s="181">
        <f t="shared" si="46"/>
        <v>0</v>
      </c>
      <c r="W124" s="181">
        <f t="shared" si="46"/>
        <v>0</v>
      </c>
      <c r="X124" s="181">
        <f t="shared" si="46"/>
        <v>0</v>
      </c>
      <c r="Y124" s="181">
        <f t="shared" si="46"/>
        <v>0</v>
      </c>
      <c r="Z124" s="212">
        <f>SUM(B124:Y124)</f>
        <v>30</v>
      </c>
      <c r="AA124" s="311" t="s">
        <v>175</v>
      </c>
    </row>
    <row r="125" spans="1:29" x14ac:dyDescent="0.25">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29.466124440158211</v>
      </c>
      <c r="U125" s="189">
        <f t="shared" ca="1" si="47"/>
        <v>0</v>
      </c>
      <c r="V125" s="189">
        <f t="shared" ca="1" si="47"/>
        <v>0</v>
      </c>
      <c r="W125" s="189">
        <f t="shared" ca="1" si="47"/>
        <v>0</v>
      </c>
      <c r="X125" s="189">
        <f t="shared" ca="1" si="47"/>
        <v>0</v>
      </c>
      <c r="Y125" s="189">
        <f t="shared" ca="1" si="47"/>
        <v>0</v>
      </c>
      <c r="Z125" s="252">
        <f t="array" aca="1" ref="Z125" ca="1">SUM(B124:Y124*B125:Y125)</f>
        <v>883.98373320474639</v>
      </c>
      <c r="AA125" s="311" t="s">
        <v>168</v>
      </c>
    </row>
    <row r="126" spans="1:29" x14ac:dyDescent="0.25">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30</v>
      </c>
      <c r="U126" s="186">
        <f t="shared" si="48"/>
        <v>0</v>
      </c>
      <c r="V126" s="186">
        <f t="shared" si="48"/>
        <v>0</v>
      </c>
      <c r="W126" s="186">
        <f t="shared" si="48"/>
        <v>0</v>
      </c>
      <c r="X126" s="186">
        <f t="shared" si="48"/>
        <v>0</v>
      </c>
      <c r="Y126" s="186">
        <f t="shared" si="48"/>
        <v>0</v>
      </c>
      <c r="Z126" s="213">
        <f>SUM(B126:Y126)</f>
        <v>30</v>
      </c>
    </row>
    <row r="127" spans="1:29" x14ac:dyDescent="0.25">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29.466124440158211</v>
      </c>
      <c r="U127" s="190">
        <f t="shared" ca="1" si="49"/>
        <v>0</v>
      </c>
      <c r="V127" s="190">
        <f t="shared" ca="1" si="49"/>
        <v>0</v>
      </c>
      <c r="W127" s="190">
        <f t="shared" ca="1" si="49"/>
        <v>0</v>
      </c>
      <c r="X127" s="190">
        <f t="shared" ca="1" si="49"/>
        <v>0</v>
      </c>
      <c r="Y127" s="190">
        <f t="shared" ca="1" si="49"/>
        <v>0</v>
      </c>
      <c r="Z127" s="251">
        <f t="array" aca="1" ref="Z127" ca="1">SUM(B126:Y126*B127:Y127)</f>
        <v>883.98373320474639</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5">
      <c r="A139" s="183" t="str">
        <f>Economics!A41</f>
        <v>Newman 4</v>
      </c>
      <c r="B139" s="181">
        <f t="shared" ref="B139:Y139" si="60">B48</f>
        <v>205</v>
      </c>
      <c r="C139" s="181">
        <f t="shared" si="60"/>
        <v>205</v>
      </c>
      <c r="D139" s="181">
        <f t="shared" si="60"/>
        <v>205</v>
      </c>
      <c r="E139" s="181">
        <f>E48</f>
        <v>206</v>
      </c>
      <c r="F139" s="181">
        <f t="shared" si="60"/>
        <v>204</v>
      </c>
      <c r="G139" s="181">
        <f t="shared" si="60"/>
        <v>204</v>
      </c>
      <c r="H139" s="181">
        <f t="shared" si="60"/>
        <v>126</v>
      </c>
      <c r="I139" s="181">
        <f t="shared" si="60"/>
        <v>127</v>
      </c>
      <c r="J139" s="181">
        <f t="shared" si="60"/>
        <v>203</v>
      </c>
      <c r="K139" s="181">
        <f t="shared" si="60"/>
        <v>206</v>
      </c>
      <c r="L139" s="181">
        <f t="shared" si="60"/>
        <v>205</v>
      </c>
      <c r="M139" s="181">
        <f t="shared" si="60"/>
        <v>206</v>
      </c>
      <c r="N139" s="181">
        <f t="shared" si="60"/>
        <v>206</v>
      </c>
      <c r="O139" s="181">
        <f t="shared" si="60"/>
        <v>206</v>
      </c>
      <c r="P139" s="181">
        <f t="shared" si="60"/>
        <v>209</v>
      </c>
      <c r="Q139" s="181">
        <f t="shared" si="60"/>
        <v>209</v>
      </c>
      <c r="R139" s="181">
        <f t="shared" si="60"/>
        <v>210</v>
      </c>
      <c r="S139" s="181">
        <f t="shared" si="60"/>
        <v>206</v>
      </c>
      <c r="T139" s="181">
        <f t="shared" si="60"/>
        <v>0</v>
      </c>
      <c r="U139" s="181">
        <f t="shared" si="60"/>
        <v>209</v>
      </c>
      <c r="V139" s="181">
        <f t="shared" si="60"/>
        <v>210</v>
      </c>
      <c r="W139" s="181">
        <f t="shared" si="60"/>
        <v>209</v>
      </c>
      <c r="X139" s="181">
        <f t="shared" si="60"/>
        <v>210</v>
      </c>
      <c r="Y139" s="181">
        <f t="shared" si="60"/>
        <v>210</v>
      </c>
      <c r="Z139" s="212">
        <f>SUM(B139:Y139)</f>
        <v>4596</v>
      </c>
      <c r="AA139" s="311" t="s">
        <v>175</v>
      </c>
    </row>
    <row r="140" spans="1:27" x14ac:dyDescent="0.25">
      <c r="A140" s="185">
        <f>Economics!$I41</f>
        <v>1.96</v>
      </c>
      <c r="B140" s="189">
        <f t="shared" ref="B140:Y140" ca="1" si="61">IndGencost(B139,OFFSET(HeatRateStart,1,MATCH($A139,HeatRateNames,0)-1,250,1),$A140)</f>
        <v>18.034628579539888</v>
      </c>
      <c r="C140" s="189">
        <f t="shared" ca="1" si="61"/>
        <v>18.034628579539888</v>
      </c>
      <c r="D140" s="189">
        <f t="shared" ca="1" si="61"/>
        <v>18.034628579539888</v>
      </c>
      <c r="E140" s="189">
        <f ca="1">IndGencost(E139,OFFSET(HeatRateStart,1,MATCH($A139,HeatRateNames,0)-1,250,1),$A140)</f>
        <v>18.027247744762562</v>
      </c>
      <c r="F140" s="189">
        <f t="shared" ca="1" si="61"/>
        <v>18.042222120092266</v>
      </c>
      <c r="G140" s="189">
        <f t="shared" ca="1" si="61"/>
        <v>18.042222120092266</v>
      </c>
      <c r="H140" s="189">
        <f t="shared" ca="1" si="61"/>
        <v>19.705957787531947</v>
      </c>
      <c r="I140" s="189">
        <f t="shared" ca="1" si="61"/>
        <v>19.663016247782799</v>
      </c>
      <c r="J140" s="189">
        <f t="shared" ca="1" si="61"/>
        <v>18.050031509854808</v>
      </c>
      <c r="K140" s="189">
        <f t="shared" ca="1" si="61"/>
        <v>18.027247744762562</v>
      </c>
      <c r="L140" s="189">
        <f t="shared" ca="1" si="61"/>
        <v>18.034628579539888</v>
      </c>
      <c r="M140" s="189">
        <f t="shared" ca="1" si="61"/>
        <v>18.027247744762562</v>
      </c>
      <c r="N140" s="189">
        <f t="shared" ca="1" si="61"/>
        <v>18.027247744762562</v>
      </c>
      <c r="O140" s="189">
        <f t="shared" ca="1" si="61"/>
        <v>18.027247744762562</v>
      </c>
      <c r="P140" s="189">
        <f t="shared" ca="1" si="61"/>
        <v>18.006350943151507</v>
      </c>
      <c r="Q140" s="189">
        <f t="shared" ca="1" si="61"/>
        <v>18.006350943151507</v>
      </c>
      <c r="R140" s="189">
        <f t="shared" ca="1" si="61"/>
        <v>17.999790690325259</v>
      </c>
      <c r="S140" s="189">
        <f t="shared" ca="1" si="61"/>
        <v>18.027247744762562</v>
      </c>
      <c r="T140" s="189">
        <f t="shared" ca="1" si="61"/>
        <v>0</v>
      </c>
      <c r="U140" s="189">
        <f t="shared" ca="1" si="61"/>
        <v>18.006350943151507</v>
      </c>
      <c r="V140" s="189">
        <f t="shared" ca="1" si="61"/>
        <v>17.999790690325259</v>
      </c>
      <c r="W140" s="189">
        <f t="shared" ca="1" si="61"/>
        <v>18.006350943151507</v>
      </c>
      <c r="X140" s="189">
        <f t="shared" ca="1" si="61"/>
        <v>17.999790690325259</v>
      </c>
      <c r="Y140" s="189">
        <f t="shared" ca="1" si="61"/>
        <v>17.999790690325259</v>
      </c>
      <c r="Z140" s="252">
        <f t="array" aca="1" ref="Z140" ca="1">SUM(B139:Y139*B140:Y140)</f>
        <v>83248.743982292741</v>
      </c>
      <c r="AA140" s="311"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8" thickBot="1" x14ac:dyDescent="0.3">
      <c r="A143" s="187" t="s">
        <v>166</v>
      </c>
      <c r="B143" s="188">
        <f t="shared" ref="B143:Y143" ca="1" si="63">B142-B140</f>
        <v>2.2094068722906108</v>
      </c>
      <c r="C143" s="188">
        <f t="shared" ca="1" si="63"/>
        <v>2.2094068722906108</v>
      </c>
      <c r="D143" s="188">
        <f t="shared" ca="1" si="63"/>
        <v>1.3153922537312184</v>
      </c>
      <c r="E143" s="188">
        <f t="shared" ca="1" si="63"/>
        <v>1.3227730885085442</v>
      </c>
      <c r="F143" s="188">
        <f t="shared" ca="1" si="63"/>
        <v>1.3077987131788404</v>
      </c>
      <c r="G143" s="188">
        <f t="shared" ca="1" si="63"/>
        <v>1.3077987131788404</v>
      </c>
      <c r="H143" s="188">
        <f t="shared" ca="1" si="63"/>
        <v>-0.16648092570171258</v>
      </c>
      <c r="I143" s="188">
        <f t="shared" ca="1" si="63"/>
        <v>0.58101920404769913</v>
      </c>
      <c r="J143" s="188">
        <f t="shared" ca="1" si="63"/>
        <v>2.1940039419756907</v>
      </c>
      <c r="K143" s="188">
        <f t="shared" ca="1" si="63"/>
        <v>2.2167877070679367</v>
      </c>
      <c r="L143" s="188">
        <f t="shared" ca="1" si="63"/>
        <v>2.2094068722906108</v>
      </c>
      <c r="M143" s="188">
        <f t="shared" ca="1" si="63"/>
        <v>2.2167877070679367</v>
      </c>
      <c r="N143" s="188">
        <f t="shared" ca="1" si="63"/>
        <v>2.2167877070679367</v>
      </c>
      <c r="O143" s="188">
        <f t="shared" ca="1" si="63"/>
        <v>2.2167877070679367</v>
      </c>
      <c r="P143" s="188">
        <f t="shared" ca="1" si="63"/>
        <v>2.237684508678992</v>
      </c>
      <c r="Q143" s="188">
        <f t="shared" ca="1" si="63"/>
        <v>2.237684508678992</v>
      </c>
      <c r="R143" s="188">
        <f t="shared" ca="1" si="63"/>
        <v>2.2442447615052394</v>
      </c>
      <c r="S143" s="188">
        <f t="shared" ca="1" si="63"/>
        <v>2.2167877070679367</v>
      </c>
      <c r="T143" s="188">
        <f t="shared" ca="1" si="63"/>
        <v>18.231501034024166</v>
      </c>
      <c r="U143" s="188">
        <f t="shared" ca="1" si="63"/>
        <v>0.2251500908726598</v>
      </c>
      <c r="V143" s="188">
        <f t="shared" ca="1" si="63"/>
        <v>0.45397267236496575</v>
      </c>
      <c r="W143" s="188">
        <f t="shared" ca="1" si="63"/>
        <v>0.53915600961306964</v>
      </c>
      <c r="X143" s="188">
        <f t="shared" ca="1" si="63"/>
        <v>1.0253246651280463</v>
      </c>
      <c r="Y143" s="188">
        <f t="shared" ca="1" si="63"/>
        <v>1.0253246651280463</v>
      </c>
      <c r="Z143" s="253">
        <f ca="1">Z140-Z142</f>
        <v>21534.680485267912</v>
      </c>
    </row>
    <row r="144" spans="1:27" x14ac:dyDescent="0.25">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0</v>
      </c>
      <c r="I144" s="181">
        <f t="shared" si="64"/>
        <v>0</v>
      </c>
      <c r="J144" s="181">
        <f t="shared" si="64"/>
        <v>0</v>
      </c>
      <c r="K144" s="181">
        <f t="shared" si="64"/>
        <v>43</v>
      </c>
      <c r="L144" s="181">
        <f t="shared" si="64"/>
        <v>29</v>
      </c>
      <c r="M144" s="181">
        <f t="shared" si="64"/>
        <v>65</v>
      </c>
      <c r="N144" s="181">
        <f t="shared" si="64"/>
        <v>62</v>
      </c>
      <c r="O144" s="181">
        <f t="shared" si="64"/>
        <v>63</v>
      </c>
      <c r="P144" s="181">
        <f t="shared" si="64"/>
        <v>63</v>
      </c>
      <c r="Q144" s="181">
        <f t="shared" si="64"/>
        <v>63</v>
      </c>
      <c r="R144" s="181">
        <f t="shared" si="64"/>
        <v>63</v>
      </c>
      <c r="S144" s="181">
        <f t="shared" si="64"/>
        <v>4</v>
      </c>
      <c r="T144" s="181">
        <f t="shared" si="64"/>
        <v>32</v>
      </c>
      <c r="U144" s="181">
        <v>0</v>
      </c>
      <c r="V144" s="181">
        <v>0</v>
      </c>
      <c r="W144" s="181">
        <v>0</v>
      </c>
      <c r="X144" s="181">
        <f>X49</f>
        <v>65</v>
      </c>
      <c r="Y144" s="181">
        <f>Y49</f>
        <v>65</v>
      </c>
      <c r="Z144" s="212">
        <f>SUM(B144:Y144)</f>
        <v>617</v>
      </c>
      <c r="AA144" s="311" t="s">
        <v>171</v>
      </c>
    </row>
    <row r="145" spans="1:27" x14ac:dyDescent="0.25">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0</v>
      </c>
      <c r="I145" s="189">
        <f t="shared" ca="1" si="65"/>
        <v>0</v>
      </c>
      <c r="J145" s="189">
        <f t="shared" ca="1" si="65"/>
        <v>0</v>
      </c>
      <c r="K145" s="189">
        <f t="shared" ca="1" si="65"/>
        <v>27.875941481705009</v>
      </c>
      <c r="L145" s="189">
        <f t="shared" ca="1" si="65"/>
        <v>32.827014247731256</v>
      </c>
      <c r="M145" s="189">
        <f t="shared" ca="1" si="65"/>
        <v>25.213140761486052</v>
      </c>
      <c r="N145" s="189">
        <f t="shared" ca="1" si="65"/>
        <v>25.403979757398815</v>
      </c>
      <c r="O145" s="189">
        <f t="shared" ca="1" si="65"/>
        <v>25.336241101112691</v>
      </c>
      <c r="P145" s="189">
        <f t="shared" ca="1" si="65"/>
        <v>25.336241101112691</v>
      </c>
      <c r="Q145" s="189">
        <f t="shared" ca="1" si="65"/>
        <v>25.336241101112691</v>
      </c>
      <c r="R145" s="189">
        <f t="shared" ca="1" si="65"/>
        <v>25.336241101112691</v>
      </c>
      <c r="S145" s="189">
        <f t="shared" ca="1" si="65"/>
        <v>144.04157566744385</v>
      </c>
      <c r="T145" s="189">
        <f t="shared" ca="1" si="65"/>
        <v>31.332952021825118</v>
      </c>
      <c r="U145" s="189">
        <f t="shared" ca="1" si="65"/>
        <v>0</v>
      </c>
      <c r="V145" s="189">
        <f t="shared" ca="1" si="65"/>
        <v>0</v>
      </c>
      <c r="W145" s="189">
        <f t="shared" ca="1" si="65"/>
        <v>0</v>
      </c>
      <c r="X145" s="189">
        <f t="shared" ca="1" si="65"/>
        <v>25.213140761486052</v>
      </c>
      <c r="Y145" s="189">
        <f t="shared" ca="1" si="65"/>
        <v>25.213140761486052</v>
      </c>
      <c r="Z145" s="252">
        <f t="array" aca="1" ref="Z145" ca="1">SUM(B144:Y144*B145:Y145)</f>
        <v>16605.811615194609</v>
      </c>
      <c r="AA145" s="311" t="s">
        <v>168</v>
      </c>
    </row>
    <row r="146" spans="1:27" x14ac:dyDescent="0.25">
      <c r="A146" s="184" t="s">
        <v>178</v>
      </c>
      <c r="B146" s="186">
        <v>0</v>
      </c>
      <c r="C146" s="186">
        <f t="shared" ref="C146:T146" si="66">C144</f>
        <v>0</v>
      </c>
      <c r="D146" s="186">
        <f t="shared" si="66"/>
        <v>0</v>
      </c>
      <c r="E146" s="186">
        <f t="shared" si="66"/>
        <v>0</v>
      </c>
      <c r="F146" s="186">
        <f t="shared" si="66"/>
        <v>0</v>
      </c>
      <c r="G146" s="186">
        <f t="shared" si="66"/>
        <v>0</v>
      </c>
      <c r="H146" s="186">
        <f t="shared" si="66"/>
        <v>0</v>
      </c>
      <c r="I146" s="186">
        <f t="shared" si="66"/>
        <v>0</v>
      </c>
      <c r="J146" s="186">
        <f t="shared" si="66"/>
        <v>0</v>
      </c>
      <c r="K146" s="186">
        <f t="shared" si="66"/>
        <v>43</v>
      </c>
      <c r="L146" s="186">
        <f t="shared" si="66"/>
        <v>29</v>
      </c>
      <c r="M146" s="186">
        <f t="shared" si="66"/>
        <v>65</v>
      </c>
      <c r="N146" s="186">
        <f t="shared" si="66"/>
        <v>62</v>
      </c>
      <c r="O146" s="186">
        <f t="shared" si="66"/>
        <v>63</v>
      </c>
      <c r="P146" s="186">
        <f t="shared" si="66"/>
        <v>63</v>
      </c>
      <c r="Q146" s="186">
        <f t="shared" si="66"/>
        <v>63</v>
      </c>
      <c r="R146" s="186">
        <f t="shared" si="66"/>
        <v>63</v>
      </c>
      <c r="S146" s="186">
        <f t="shared" si="66"/>
        <v>4</v>
      </c>
      <c r="T146" s="186">
        <f t="shared" si="66"/>
        <v>32</v>
      </c>
      <c r="U146" s="186"/>
      <c r="V146" s="186"/>
      <c r="W146" s="186"/>
      <c r="X146" s="186">
        <f>X144</f>
        <v>65</v>
      </c>
      <c r="Y146" s="186">
        <f>Y144</f>
        <v>65</v>
      </c>
      <c r="Z146" s="213">
        <f>SUM(B146:Y146)</f>
        <v>617</v>
      </c>
    </row>
    <row r="147" spans="1:27" x14ac:dyDescent="0.25">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0</v>
      </c>
      <c r="I147" s="190">
        <f t="shared" ca="1" si="67"/>
        <v>0</v>
      </c>
      <c r="J147" s="190">
        <f t="shared" ca="1" si="67"/>
        <v>0</v>
      </c>
      <c r="K147" s="190">
        <f t="shared" ca="1" si="67"/>
        <v>27.875941481705009</v>
      </c>
      <c r="L147" s="190">
        <f t="shared" ca="1" si="67"/>
        <v>32.827014247731256</v>
      </c>
      <c r="M147" s="190">
        <f t="shared" ca="1" si="67"/>
        <v>25.213140761486052</v>
      </c>
      <c r="N147" s="190">
        <f t="shared" ca="1" si="67"/>
        <v>25.403979757398815</v>
      </c>
      <c r="O147" s="190">
        <f t="shared" ca="1" si="67"/>
        <v>25.336241101112691</v>
      </c>
      <c r="P147" s="190">
        <f t="shared" ca="1" si="67"/>
        <v>25.336241101112691</v>
      </c>
      <c r="Q147" s="190">
        <f t="shared" ca="1" si="67"/>
        <v>25.336241101112691</v>
      </c>
      <c r="R147" s="190">
        <f t="shared" ca="1" si="67"/>
        <v>25.336241101112691</v>
      </c>
      <c r="S147" s="190">
        <f t="shared" ca="1" si="67"/>
        <v>144.04157566744385</v>
      </c>
      <c r="T147" s="190">
        <f t="shared" ca="1" si="67"/>
        <v>31.332952021825118</v>
      </c>
      <c r="U147" s="190">
        <f t="shared" ca="1" si="67"/>
        <v>0</v>
      </c>
      <c r="V147" s="190">
        <f t="shared" ca="1" si="67"/>
        <v>0</v>
      </c>
      <c r="W147" s="190">
        <f t="shared" ca="1" si="67"/>
        <v>0</v>
      </c>
      <c r="X147" s="190">
        <f t="shared" ca="1" si="67"/>
        <v>25.213140761486052</v>
      </c>
      <c r="Y147" s="190">
        <f t="shared" ca="1" si="67"/>
        <v>25.213140761486052</v>
      </c>
      <c r="Z147" s="251">
        <f t="array" aca="1" ref="Z147" ca="1">SUM(B146:Y146*B147:Y147)</f>
        <v>16605.811615194609</v>
      </c>
    </row>
    <row r="148" spans="1:27" ht="13.8" thickBot="1" x14ac:dyDescent="0.3">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0</v>
      </c>
    </row>
    <row r="149" spans="1:27" x14ac:dyDescent="0.25">
      <c r="A149" s="183" t="str">
        <f>Economics!A43</f>
        <v>Rio Grande 6</v>
      </c>
      <c r="B149" s="181">
        <f t="shared" ref="B149:Y149" si="69">B50</f>
        <v>0</v>
      </c>
      <c r="C149" s="181">
        <f t="shared" si="69"/>
        <v>0</v>
      </c>
      <c r="D149" s="181">
        <f t="shared" si="69"/>
        <v>0</v>
      </c>
      <c r="E149" s="181">
        <f>E50</f>
        <v>0</v>
      </c>
      <c r="F149" s="181">
        <f t="shared" si="69"/>
        <v>0</v>
      </c>
      <c r="G149" s="181">
        <f t="shared" si="69"/>
        <v>0</v>
      </c>
      <c r="H149" s="181">
        <f t="shared" si="69"/>
        <v>0</v>
      </c>
      <c r="I149" s="181">
        <f t="shared" si="69"/>
        <v>0</v>
      </c>
      <c r="J149" s="181">
        <f t="shared" si="69"/>
        <v>0</v>
      </c>
      <c r="K149" s="181">
        <f t="shared" si="69"/>
        <v>0</v>
      </c>
      <c r="L149" s="181">
        <f t="shared" si="69"/>
        <v>0</v>
      </c>
      <c r="M149" s="181">
        <f t="shared" si="69"/>
        <v>0</v>
      </c>
      <c r="N149" s="181">
        <f t="shared" si="69"/>
        <v>0</v>
      </c>
      <c r="O149" s="181">
        <f t="shared" si="69"/>
        <v>0</v>
      </c>
      <c r="P149" s="181">
        <f t="shared" si="69"/>
        <v>0</v>
      </c>
      <c r="Q149" s="181">
        <f t="shared" si="69"/>
        <v>0</v>
      </c>
      <c r="R149" s="181">
        <f t="shared" si="69"/>
        <v>0</v>
      </c>
      <c r="S149" s="181">
        <f t="shared" si="69"/>
        <v>0</v>
      </c>
      <c r="T149" s="181">
        <f t="shared" si="69"/>
        <v>0</v>
      </c>
      <c r="U149" s="181">
        <f t="shared" si="69"/>
        <v>0</v>
      </c>
      <c r="V149" s="181">
        <f t="shared" si="69"/>
        <v>0</v>
      </c>
      <c r="W149" s="181">
        <f t="shared" si="69"/>
        <v>0</v>
      </c>
      <c r="X149" s="181">
        <f t="shared" si="69"/>
        <v>0</v>
      </c>
      <c r="Y149" s="181">
        <f t="shared" si="69"/>
        <v>0</v>
      </c>
      <c r="Z149" s="212">
        <f>SUM(B149:Y149)</f>
        <v>0</v>
      </c>
      <c r="AA149" s="311" t="s">
        <v>179</v>
      </c>
    </row>
    <row r="150" spans="1:27" x14ac:dyDescent="0.25">
      <c r="A150" s="185">
        <f>Economics!$I43</f>
        <v>2.09</v>
      </c>
      <c r="B150" s="189">
        <f t="shared" ref="B150:Y150" ca="1" si="70">IndGencost(B149,OFFSET(HeatRateStart,1,MATCH($A149,HeatRateNames,0)-1,250,1),$A150)</f>
        <v>0</v>
      </c>
      <c r="C150" s="189">
        <f t="shared" ca="1" si="70"/>
        <v>0</v>
      </c>
      <c r="D150" s="189">
        <f t="shared" ca="1" si="70"/>
        <v>0</v>
      </c>
      <c r="E150" s="189">
        <f ca="1">IndGencost(E149,OFFSET(HeatRateStart,1,MATCH($A149,HeatRateNames,0)-1,250,1),$A150)</f>
        <v>0</v>
      </c>
      <c r="F150" s="189">
        <f t="shared" ca="1" si="70"/>
        <v>0</v>
      </c>
      <c r="G150" s="189">
        <f t="shared" ca="1" si="70"/>
        <v>0</v>
      </c>
      <c r="H150" s="189">
        <f t="shared" ca="1" si="70"/>
        <v>0</v>
      </c>
      <c r="I150" s="189">
        <f t="shared" ca="1" si="70"/>
        <v>0</v>
      </c>
      <c r="J150" s="189">
        <f t="shared" ca="1" si="70"/>
        <v>0</v>
      </c>
      <c r="K150" s="189">
        <f t="shared" ca="1" si="70"/>
        <v>0</v>
      </c>
      <c r="L150" s="189">
        <f t="shared" ca="1" si="70"/>
        <v>0</v>
      </c>
      <c r="M150" s="189">
        <f t="shared" ca="1" si="70"/>
        <v>0</v>
      </c>
      <c r="N150" s="189">
        <f t="shared" ca="1" si="70"/>
        <v>0</v>
      </c>
      <c r="O150" s="189">
        <f t="shared" ca="1" si="70"/>
        <v>0</v>
      </c>
      <c r="P150" s="189">
        <f t="shared" ca="1" si="70"/>
        <v>0</v>
      </c>
      <c r="Q150" s="189">
        <f t="shared" ca="1" si="70"/>
        <v>0</v>
      </c>
      <c r="R150" s="189">
        <f t="shared" ca="1" si="70"/>
        <v>0</v>
      </c>
      <c r="S150" s="189">
        <f t="shared" ca="1" si="70"/>
        <v>0</v>
      </c>
      <c r="T150" s="189">
        <f t="shared" ca="1" si="70"/>
        <v>0</v>
      </c>
      <c r="U150" s="189">
        <f t="shared" ca="1" si="70"/>
        <v>0</v>
      </c>
      <c r="V150" s="189">
        <f t="shared" ca="1" si="70"/>
        <v>0</v>
      </c>
      <c r="W150" s="189">
        <f t="shared" ca="1" si="70"/>
        <v>0</v>
      </c>
      <c r="X150" s="189">
        <f t="shared" ca="1" si="70"/>
        <v>0</v>
      </c>
      <c r="Y150" s="189">
        <f t="shared" ca="1" si="70"/>
        <v>0</v>
      </c>
      <c r="Z150" s="252">
        <f t="array" aca="1" ref="Z150" ca="1">SUM(B149:Y149*B150:Y150)</f>
        <v>0</v>
      </c>
      <c r="AA150" s="311"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8" thickBot="1" x14ac:dyDescent="0.3">
      <c r="A153" s="187" t="s">
        <v>166</v>
      </c>
      <c r="B153" s="188">
        <f t="shared" ref="B153:Y153" ca="1" si="72">B152-B150</f>
        <v>0</v>
      </c>
      <c r="C153" s="188">
        <f t="shared" ca="1" si="72"/>
        <v>0</v>
      </c>
      <c r="D153" s="188">
        <f t="shared" ca="1" si="72"/>
        <v>0</v>
      </c>
      <c r="E153" s="188">
        <f t="shared" ca="1" si="72"/>
        <v>0</v>
      </c>
      <c r="F153" s="188">
        <f t="shared" ca="1" si="72"/>
        <v>0</v>
      </c>
      <c r="G153" s="188">
        <f t="shared" ca="1" si="72"/>
        <v>0</v>
      </c>
      <c r="H153" s="188">
        <f t="shared" ca="1" si="72"/>
        <v>0</v>
      </c>
      <c r="I153" s="188">
        <f t="shared" ca="1" si="72"/>
        <v>0</v>
      </c>
      <c r="J153" s="188">
        <f t="shared" ca="1" si="72"/>
        <v>0</v>
      </c>
      <c r="K153" s="188">
        <f t="shared" ca="1" si="72"/>
        <v>0</v>
      </c>
      <c r="L153" s="188">
        <f t="shared" ca="1" si="72"/>
        <v>0</v>
      </c>
      <c r="M153" s="188">
        <f t="shared" ca="1" si="72"/>
        <v>0</v>
      </c>
      <c r="N153" s="188">
        <f t="shared" ca="1" si="72"/>
        <v>0</v>
      </c>
      <c r="O153" s="188">
        <f t="shared" ca="1" si="72"/>
        <v>0</v>
      </c>
      <c r="P153" s="188">
        <f t="shared" ca="1" si="72"/>
        <v>0</v>
      </c>
      <c r="Q153" s="188">
        <f t="shared" ca="1" si="72"/>
        <v>0</v>
      </c>
      <c r="R153" s="188">
        <f t="shared" ca="1" si="72"/>
        <v>0</v>
      </c>
      <c r="S153" s="188">
        <f t="shared" ca="1" si="72"/>
        <v>0</v>
      </c>
      <c r="T153" s="188">
        <f t="shared" ca="1" si="72"/>
        <v>0</v>
      </c>
      <c r="U153" s="188">
        <f t="shared" ca="1" si="72"/>
        <v>0</v>
      </c>
      <c r="V153" s="188">
        <f t="shared" ca="1" si="72"/>
        <v>0</v>
      </c>
      <c r="W153" s="188">
        <f t="shared" ca="1" si="72"/>
        <v>0</v>
      </c>
      <c r="X153" s="188">
        <f t="shared" ca="1" si="72"/>
        <v>0</v>
      </c>
      <c r="Y153" s="188">
        <f t="shared" ca="1" si="72"/>
        <v>0</v>
      </c>
      <c r="Z153" s="253">
        <f ca="1">Z150-Z152</f>
        <v>0</v>
      </c>
    </row>
    <row r="154" spans="1:27" x14ac:dyDescent="0.25">
      <c r="A154" s="183" t="str">
        <f>Economics!A44</f>
        <v>Rio Grande 7</v>
      </c>
      <c r="B154" s="181">
        <f t="shared" ref="B154:Y154" si="73">B51</f>
        <v>27</v>
      </c>
      <c r="C154" s="181">
        <f t="shared" si="73"/>
        <v>27</v>
      </c>
      <c r="D154" s="181">
        <f t="shared" si="73"/>
        <v>27</v>
      </c>
      <c r="E154" s="181">
        <f>E51</f>
        <v>27</v>
      </c>
      <c r="F154" s="181">
        <f t="shared" si="73"/>
        <v>33</v>
      </c>
      <c r="G154" s="181">
        <f t="shared" si="73"/>
        <v>29</v>
      </c>
      <c r="H154" s="181">
        <f t="shared" si="73"/>
        <v>28</v>
      </c>
      <c r="I154" s="181">
        <f t="shared" si="73"/>
        <v>31</v>
      </c>
      <c r="J154" s="181">
        <f t="shared" si="73"/>
        <v>31</v>
      </c>
      <c r="K154" s="181">
        <f t="shared" si="73"/>
        <v>32</v>
      </c>
      <c r="L154" s="181">
        <f t="shared" si="73"/>
        <v>31</v>
      </c>
      <c r="M154" s="181">
        <f t="shared" si="73"/>
        <v>30</v>
      </c>
      <c r="N154" s="181">
        <f t="shared" si="73"/>
        <v>33</v>
      </c>
      <c r="O154" s="181">
        <f t="shared" si="73"/>
        <v>40</v>
      </c>
      <c r="P154" s="181">
        <f t="shared" si="73"/>
        <v>40</v>
      </c>
      <c r="Q154" s="181">
        <f t="shared" si="73"/>
        <v>40</v>
      </c>
      <c r="R154" s="181">
        <f t="shared" si="73"/>
        <v>40</v>
      </c>
      <c r="S154" s="181">
        <f t="shared" si="73"/>
        <v>28</v>
      </c>
      <c r="T154" s="181">
        <f t="shared" si="73"/>
        <v>40</v>
      </c>
      <c r="U154" s="181">
        <f t="shared" si="73"/>
        <v>40</v>
      </c>
      <c r="V154" s="181">
        <f t="shared" si="73"/>
        <v>40</v>
      </c>
      <c r="W154" s="181">
        <f t="shared" si="73"/>
        <v>40</v>
      </c>
      <c r="X154" s="181">
        <f t="shared" si="73"/>
        <v>40</v>
      </c>
      <c r="Y154" s="181">
        <f t="shared" si="73"/>
        <v>40</v>
      </c>
      <c r="Z154" s="212">
        <f>SUM(B154:Y154)</f>
        <v>814</v>
      </c>
      <c r="AA154" s="311" t="s">
        <v>179</v>
      </c>
    </row>
    <row r="155" spans="1:27" x14ac:dyDescent="0.25">
      <c r="A155" s="185">
        <f>Economics!$I44</f>
        <v>2.09</v>
      </c>
      <c r="B155" s="189">
        <f t="shared" ref="B155:Y155" ca="1" si="74">IndGencost(B154,OFFSET(HeatRateStart,1,MATCH($A154,HeatRateNames,0)-1,250,1),$A155)</f>
        <v>22.491482523001835</v>
      </c>
      <c r="C155" s="189">
        <f t="shared" ca="1" si="74"/>
        <v>22.491482523001835</v>
      </c>
      <c r="D155" s="189">
        <f t="shared" ca="1" si="74"/>
        <v>22.491482523001835</v>
      </c>
      <c r="E155" s="189">
        <f ca="1">IndGencost(E154,OFFSET(HeatRateStart,1,MATCH($A154,HeatRateNames,0)-1,250,1),$A155)</f>
        <v>22.491482523001835</v>
      </c>
      <c r="F155" s="189">
        <f t="shared" ca="1" si="74"/>
        <v>22.219928707487149</v>
      </c>
      <c r="G155" s="189">
        <f t="shared" ca="1" si="74"/>
        <v>22.338638763301702</v>
      </c>
      <c r="H155" s="189">
        <f t="shared" ca="1" si="74"/>
        <v>22.405878714136396</v>
      </c>
      <c r="I155" s="189">
        <f t="shared" ca="1" si="74"/>
        <v>22.25214184551908</v>
      </c>
      <c r="J155" s="189">
        <f t="shared" ca="1" si="74"/>
        <v>22.25214184551908</v>
      </c>
      <c r="K155" s="189">
        <f t="shared" ca="1" si="74"/>
        <v>22.22988594207823</v>
      </c>
      <c r="L155" s="189">
        <f t="shared" ca="1" si="74"/>
        <v>22.25214184551908</v>
      </c>
      <c r="M155" s="189">
        <f t="shared" ca="1" si="74"/>
        <v>22.287926284694674</v>
      </c>
      <c r="N155" s="189">
        <f t="shared" ca="1" si="74"/>
        <v>22.219928707487149</v>
      </c>
      <c r="O155" s="189">
        <f t="shared" ca="1" si="74"/>
        <v>22.417109179389474</v>
      </c>
      <c r="P155" s="189">
        <f t="shared" ca="1" si="74"/>
        <v>22.417109179389474</v>
      </c>
      <c r="Q155" s="189">
        <f t="shared" ca="1" si="74"/>
        <v>22.417109179389474</v>
      </c>
      <c r="R155" s="189">
        <f t="shared" ca="1" si="74"/>
        <v>22.417109179389474</v>
      </c>
      <c r="S155" s="189">
        <f t="shared" ca="1" si="74"/>
        <v>22.405878714136396</v>
      </c>
      <c r="T155" s="189">
        <f t="shared" ca="1" si="74"/>
        <v>22.417109179389474</v>
      </c>
      <c r="U155" s="189">
        <f t="shared" ca="1" si="74"/>
        <v>22.417109179389474</v>
      </c>
      <c r="V155" s="189">
        <f t="shared" ca="1" si="74"/>
        <v>22.417109179389474</v>
      </c>
      <c r="W155" s="189">
        <f t="shared" ca="1" si="74"/>
        <v>22.417109179389474</v>
      </c>
      <c r="X155" s="189">
        <f t="shared" ca="1" si="74"/>
        <v>22.417109179389474</v>
      </c>
      <c r="Y155" s="189">
        <f t="shared" ca="1" si="74"/>
        <v>22.417109179389474</v>
      </c>
      <c r="Z155" s="252">
        <f t="array" aca="1" ref="Z155" ca="1">SUM(B154:Y154*B155:Y155)</f>
        <v>18214.432141382145</v>
      </c>
      <c r="AA155" s="311"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8" thickBot="1" x14ac:dyDescent="0.3">
      <c r="A158" s="187" t="s">
        <v>166</v>
      </c>
      <c r="B158" s="188">
        <f t="shared" ref="B158:Y158" ca="1" si="76">B157-B155</f>
        <v>-22.491482523001835</v>
      </c>
      <c r="C158" s="188">
        <f t="shared" ca="1" si="76"/>
        <v>-22.491482523001835</v>
      </c>
      <c r="D158" s="188">
        <f t="shared" ca="1" si="76"/>
        <v>-22.491482523001835</v>
      </c>
      <c r="E158" s="188">
        <f t="shared" ca="1" si="76"/>
        <v>-22.491482523001835</v>
      </c>
      <c r="F158" s="188">
        <f t="shared" ca="1" si="76"/>
        <v>-22.219928707487149</v>
      </c>
      <c r="G158" s="188">
        <f t="shared" ca="1" si="76"/>
        <v>-22.338638763301702</v>
      </c>
      <c r="H158" s="188">
        <f t="shared" ca="1" si="76"/>
        <v>-22.405878714136396</v>
      </c>
      <c r="I158" s="188">
        <f t="shared" ca="1" si="76"/>
        <v>-22.25214184551908</v>
      </c>
      <c r="J158" s="188">
        <f t="shared" ca="1" si="76"/>
        <v>-22.25214184551908</v>
      </c>
      <c r="K158" s="188">
        <f t="shared" ca="1" si="76"/>
        <v>-22.22988594207823</v>
      </c>
      <c r="L158" s="188">
        <f t="shared" ca="1" si="76"/>
        <v>-22.25214184551908</v>
      </c>
      <c r="M158" s="188">
        <f t="shared" ca="1" si="76"/>
        <v>-22.287926284694674</v>
      </c>
      <c r="N158" s="188">
        <f t="shared" ca="1" si="76"/>
        <v>-22.219928707487149</v>
      </c>
      <c r="O158" s="188">
        <f t="shared" ca="1" si="76"/>
        <v>-22.417109179389474</v>
      </c>
      <c r="P158" s="188">
        <f t="shared" ca="1" si="76"/>
        <v>-22.417109179389474</v>
      </c>
      <c r="Q158" s="188">
        <f t="shared" ca="1" si="76"/>
        <v>-22.417109179389474</v>
      </c>
      <c r="R158" s="188">
        <f t="shared" ca="1" si="76"/>
        <v>-22.417109179389474</v>
      </c>
      <c r="S158" s="188">
        <f t="shared" ca="1" si="76"/>
        <v>-22.405878714136396</v>
      </c>
      <c r="T158" s="188">
        <f t="shared" ca="1" si="76"/>
        <v>-22.417109179389474</v>
      </c>
      <c r="U158" s="188">
        <f t="shared" ca="1" si="76"/>
        <v>-22.417109179389474</v>
      </c>
      <c r="V158" s="188">
        <f t="shared" ca="1" si="76"/>
        <v>-22.417109179389474</v>
      </c>
      <c r="W158" s="188">
        <f t="shared" ca="1" si="76"/>
        <v>-22.417109179389474</v>
      </c>
      <c r="X158" s="188">
        <f t="shared" ca="1" si="76"/>
        <v>-22.417109179389474</v>
      </c>
      <c r="Y158" s="188">
        <f t="shared" ca="1" si="76"/>
        <v>-22.417109179389474</v>
      </c>
      <c r="Z158" s="253">
        <f ca="1">Z155-Z157</f>
        <v>18214.432141382145</v>
      </c>
    </row>
    <row r="159" spans="1:27" x14ac:dyDescent="0.25">
      <c r="A159" s="183" t="str">
        <f>Economics!A45</f>
        <v>Rio Grande 8</v>
      </c>
      <c r="B159" s="181">
        <f t="shared" ref="B159:Y159" si="77">B52</f>
        <v>60</v>
      </c>
      <c r="C159" s="181">
        <f t="shared" si="77"/>
        <v>60</v>
      </c>
      <c r="D159" s="181">
        <f t="shared" si="77"/>
        <v>60</v>
      </c>
      <c r="E159" s="181">
        <f>E52</f>
        <v>60</v>
      </c>
      <c r="F159" s="181">
        <f t="shared" si="77"/>
        <v>71</v>
      </c>
      <c r="G159" s="181">
        <f t="shared" si="77"/>
        <v>90</v>
      </c>
      <c r="H159" s="181">
        <f t="shared" si="77"/>
        <v>90</v>
      </c>
      <c r="I159" s="181">
        <f t="shared" si="77"/>
        <v>89</v>
      </c>
      <c r="J159" s="181">
        <f t="shared" si="77"/>
        <v>90</v>
      </c>
      <c r="K159" s="181">
        <f t="shared" si="77"/>
        <v>90</v>
      </c>
      <c r="L159" s="181">
        <f t="shared" si="77"/>
        <v>90</v>
      </c>
      <c r="M159" s="181">
        <f t="shared" si="77"/>
        <v>89</v>
      </c>
      <c r="N159" s="181">
        <f t="shared" si="77"/>
        <v>89</v>
      </c>
      <c r="O159" s="181">
        <f t="shared" si="77"/>
        <v>89</v>
      </c>
      <c r="P159" s="181">
        <f t="shared" si="77"/>
        <v>89</v>
      </c>
      <c r="Q159" s="181">
        <f t="shared" si="77"/>
        <v>89</v>
      </c>
      <c r="R159" s="181">
        <f t="shared" si="77"/>
        <v>90</v>
      </c>
      <c r="S159" s="181">
        <f t="shared" si="77"/>
        <v>89</v>
      </c>
      <c r="T159" s="181">
        <f t="shared" si="77"/>
        <v>89</v>
      </c>
      <c r="U159" s="181">
        <f t="shared" si="77"/>
        <v>90</v>
      </c>
      <c r="V159" s="181">
        <f t="shared" si="77"/>
        <v>90</v>
      </c>
      <c r="W159" s="181">
        <f t="shared" si="77"/>
        <v>89</v>
      </c>
      <c r="X159" s="181">
        <f t="shared" si="77"/>
        <v>89</v>
      </c>
      <c r="Y159" s="181">
        <f t="shared" si="77"/>
        <v>89</v>
      </c>
      <c r="Z159" s="212">
        <f>SUM(B159:Y159)</f>
        <v>2010</v>
      </c>
      <c r="AA159" s="311" t="s">
        <v>179</v>
      </c>
    </row>
    <row r="160" spans="1:27" x14ac:dyDescent="0.25">
      <c r="A160" s="185">
        <f>Economics!$I45</f>
        <v>2.09</v>
      </c>
      <c r="B160" s="189">
        <f t="shared" ref="B160:Y160" ca="1" si="78">IndGencost(B159,OFFSET(HeatRateStart,1,MATCH($A159,HeatRateNames,0)-1,250,1),$A160)</f>
        <v>21.408914120793344</v>
      </c>
      <c r="C160" s="189">
        <f t="shared" ca="1" si="78"/>
        <v>21.408914120793344</v>
      </c>
      <c r="D160" s="189">
        <f t="shared" ca="1" si="78"/>
        <v>21.408914120793344</v>
      </c>
      <c r="E160" s="189">
        <f ca="1">IndGencost(E159,OFFSET(HeatRateStart,1,MATCH($A159,HeatRateNames,0)-1,250,1),$A160)</f>
        <v>21.408914120793344</v>
      </c>
      <c r="F160" s="189">
        <f t="shared" ca="1" si="78"/>
        <v>21.236003423668969</v>
      </c>
      <c r="G160" s="189">
        <f t="shared" ca="1" si="78"/>
        <v>21.228825794855755</v>
      </c>
      <c r="H160" s="189">
        <f t="shared" ca="1" si="78"/>
        <v>21.228825794855755</v>
      </c>
      <c r="I160" s="189">
        <f t="shared" ca="1" si="78"/>
        <v>21.222998061012682</v>
      </c>
      <c r="J160" s="189">
        <f t="shared" ca="1" si="78"/>
        <v>21.228825794855755</v>
      </c>
      <c r="K160" s="189">
        <f t="shared" ca="1" si="78"/>
        <v>21.228825794855755</v>
      </c>
      <c r="L160" s="189">
        <f t="shared" ca="1" si="78"/>
        <v>21.228825794855755</v>
      </c>
      <c r="M160" s="189">
        <f t="shared" ca="1" si="78"/>
        <v>21.222998061012682</v>
      </c>
      <c r="N160" s="189">
        <f t="shared" ca="1" si="78"/>
        <v>21.222998061012682</v>
      </c>
      <c r="O160" s="189">
        <f t="shared" ca="1" si="78"/>
        <v>21.222998061012682</v>
      </c>
      <c r="P160" s="189">
        <f t="shared" ca="1" si="78"/>
        <v>21.222998061012682</v>
      </c>
      <c r="Q160" s="189">
        <f t="shared" ca="1" si="78"/>
        <v>21.222998061012682</v>
      </c>
      <c r="R160" s="189">
        <f t="shared" ca="1" si="78"/>
        <v>21.228825794855755</v>
      </c>
      <c r="S160" s="189">
        <f t="shared" ca="1" si="78"/>
        <v>21.222998061012682</v>
      </c>
      <c r="T160" s="189">
        <f t="shared" ca="1" si="78"/>
        <v>21.222998061012682</v>
      </c>
      <c r="U160" s="189">
        <f t="shared" ca="1" si="78"/>
        <v>21.228825794855755</v>
      </c>
      <c r="V160" s="189">
        <f t="shared" ca="1" si="78"/>
        <v>21.228825794855755</v>
      </c>
      <c r="W160" s="189">
        <f t="shared" ca="1" si="78"/>
        <v>21.222998061012682</v>
      </c>
      <c r="X160" s="189">
        <f t="shared" ca="1" si="78"/>
        <v>21.222998061012682</v>
      </c>
      <c r="Y160" s="189">
        <f t="shared" ca="1" si="78"/>
        <v>21.222998061012682</v>
      </c>
      <c r="Z160" s="252">
        <f t="array" aca="1" ref="Z160" ca="1">SUM(B159:Y159*B160:Y160)</f>
        <v>42707.965306098464</v>
      </c>
      <c r="AA160" s="311"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8" thickBot="1" x14ac:dyDescent="0.3">
      <c r="A163" s="187" t="s">
        <v>166</v>
      </c>
      <c r="B163" s="188">
        <f t="shared" ref="B163:Y163" ca="1" si="80">B162-B160</f>
        <v>0.11218820967844323</v>
      </c>
      <c r="C163" s="188">
        <f t="shared" ca="1" si="80"/>
        <v>0.11218820967844323</v>
      </c>
      <c r="D163" s="188">
        <f t="shared" ca="1" si="80"/>
        <v>0.11218820967844323</v>
      </c>
      <c r="E163" s="188">
        <f t="shared" ca="1" si="80"/>
        <v>0.11218820967844323</v>
      </c>
      <c r="F163" s="188">
        <f t="shared" ca="1" si="80"/>
        <v>7.3073008916750837E-2</v>
      </c>
      <c r="G163" s="188">
        <f t="shared" ca="1" si="80"/>
        <v>-1.8879665891333275E-2</v>
      </c>
      <c r="H163" s="188">
        <f t="shared" ca="1" si="80"/>
        <v>0.29227653561603262</v>
      </c>
      <c r="I163" s="188">
        <f t="shared" ca="1" si="80"/>
        <v>0.29810426945910606</v>
      </c>
      <c r="J163" s="188">
        <f t="shared" ca="1" si="80"/>
        <v>0.29227653561603262</v>
      </c>
      <c r="K163" s="188">
        <f t="shared" ca="1" si="80"/>
        <v>0.29227653561603262</v>
      </c>
      <c r="L163" s="188">
        <f t="shared" ca="1" si="80"/>
        <v>0.29227653561603262</v>
      </c>
      <c r="M163" s="188">
        <f t="shared" ca="1" si="80"/>
        <v>0.29810426945910606</v>
      </c>
      <c r="N163" s="188">
        <f t="shared" ca="1" si="80"/>
        <v>0.29810426945910606</v>
      </c>
      <c r="O163" s="188">
        <f t="shared" ca="1" si="80"/>
        <v>0.29810426945910606</v>
      </c>
      <c r="P163" s="188">
        <f t="shared" ca="1" si="80"/>
        <v>0.29810426945910606</v>
      </c>
      <c r="Q163" s="188">
        <f t="shared" ca="1" si="80"/>
        <v>0.29810426945910606</v>
      </c>
      <c r="R163" s="188">
        <f t="shared" ca="1" si="80"/>
        <v>0.29227653561603262</v>
      </c>
      <c r="S163" s="188">
        <f t="shared" ca="1" si="80"/>
        <v>0.29810426945910606</v>
      </c>
      <c r="T163" s="188">
        <f t="shared" ca="1" si="80"/>
        <v>-1.7551578922290645E-2</v>
      </c>
      <c r="U163" s="188">
        <f t="shared" ca="1" si="80"/>
        <v>0.21001332470864398</v>
      </c>
      <c r="V163" s="188">
        <f t="shared" ca="1" si="80"/>
        <v>0</v>
      </c>
      <c r="W163" s="188">
        <f t="shared" ca="1" si="80"/>
        <v>8.6078371573037771E-2</v>
      </c>
      <c r="X163" s="188">
        <f t="shared" ca="1" si="80"/>
        <v>0.29810426945910606</v>
      </c>
      <c r="Y163" s="188">
        <f t="shared" ca="1" si="80"/>
        <v>0.29810426945910606</v>
      </c>
      <c r="Z163" s="253">
        <f ca="1">Z160-Z162</f>
        <v>10582.43868540764</v>
      </c>
      <c r="AA163" s="255"/>
    </row>
    <row r="164" spans="1:27" s="262" customFormat="1" x14ac:dyDescent="0.25">
      <c r="A164" s="295" t="s">
        <v>183</v>
      </c>
      <c r="B164" s="296">
        <f t="shared" ref="B164:Y164" si="81">B159+B154+B149+B144+B139+B134+B129+B124+B119+B114+B109+B104+B101+B98+B95+B92+B89</f>
        <v>950</v>
      </c>
      <c r="C164" s="296">
        <f t="shared" si="81"/>
        <v>935</v>
      </c>
      <c r="D164" s="296">
        <f t="shared" si="81"/>
        <v>959</v>
      </c>
      <c r="E164" s="296">
        <f t="shared" si="81"/>
        <v>950</v>
      </c>
      <c r="F164" s="296">
        <f t="shared" si="81"/>
        <v>1001</v>
      </c>
      <c r="G164" s="296">
        <f t="shared" si="81"/>
        <v>1035</v>
      </c>
      <c r="H164" s="296">
        <f t="shared" si="81"/>
        <v>863</v>
      </c>
      <c r="I164" s="296">
        <f t="shared" si="81"/>
        <v>843</v>
      </c>
      <c r="J164" s="296">
        <f t="shared" si="81"/>
        <v>1033</v>
      </c>
      <c r="K164" s="296">
        <f t="shared" si="81"/>
        <v>1113</v>
      </c>
      <c r="L164" s="296">
        <f t="shared" si="81"/>
        <v>1100</v>
      </c>
      <c r="M164" s="296" t="e">
        <f t="shared" si="81"/>
        <v>#REF!</v>
      </c>
      <c r="N164" s="296">
        <f t="shared" si="81"/>
        <v>1136</v>
      </c>
      <c r="O164" s="296">
        <f t="shared" si="81"/>
        <v>1128</v>
      </c>
      <c r="P164" s="296">
        <f t="shared" si="81"/>
        <v>1124</v>
      </c>
      <c r="Q164" s="296">
        <f t="shared" si="81"/>
        <v>1134</v>
      </c>
      <c r="R164" s="296">
        <f t="shared" si="81"/>
        <v>1069</v>
      </c>
      <c r="S164" s="296">
        <f t="shared" si="81"/>
        <v>973</v>
      </c>
      <c r="T164" s="296">
        <f t="shared" si="81"/>
        <v>887</v>
      </c>
      <c r="U164" s="296">
        <f t="shared" si="81"/>
        <v>997</v>
      </c>
      <c r="V164" s="296">
        <f t="shared" si="81"/>
        <v>1015</v>
      </c>
      <c r="W164" s="296">
        <f t="shared" si="81"/>
        <v>976</v>
      </c>
      <c r="X164" s="296">
        <f t="shared" si="81"/>
        <v>1064</v>
      </c>
      <c r="Y164" s="297">
        <f t="shared" si="81"/>
        <v>1057</v>
      </c>
      <c r="Z164" s="263"/>
      <c r="AA164" s="261"/>
    </row>
    <row r="165" spans="1:27" s="262" customFormat="1" ht="13.5" customHeight="1" thickBot="1" x14ac:dyDescent="0.3">
      <c r="A165" s="298" t="s">
        <v>184</v>
      </c>
      <c r="B165" s="299">
        <f t="shared" ref="B165:Y165" si="82">B161+B156+B151+B146+B141+B136+B131+B126+B121+B116+B111+B106+B102+B99+B96+B93+B90</f>
        <v>979</v>
      </c>
      <c r="C165" s="299">
        <f t="shared" si="82"/>
        <v>878</v>
      </c>
      <c r="D165" s="299">
        <f t="shared" si="82"/>
        <v>848</v>
      </c>
      <c r="E165" s="299">
        <f t="shared" si="82"/>
        <v>848</v>
      </c>
      <c r="F165" s="299">
        <f t="shared" si="82"/>
        <v>858</v>
      </c>
      <c r="G165" s="299">
        <f t="shared" si="82"/>
        <v>868</v>
      </c>
      <c r="H165" s="299">
        <f t="shared" si="82"/>
        <v>894</v>
      </c>
      <c r="I165" s="299">
        <f t="shared" si="82"/>
        <v>879</v>
      </c>
      <c r="J165" s="299">
        <f t="shared" si="82"/>
        <v>879</v>
      </c>
      <c r="K165" s="299">
        <f t="shared" si="82"/>
        <v>922</v>
      </c>
      <c r="L165" s="299">
        <f t="shared" si="82"/>
        <v>959</v>
      </c>
      <c r="M165" s="299">
        <f t="shared" si="82"/>
        <v>995</v>
      </c>
      <c r="N165" s="299">
        <f t="shared" si="82"/>
        <v>992</v>
      </c>
      <c r="O165" s="299">
        <f t="shared" si="82"/>
        <v>993</v>
      </c>
      <c r="P165" s="299">
        <f t="shared" si="82"/>
        <v>993</v>
      </c>
      <c r="Q165" s="299">
        <f t="shared" si="82"/>
        <v>993</v>
      </c>
      <c r="R165" s="299">
        <f t="shared" si="82"/>
        <v>993</v>
      </c>
      <c r="S165" s="299">
        <f t="shared" si="82"/>
        <v>934</v>
      </c>
      <c r="T165" s="299">
        <f t="shared" si="82"/>
        <v>1091</v>
      </c>
      <c r="U165" s="299">
        <f t="shared" si="82"/>
        <v>1054</v>
      </c>
      <c r="V165" s="299">
        <f t="shared" si="82"/>
        <v>968</v>
      </c>
      <c r="W165" s="299">
        <f>W161+W156+W151+W146+W141+W136+W131+W126+W121+W116+W111+W106+W102+W99+W96+W93+W90</f>
        <v>938</v>
      </c>
      <c r="X165" s="299">
        <f t="shared" si="82"/>
        <v>974</v>
      </c>
      <c r="Y165" s="300">
        <f t="shared" si="82"/>
        <v>974</v>
      </c>
      <c r="Z165" s="264"/>
      <c r="AA165" s="174" t="e">
        <f ca="1">Z163+Z158+Z153+Z148+Z143+Z138+Z133+Z128+Z123+Z118+Z113+Z108+Z103+Z100+Z97+Z94+Z91</f>
        <v>#REF!</v>
      </c>
    </row>
    <row r="166" spans="1:27" x14ac:dyDescent="0.25">
      <c r="A166" s="323" t="s">
        <v>185</v>
      </c>
      <c r="B166" s="324">
        <f t="shared" ref="B166:Y166" si="83">B165-B164</f>
        <v>29</v>
      </c>
      <c r="C166" s="324">
        <f t="shared" si="83"/>
        <v>-57</v>
      </c>
      <c r="D166" s="324">
        <f t="shared" si="83"/>
        <v>-111</v>
      </c>
      <c r="E166" s="324">
        <f t="shared" si="83"/>
        <v>-102</v>
      </c>
      <c r="F166" s="324">
        <f t="shared" si="83"/>
        <v>-143</v>
      </c>
      <c r="G166" s="324">
        <f t="shared" si="83"/>
        <v>-167</v>
      </c>
      <c r="H166" s="324">
        <f t="shared" si="83"/>
        <v>31</v>
      </c>
      <c r="I166" s="324">
        <f t="shared" si="83"/>
        <v>36</v>
      </c>
      <c r="J166" s="324">
        <f t="shared" si="83"/>
        <v>-154</v>
      </c>
      <c r="K166" s="324">
        <f t="shared" si="83"/>
        <v>-191</v>
      </c>
      <c r="L166" s="324">
        <f t="shared" si="83"/>
        <v>-141</v>
      </c>
      <c r="M166" s="324" t="e">
        <f t="shared" si="83"/>
        <v>#REF!</v>
      </c>
      <c r="N166" s="324">
        <f t="shared" si="83"/>
        <v>-144</v>
      </c>
      <c r="O166" s="324">
        <f t="shared" si="83"/>
        <v>-135</v>
      </c>
      <c r="P166" s="324">
        <f t="shared" si="83"/>
        <v>-131</v>
      </c>
      <c r="Q166" s="324">
        <f t="shared" si="83"/>
        <v>-141</v>
      </c>
      <c r="R166" s="324">
        <f t="shared" si="83"/>
        <v>-76</v>
      </c>
      <c r="S166" s="324">
        <f t="shared" si="83"/>
        <v>-39</v>
      </c>
      <c r="T166" s="324">
        <f t="shared" si="83"/>
        <v>204</v>
      </c>
      <c r="U166" s="324">
        <f t="shared" si="83"/>
        <v>57</v>
      </c>
      <c r="V166" s="324">
        <f t="shared" si="83"/>
        <v>-47</v>
      </c>
      <c r="W166" s="324">
        <f t="shared" si="83"/>
        <v>-38</v>
      </c>
      <c r="X166" s="324">
        <f t="shared" si="83"/>
        <v>-90</v>
      </c>
      <c r="Y166" s="325">
        <f t="shared" si="83"/>
        <v>-83</v>
      </c>
      <c r="Z166" s="329" t="e">
        <f>SUM(B166:Y166)</f>
        <v>#REF!</v>
      </c>
    </row>
    <row r="167" spans="1:27" s="318" customFormat="1" ht="32.25" customHeight="1" thickBot="1" x14ac:dyDescent="0.3">
      <c r="A167" s="326" t="s">
        <v>186</v>
      </c>
      <c r="B167" s="327">
        <f t="shared" ref="B167:Y167" ca="1" si="84">B58</f>
        <v>1</v>
      </c>
      <c r="C167" s="327">
        <f t="shared" ca="1" si="84"/>
        <v>-1</v>
      </c>
      <c r="D167" s="327">
        <f t="shared" ca="1" si="84"/>
        <v>3</v>
      </c>
      <c r="E167" s="327">
        <f ca="1">E58</f>
        <v>-1</v>
      </c>
      <c r="F167" s="327">
        <f t="shared" ca="1" si="84"/>
        <v>-1</v>
      </c>
      <c r="G167" s="327">
        <f t="shared" ca="1" si="84"/>
        <v>8</v>
      </c>
      <c r="H167" s="327">
        <f t="shared" ca="1" si="84"/>
        <v>105</v>
      </c>
      <c r="I167" s="327">
        <f t="shared" ca="1" si="84"/>
        <v>-7</v>
      </c>
      <c r="J167" s="327">
        <f t="shared" ca="1" si="84"/>
        <v>-11</v>
      </c>
      <c r="K167" s="327">
        <f t="shared" ca="1" si="84"/>
        <v>5</v>
      </c>
      <c r="L167" s="327">
        <f t="shared" ca="1" si="84"/>
        <v>-13</v>
      </c>
      <c r="M167" s="327">
        <f t="shared" ca="1" si="84"/>
        <v>23</v>
      </c>
      <c r="N167" s="327">
        <f t="shared" ca="1" si="84"/>
        <v>18</v>
      </c>
      <c r="O167" s="327">
        <f t="shared" ca="1" si="84"/>
        <v>23</v>
      </c>
      <c r="P167" s="327">
        <f t="shared" ca="1" si="84"/>
        <v>16</v>
      </c>
      <c r="Q167" s="327">
        <f t="shared" ca="1" si="84"/>
        <v>30</v>
      </c>
      <c r="R167" s="327">
        <f t="shared" ca="1" si="84"/>
        <v>15</v>
      </c>
      <c r="S167" s="327">
        <f t="shared" ca="1" si="84"/>
        <v>12</v>
      </c>
      <c r="T167" s="327">
        <f t="shared" ca="1" si="84"/>
        <v>-79</v>
      </c>
      <c r="U167" s="327">
        <f t="shared" ca="1" si="84"/>
        <v>31</v>
      </c>
      <c r="V167" s="327">
        <f t="shared" ca="1" si="84"/>
        <v>-6</v>
      </c>
      <c r="W167" s="327">
        <f t="shared" ca="1" si="84"/>
        <v>27</v>
      </c>
      <c r="X167" s="327">
        <f ca="1">X58</f>
        <v>28</v>
      </c>
      <c r="Y167" s="328">
        <f t="shared" ca="1" si="84"/>
        <v>44</v>
      </c>
      <c r="Z167" s="316">
        <f ca="1">SUM(B167:Y167)</f>
        <v>270</v>
      </c>
      <c r="AA167" s="317"/>
    </row>
    <row r="168" spans="1:27" ht="13.8" hidden="1" thickBot="1" x14ac:dyDescent="0.3">
      <c r="A168" s="319" t="s">
        <v>187</v>
      </c>
      <c r="B168" s="320">
        <f t="shared" ref="B168:Y168" ca="1" si="85">B167+B166</f>
        <v>30</v>
      </c>
      <c r="C168" s="320">
        <f t="shared" ca="1" si="85"/>
        <v>-58</v>
      </c>
      <c r="D168" s="320">
        <f t="shared" ca="1" si="85"/>
        <v>-108</v>
      </c>
      <c r="E168" s="320">
        <f t="shared" ca="1" si="85"/>
        <v>-103</v>
      </c>
      <c r="F168" s="320">
        <f t="shared" ca="1" si="85"/>
        <v>-144</v>
      </c>
      <c r="G168" s="320">
        <f t="shared" ca="1" si="85"/>
        <v>-159</v>
      </c>
      <c r="H168" s="320">
        <f t="shared" ca="1" si="85"/>
        <v>136</v>
      </c>
      <c r="I168" s="320">
        <f t="shared" ca="1" si="85"/>
        <v>29</v>
      </c>
      <c r="J168" s="320">
        <f t="shared" ca="1" si="85"/>
        <v>-165</v>
      </c>
      <c r="K168" s="320">
        <f t="shared" ca="1" si="85"/>
        <v>-186</v>
      </c>
      <c r="L168" s="320">
        <f t="shared" ca="1" si="85"/>
        <v>-154</v>
      </c>
      <c r="M168" s="320" t="e">
        <f t="shared" ca="1" si="85"/>
        <v>#REF!</v>
      </c>
      <c r="N168" s="320">
        <f t="shared" ca="1" si="85"/>
        <v>-126</v>
      </c>
      <c r="O168" s="320">
        <f t="shared" ca="1" si="85"/>
        <v>-112</v>
      </c>
      <c r="P168" s="320">
        <f t="shared" ca="1" si="85"/>
        <v>-115</v>
      </c>
      <c r="Q168" s="320">
        <f t="shared" ca="1" si="85"/>
        <v>-111</v>
      </c>
      <c r="R168" s="320">
        <f t="shared" ca="1" si="85"/>
        <v>-61</v>
      </c>
      <c r="S168" s="320">
        <f t="shared" ca="1" si="85"/>
        <v>-27</v>
      </c>
      <c r="T168" s="320">
        <f t="shared" ca="1" si="85"/>
        <v>125</v>
      </c>
      <c r="U168" s="320">
        <f t="shared" ca="1" si="85"/>
        <v>88</v>
      </c>
      <c r="V168" s="320">
        <f t="shared" ca="1" si="85"/>
        <v>-53</v>
      </c>
      <c r="W168" s="320">
        <f t="shared" ca="1" si="85"/>
        <v>-11</v>
      </c>
      <c r="X168" s="320">
        <f t="shared" ca="1" si="85"/>
        <v>-62</v>
      </c>
      <c r="Y168" s="320">
        <f t="shared" ca="1" si="85"/>
        <v>-39</v>
      </c>
      <c r="Z168" s="321" t="e">
        <f ca="1">SUM(B168:Y168)</f>
        <v>#REF!</v>
      </c>
    </row>
    <row r="169" spans="1:27" ht="13.8" thickBot="1" x14ac:dyDescent="0.3">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3">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5">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319</v>
      </c>
      <c r="C171" s="331">
        <f t="shared" si="86"/>
        <v>334</v>
      </c>
      <c r="D171" s="331">
        <f t="shared" si="86"/>
        <v>310</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319</v>
      </c>
      <c r="F171" s="331">
        <f t="shared" si="86"/>
        <v>279</v>
      </c>
      <c r="G171" s="331">
        <f t="shared" si="86"/>
        <v>264</v>
      </c>
      <c r="H171" s="331">
        <f t="shared" si="86"/>
        <v>436</v>
      </c>
      <c r="I171" s="331">
        <f t="shared" si="86"/>
        <v>455</v>
      </c>
      <c r="J171" s="331">
        <f t="shared" si="86"/>
        <v>266</v>
      </c>
      <c r="K171" s="331">
        <f t="shared" si="86"/>
        <v>250</v>
      </c>
      <c r="L171" s="331">
        <f t="shared" si="86"/>
        <v>263</v>
      </c>
      <c r="M171" s="331">
        <f t="shared" si="86"/>
        <v>233</v>
      </c>
      <c r="N171" s="331">
        <f t="shared" si="86"/>
        <v>226</v>
      </c>
      <c r="O171" s="331">
        <f t="shared" si="86"/>
        <v>234</v>
      </c>
      <c r="P171" s="331">
        <f t="shared" si="86"/>
        <v>238</v>
      </c>
      <c r="Q171" s="331">
        <f t="shared" si="86"/>
        <v>228</v>
      </c>
      <c r="R171" s="331">
        <f t="shared" si="86"/>
        <v>294</v>
      </c>
      <c r="S171" s="331">
        <f t="shared" si="86"/>
        <v>379</v>
      </c>
      <c r="T171" s="331">
        <f t="shared" si="86"/>
        <v>380</v>
      </c>
      <c r="U171" s="331">
        <f t="shared" si="86"/>
        <v>302</v>
      </c>
      <c r="V171" s="331">
        <f t="shared" si="86"/>
        <v>284</v>
      </c>
      <c r="W171" s="331">
        <f t="shared" si="86"/>
        <v>252</v>
      </c>
      <c r="X171" s="331">
        <f t="shared" si="86"/>
        <v>228</v>
      </c>
      <c r="Y171" s="332">
        <f t="shared" si="86"/>
        <v>235</v>
      </c>
      <c r="Z171" s="262"/>
    </row>
    <row r="172" spans="1:27" ht="28.5" customHeight="1" thickBot="1" x14ac:dyDescent="0.3">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4">
        <f t="shared" si="87"/>
        <v>230</v>
      </c>
      <c r="D172" s="334">
        <f t="shared" si="87"/>
        <v>270</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34">
        <f t="shared" si="87"/>
        <v>269</v>
      </c>
      <c r="G172" s="334">
        <f t="shared" si="87"/>
        <v>269</v>
      </c>
      <c r="H172" s="334">
        <f t="shared" si="87"/>
        <v>224</v>
      </c>
      <c r="I172" s="334">
        <f t="shared" si="87"/>
        <v>229</v>
      </c>
      <c r="J172" s="334">
        <f t="shared" si="87"/>
        <v>229</v>
      </c>
      <c r="K172" s="334">
        <f t="shared" si="87"/>
        <v>250</v>
      </c>
      <c r="L172" s="334">
        <f t="shared" si="87"/>
        <v>213</v>
      </c>
      <c r="M172" s="334">
        <f t="shared" si="87"/>
        <v>177</v>
      </c>
      <c r="N172" s="334">
        <f t="shared" si="87"/>
        <v>180</v>
      </c>
      <c r="O172" s="334">
        <f t="shared" si="87"/>
        <v>179</v>
      </c>
      <c r="P172" s="334">
        <f t="shared" si="87"/>
        <v>179</v>
      </c>
      <c r="Q172" s="334">
        <f t="shared" si="87"/>
        <v>179</v>
      </c>
      <c r="R172" s="334">
        <f t="shared" si="87"/>
        <v>179</v>
      </c>
      <c r="S172" s="334">
        <f t="shared" si="87"/>
        <v>228</v>
      </c>
      <c r="T172" s="334">
        <f t="shared" si="87"/>
        <v>120</v>
      </c>
      <c r="U172" s="334">
        <f t="shared" si="87"/>
        <v>118</v>
      </c>
      <c r="V172" s="334">
        <f t="shared" si="87"/>
        <v>184</v>
      </c>
      <c r="W172" s="334">
        <f t="shared" si="87"/>
        <v>189</v>
      </c>
      <c r="X172" s="334">
        <f t="shared" si="87"/>
        <v>208</v>
      </c>
      <c r="Y172" s="335">
        <f t="shared" si="87"/>
        <v>208</v>
      </c>
      <c r="Z172" s="262"/>
    </row>
    <row r="173" spans="1:27" hidden="1" x14ac:dyDescent="0.25">
      <c r="A173" s="304" t="s">
        <v>192</v>
      </c>
      <c r="B173" s="266" t="e">
        <f ca="1">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5">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5">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5">
      <c r="B176" s="257" t="s">
        <v>195</v>
      </c>
      <c r="C176" s="157"/>
      <c r="D176" s="157"/>
      <c r="E176" s="157"/>
      <c r="F176" s="157"/>
      <c r="G176" s="157"/>
      <c r="H176" s="313" t="s">
        <v>196</v>
      </c>
      <c r="I176" s="314"/>
      <c r="J176" s="314"/>
      <c r="K176" s="315">
        <v>524</v>
      </c>
      <c r="L176" s="157" t="s">
        <v>197</v>
      </c>
      <c r="M176" s="157"/>
      <c r="N176" s="157"/>
      <c r="O176" s="157"/>
      <c r="P176" s="256"/>
    </row>
    <row r="177" spans="2:26" x14ac:dyDescent="0.25">
      <c r="B177" s="257" t="s">
        <v>198</v>
      </c>
      <c r="C177" s="157"/>
      <c r="D177" s="157"/>
      <c r="E177" s="157"/>
      <c r="F177" s="157"/>
      <c r="G177" s="157"/>
      <c r="H177" s="157"/>
      <c r="I177" s="157"/>
      <c r="J177" s="157"/>
      <c r="K177" s="157"/>
      <c r="L177" s="157"/>
      <c r="M177" s="157"/>
      <c r="N177" s="157"/>
      <c r="O177" s="157"/>
      <c r="P177" s="256"/>
    </row>
    <row r="178" spans="2:26" x14ac:dyDescent="0.25">
      <c r="B178" s="257" t="s">
        <v>199</v>
      </c>
      <c r="C178" s="157"/>
      <c r="D178" s="157"/>
      <c r="E178" s="157"/>
      <c r="F178" s="157"/>
      <c r="G178" s="157"/>
      <c r="H178" s="157"/>
      <c r="I178" s="157"/>
      <c r="J178" s="157"/>
      <c r="K178" s="157"/>
      <c r="L178" s="157"/>
      <c r="M178" s="157"/>
      <c r="N178" s="157"/>
      <c r="O178" s="157"/>
      <c r="P178" s="256"/>
    </row>
    <row r="179" spans="2:26" x14ac:dyDescent="0.25">
      <c r="B179" s="257" t="s">
        <v>200</v>
      </c>
      <c r="C179" s="157"/>
      <c r="D179" s="157"/>
      <c r="E179" s="157"/>
      <c r="F179" s="157"/>
      <c r="G179" s="157"/>
      <c r="H179" s="157"/>
      <c r="I179" s="157"/>
      <c r="J179" s="157"/>
      <c r="K179" s="157"/>
      <c r="L179" s="157"/>
      <c r="M179" s="157"/>
      <c r="N179" s="157"/>
      <c r="O179" s="157"/>
      <c r="P179" s="256"/>
    </row>
    <row r="180" spans="2:26" x14ac:dyDescent="0.25">
      <c r="B180" s="336" t="s">
        <v>201</v>
      </c>
      <c r="C180" s="157"/>
      <c r="D180" s="157"/>
      <c r="E180" s="157"/>
      <c r="F180" s="157"/>
      <c r="G180" s="157"/>
      <c r="H180" s="157"/>
      <c r="I180" s="157"/>
      <c r="J180" s="157"/>
      <c r="K180" s="157"/>
      <c r="L180" s="157"/>
      <c r="M180" s="157"/>
      <c r="N180" s="157"/>
      <c r="O180" s="157"/>
      <c r="P180" s="256"/>
    </row>
    <row r="181" spans="2:26" x14ac:dyDescent="0.25">
      <c r="B181" s="273" t="s">
        <v>202</v>
      </c>
      <c r="C181" s="274"/>
      <c r="D181" s="157"/>
      <c r="E181" s="157"/>
      <c r="F181" s="157"/>
      <c r="G181" s="157"/>
      <c r="H181" s="157"/>
      <c r="I181" s="157"/>
      <c r="J181" s="157"/>
      <c r="K181" s="157"/>
      <c r="L181" s="157"/>
      <c r="M181" s="157"/>
      <c r="N181" s="157"/>
      <c r="O181" s="157"/>
      <c r="P181" s="256"/>
    </row>
    <row r="182" spans="2:26" x14ac:dyDescent="0.25">
      <c r="B182" s="337" t="s">
        <v>203</v>
      </c>
      <c r="C182" s="157"/>
      <c r="D182" s="157"/>
      <c r="E182" s="157"/>
      <c r="F182" s="157"/>
      <c r="G182" s="157"/>
      <c r="H182" s="157"/>
      <c r="I182" s="157"/>
      <c r="J182" s="157"/>
      <c r="K182" s="157"/>
      <c r="L182" s="157"/>
      <c r="M182" s="157"/>
      <c r="N182" s="157"/>
      <c r="O182" s="157"/>
      <c r="P182" s="256"/>
    </row>
    <row r="183" spans="2:26" x14ac:dyDescent="0.25">
      <c r="B183" s="338" t="s">
        <v>204</v>
      </c>
      <c r="C183" s="157"/>
      <c r="D183" s="157"/>
      <c r="E183" s="157"/>
      <c r="F183" s="157"/>
      <c r="G183" s="157"/>
      <c r="H183" s="157"/>
      <c r="I183" s="157"/>
      <c r="J183" s="157"/>
      <c r="K183" s="157"/>
      <c r="L183" s="157"/>
      <c r="M183" s="157"/>
      <c r="N183" s="157"/>
      <c r="O183" s="157"/>
      <c r="P183" s="256"/>
    </row>
    <row r="184" spans="2:26" x14ac:dyDescent="0.25">
      <c r="B184" s="258"/>
      <c r="C184" s="259"/>
      <c r="D184" s="259"/>
      <c r="E184" s="259"/>
      <c r="F184" s="259"/>
      <c r="G184" s="259"/>
      <c r="H184" s="259"/>
      <c r="I184" s="259"/>
      <c r="J184" s="259"/>
      <c r="K184" s="259"/>
      <c r="L184" s="259"/>
      <c r="M184" s="259"/>
      <c r="N184" s="259"/>
      <c r="O184" s="259"/>
      <c r="P184" s="260"/>
    </row>
    <row r="185" spans="2:26" x14ac:dyDescent="0.25">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5">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5">
      <c r="A199" s="463"/>
    </row>
    <row r="200" spans="1:25" x14ac:dyDescent="0.25">
      <c r="A200" s="463"/>
    </row>
    <row r="222" spans="5:5" x14ac:dyDescent="0.25">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4"/>
  <sheetViews>
    <sheetView showGridLines="0" tabSelected="1" topLeftCell="G72" zoomScale="60" zoomScaleNormal="60" workbookViewId="0">
      <selection activeCell="Y77" sqref="Y77"/>
    </sheetView>
  </sheetViews>
  <sheetFormatPr defaultColWidth="6.109375" defaultRowHeight="13.2" x14ac:dyDescent="0.25"/>
  <cols>
    <col min="1" max="1" width="21.44140625" style="366" customWidth="1"/>
    <col min="2" max="2" width="13.109375" style="366" customWidth="1"/>
    <col min="3" max="3" width="9.6640625" style="366" customWidth="1"/>
    <col min="4" max="4" width="12.5546875" style="366" customWidth="1"/>
    <col min="5" max="5" width="3.6640625" style="366" hidden="1" customWidth="1"/>
    <col min="6" max="6" width="10.88671875" style="598" customWidth="1"/>
    <col min="7" max="7" width="7.33203125" style="366" customWidth="1"/>
    <col min="8" max="8" width="7.33203125" style="415" customWidth="1"/>
    <col min="9" max="12" width="7.33203125" style="366" customWidth="1"/>
    <col min="13" max="28" width="7.33203125" style="598" customWidth="1"/>
    <col min="29" max="29" width="7.33203125" style="606" customWidth="1"/>
    <col min="30" max="30" width="13.109375" style="366" customWidth="1"/>
    <col min="31" max="31" width="14.5546875" style="370" customWidth="1"/>
    <col min="32" max="16384" width="6.109375" style="366"/>
  </cols>
  <sheetData>
    <row r="1" spans="1:75" s="353" customFormat="1" ht="15.75" customHeight="1" x14ac:dyDescent="0.25">
      <c r="A1" s="350"/>
      <c r="B1" s="351"/>
      <c r="C1" s="351"/>
      <c r="D1" s="351"/>
      <c r="E1" s="351"/>
      <c r="F1" s="596"/>
      <c r="G1" s="351"/>
      <c r="H1" s="681"/>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5">
      <c r="A2" s="354" t="s">
        <v>60</v>
      </c>
      <c r="B2" s="355" t="s">
        <v>59</v>
      </c>
      <c r="C2" s="355" t="s">
        <v>58</v>
      </c>
      <c r="D2" s="355" t="s">
        <v>9</v>
      </c>
      <c r="E2" s="355"/>
      <c r="F2" s="565">
        <v>1</v>
      </c>
      <c r="G2" s="356">
        <v>2</v>
      </c>
      <c r="H2" s="682">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5">
      <c r="A3" s="572" t="s">
        <v>63</v>
      </c>
      <c r="B3" s="573" t="s">
        <v>62</v>
      </c>
      <c r="C3" s="495" t="s">
        <v>152</v>
      </c>
      <c r="D3" s="703"/>
      <c r="E3" s="703"/>
      <c r="F3" s="630">
        <v>150</v>
      </c>
      <c r="G3" s="630">
        <v>150</v>
      </c>
      <c r="H3" s="630">
        <v>150</v>
      </c>
      <c r="I3" s="630">
        <v>150</v>
      </c>
      <c r="J3" s="630">
        <v>150</v>
      </c>
      <c r="K3" s="630">
        <v>130</v>
      </c>
      <c r="L3" s="630">
        <v>70</v>
      </c>
      <c r="M3" s="630">
        <v>100</v>
      </c>
      <c r="N3" s="630">
        <v>147</v>
      </c>
      <c r="O3" s="630">
        <v>147</v>
      </c>
      <c r="P3" s="630">
        <v>147</v>
      </c>
      <c r="Q3" s="630">
        <v>147</v>
      </c>
      <c r="R3" s="630">
        <v>147</v>
      </c>
      <c r="S3" s="630">
        <v>147</v>
      </c>
      <c r="T3" s="630">
        <v>147</v>
      </c>
      <c r="U3" s="630">
        <v>147</v>
      </c>
      <c r="V3" s="630">
        <v>147</v>
      </c>
      <c r="W3" s="630">
        <v>147</v>
      </c>
      <c r="X3" s="630">
        <v>147</v>
      </c>
      <c r="Y3" s="630">
        <v>150</v>
      </c>
      <c r="Z3" s="630">
        <v>150</v>
      </c>
      <c r="AA3" s="630">
        <v>150</v>
      </c>
      <c r="AB3" s="630">
        <v>150</v>
      </c>
      <c r="AC3" s="630">
        <v>150</v>
      </c>
      <c r="AD3" s="592">
        <f>SUM(F3:AC3)</f>
        <v>3417</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5">
      <c r="A4" s="572" t="s">
        <v>65</v>
      </c>
      <c r="B4" s="573" t="s">
        <v>62</v>
      </c>
      <c r="C4" s="495" t="s">
        <v>362</v>
      </c>
      <c r="D4" s="703"/>
      <c r="E4" s="703"/>
      <c r="F4" s="630">
        <v>25</v>
      </c>
      <c r="G4" s="630">
        <v>25</v>
      </c>
      <c r="H4" s="630">
        <v>25</v>
      </c>
      <c r="I4" s="630">
        <v>25</v>
      </c>
      <c r="J4" s="630">
        <v>25</v>
      </c>
      <c r="K4" s="630">
        <v>25</v>
      </c>
      <c r="L4" s="630">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5">
      <c r="A5" s="572" t="s">
        <v>64</v>
      </c>
      <c r="B5" s="495" t="s">
        <v>61</v>
      </c>
      <c r="C5" s="495" t="s">
        <v>279</v>
      </c>
      <c r="D5" s="703"/>
      <c r="E5" s="703"/>
      <c r="F5" s="630">
        <v>39</v>
      </c>
      <c r="G5" s="630">
        <v>39</v>
      </c>
      <c r="H5" s="630">
        <v>39</v>
      </c>
      <c r="I5" s="630">
        <v>39</v>
      </c>
      <c r="J5" s="630">
        <v>39</v>
      </c>
      <c r="K5" s="630">
        <v>39</v>
      </c>
      <c r="L5" s="630">
        <v>39</v>
      </c>
      <c r="M5" s="630">
        <v>39</v>
      </c>
      <c r="N5" s="630">
        <v>39</v>
      </c>
      <c r="O5" s="630">
        <v>39</v>
      </c>
      <c r="P5" s="630">
        <v>39</v>
      </c>
      <c r="Q5" s="630">
        <v>39</v>
      </c>
      <c r="R5" s="630">
        <v>39</v>
      </c>
      <c r="S5" s="630">
        <v>39</v>
      </c>
      <c r="T5" s="630">
        <v>39</v>
      </c>
      <c r="U5" s="630">
        <v>39</v>
      </c>
      <c r="V5" s="630">
        <v>39</v>
      </c>
      <c r="W5" s="630">
        <v>39</v>
      </c>
      <c r="X5" s="630">
        <v>39</v>
      </c>
      <c r="Y5" s="630">
        <v>39</v>
      </c>
      <c r="Z5" s="630">
        <v>39</v>
      </c>
      <c r="AA5" s="630">
        <v>39</v>
      </c>
      <c r="AB5" s="630">
        <v>39</v>
      </c>
      <c r="AC5" s="630">
        <v>39</v>
      </c>
      <c r="AD5" s="592">
        <f t="shared" ref="AD5:AD14" si="2">SUM(E5:AC5)</f>
        <v>936</v>
      </c>
      <c r="AE5" s="531">
        <f t="shared" si="0"/>
        <v>0</v>
      </c>
      <c r="AF5" s="494" t="str">
        <f t="shared" si="1"/>
        <v>sell</v>
      </c>
    </row>
    <row r="6" spans="1:75" s="349" customFormat="1" ht="12.75" customHeight="1" x14ac:dyDescent="0.25">
      <c r="A6" s="574"/>
      <c r="B6" s="564"/>
      <c r="C6" s="563"/>
      <c r="D6" s="704"/>
      <c r="E6" s="703"/>
      <c r="F6" s="630"/>
      <c r="G6" s="630"/>
      <c r="H6" s="630"/>
      <c r="I6" s="630"/>
      <c r="J6" s="630"/>
      <c r="K6" s="630"/>
      <c r="L6" s="630"/>
      <c r="M6" s="630"/>
      <c r="N6" s="630"/>
      <c r="O6" s="630"/>
      <c r="P6" s="630"/>
      <c r="Q6" s="630"/>
      <c r="R6" s="630"/>
      <c r="S6" s="630"/>
      <c r="T6" s="695"/>
      <c r="U6" s="630"/>
      <c r="V6" s="695"/>
      <c r="W6" s="695"/>
      <c r="X6" s="695"/>
      <c r="Y6" s="695"/>
      <c r="Z6" s="695"/>
      <c r="AA6" s="695"/>
      <c r="AB6" s="695"/>
      <c r="AC6" s="630"/>
      <c r="AD6" s="592">
        <f t="shared" si="2"/>
        <v>0</v>
      </c>
      <c r="AE6" s="531">
        <f t="shared" si="0"/>
        <v>0</v>
      </c>
      <c r="AF6" s="494" t="str">
        <f t="shared" si="1"/>
        <v>sell</v>
      </c>
    </row>
    <row r="7" spans="1:75" s="349" customFormat="1" ht="12.75" customHeight="1" x14ac:dyDescent="0.25">
      <c r="A7" s="574" t="s">
        <v>3</v>
      </c>
      <c r="B7" s="495"/>
      <c r="C7" s="495" t="s">
        <v>263</v>
      </c>
      <c r="D7" s="703"/>
      <c r="E7" s="695"/>
      <c r="F7" s="630">
        <v>-103</v>
      </c>
      <c r="G7" s="630">
        <v>-103</v>
      </c>
      <c r="H7" s="630">
        <v>-103</v>
      </c>
      <c r="I7" s="630">
        <v>-103</v>
      </c>
      <c r="J7" s="630">
        <v>-103</v>
      </c>
      <c r="K7" s="630">
        <v>-103</v>
      </c>
      <c r="L7" s="630">
        <v>-103</v>
      </c>
      <c r="M7" s="630">
        <v>-103</v>
      </c>
      <c r="N7" s="630">
        <v>-103</v>
      </c>
      <c r="O7" s="630">
        <v>-103</v>
      </c>
      <c r="P7" s="630">
        <v>-103</v>
      </c>
      <c r="Q7" s="630">
        <v>-103</v>
      </c>
      <c r="R7" s="630">
        <v>-103</v>
      </c>
      <c r="S7" s="630">
        <v>-103</v>
      </c>
      <c r="T7" s="630">
        <v>-103</v>
      </c>
      <c r="U7" s="630">
        <v>-103</v>
      </c>
      <c r="V7" s="630">
        <v>-103</v>
      </c>
      <c r="W7" s="630">
        <v>-103</v>
      </c>
      <c r="X7" s="630">
        <v>-103</v>
      </c>
      <c r="Y7" s="630">
        <v>-103</v>
      </c>
      <c r="Z7" s="630">
        <v>-103</v>
      </c>
      <c r="AA7" s="630">
        <v>-103</v>
      </c>
      <c r="AB7" s="630">
        <v>-103</v>
      </c>
      <c r="AC7" s="630">
        <v>-103</v>
      </c>
      <c r="AD7" s="541">
        <f t="shared" si="2"/>
        <v>-2472</v>
      </c>
      <c r="AE7" s="531">
        <f t="shared" si="0"/>
        <v>0</v>
      </c>
      <c r="AF7" s="494" t="str">
        <f t="shared" si="1"/>
        <v>buy</v>
      </c>
    </row>
    <row r="8" spans="1:75" s="349" customFormat="1" ht="12.75" customHeight="1" x14ac:dyDescent="0.25">
      <c r="A8" s="574" t="s">
        <v>366</v>
      </c>
      <c r="B8" s="495"/>
      <c r="C8" s="563" t="s">
        <v>263</v>
      </c>
      <c r="D8" s="703"/>
      <c r="E8" s="695"/>
      <c r="F8" s="630"/>
      <c r="G8" s="630"/>
      <c r="H8" s="630"/>
      <c r="I8" s="630"/>
      <c r="J8" s="630"/>
      <c r="K8" s="630"/>
      <c r="L8" s="630"/>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5">
      <c r="A9" s="574" t="s">
        <v>366</v>
      </c>
      <c r="B9" s="495"/>
      <c r="C9" s="563" t="s">
        <v>263</v>
      </c>
      <c r="D9" s="703"/>
      <c r="E9" s="695"/>
      <c r="F9" s="719"/>
      <c r="G9" s="719"/>
      <c r="H9" s="719"/>
      <c r="I9" s="719"/>
      <c r="J9" s="719"/>
      <c r="K9" s="719"/>
      <c r="L9" s="719"/>
      <c r="M9" s="719"/>
      <c r="N9" s="719"/>
      <c r="O9" s="719"/>
      <c r="P9" s="719"/>
      <c r="Q9" s="719"/>
      <c r="R9" s="719"/>
      <c r="S9" s="719"/>
      <c r="T9" s="719"/>
      <c r="U9" s="719"/>
      <c r="V9" s="719"/>
      <c r="W9" s="719"/>
      <c r="X9" s="719"/>
      <c r="Y9" s="719"/>
      <c r="Z9" s="719"/>
      <c r="AA9" s="719"/>
      <c r="AB9" s="719"/>
      <c r="AC9" s="719"/>
      <c r="AD9" s="541">
        <f>SUM(E9:AC9)</f>
        <v>0</v>
      </c>
      <c r="AE9" s="531">
        <f t="shared" si="0"/>
        <v>0</v>
      </c>
      <c r="AF9" s="494" t="str">
        <f t="shared" si="1"/>
        <v>sell</v>
      </c>
    </row>
    <row r="10" spans="1:75" s="349" customFormat="1" ht="12.75" customHeight="1" x14ac:dyDescent="0.25">
      <c r="A10" s="574"/>
      <c r="B10" s="495"/>
      <c r="C10" s="563"/>
      <c r="D10" s="703"/>
      <c r="E10" s="695"/>
      <c r="F10" s="630"/>
      <c r="G10" s="630"/>
      <c r="H10" s="630"/>
      <c r="I10" s="630"/>
      <c r="J10" s="630"/>
      <c r="K10" s="630"/>
      <c r="L10" s="630"/>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5">
      <c r="A11" s="574" t="s">
        <v>365</v>
      </c>
      <c r="B11" s="495"/>
      <c r="C11" s="563" t="s">
        <v>152</v>
      </c>
      <c r="D11" s="703"/>
      <c r="E11" s="703"/>
      <c r="F11" s="630">
        <v>60</v>
      </c>
      <c r="G11" s="630">
        <v>60</v>
      </c>
      <c r="H11" s="630">
        <v>60</v>
      </c>
      <c r="I11" s="630">
        <v>60</v>
      </c>
      <c r="J11" s="630">
        <v>60</v>
      </c>
      <c r="K11" s="630">
        <v>60</v>
      </c>
      <c r="L11" s="630"/>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5">
      <c r="A12" s="595" t="s">
        <v>369</v>
      </c>
      <c r="B12" s="563"/>
      <c r="C12" s="563" t="s">
        <v>152</v>
      </c>
      <c r="D12" s="704">
        <v>61.75</v>
      </c>
      <c r="E12" s="703"/>
      <c r="F12" s="630">
        <v>3</v>
      </c>
      <c r="G12" s="630">
        <v>3</v>
      </c>
      <c r="H12" s="630">
        <v>3</v>
      </c>
      <c r="I12" s="630">
        <v>3</v>
      </c>
      <c r="J12" s="630">
        <v>3</v>
      </c>
      <c r="K12" s="630">
        <v>3</v>
      </c>
      <c r="L12" s="630"/>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5">
      <c r="A13" s="595" t="s">
        <v>369</v>
      </c>
      <c r="B13" s="563"/>
      <c r="C13" s="563" t="s">
        <v>152</v>
      </c>
      <c r="D13" s="704">
        <v>61.75</v>
      </c>
      <c r="E13" s="703"/>
      <c r="F13" s="630">
        <v>25</v>
      </c>
      <c r="G13" s="630">
        <v>25</v>
      </c>
      <c r="H13" s="630">
        <v>25</v>
      </c>
      <c r="I13" s="630">
        <v>25</v>
      </c>
      <c r="J13" s="630">
        <v>25</v>
      </c>
      <c r="K13" s="630">
        <v>25</v>
      </c>
      <c r="L13" s="630"/>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5">
      <c r="A14" s="595" t="s">
        <v>369</v>
      </c>
      <c r="B14" s="563"/>
      <c r="C14" s="563" t="s">
        <v>152</v>
      </c>
      <c r="D14" s="704">
        <v>61.75</v>
      </c>
      <c r="E14" s="703"/>
      <c r="F14" s="630">
        <v>15</v>
      </c>
      <c r="G14" s="630">
        <v>15</v>
      </c>
      <c r="H14" s="630">
        <v>15</v>
      </c>
      <c r="I14" s="630">
        <v>15</v>
      </c>
      <c r="J14" s="630">
        <v>15</v>
      </c>
      <c r="K14" s="630">
        <v>15</v>
      </c>
      <c r="L14" s="630"/>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5">
      <c r="A15" s="574" t="s">
        <v>229</v>
      </c>
      <c r="B15" s="635"/>
      <c r="C15" s="563" t="s">
        <v>280</v>
      </c>
      <c r="D15" s="705"/>
      <c r="E15" s="703"/>
      <c r="F15" s="630">
        <v>60</v>
      </c>
      <c r="G15" s="630">
        <v>60</v>
      </c>
      <c r="H15" s="630">
        <v>60</v>
      </c>
      <c r="I15" s="630">
        <v>60</v>
      </c>
      <c r="J15" s="630">
        <v>60</v>
      </c>
      <c r="K15" s="630">
        <v>60</v>
      </c>
      <c r="L15" s="630">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5">
      <c r="A16" s="574" t="s">
        <v>229</v>
      </c>
      <c r="B16" s="635"/>
      <c r="C16" s="563" t="s">
        <v>152</v>
      </c>
      <c r="D16" s="705"/>
      <c r="E16" s="703"/>
      <c r="F16" s="630"/>
      <c r="G16" s="630"/>
      <c r="H16" s="630"/>
      <c r="I16" s="630"/>
      <c r="J16" s="630"/>
      <c r="K16" s="630"/>
      <c r="L16" s="630">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5">
      <c r="A17" s="574" t="s">
        <v>3</v>
      </c>
      <c r="B17" s="635"/>
      <c r="C17" s="563" t="s">
        <v>152</v>
      </c>
      <c r="D17" s="705"/>
      <c r="E17" s="703"/>
      <c r="F17" s="630"/>
      <c r="G17" s="630"/>
      <c r="H17" s="630"/>
      <c r="I17" s="630"/>
      <c r="J17" s="630"/>
      <c r="K17" s="630"/>
      <c r="L17" s="630">
        <v>-20</v>
      </c>
      <c r="M17" s="630">
        <v>-20</v>
      </c>
      <c r="N17" s="630">
        <v>-20</v>
      </c>
      <c r="O17" s="630">
        <v>-20</v>
      </c>
      <c r="P17" s="630">
        <v>-20</v>
      </c>
      <c r="Q17" s="630">
        <v>-20</v>
      </c>
      <c r="R17" s="630">
        <v>-20</v>
      </c>
      <c r="S17" s="630">
        <v>-20</v>
      </c>
      <c r="T17" s="630">
        <v>-20</v>
      </c>
      <c r="U17" s="630">
        <v>-20</v>
      </c>
      <c r="V17" s="630">
        <v>-20</v>
      </c>
      <c r="W17" s="630">
        <v>-20</v>
      </c>
      <c r="X17" s="630">
        <v>-20</v>
      </c>
      <c r="Y17" s="630">
        <v>-20</v>
      </c>
      <c r="Z17" s="630">
        <v>-20</v>
      </c>
      <c r="AA17" s="630">
        <v>-20</v>
      </c>
      <c r="AB17" s="630"/>
      <c r="AC17" s="630"/>
      <c r="AD17" s="592">
        <f>SUM(E17:AC17)</f>
        <v>-320</v>
      </c>
      <c r="AE17" s="531">
        <f>AD17*D17</f>
        <v>0</v>
      </c>
      <c r="AF17" s="494" t="str">
        <f>IF(AD17&lt;0,"buy","sell")</f>
        <v>buy</v>
      </c>
    </row>
    <row r="18" spans="1:32" s="349" customFormat="1" ht="12.75" customHeight="1" x14ac:dyDescent="0.25">
      <c r="A18" s="574" t="s">
        <v>3</v>
      </c>
      <c r="B18" s="635"/>
      <c r="C18" s="563" t="s">
        <v>152</v>
      </c>
      <c r="D18" s="705"/>
      <c r="E18" s="703"/>
      <c r="F18" s="630"/>
      <c r="G18" s="630"/>
      <c r="H18" s="630"/>
      <c r="I18" s="630"/>
      <c r="J18" s="630"/>
      <c r="K18" s="630"/>
      <c r="L18" s="630">
        <v>-12</v>
      </c>
      <c r="M18" s="630">
        <v>-12</v>
      </c>
      <c r="N18" s="630">
        <v>-12</v>
      </c>
      <c r="O18" s="630">
        <v>-12</v>
      </c>
      <c r="P18" s="630">
        <v>-12</v>
      </c>
      <c r="Q18" s="630">
        <v>-12</v>
      </c>
      <c r="R18" s="630">
        <v>-12</v>
      </c>
      <c r="S18" s="630">
        <v>-12</v>
      </c>
      <c r="T18" s="630">
        <v>-12</v>
      </c>
      <c r="U18" s="630">
        <v>-12</v>
      </c>
      <c r="V18" s="630">
        <v>-12</v>
      </c>
      <c r="W18" s="630">
        <v>-12</v>
      </c>
      <c r="X18" s="630">
        <v>-12</v>
      </c>
      <c r="Y18" s="630">
        <v>-12</v>
      </c>
      <c r="Z18" s="630">
        <v>-12</v>
      </c>
      <c r="AA18" s="630">
        <v>-12</v>
      </c>
      <c r="AB18" s="630"/>
      <c r="AC18" s="630"/>
      <c r="AD18" s="592">
        <f>SUM(E18:AC18)</f>
        <v>-192</v>
      </c>
      <c r="AE18" s="531">
        <f>AD18*D18</f>
        <v>0</v>
      </c>
      <c r="AF18" s="494" t="str">
        <f>IF(AD18&lt;0,"buy","sell")</f>
        <v>buy</v>
      </c>
    </row>
    <row r="19" spans="1:32" s="349" customFormat="1" ht="12.75" customHeight="1" x14ac:dyDescent="0.25">
      <c r="A19" s="574" t="s">
        <v>365</v>
      </c>
      <c r="B19" s="635"/>
      <c r="C19" s="563" t="s">
        <v>152</v>
      </c>
      <c r="D19" s="705"/>
      <c r="E19" s="703"/>
      <c r="F19" s="630">
        <v>-60</v>
      </c>
      <c r="G19" s="630">
        <v>-60</v>
      </c>
      <c r="H19" s="630">
        <v>-60</v>
      </c>
      <c r="I19" s="630">
        <v>-60</v>
      </c>
      <c r="J19" s="630">
        <v>-60</v>
      </c>
      <c r="K19" s="630">
        <v>-60</v>
      </c>
      <c r="L19" s="630"/>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5">
      <c r="A20" s="574"/>
      <c r="B20" s="573"/>
      <c r="C20" s="495"/>
      <c r="D20" s="705"/>
      <c r="E20" s="703"/>
      <c r="F20" s="630"/>
      <c r="G20" s="630"/>
      <c r="H20" s="630"/>
      <c r="I20" s="630"/>
      <c r="J20" s="630"/>
      <c r="K20" s="630"/>
      <c r="L20" s="630"/>
      <c r="M20" s="630"/>
      <c r="N20" s="630"/>
      <c r="O20" s="630"/>
      <c r="P20" s="630"/>
      <c r="Q20" s="630"/>
      <c r="R20" s="630"/>
      <c r="S20" s="630"/>
      <c r="T20" s="630"/>
      <c r="U20" s="630"/>
      <c r="V20" s="630"/>
      <c r="W20" s="630"/>
      <c r="X20" s="630"/>
      <c r="Y20" s="630"/>
      <c r="Z20" s="630"/>
      <c r="AA20" s="630"/>
      <c r="AB20" s="630"/>
      <c r="AC20" s="630"/>
      <c r="AD20" s="592">
        <f>SUM(F20:AC20)</f>
        <v>0</v>
      </c>
      <c r="AE20" s="531">
        <f t="shared" si="0"/>
        <v>0</v>
      </c>
      <c r="AF20" s="494" t="str">
        <f t="shared" si="1"/>
        <v>sell</v>
      </c>
    </row>
    <row r="21" spans="1:32" s="349" customFormat="1" x14ac:dyDescent="0.25">
      <c r="A21" s="584" t="s">
        <v>206</v>
      </c>
      <c r="B21" s="583"/>
      <c r="C21" s="583"/>
      <c r="D21" s="706"/>
      <c r="E21" s="706"/>
      <c r="F21" s="696"/>
      <c r="G21" s="696"/>
      <c r="H21" s="696"/>
      <c r="I21" s="696"/>
      <c r="J21" s="696"/>
      <c r="K21" s="696"/>
      <c r="L21" s="696"/>
      <c r="M21" s="696"/>
      <c r="N21" s="696"/>
      <c r="O21" s="696"/>
      <c r="P21" s="696"/>
      <c r="Q21" s="696"/>
      <c r="R21" s="696"/>
      <c r="S21" s="696"/>
      <c r="T21" s="696"/>
      <c r="U21" s="696"/>
      <c r="V21" s="696"/>
      <c r="W21" s="696"/>
      <c r="X21" s="696"/>
      <c r="Y21" s="696"/>
      <c r="Z21" s="696"/>
      <c r="AA21" s="696"/>
      <c r="AB21" s="696"/>
      <c r="AC21" s="696"/>
      <c r="AD21" s="539"/>
      <c r="AE21" s="397"/>
      <c r="AF21" s="571"/>
    </row>
    <row r="22" spans="1:32" s="349" customFormat="1" ht="12.75" customHeight="1" x14ac:dyDescent="0.25">
      <c r="A22" s="575" t="s">
        <v>207</v>
      </c>
      <c r="B22" s="568"/>
      <c r="C22" s="561"/>
      <c r="D22" s="631"/>
      <c r="E22" s="631"/>
      <c r="F22" s="631"/>
      <c r="G22" s="631"/>
      <c r="H22" s="631"/>
      <c r="I22" s="631"/>
      <c r="J22" s="631"/>
      <c r="K22" s="631"/>
      <c r="L22" s="631"/>
      <c r="M22" s="631"/>
      <c r="N22" s="631"/>
      <c r="O22" s="631"/>
      <c r="P22" s="631"/>
      <c r="Q22" s="631"/>
      <c r="R22" s="631"/>
      <c r="S22" s="631"/>
      <c r="T22" s="631"/>
      <c r="U22" s="631"/>
      <c r="V22" s="631"/>
      <c r="W22" s="631"/>
      <c r="X22" s="631"/>
      <c r="Y22" s="631"/>
      <c r="Z22" s="631"/>
      <c r="AA22" s="631"/>
      <c r="AB22" s="631"/>
      <c r="AC22" s="631"/>
      <c r="AD22" s="359"/>
      <c r="AE22" s="460"/>
      <c r="AF22" s="460"/>
    </row>
    <row r="23" spans="1:32" s="349" customFormat="1" hidden="1" x14ac:dyDescent="0.25">
      <c r="A23" s="576" t="s">
        <v>278</v>
      </c>
      <c r="B23" s="455" t="s">
        <v>241</v>
      </c>
      <c r="C23" s="455" t="s">
        <v>152</v>
      </c>
      <c r="D23" s="707">
        <f t="shared" ref="D23:D46" si="3">F112</f>
        <v>-0.25</v>
      </c>
      <c r="E23" s="707"/>
      <c r="F23" s="632"/>
      <c r="G23" s="678"/>
      <c r="H23" s="633"/>
      <c r="I23" s="633"/>
      <c r="J23" s="633"/>
      <c r="K23" s="633"/>
      <c r="L23" s="633"/>
      <c r="M23" s="633"/>
      <c r="N23" s="633"/>
      <c r="O23" s="633"/>
      <c r="P23" s="633"/>
      <c r="Q23" s="633"/>
      <c r="R23" s="633"/>
      <c r="S23" s="633"/>
      <c r="T23" s="633"/>
      <c r="U23" s="633"/>
      <c r="V23" s="633"/>
      <c r="W23" s="633"/>
      <c r="X23" s="633"/>
      <c r="Y23" s="633"/>
      <c r="Z23" s="633"/>
      <c r="AA23" s="633"/>
      <c r="AB23" s="633"/>
      <c r="AC23" s="632"/>
      <c r="AD23" s="540">
        <f t="shared" ref="AD23:AD95" si="4">SUM(F23:AC23)</f>
        <v>0</v>
      </c>
      <c r="AE23" s="458">
        <f t="shared" ref="AE23:AE72" si="5">AD23*D23</f>
        <v>0</v>
      </c>
      <c r="AF23" s="442" t="str">
        <f>IF(AD23&lt;0,"buy","sell")</f>
        <v>sell</v>
      </c>
    </row>
    <row r="24" spans="1:32" s="349" customFormat="1" hidden="1" x14ac:dyDescent="0.25">
      <c r="A24" s="576" t="s">
        <v>278</v>
      </c>
      <c r="B24" s="455" t="s">
        <v>241</v>
      </c>
      <c r="C24" s="455" t="s">
        <v>152</v>
      </c>
      <c r="D24" s="707">
        <f t="shared" si="3"/>
        <v>-0.25</v>
      </c>
      <c r="E24" s="707"/>
      <c r="F24" s="632"/>
      <c r="G24" s="633"/>
      <c r="H24" s="633"/>
      <c r="I24" s="633"/>
      <c r="J24" s="633"/>
      <c r="K24" s="633"/>
      <c r="L24" s="633"/>
      <c r="M24" s="633"/>
      <c r="N24" s="633"/>
      <c r="O24" s="633"/>
      <c r="P24" s="633"/>
      <c r="Q24" s="633"/>
      <c r="R24" s="633"/>
      <c r="S24" s="633"/>
      <c r="T24" s="633"/>
      <c r="U24" s="633"/>
      <c r="V24" s="633"/>
      <c r="W24" s="633"/>
      <c r="X24" s="633"/>
      <c r="Y24" s="633"/>
      <c r="Z24" s="633"/>
      <c r="AA24" s="633"/>
      <c r="AB24" s="632"/>
      <c r="AC24" s="632"/>
      <c r="AD24" s="540">
        <f t="shared" si="4"/>
        <v>0</v>
      </c>
      <c r="AE24" s="458">
        <f t="shared" si="5"/>
        <v>0</v>
      </c>
      <c r="AF24" s="442" t="str">
        <f t="shared" ref="AF24:AF46" si="6">IF(AD24&lt;0,"buy","sell")</f>
        <v>sell</v>
      </c>
    </row>
    <row r="25" spans="1:32" s="349" customFormat="1" hidden="1" x14ac:dyDescent="0.25">
      <c r="A25" s="576" t="s">
        <v>278</v>
      </c>
      <c r="B25" s="455" t="s">
        <v>241</v>
      </c>
      <c r="C25" s="455" t="s">
        <v>152</v>
      </c>
      <c r="D25" s="707">
        <f t="shared" si="3"/>
        <v>-0.25</v>
      </c>
      <c r="E25" s="707"/>
      <c r="F25" s="632"/>
      <c r="G25" s="678"/>
      <c r="H25" s="633">
        <v>0</v>
      </c>
      <c r="I25" s="633"/>
      <c r="J25" s="633"/>
      <c r="K25" s="633"/>
      <c r="L25" s="633"/>
      <c r="M25" s="633"/>
      <c r="N25" s="633"/>
      <c r="O25" s="633"/>
      <c r="P25" s="633"/>
      <c r="Q25" s="633"/>
      <c r="R25" s="633"/>
      <c r="S25" s="633"/>
      <c r="T25" s="633"/>
      <c r="U25" s="633"/>
      <c r="V25" s="633"/>
      <c r="W25" s="633"/>
      <c r="X25" s="633"/>
      <c r="Y25" s="633"/>
      <c r="Z25" s="633"/>
      <c r="AA25" s="633"/>
      <c r="AB25" s="633"/>
      <c r="AC25" s="632"/>
      <c r="AD25" s="540">
        <f t="shared" si="4"/>
        <v>0</v>
      </c>
      <c r="AE25" s="458">
        <f t="shared" si="5"/>
        <v>0</v>
      </c>
      <c r="AF25" s="442" t="str">
        <f t="shared" si="6"/>
        <v>sell</v>
      </c>
    </row>
    <row r="26" spans="1:32" s="349" customFormat="1" hidden="1" x14ac:dyDescent="0.25">
      <c r="A26" s="576" t="s">
        <v>278</v>
      </c>
      <c r="B26" s="455" t="s">
        <v>241</v>
      </c>
      <c r="C26" s="455" t="s">
        <v>152</v>
      </c>
      <c r="D26" s="707">
        <f t="shared" si="3"/>
        <v>-0.25</v>
      </c>
      <c r="E26" s="707"/>
      <c r="F26" s="632"/>
      <c r="G26" s="678"/>
      <c r="H26" s="633"/>
      <c r="I26" s="633">
        <v>0</v>
      </c>
      <c r="J26" s="633"/>
      <c r="K26" s="633"/>
      <c r="L26" s="633"/>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5">
      <c r="A27" s="576" t="s">
        <v>278</v>
      </c>
      <c r="B27" s="455" t="s">
        <v>241</v>
      </c>
      <c r="C27" s="455" t="s">
        <v>152</v>
      </c>
      <c r="D27" s="707">
        <f t="shared" si="3"/>
        <v>-0.25</v>
      </c>
      <c r="E27" s="707"/>
      <c r="F27" s="632"/>
      <c r="G27" s="678"/>
      <c r="H27" s="633"/>
      <c r="I27" s="633"/>
      <c r="J27" s="633">
        <v>0</v>
      </c>
      <c r="K27" s="633"/>
      <c r="L27" s="633"/>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IF(AD27&lt;0,"buy","sell")</f>
        <v>sell</v>
      </c>
    </row>
    <row r="28" spans="1:32" s="349" customFormat="1" hidden="1" x14ac:dyDescent="0.25">
      <c r="A28" s="576" t="s">
        <v>278</v>
      </c>
      <c r="B28" s="455" t="s">
        <v>241</v>
      </c>
      <c r="C28" s="455" t="s">
        <v>152</v>
      </c>
      <c r="D28" s="707">
        <f t="shared" si="3"/>
        <v>-0.25</v>
      </c>
      <c r="E28" s="707"/>
      <c r="F28" s="633"/>
      <c r="G28" s="678"/>
      <c r="H28" s="633"/>
      <c r="I28" s="633"/>
      <c r="J28" s="633"/>
      <c r="K28" s="633">
        <v>0</v>
      </c>
      <c r="L28" s="633"/>
      <c r="M28" s="633"/>
      <c r="N28" s="633"/>
      <c r="O28" s="633"/>
      <c r="P28" s="633"/>
      <c r="Q28" s="633"/>
      <c r="R28" s="633"/>
      <c r="S28" s="633"/>
      <c r="T28" s="633"/>
      <c r="U28" s="633"/>
      <c r="V28" s="633"/>
      <c r="W28" s="633"/>
      <c r="X28" s="633"/>
      <c r="Y28" s="633"/>
      <c r="Z28" s="633"/>
      <c r="AA28" s="633"/>
      <c r="AB28" s="633"/>
      <c r="AC28" s="633"/>
      <c r="AD28" s="540">
        <f t="shared" si="4"/>
        <v>0</v>
      </c>
      <c r="AE28" s="458">
        <f t="shared" si="5"/>
        <v>0</v>
      </c>
      <c r="AF28" s="442" t="str">
        <f t="shared" si="6"/>
        <v>sell</v>
      </c>
    </row>
    <row r="29" spans="1:32" s="349" customFormat="1" hidden="1" x14ac:dyDescent="0.25">
      <c r="A29" s="576" t="s">
        <v>278</v>
      </c>
      <c r="B29" s="455" t="s">
        <v>241</v>
      </c>
      <c r="C29" s="455" t="s">
        <v>152</v>
      </c>
      <c r="D29" s="707">
        <f t="shared" si="3"/>
        <v>-0.25</v>
      </c>
      <c r="E29" s="707"/>
      <c r="F29" s="633"/>
      <c r="G29" s="678"/>
      <c r="H29" s="633"/>
      <c r="I29" s="633"/>
      <c r="J29" s="633"/>
      <c r="K29" s="633"/>
      <c r="L29" s="633">
        <v>0</v>
      </c>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5">
      <c r="A30" s="576" t="s">
        <v>278</v>
      </c>
      <c r="B30" s="455" t="s">
        <v>241</v>
      </c>
      <c r="C30" s="455" t="s">
        <v>152</v>
      </c>
      <c r="D30" s="707">
        <f t="shared" si="3"/>
        <v>-0.25</v>
      </c>
      <c r="E30" s="707"/>
      <c r="F30" s="633"/>
      <c r="G30" s="678"/>
      <c r="H30" s="633"/>
      <c r="I30" s="633"/>
      <c r="J30" s="633"/>
      <c r="K30" s="633"/>
      <c r="L30" s="633"/>
      <c r="M30" s="633">
        <v>0</v>
      </c>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5">
      <c r="A31" s="576" t="s">
        <v>278</v>
      </c>
      <c r="B31" s="455" t="s">
        <v>241</v>
      </c>
      <c r="C31" s="455" t="s">
        <v>152</v>
      </c>
      <c r="D31" s="707">
        <f t="shared" si="3"/>
        <v>-0.25</v>
      </c>
      <c r="E31" s="707"/>
      <c r="F31" s="633"/>
      <c r="G31" s="678"/>
      <c r="H31" s="633"/>
      <c r="I31" s="633"/>
      <c r="J31" s="633"/>
      <c r="K31" s="633"/>
      <c r="L31" s="633"/>
      <c r="M31" s="633"/>
      <c r="N31" s="633">
        <v>0</v>
      </c>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5">
      <c r="A32" s="576" t="s">
        <v>278</v>
      </c>
      <c r="B32" s="455" t="s">
        <v>241</v>
      </c>
      <c r="C32" s="455" t="s">
        <v>152</v>
      </c>
      <c r="D32" s="707">
        <f t="shared" si="3"/>
        <v>-0.25</v>
      </c>
      <c r="E32" s="707"/>
      <c r="F32" s="633"/>
      <c r="G32" s="678"/>
      <c r="H32" s="633"/>
      <c r="I32" s="633"/>
      <c r="J32" s="633"/>
      <c r="K32" s="633"/>
      <c r="L32" s="633"/>
      <c r="M32" s="633"/>
      <c r="N32" s="633"/>
      <c r="O32" s="633">
        <v>0</v>
      </c>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5">
      <c r="A33" s="576" t="s">
        <v>278</v>
      </c>
      <c r="B33" s="455" t="s">
        <v>241</v>
      </c>
      <c r="C33" s="455" t="s">
        <v>152</v>
      </c>
      <c r="D33" s="707">
        <f t="shared" si="3"/>
        <v>-0.25</v>
      </c>
      <c r="E33" s="707"/>
      <c r="F33" s="633"/>
      <c r="G33" s="678"/>
      <c r="H33" s="633"/>
      <c r="I33" s="633"/>
      <c r="J33" s="633"/>
      <c r="K33" s="633"/>
      <c r="L33" s="633"/>
      <c r="M33" s="633"/>
      <c r="N33" s="633"/>
      <c r="O33" s="633"/>
      <c r="P33" s="633">
        <v>0</v>
      </c>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5">
      <c r="A34" s="576" t="s">
        <v>278</v>
      </c>
      <c r="B34" s="455" t="s">
        <v>241</v>
      </c>
      <c r="C34" s="455" t="s">
        <v>152</v>
      </c>
      <c r="D34" s="707">
        <f t="shared" si="3"/>
        <v>-0.25</v>
      </c>
      <c r="E34" s="707"/>
      <c r="F34" s="633"/>
      <c r="G34" s="678"/>
      <c r="H34" s="633"/>
      <c r="I34" s="633"/>
      <c r="J34" s="633"/>
      <c r="K34" s="633"/>
      <c r="L34" s="633"/>
      <c r="M34" s="633"/>
      <c r="N34" s="633"/>
      <c r="O34" s="633"/>
      <c r="P34" s="633"/>
      <c r="Q34" s="633">
        <v>0</v>
      </c>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5">
      <c r="A35" s="576" t="s">
        <v>278</v>
      </c>
      <c r="B35" s="455" t="s">
        <v>241</v>
      </c>
      <c r="C35" s="455" t="s">
        <v>152</v>
      </c>
      <c r="D35" s="707">
        <f t="shared" si="3"/>
        <v>-0.25</v>
      </c>
      <c r="E35" s="707"/>
      <c r="F35" s="633"/>
      <c r="G35" s="678"/>
      <c r="H35" s="633"/>
      <c r="I35" s="633"/>
      <c r="J35" s="633"/>
      <c r="K35" s="633"/>
      <c r="L35" s="633"/>
      <c r="M35" s="633"/>
      <c r="N35" s="633"/>
      <c r="O35" s="633"/>
      <c r="P35" s="633"/>
      <c r="Q35" s="633"/>
      <c r="R35" s="633">
        <v>0</v>
      </c>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5">
      <c r="A36" s="576" t="s">
        <v>278</v>
      </c>
      <c r="B36" s="455" t="s">
        <v>241</v>
      </c>
      <c r="C36" s="455" t="s">
        <v>152</v>
      </c>
      <c r="D36" s="707">
        <f t="shared" si="3"/>
        <v>-0.25</v>
      </c>
      <c r="E36" s="707"/>
      <c r="F36" s="633"/>
      <c r="G36" s="678"/>
      <c r="H36" s="633"/>
      <c r="I36" s="633"/>
      <c r="J36" s="633"/>
      <c r="K36" s="633"/>
      <c r="L36" s="633"/>
      <c r="M36" s="633"/>
      <c r="N36" s="633"/>
      <c r="O36" s="633"/>
      <c r="P36" s="633"/>
      <c r="Q36" s="633"/>
      <c r="R36" s="633"/>
      <c r="S36" s="633">
        <v>0</v>
      </c>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5">
      <c r="A37" s="576" t="s">
        <v>278</v>
      </c>
      <c r="B37" s="455" t="s">
        <v>241</v>
      </c>
      <c r="C37" s="455" t="s">
        <v>152</v>
      </c>
      <c r="D37" s="707">
        <f t="shared" si="3"/>
        <v>-0.25</v>
      </c>
      <c r="E37" s="707"/>
      <c r="F37" s="633"/>
      <c r="G37" s="678"/>
      <c r="H37" s="633"/>
      <c r="I37" s="633"/>
      <c r="J37" s="633"/>
      <c r="K37" s="633"/>
      <c r="L37" s="633"/>
      <c r="M37" s="633"/>
      <c r="N37" s="633"/>
      <c r="O37" s="633"/>
      <c r="P37" s="633"/>
      <c r="Q37" s="633"/>
      <c r="R37" s="633"/>
      <c r="S37" s="633"/>
      <c r="T37" s="633">
        <v>0</v>
      </c>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5">
      <c r="A38" s="576" t="s">
        <v>278</v>
      </c>
      <c r="B38" s="455" t="s">
        <v>241</v>
      </c>
      <c r="C38" s="455" t="s">
        <v>152</v>
      </c>
      <c r="D38" s="707">
        <f t="shared" si="3"/>
        <v>-0.25</v>
      </c>
      <c r="E38" s="707"/>
      <c r="F38" s="633"/>
      <c r="G38" s="678"/>
      <c r="H38" s="633"/>
      <c r="I38" s="633"/>
      <c r="J38" s="633"/>
      <c r="K38" s="633"/>
      <c r="L38" s="633"/>
      <c r="M38" s="633"/>
      <c r="N38" s="633"/>
      <c r="O38" s="633"/>
      <c r="P38" s="633"/>
      <c r="Q38" s="633"/>
      <c r="R38" s="633"/>
      <c r="S38" s="633"/>
      <c r="T38" s="633"/>
      <c r="U38" s="633">
        <v>0</v>
      </c>
      <c r="V38" s="633"/>
      <c r="W38" s="633"/>
      <c r="X38" s="633"/>
      <c r="Y38" s="633"/>
      <c r="Z38" s="633"/>
      <c r="AA38" s="633"/>
      <c r="AB38" s="633"/>
      <c r="AC38" s="633"/>
      <c r="AD38" s="540">
        <f t="shared" si="4"/>
        <v>0</v>
      </c>
      <c r="AE38" s="458">
        <f t="shared" si="5"/>
        <v>0</v>
      </c>
      <c r="AF38" s="442" t="str">
        <f t="shared" si="6"/>
        <v>sell</v>
      </c>
    </row>
    <row r="39" spans="1:32" s="349" customFormat="1" hidden="1" x14ac:dyDescent="0.25">
      <c r="A39" s="576" t="s">
        <v>278</v>
      </c>
      <c r="B39" s="455" t="s">
        <v>241</v>
      </c>
      <c r="C39" s="455" t="s">
        <v>152</v>
      </c>
      <c r="D39" s="707">
        <f t="shared" si="3"/>
        <v>-0.25</v>
      </c>
      <c r="E39" s="707"/>
      <c r="F39" s="633"/>
      <c r="G39" s="678"/>
      <c r="H39" s="633"/>
      <c r="I39" s="633"/>
      <c r="J39" s="633"/>
      <c r="K39" s="633"/>
      <c r="L39" s="633"/>
      <c r="M39" s="633"/>
      <c r="N39" s="633"/>
      <c r="O39" s="633"/>
      <c r="P39" s="633"/>
      <c r="Q39" s="633"/>
      <c r="R39" s="633"/>
      <c r="S39" s="633"/>
      <c r="T39" s="633"/>
      <c r="U39" s="633"/>
      <c r="V39" s="633">
        <v>0</v>
      </c>
      <c r="W39" s="633"/>
      <c r="X39" s="633"/>
      <c r="Y39" s="633"/>
      <c r="Z39" s="633"/>
      <c r="AA39" s="634"/>
      <c r="AB39" s="633"/>
      <c r="AC39" s="633"/>
      <c r="AD39" s="540">
        <f t="shared" si="4"/>
        <v>0</v>
      </c>
      <c r="AE39" s="458">
        <f t="shared" si="5"/>
        <v>0</v>
      </c>
      <c r="AF39" s="442" t="str">
        <f t="shared" si="6"/>
        <v>sell</v>
      </c>
    </row>
    <row r="40" spans="1:32" s="349" customFormat="1" hidden="1" x14ac:dyDescent="0.25">
      <c r="A40" s="576" t="s">
        <v>278</v>
      </c>
      <c r="B40" s="455" t="s">
        <v>241</v>
      </c>
      <c r="C40" s="455" t="s">
        <v>152</v>
      </c>
      <c r="D40" s="707">
        <f t="shared" si="3"/>
        <v>-0.25</v>
      </c>
      <c r="E40" s="707"/>
      <c r="F40" s="633"/>
      <c r="G40" s="678"/>
      <c r="H40" s="633"/>
      <c r="I40" s="633"/>
      <c r="J40" s="633"/>
      <c r="K40" s="633"/>
      <c r="L40" s="633"/>
      <c r="M40" s="633"/>
      <c r="N40" s="633"/>
      <c r="O40" s="633"/>
      <c r="P40" s="633"/>
      <c r="Q40" s="633"/>
      <c r="R40" s="633"/>
      <c r="S40" s="633"/>
      <c r="T40" s="633"/>
      <c r="U40" s="633"/>
      <c r="V40" s="633"/>
      <c r="W40" s="633">
        <v>0</v>
      </c>
      <c r="X40" s="633"/>
      <c r="Y40" s="633"/>
      <c r="Z40" s="633"/>
      <c r="AA40" s="633"/>
      <c r="AB40" s="633"/>
      <c r="AC40" s="633"/>
      <c r="AD40" s="540">
        <f t="shared" si="4"/>
        <v>0</v>
      </c>
      <c r="AE40" s="458">
        <f t="shared" si="5"/>
        <v>0</v>
      </c>
      <c r="AF40" s="442" t="str">
        <f t="shared" si="6"/>
        <v>sell</v>
      </c>
    </row>
    <row r="41" spans="1:32" s="349" customFormat="1" hidden="1" x14ac:dyDescent="0.25">
      <c r="A41" s="576" t="s">
        <v>278</v>
      </c>
      <c r="B41" s="455" t="s">
        <v>241</v>
      </c>
      <c r="C41" s="455" t="s">
        <v>152</v>
      </c>
      <c r="D41" s="707">
        <f t="shared" si="3"/>
        <v>-0.25</v>
      </c>
      <c r="E41" s="707"/>
      <c r="F41" s="633"/>
      <c r="G41" s="678"/>
      <c r="H41" s="633"/>
      <c r="I41" s="633"/>
      <c r="J41" s="633"/>
      <c r="K41" s="633"/>
      <c r="L41" s="633"/>
      <c r="M41" s="633"/>
      <c r="N41" s="633"/>
      <c r="O41" s="633"/>
      <c r="P41" s="633"/>
      <c r="Q41" s="633"/>
      <c r="R41" s="633"/>
      <c r="S41" s="633"/>
      <c r="T41" s="633"/>
      <c r="U41" s="633"/>
      <c r="V41" s="633"/>
      <c r="W41" s="633"/>
      <c r="X41" s="633">
        <v>0</v>
      </c>
      <c r="Y41" s="633"/>
      <c r="Z41" s="633"/>
      <c r="AA41" s="633"/>
      <c r="AB41" s="633"/>
      <c r="AC41" s="633"/>
      <c r="AD41" s="540">
        <f t="shared" si="4"/>
        <v>0</v>
      </c>
      <c r="AE41" s="458">
        <f t="shared" si="5"/>
        <v>0</v>
      </c>
      <c r="AF41" s="442" t="str">
        <f t="shared" si="6"/>
        <v>sell</v>
      </c>
    </row>
    <row r="42" spans="1:32" s="349" customFormat="1" hidden="1" x14ac:dyDescent="0.25">
      <c r="A42" s="576" t="s">
        <v>278</v>
      </c>
      <c r="B42" s="455" t="s">
        <v>241</v>
      </c>
      <c r="C42" s="455" t="s">
        <v>152</v>
      </c>
      <c r="D42" s="707">
        <f t="shared" si="3"/>
        <v>-0.25</v>
      </c>
      <c r="E42" s="707"/>
      <c r="F42" s="633"/>
      <c r="G42" s="678"/>
      <c r="H42" s="633"/>
      <c r="I42" s="633"/>
      <c r="J42" s="633"/>
      <c r="K42" s="633"/>
      <c r="L42" s="633"/>
      <c r="M42" s="633"/>
      <c r="N42" s="633"/>
      <c r="O42" s="633"/>
      <c r="P42" s="633"/>
      <c r="Q42" s="633"/>
      <c r="R42" s="633"/>
      <c r="S42" s="633"/>
      <c r="T42" s="633"/>
      <c r="U42" s="633"/>
      <c r="V42" s="633"/>
      <c r="W42" s="633"/>
      <c r="X42" s="633"/>
      <c r="Y42" s="633">
        <v>0</v>
      </c>
      <c r="Z42" s="633"/>
      <c r="AA42" s="633"/>
      <c r="AB42" s="633"/>
      <c r="AC42" s="633"/>
      <c r="AD42" s="540">
        <f t="shared" si="4"/>
        <v>0</v>
      </c>
      <c r="AE42" s="458">
        <f t="shared" si="5"/>
        <v>0</v>
      </c>
      <c r="AF42" s="442" t="str">
        <f t="shared" si="6"/>
        <v>sell</v>
      </c>
    </row>
    <row r="43" spans="1:32" s="349" customFormat="1" hidden="1" x14ac:dyDescent="0.25">
      <c r="A43" s="576" t="s">
        <v>278</v>
      </c>
      <c r="B43" s="455" t="s">
        <v>241</v>
      </c>
      <c r="C43" s="455" t="s">
        <v>152</v>
      </c>
      <c r="D43" s="707">
        <f t="shared" si="3"/>
        <v>-0.25</v>
      </c>
      <c r="E43" s="707"/>
      <c r="F43" s="633"/>
      <c r="G43" s="678"/>
      <c r="H43" s="633"/>
      <c r="I43" s="633"/>
      <c r="J43" s="633"/>
      <c r="K43" s="633"/>
      <c r="L43" s="633"/>
      <c r="M43" s="633"/>
      <c r="N43" s="633"/>
      <c r="O43" s="633"/>
      <c r="P43" s="633"/>
      <c r="Q43" s="633"/>
      <c r="R43" s="633"/>
      <c r="S43" s="633"/>
      <c r="T43" s="633"/>
      <c r="U43" s="633"/>
      <c r="V43" s="633"/>
      <c r="W43" s="633"/>
      <c r="X43" s="633"/>
      <c r="Y43" s="633"/>
      <c r="Z43" s="633">
        <v>0</v>
      </c>
      <c r="AA43" s="633"/>
      <c r="AB43" s="633"/>
      <c r="AC43" s="633"/>
      <c r="AD43" s="540">
        <f t="shared" si="4"/>
        <v>0</v>
      </c>
      <c r="AE43" s="458">
        <f t="shared" si="5"/>
        <v>0</v>
      </c>
      <c r="AF43" s="442" t="str">
        <f t="shared" si="6"/>
        <v>sell</v>
      </c>
    </row>
    <row r="44" spans="1:32" s="349" customFormat="1" hidden="1" x14ac:dyDescent="0.25">
      <c r="A44" s="576" t="s">
        <v>278</v>
      </c>
      <c r="B44" s="455" t="s">
        <v>241</v>
      </c>
      <c r="C44" s="455" t="s">
        <v>152</v>
      </c>
      <c r="D44" s="707">
        <f t="shared" si="3"/>
        <v>-0.25</v>
      </c>
      <c r="E44" s="707"/>
      <c r="F44" s="633"/>
      <c r="G44" s="678"/>
      <c r="H44" s="633"/>
      <c r="I44" s="633"/>
      <c r="J44" s="633"/>
      <c r="K44" s="633"/>
      <c r="L44" s="633"/>
      <c r="M44" s="633"/>
      <c r="N44" s="633"/>
      <c r="O44" s="633"/>
      <c r="P44" s="633"/>
      <c r="Q44" s="633"/>
      <c r="R44" s="633"/>
      <c r="S44" s="633"/>
      <c r="T44" s="633"/>
      <c r="U44" s="633"/>
      <c r="V44" s="633"/>
      <c r="W44" s="633"/>
      <c r="X44" s="633"/>
      <c r="Y44" s="633"/>
      <c r="Z44" s="633"/>
      <c r="AA44" s="633">
        <v>0</v>
      </c>
      <c r="AB44" s="633"/>
      <c r="AC44" s="633"/>
      <c r="AD44" s="540">
        <f t="shared" si="4"/>
        <v>0</v>
      </c>
      <c r="AE44" s="458">
        <f t="shared" si="5"/>
        <v>0</v>
      </c>
      <c r="AF44" s="442" t="str">
        <f t="shared" si="6"/>
        <v>sell</v>
      </c>
    </row>
    <row r="45" spans="1:32" s="349" customFormat="1" hidden="1" x14ac:dyDescent="0.25">
      <c r="A45" s="576" t="s">
        <v>278</v>
      </c>
      <c r="B45" s="455" t="s">
        <v>241</v>
      </c>
      <c r="C45" s="455" t="s">
        <v>152</v>
      </c>
      <c r="D45" s="707">
        <f t="shared" si="3"/>
        <v>-0.25</v>
      </c>
      <c r="E45" s="707"/>
      <c r="F45" s="633"/>
      <c r="G45" s="678"/>
      <c r="H45" s="633"/>
      <c r="I45" s="633"/>
      <c r="J45" s="633"/>
      <c r="K45" s="633"/>
      <c r="L45" s="633"/>
      <c r="M45" s="633"/>
      <c r="N45" s="633"/>
      <c r="O45" s="633"/>
      <c r="P45" s="633"/>
      <c r="Q45" s="633"/>
      <c r="R45" s="633"/>
      <c r="S45" s="633"/>
      <c r="T45" s="633"/>
      <c r="U45" s="633"/>
      <c r="V45" s="633"/>
      <c r="W45" s="633"/>
      <c r="X45" s="633"/>
      <c r="Y45" s="633"/>
      <c r="Z45" s="633"/>
      <c r="AA45" s="633"/>
      <c r="AB45" s="633">
        <v>0</v>
      </c>
      <c r="AC45" s="633"/>
      <c r="AD45" s="540">
        <f t="shared" si="4"/>
        <v>0</v>
      </c>
      <c r="AE45" s="458">
        <f t="shared" si="5"/>
        <v>0</v>
      </c>
      <c r="AF45" s="442" t="str">
        <f t="shared" si="6"/>
        <v>sell</v>
      </c>
    </row>
    <row r="46" spans="1:32" s="349" customFormat="1" hidden="1" x14ac:dyDescent="0.25">
      <c r="A46" s="576" t="s">
        <v>278</v>
      </c>
      <c r="B46" s="455" t="s">
        <v>241</v>
      </c>
      <c r="C46" s="455" t="s">
        <v>152</v>
      </c>
      <c r="D46" s="707">
        <f t="shared" si="3"/>
        <v>-0.25</v>
      </c>
      <c r="E46" s="707"/>
      <c r="F46" s="633">
        <v>0</v>
      </c>
      <c r="G46" s="678"/>
      <c r="H46" s="633"/>
      <c r="I46" s="633"/>
      <c r="J46" s="633"/>
      <c r="K46" s="633"/>
      <c r="L46" s="633"/>
      <c r="M46" s="633"/>
      <c r="N46" s="633"/>
      <c r="O46" s="633"/>
      <c r="P46" s="633"/>
      <c r="Q46" s="633"/>
      <c r="R46" s="633"/>
      <c r="S46" s="633"/>
      <c r="T46" s="633"/>
      <c r="U46" s="633"/>
      <c r="V46" s="633"/>
      <c r="W46" s="633"/>
      <c r="X46" s="633"/>
      <c r="Y46" s="633"/>
      <c r="Z46" s="633"/>
      <c r="AA46" s="633"/>
      <c r="AB46" s="633"/>
      <c r="AC46" s="633">
        <v>0</v>
      </c>
      <c r="AD46" s="540">
        <f t="shared" si="4"/>
        <v>0</v>
      </c>
      <c r="AE46" s="458">
        <f t="shared" si="5"/>
        <v>0</v>
      </c>
      <c r="AF46" s="442" t="str">
        <f t="shared" si="6"/>
        <v>sell</v>
      </c>
    </row>
    <row r="47" spans="1:32" s="349" customFormat="1" hidden="1" x14ac:dyDescent="0.25">
      <c r="A47" s="576"/>
      <c r="B47" s="455"/>
      <c r="C47" s="455"/>
      <c r="D47" s="707"/>
      <c r="E47" s="707"/>
      <c r="F47" s="633"/>
      <c r="G47" s="678"/>
      <c r="H47" s="633"/>
      <c r="I47" s="633"/>
      <c r="J47" s="633"/>
      <c r="K47" s="633"/>
      <c r="L47" s="633"/>
      <c r="M47" s="633"/>
      <c r="N47" s="633"/>
      <c r="O47" s="633"/>
      <c r="P47" s="633"/>
      <c r="Q47" s="633"/>
      <c r="R47" s="633"/>
      <c r="S47" s="633"/>
      <c r="T47" s="633"/>
      <c r="U47" s="633"/>
      <c r="V47" s="633"/>
      <c r="W47" s="633"/>
      <c r="X47" s="633"/>
      <c r="Y47" s="633"/>
      <c r="Z47" s="633"/>
      <c r="AA47" s="633"/>
      <c r="AB47" s="633"/>
      <c r="AC47" s="633"/>
      <c r="AD47" s="540">
        <f t="shared" si="4"/>
        <v>0</v>
      </c>
      <c r="AE47" s="458">
        <f t="shared" si="5"/>
        <v>0</v>
      </c>
      <c r="AF47" s="442"/>
    </row>
    <row r="48" spans="1:32" s="349" customFormat="1" hidden="1" x14ac:dyDescent="0.25">
      <c r="A48" s="576" t="s">
        <v>278</v>
      </c>
      <c r="B48" s="455" t="s">
        <v>241</v>
      </c>
      <c r="C48" s="455" t="s">
        <v>280</v>
      </c>
      <c r="D48" s="707">
        <f t="shared" ref="D48:D70" si="7">F142</f>
        <v>-0.25</v>
      </c>
      <c r="E48" s="707"/>
      <c r="F48" s="633"/>
      <c r="G48" s="633"/>
      <c r="H48" s="633"/>
      <c r="I48" s="633"/>
      <c r="J48" s="633"/>
      <c r="K48" s="633"/>
      <c r="L48" s="633"/>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t="str">
        <f>IF(AD48&lt;0,"buy","sell")</f>
        <v>sell</v>
      </c>
    </row>
    <row r="49" spans="1:32" s="349" customFormat="1" hidden="1" x14ac:dyDescent="0.25">
      <c r="A49" s="576" t="s">
        <v>278</v>
      </c>
      <c r="B49" s="455" t="s">
        <v>241</v>
      </c>
      <c r="C49" s="455" t="s">
        <v>280</v>
      </c>
      <c r="D49" s="707">
        <f t="shared" si="7"/>
        <v>-0.25</v>
      </c>
      <c r="E49" s="707"/>
      <c r="F49" s="633"/>
      <c r="G49" s="633"/>
      <c r="H49" s="633"/>
      <c r="I49" s="633"/>
      <c r="J49" s="633"/>
      <c r="K49" s="633"/>
      <c r="L49" s="633"/>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 t="shared" ref="AF49:AF71" si="8">IF(AD49&lt;0,"buy","sell")</f>
        <v>sell</v>
      </c>
    </row>
    <row r="50" spans="1:32" s="349" customFormat="1" hidden="1" x14ac:dyDescent="0.25">
      <c r="A50" s="576" t="s">
        <v>278</v>
      </c>
      <c r="B50" s="455" t="s">
        <v>241</v>
      </c>
      <c r="C50" s="455" t="s">
        <v>280</v>
      </c>
      <c r="D50" s="707">
        <f t="shared" si="7"/>
        <v>-0.25</v>
      </c>
      <c r="E50" s="707"/>
      <c r="F50" s="633"/>
      <c r="G50" s="633"/>
      <c r="H50" s="633">
        <v>0</v>
      </c>
      <c r="I50" s="633"/>
      <c r="J50" s="633"/>
      <c r="K50" s="633"/>
      <c r="L50" s="633"/>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si="8"/>
        <v>sell</v>
      </c>
    </row>
    <row r="51" spans="1:32" s="349" customFormat="1" hidden="1" x14ac:dyDescent="0.25">
      <c r="A51" s="576" t="s">
        <v>278</v>
      </c>
      <c r="B51" s="455" t="s">
        <v>241</v>
      </c>
      <c r="C51" s="455" t="s">
        <v>280</v>
      </c>
      <c r="D51" s="707">
        <f t="shared" si="7"/>
        <v>-0.25</v>
      </c>
      <c r="E51" s="707"/>
      <c r="F51" s="633"/>
      <c r="G51" s="633"/>
      <c r="H51" s="633"/>
      <c r="I51" s="633">
        <v>0</v>
      </c>
      <c r="J51" s="633"/>
      <c r="K51" s="633"/>
      <c r="L51" s="633"/>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5">
      <c r="A52" s="576" t="s">
        <v>278</v>
      </c>
      <c r="B52" s="455" t="s">
        <v>241</v>
      </c>
      <c r="C52" s="455" t="s">
        <v>280</v>
      </c>
      <c r="D52" s="707">
        <f t="shared" si="7"/>
        <v>-0.25</v>
      </c>
      <c r="E52" s="707"/>
      <c r="F52" s="633"/>
      <c r="G52" s="633"/>
      <c r="H52" s="633"/>
      <c r="I52" s="633"/>
      <c r="J52" s="633">
        <v>0</v>
      </c>
      <c r="K52" s="633"/>
      <c r="L52" s="633"/>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5">
      <c r="A53" s="576" t="s">
        <v>278</v>
      </c>
      <c r="B53" s="455" t="s">
        <v>241</v>
      </c>
      <c r="C53" s="455" t="s">
        <v>280</v>
      </c>
      <c r="D53" s="707">
        <f t="shared" si="7"/>
        <v>-0.25</v>
      </c>
      <c r="E53" s="707"/>
      <c r="F53" s="633"/>
      <c r="G53" s="633"/>
      <c r="H53" s="633"/>
      <c r="I53" s="633"/>
      <c r="J53" s="633"/>
      <c r="K53" s="633">
        <v>0</v>
      </c>
      <c r="L53" s="633"/>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5">
      <c r="A54" s="576" t="s">
        <v>278</v>
      </c>
      <c r="B54" s="455" t="s">
        <v>241</v>
      </c>
      <c r="C54" s="455" t="s">
        <v>280</v>
      </c>
      <c r="D54" s="707">
        <f t="shared" si="7"/>
        <v>-0.25</v>
      </c>
      <c r="E54" s="707"/>
      <c r="F54" s="633"/>
      <c r="G54" s="633"/>
      <c r="H54" s="633"/>
      <c r="I54" s="633"/>
      <c r="J54" s="633"/>
      <c r="K54" s="633"/>
      <c r="L54" s="633">
        <v>0</v>
      </c>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5">
      <c r="A55" s="576" t="s">
        <v>278</v>
      </c>
      <c r="B55" s="455" t="s">
        <v>241</v>
      </c>
      <c r="C55" s="455" t="s">
        <v>280</v>
      </c>
      <c r="D55" s="707">
        <f t="shared" si="7"/>
        <v>-0.25</v>
      </c>
      <c r="E55" s="707"/>
      <c r="F55" s="633"/>
      <c r="G55" s="633"/>
      <c r="H55" s="633"/>
      <c r="I55" s="633"/>
      <c r="J55" s="633"/>
      <c r="K55" s="633"/>
      <c r="L55" s="633"/>
      <c r="M55" s="633">
        <v>0</v>
      </c>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5">
      <c r="A56" s="576" t="s">
        <v>278</v>
      </c>
      <c r="B56" s="455" t="s">
        <v>241</v>
      </c>
      <c r="C56" s="455" t="s">
        <v>280</v>
      </c>
      <c r="D56" s="707">
        <f t="shared" si="7"/>
        <v>-0.25</v>
      </c>
      <c r="E56" s="707"/>
      <c r="F56" s="633"/>
      <c r="G56" s="633"/>
      <c r="H56" s="633"/>
      <c r="I56" s="633"/>
      <c r="J56" s="633"/>
      <c r="K56" s="633"/>
      <c r="L56" s="633"/>
      <c r="M56" s="633"/>
      <c r="N56" s="633">
        <v>0</v>
      </c>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5">
      <c r="A57" s="576" t="s">
        <v>278</v>
      </c>
      <c r="B57" s="455" t="s">
        <v>241</v>
      </c>
      <c r="C57" s="455" t="s">
        <v>280</v>
      </c>
      <c r="D57" s="707">
        <f t="shared" si="7"/>
        <v>-0.25</v>
      </c>
      <c r="E57" s="707"/>
      <c r="F57" s="633"/>
      <c r="G57" s="633"/>
      <c r="H57" s="633"/>
      <c r="I57" s="633"/>
      <c r="J57" s="633"/>
      <c r="K57" s="633"/>
      <c r="L57" s="633"/>
      <c r="M57" s="633"/>
      <c r="N57" s="633"/>
      <c r="O57" s="633">
        <v>0</v>
      </c>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5">
      <c r="A58" s="576" t="s">
        <v>278</v>
      </c>
      <c r="B58" s="455" t="s">
        <v>241</v>
      </c>
      <c r="C58" s="455" t="s">
        <v>280</v>
      </c>
      <c r="D58" s="707">
        <f t="shared" si="7"/>
        <v>-0.25</v>
      </c>
      <c r="E58" s="707"/>
      <c r="F58" s="633"/>
      <c r="G58" s="633"/>
      <c r="H58" s="633"/>
      <c r="I58" s="633"/>
      <c r="J58" s="633"/>
      <c r="K58" s="633"/>
      <c r="L58" s="633"/>
      <c r="M58" s="633"/>
      <c r="N58" s="633"/>
      <c r="O58" s="633"/>
      <c r="P58" s="633">
        <v>0</v>
      </c>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5">
      <c r="A59" s="576" t="s">
        <v>278</v>
      </c>
      <c r="B59" s="455" t="s">
        <v>241</v>
      </c>
      <c r="C59" s="455" t="s">
        <v>280</v>
      </c>
      <c r="D59" s="707">
        <f t="shared" si="7"/>
        <v>-0.25</v>
      </c>
      <c r="E59" s="707"/>
      <c r="F59" s="633"/>
      <c r="G59" s="633"/>
      <c r="H59" s="633"/>
      <c r="I59" s="633"/>
      <c r="J59" s="633"/>
      <c r="K59" s="633"/>
      <c r="L59" s="633"/>
      <c r="M59" s="633"/>
      <c r="N59" s="633"/>
      <c r="O59" s="633"/>
      <c r="P59" s="633"/>
      <c r="Q59" s="633">
        <v>0</v>
      </c>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5">
      <c r="A60" s="576" t="s">
        <v>278</v>
      </c>
      <c r="B60" s="455" t="s">
        <v>241</v>
      </c>
      <c r="C60" s="455" t="s">
        <v>280</v>
      </c>
      <c r="D60" s="707">
        <f t="shared" si="7"/>
        <v>-0.25</v>
      </c>
      <c r="E60" s="707"/>
      <c r="F60" s="633"/>
      <c r="G60" s="633"/>
      <c r="H60" s="633"/>
      <c r="I60" s="633"/>
      <c r="J60" s="633"/>
      <c r="K60" s="633"/>
      <c r="L60" s="633"/>
      <c r="M60" s="633"/>
      <c r="N60" s="633"/>
      <c r="O60" s="633"/>
      <c r="P60" s="633"/>
      <c r="Q60" s="633"/>
      <c r="R60" s="633">
        <v>0</v>
      </c>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5">
      <c r="A61" s="576" t="s">
        <v>278</v>
      </c>
      <c r="B61" s="455" t="s">
        <v>241</v>
      </c>
      <c r="C61" s="455" t="s">
        <v>280</v>
      </c>
      <c r="D61" s="707">
        <f t="shared" si="7"/>
        <v>-0.25</v>
      </c>
      <c r="E61" s="707"/>
      <c r="F61" s="633"/>
      <c r="G61" s="633"/>
      <c r="H61" s="633"/>
      <c r="I61" s="633"/>
      <c r="J61" s="633"/>
      <c r="K61" s="633"/>
      <c r="L61" s="633"/>
      <c r="M61" s="633"/>
      <c r="N61" s="633"/>
      <c r="O61" s="633"/>
      <c r="P61" s="633"/>
      <c r="Q61" s="633"/>
      <c r="R61" s="633"/>
      <c r="S61" s="633">
        <v>0</v>
      </c>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5">
      <c r="A62" s="576" t="s">
        <v>278</v>
      </c>
      <c r="B62" s="455" t="s">
        <v>241</v>
      </c>
      <c r="C62" s="455" t="s">
        <v>280</v>
      </c>
      <c r="D62" s="707">
        <f t="shared" si="7"/>
        <v>-0.25</v>
      </c>
      <c r="E62" s="707"/>
      <c r="F62" s="633"/>
      <c r="G62" s="633"/>
      <c r="H62" s="633"/>
      <c r="I62" s="633"/>
      <c r="J62" s="633"/>
      <c r="K62" s="633"/>
      <c r="L62" s="633"/>
      <c r="M62" s="633"/>
      <c r="N62" s="633"/>
      <c r="O62" s="633"/>
      <c r="P62" s="633"/>
      <c r="Q62" s="633"/>
      <c r="R62" s="633"/>
      <c r="S62" s="633"/>
      <c r="T62" s="633">
        <v>0</v>
      </c>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5">
      <c r="A63" s="576" t="s">
        <v>278</v>
      </c>
      <c r="B63" s="455" t="s">
        <v>241</v>
      </c>
      <c r="C63" s="455" t="s">
        <v>280</v>
      </c>
      <c r="D63" s="707">
        <f t="shared" si="7"/>
        <v>-0.25</v>
      </c>
      <c r="E63" s="707"/>
      <c r="F63" s="633"/>
      <c r="G63" s="633"/>
      <c r="H63" s="633"/>
      <c r="I63" s="633"/>
      <c r="J63" s="633"/>
      <c r="K63" s="633"/>
      <c r="L63" s="633"/>
      <c r="M63" s="633"/>
      <c r="N63" s="633"/>
      <c r="O63" s="633"/>
      <c r="P63" s="633"/>
      <c r="Q63" s="633"/>
      <c r="R63" s="633"/>
      <c r="S63" s="633"/>
      <c r="T63" s="633"/>
      <c r="U63" s="633">
        <v>0</v>
      </c>
      <c r="V63" s="633"/>
      <c r="W63" s="633"/>
      <c r="X63" s="633"/>
      <c r="Y63" s="633"/>
      <c r="Z63" s="633"/>
      <c r="AA63" s="633"/>
      <c r="AB63" s="633"/>
      <c r="AC63" s="633"/>
      <c r="AD63" s="540">
        <f t="shared" si="4"/>
        <v>0</v>
      </c>
      <c r="AE63" s="458">
        <f t="shared" si="5"/>
        <v>0</v>
      </c>
      <c r="AF63" s="442" t="str">
        <f t="shared" si="8"/>
        <v>sell</v>
      </c>
    </row>
    <row r="64" spans="1:32" s="349" customFormat="1" hidden="1" x14ac:dyDescent="0.25">
      <c r="A64" s="576" t="s">
        <v>278</v>
      </c>
      <c r="B64" s="455" t="s">
        <v>241</v>
      </c>
      <c r="C64" s="455" t="s">
        <v>280</v>
      </c>
      <c r="D64" s="707">
        <f t="shared" si="7"/>
        <v>-0.25</v>
      </c>
      <c r="E64" s="707"/>
      <c r="F64" s="633"/>
      <c r="G64" s="633"/>
      <c r="H64" s="633"/>
      <c r="I64" s="633"/>
      <c r="J64" s="633"/>
      <c r="K64" s="633"/>
      <c r="L64" s="633"/>
      <c r="M64" s="633"/>
      <c r="N64" s="633"/>
      <c r="O64" s="633"/>
      <c r="P64" s="633"/>
      <c r="Q64" s="633"/>
      <c r="R64" s="633"/>
      <c r="S64" s="633"/>
      <c r="T64" s="633"/>
      <c r="U64" s="633"/>
      <c r="V64" s="633">
        <v>0</v>
      </c>
      <c r="W64" s="633"/>
      <c r="X64" s="633"/>
      <c r="Y64" s="633"/>
      <c r="Z64" s="633"/>
      <c r="AA64" s="633"/>
      <c r="AB64" s="633"/>
      <c r="AC64" s="633"/>
      <c r="AD64" s="540">
        <f t="shared" si="4"/>
        <v>0</v>
      </c>
      <c r="AE64" s="458">
        <f t="shared" si="5"/>
        <v>0</v>
      </c>
      <c r="AF64" s="442" t="str">
        <f t="shared" si="8"/>
        <v>sell</v>
      </c>
    </row>
    <row r="65" spans="1:32" s="349" customFormat="1" hidden="1" x14ac:dyDescent="0.25">
      <c r="A65" s="576" t="s">
        <v>278</v>
      </c>
      <c r="B65" s="455" t="s">
        <v>241</v>
      </c>
      <c r="C65" s="455" t="s">
        <v>280</v>
      </c>
      <c r="D65" s="707">
        <f t="shared" si="7"/>
        <v>-0.25</v>
      </c>
      <c r="E65" s="707"/>
      <c r="F65" s="633"/>
      <c r="G65" s="633"/>
      <c r="H65" s="633"/>
      <c r="I65" s="633"/>
      <c r="J65" s="633"/>
      <c r="K65" s="633"/>
      <c r="L65" s="633"/>
      <c r="M65" s="633"/>
      <c r="N65" s="633"/>
      <c r="O65" s="633"/>
      <c r="P65" s="633"/>
      <c r="Q65" s="633"/>
      <c r="R65" s="633"/>
      <c r="S65" s="633"/>
      <c r="T65" s="633"/>
      <c r="U65" s="633"/>
      <c r="V65" s="633"/>
      <c r="W65" s="633">
        <v>0</v>
      </c>
      <c r="X65" s="633"/>
      <c r="Y65" s="633"/>
      <c r="Z65" s="633"/>
      <c r="AA65" s="633"/>
      <c r="AB65" s="633"/>
      <c r="AC65" s="633"/>
      <c r="AD65" s="540">
        <f t="shared" si="4"/>
        <v>0</v>
      </c>
      <c r="AE65" s="458">
        <f t="shared" si="5"/>
        <v>0</v>
      </c>
      <c r="AF65" s="442" t="str">
        <f t="shared" si="8"/>
        <v>sell</v>
      </c>
    </row>
    <row r="66" spans="1:32" s="349" customFormat="1" hidden="1" x14ac:dyDescent="0.25">
      <c r="A66" s="576" t="s">
        <v>278</v>
      </c>
      <c r="B66" s="455" t="s">
        <v>241</v>
      </c>
      <c r="C66" s="455" t="s">
        <v>280</v>
      </c>
      <c r="D66" s="707">
        <f t="shared" si="7"/>
        <v>-0.25</v>
      </c>
      <c r="E66" s="707"/>
      <c r="F66" s="633"/>
      <c r="G66" s="633"/>
      <c r="H66" s="633"/>
      <c r="I66" s="633"/>
      <c r="J66" s="633"/>
      <c r="K66" s="633"/>
      <c r="L66" s="633"/>
      <c r="M66" s="633"/>
      <c r="N66" s="633"/>
      <c r="O66" s="633"/>
      <c r="P66" s="633"/>
      <c r="Q66" s="633"/>
      <c r="R66" s="633"/>
      <c r="S66" s="633"/>
      <c r="T66" s="633"/>
      <c r="U66" s="633"/>
      <c r="V66" s="633"/>
      <c r="W66" s="633"/>
      <c r="X66" s="633">
        <v>0</v>
      </c>
      <c r="Y66" s="633"/>
      <c r="Z66" s="633"/>
      <c r="AA66" s="633"/>
      <c r="AB66" s="633"/>
      <c r="AC66" s="633"/>
      <c r="AD66" s="540">
        <f t="shared" si="4"/>
        <v>0</v>
      </c>
      <c r="AE66" s="458">
        <f t="shared" si="5"/>
        <v>0</v>
      </c>
      <c r="AF66" s="442" t="str">
        <f t="shared" si="8"/>
        <v>sell</v>
      </c>
    </row>
    <row r="67" spans="1:32" s="349" customFormat="1" hidden="1" x14ac:dyDescent="0.25">
      <c r="A67" s="576" t="s">
        <v>278</v>
      </c>
      <c r="B67" s="455" t="s">
        <v>241</v>
      </c>
      <c r="C67" s="455" t="s">
        <v>280</v>
      </c>
      <c r="D67" s="707">
        <f t="shared" si="7"/>
        <v>-0.25</v>
      </c>
      <c r="E67" s="707"/>
      <c r="F67" s="633"/>
      <c r="G67" s="633"/>
      <c r="H67" s="633"/>
      <c r="I67" s="633"/>
      <c r="J67" s="633"/>
      <c r="K67" s="633"/>
      <c r="L67" s="633"/>
      <c r="M67" s="633"/>
      <c r="N67" s="633"/>
      <c r="O67" s="633"/>
      <c r="P67" s="633"/>
      <c r="Q67" s="633"/>
      <c r="R67" s="633"/>
      <c r="S67" s="633"/>
      <c r="T67" s="633"/>
      <c r="U67" s="633"/>
      <c r="V67" s="633"/>
      <c r="W67" s="633"/>
      <c r="X67" s="633"/>
      <c r="Y67" s="633">
        <v>0</v>
      </c>
      <c r="Z67" s="633"/>
      <c r="AA67" s="633"/>
      <c r="AB67" s="633"/>
      <c r="AC67" s="633"/>
      <c r="AD67" s="540">
        <f t="shared" si="4"/>
        <v>0</v>
      </c>
      <c r="AE67" s="458">
        <f t="shared" si="5"/>
        <v>0</v>
      </c>
      <c r="AF67" s="442" t="str">
        <f t="shared" si="8"/>
        <v>sell</v>
      </c>
    </row>
    <row r="68" spans="1:32" s="349" customFormat="1" hidden="1" x14ac:dyDescent="0.25">
      <c r="A68" s="576" t="s">
        <v>278</v>
      </c>
      <c r="B68" s="455" t="s">
        <v>241</v>
      </c>
      <c r="C68" s="455" t="s">
        <v>280</v>
      </c>
      <c r="D68" s="707">
        <f t="shared" si="7"/>
        <v>-0.25</v>
      </c>
      <c r="E68" s="707"/>
      <c r="F68" s="633"/>
      <c r="G68" s="633"/>
      <c r="H68" s="633"/>
      <c r="I68" s="633"/>
      <c r="J68" s="633"/>
      <c r="K68" s="633"/>
      <c r="L68" s="633"/>
      <c r="M68" s="633"/>
      <c r="N68" s="633"/>
      <c r="O68" s="633"/>
      <c r="P68" s="633"/>
      <c r="Q68" s="633"/>
      <c r="R68" s="633"/>
      <c r="S68" s="633"/>
      <c r="T68" s="633"/>
      <c r="U68" s="633"/>
      <c r="V68" s="633"/>
      <c r="W68" s="633"/>
      <c r="X68" s="633"/>
      <c r="Y68" s="633"/>
      <c r="Z68" s="633">
        <v>0</v>
      </c>
      <c r="AA68" s="633"/>
      <c r="AB68" s="633"/>
      <c r="AC68" s="633"/>
      <c r="AD68" s="540">
        <f t="shared" si="4"/>
        <v>0</v>
      </c>
      <c r="AE68" s="458">
        <f t="shared" si="5"/>
        <v>0</v>
      </c>
      <c r="AF68" s="442" t="str">
        <f t="shared" si="8"/>
        <v>sell</v>
      </c>
    </row>
    <row r="69" spans="1:32" s="349" customFormat="1" hidden="1" x14ac:dyDescent="0.25">
      <c r="A69" s="576" t="s">
        <v>278</v>
      </c>
      <c r="B69" s="455" t="s">
        <v>241</v>
      </c>
      <c r="C69" s="455" t="s">
        <v>280</v>
      </c>
      <c r="D69" s="707">
        <f t="shared" si="7"/>
        <v>-0.25</v>
      </c>
      <c r="E69" s="707"/>
      <c r="F69" s="633"/>
      <c r="G69" s="633"/>
      <c r="H69" s="633"/>
      <c r="I69" s="633"/>
      <c r="J69" s="633"/>
      <c r="K69" s="633"/>
      <c r="L69" s="633"/>
      <c r="M69" s="633"/>
      <c r="N69" s="633"/>
      <c r="O69" s="633"/>
      <c r="P69" s="633"/>
      <c r="Q69" s="633"/>
      <c r="R69" s="633"/>
      <c r="S69" s="633"/>
      <c r="T69" s="633"/>
      <c r="U69" s="633"/>
      <c r="V69" s="633"/>
      <c r="W69" s="633"/>
      <c r="X69" s="633"/>
      <c r="Y69" s="633"/>
      <c r="Z69" s="633"/>
      <c r="AA69" s="633">
        <v>0</v>
      </c>
      <c r="AB69" s="633"/>
      <c r="AC69" s="633"/>
      <c r="AD69" s="540">
        <f t="shared" si="4"/>
        <v>0</v>
      </c>
      <c r="AE69" s="458">
        <f t="shared" si="5"/>
        <v>0</v>
      </c>
      <c r="AF69" s="442" t="str">
        <f t="shared" si="8"/>
        <v>sell</v>
      </c>
    </row>
    <row r="70" spans="1:32" s="349" customFormat="1" hidden="1" x14ac:dyDescent="0.25">
      <c r="A70" s="576" t="s">
        <v>278</v>
      </c>
      <c r="B70" s="455" t="s">
        <v>241</v>
      </c>
      <c r="C70" s="455" t="s">
        <v>280</v>
      </c>
      <c r="D70" s="707">
        <f t="shared" si="7"/>
        <v>-0.25</v>
      </c>
      <c r="E70" s="707"/>
      <c r="F70" s="633"/>
      <c r="G70" s="633"/>
      <c r="H70" s="633"/>
      <c r="I70" s="633"/>
      <c r="J70" s="633"/>
      <c r="K70" s="633"/>
      <c r="L70" s="633"/>
      <c r="M70" s="633"/>
      <c r="N70" s="633"/>
      <c r="O70" s="633"/>
      <c r="P70" s="633"/>
      <c r="Q70" s="633"/>
      <c r="R70" s="633"/>
      <c r="S70" s="633"/>
      <c r="T70" s="633"/>
      <c r="U70" s="633"/>
      <c r="V70" s="633"/>
      <c r="W70" s="633"/>
      <c r="X70" s="633"/>
      <c r="Y70" s="633"/>
      <c r="Z70" s="633"/>
      <c r="AA70" s="633"/>
      <c r="AB70" s="633">
        <v>0</v>
      </c>
      <c r="AC70" s="633"/>
      <c r="AD70" s="540">
        <f t="shared" si="4"/>
        <v>0</v>
      </c>
      <c r="AE70" s="458">
        <f t="shared" si="5"/>
        <v>0</v>
      </c>
      <c r="AF70" s="442" t="str">
        <f t="shared" si="8"/>
        <v>sell</v>
      </c>
    </row>
    <row r="71" spans="1:32" s="349" customFormat="1" hidden="1" x14ac:dyDescent="0.25">
      <c r="A71" s="576"/>
      <c r="B71" s="455"/>
      <c r="C71" s="455"/>
      <c r="D71" s="707"/>
      <c r="E71" s="707"/>
      <c r="F71" s="633"/>
      <c r="G71" s="678"/>
      <c r="H71" s="633"/>
      <c r="I71" s="633"/>
      <c r="J71" s="633"/>
      <c r="K71" s="633"/>
      <c r="L71" s="633"/>
      <c r="M71" s="633"/>
      <c r="N71" s="633"/>
      <c r="O71" s="633"/>
      <c r="P71" s="633"/>
      <c r="Q71" s="633"/>
      <c r="R71" s="633"/>
      <c r="S71" s="633"/>
      <c r="T71" s="633"/>
      <c r="U71" s="633"/>
      <c r="V71" s="633"/>
      <c r="W71" s="633"/>
      <c r="X71" s="633"/>
      <c r="Y71" s="633"/>
      <c r="Z71" s="633"/>
      <c r="AA71" s="633"/>
      <c r="AB71" s="633"/>
      <c r="AC71" s="633"/>
      <c r="AD71" s="541">
        <f t="shared" si="4"/>
        <v>0</v>
      </c>
      <c r="AE71" s="531">
        <f t="shared" si="5"/>
        <v>0</v>
      </c>
      <c r="AF71" s="494" t="str">
        <f t="shared" si="8"/>
        <v>sell</v>
      </c>
    </row>
    <row r="72" spans="1:32" s="349" customFormat="1" ht="12.75" customHeight="1" x14ac:dyDescent="0.25">
      <c r="A72" s="588"/>
      <c r="B72" s="589"/>
      <c r="C72" s="589"/>
      <c r="D72" s="708"/>
      <c r="E72" s="708" t="s">
        <v>15</v>
      </c>
      <c r="F72" s="632"/>
      <c r="G72" s="678"/>
      <c r="H72" s="633"/>
      <c r="I72" s="633"/>
      <c r="J72" s="633"/>
      <c r="K72" s="633"/>
      <c r="L72" s="633"/>
      <c r="M72" s="633"/>
      <c r="N72" s="633"/>
      <c r="O72" s="633"/>
      <c r="P72" s="633"/>
      <c r="Q72" s="633"/>
      <c r="R72" s="633"/>
      <c r="S72" s="633"/>
      <c r="T72" s="633"/>
      <c r="U72" s="633"/>
      <c r="V72" s="633"/>
      <c r="W72" s="633"/>
      <c r="X72" s="633"/>
      <c r="Y72" s="633"/>
      <c r="Z72" s="633"/>
      <c r="AA72" s="633"/>
      <c r="AB72" s="633"/>
      <c r="AC72" s="632"/>
      <c r="AD72" s="541">
        <f>SUM(F72:AC72)</f>
        <v>0</v>
      </c>
      <c r="AE72" s="531">
        <f t="shared" si="5"/>
        <v>0</v>
      </c>
      <c r="AF72" s="494" t="str">
        <f t="shared" ref="AF72:AF81" si="9">IF(AD72&lt;0,"buy","sell")</f>
        <v>sell</v>
      </c>
    </row>
    <row r="73" spans="1:32" s="349" customFormat="1" ht="12.75" customHeight="1" x14ac:dyDescent="0.25">
      <c r="A73" s="576" t="s">
        <v>375</v>
      </c>
      <c r="B73" s="590" t="s">
        <v>241</v>
      </c>
      <c r="C73" s="590" t="s">
        <v>152</v>
      </c>
      <c r="D73" s="709">
        <v>142</v>
      </c>
      <c r="E73" s="710"/>
      <c r="F73" s="632">
        <v>50</v>
      </c>
      <c r="G73" s="632">
        <v>50</v>
      </c>
      <c r="H73" s="632">
        <v>50</v>
      </c>
      <c r="I73" s="632">
        <v>50</v>
      </c>
      <c r="J73" s="632">
        <v>50</v>
      </c>
      <c r="K73" s="632">
        <v>50</v>
      </c>
      <c r="L73" s="632"/>
      <c r="M73" s="632"/>
      <c r="N73" s="632"/>
      <c r="O73" s="632"/>
      <c r="P73" s="632"/>
      <c r="Q73" s="632"/>
      <c r="R73" s="632"/>
      <c r="S73" s="632"/>
      <c r="T73" s="632"/>
      <c r="U73" s="632"/>
      <c r="V73" s="632"/>
      <c r="W73" s="632"/>
      <c r="X73" s="632"/>
      <c r="Y73" s="632"/>
      <c r="Z73" s="632"/>
      <c r="AA73" s="632"/>
      <c r="AB73" s="632">
        <v>50</v>
      </c>
      <c r="AC73" s="632">
        <v>50</v>
      </c>
      <c r="AD73" s="541">
        <f t="shared" ref="AD73:AD94" si="10">SUM(E73:AC73)</f>
        <v>400</v>
      </c>
      <c r="AE73" s="531">
        <f t="shared" ref="AE73:AE93" si="11">AD73*D73</f>
        <v>56800</v>
      </c>
      <c r="AF73" s="494" t="str">
        <f t="shared" si="9"/>
        <v>sell</v>
      </c>
    </row>
    <row r="74" spans="1:32" s="349" customFormat="1" ht="12.75" customHeight="1" x14ac:dyDescent="0.25">
      <c r="A74" s="576" t="s">
        <v>370</v>
      </c>
      <c r="B74" s="590" t="s">
        <v>241</v>
      </c>
      <c r="C74" s="590" t="s">
        <v>152</v>
      </c>
      <c r="D74" s="709">
        <v>540</v>
      </c>
      <c r="E74" s="710"/>
      <c r="F74" s="632"/>
      <c r="G74" s="702"/>
      <c r="H74" s="702"/>
      <c r="I74" s="702"/>
      <c r="J74" s="702"/>
      <c r="K74" s="702"/>
      <c r="L74" s="702">
        <v>25</v>
      </c>
      <c r="M74" s="702">
        <v>25</v>
      </c>
      <c r="N74" s="702">
        <v>25</v>
      </c>
      <c r="O74" s="702">
        <v>25</v>
      </c>
      <c r="P74" s="702">
        <v>25</v>
      </c>
      <c r="Q74" s="702">
        <v>25</v>
      </c>
      <c r="R74" s="702">
        <v>25</v>
      </c>
      <c r="S74" s="702">
        <v>25</v>
      </c>
      <c r="T74" s="702">
        <v>25</v>
      </c>
      <c r="U74" s="702">
        <v>25</v>
      </c>
      <c r="V74" s="702">
        <v>25</v>
      </c>
      <c r="W74" s="702">
        <v>25</v>
      </c>
      <c r="X74" s="702">
        <v>25</v>
      </c>
      <c r="Y74" s="702">
        <v>25</v>
      </c>
      <c r="Z74" s="702">
        <v>25</v>
      </c>
      <c r="AA74" s="702">
        <v>25</v>
      </c>
      <c r="AB74" s="702"/>
      <c r="AC74" s="702"/>
      <c r="AD74" s="541">
        <f t="shared" si="10"/>
        <v>400</v>
      </c>
      <c r="AE74" s="531">
        <f t="shared" si="11"/>
        <v>216000</v>
      </c>
      <c r="AF74" s="494" t="str">
        <f t="shared" si="9"/>
        <v>sell</v>
      </c>
    </row>
    <row r="75" spans="1:32" s="349" customFormat="1" x14ac:dyDescent="0.25">
      <c r="A75" s="576"/>
      <c r="B75" s="590"/>
      <c r="C75" s="590"/>
      <c r="D75" s="709"/>
      <c r="E75" s="710"/>
      <c r="F75" s="633"/>
      <c r="G75" s="636"/>
      <c r="H75" s="636"/>
      <c r="I75" s="636"/>
      <c r="J75" s="636"/>
      <c r="K75" s="636"/>
      <c r="L75" s="636"/>
      <c r="M75" s="636"/>
      <c r="N75" s="636"/>
      <c r="O75" s="636"/>
      <c r="P75" s="636"/>
      <c r="Q75" s="636"/>
      <c r="R75" s="636"/>
      <c r="S75" s="636"/>
      <c r="T75" s="636"/>
      <c r="U75" s="636"/>
      <c r="V75" s="636"/>
      <c r="W75" s="636"/>
      <c r="X75" s="636"/>
      <c r="Y75" s="636"/>
      <c r="Z75" s="636"/>
      <c r="AA75" s="636"/>
      <c r="AB75" s="636"/>
      <c r="AC75" s="636"/>
      <c r="AD75" s="541">
        <f t="shared" si="10"/>
        <v>0</v>
      </c>
      <c r="AE75" s="531">
        <f t="shared" si="11"/>
        <v>0</v>
      </c>
      <c r="AF75" s="494" t="str">
        <f t="shared" si="9"/>
        <v>sell</v>
      </c>
    </row>
    <row r="76" spans="1:32" s="349" customFormat="1" ht="14.25" customHeight="1" x14ac:dyDescent="0.25">
      <c r="A76" s="577"/>
      <c r="B76" s="527"/>
      <c r="C76" s="527"/>
      <c r="D76" s="711"/>
      <c r="E76" s="712"/>
      <c r="F76" s="679"/>
      <c r="G76" s="680"/>
      <c r="H76" s="680"/>
      <c r="I76" s="680"/>
      <c r="J76" s="680"/>
      <c r="K76" s="680"/>
      <c r="L76" s="680"/>
      <c r="M76" s="680"/>
      <c r="N76" s="680"/>
      <c r="O76" s="680"/>
      <c r="P76" s="680"/>
      <c r="Q76" s="680"/>
      <c r="R76" s="680"/>
      <c r="S76" s="680"/>
      <c r="T76" s="680"/>
      <c r="U76" s="680"/>
      <c r="V76" s="680"/>
      <c r="W76" s="680"/>
      <c r="X76" s="680"/>
      <c r="Y76" s="680"/>
      <c r="Z76" s="680"/>
      <c r="AA76" s="680"/>
      <c r="AB76" s="680"/>
      <c r="AC76" s="680"/>
      <c r="AD76" s="591">
        <f t="shared" si="10"/>
        <v>0</v>
      </c>
      <c r="AE76" s="531">
        <f t="shared" si="11"/>
        <v>0</v>
      </c>
      <c r="AF76" s="494" t="str">
        <f t="shared" si="9"/>
        <v>sell</v>
      </c>
    </row>
    <row r="77" spans="1:32" s="349" customFormat="1" ht="14.25" customHeight="1" x14ac:dyDescent="0.25">
      <c r="A77" s="577" t="s">
        <v>68</v>
      </c>
      <c r="B77" s="527" t="s">
        <v>367</v>
      </c>
      <c r="C77" s="527" t="s">
        <v>152</v>
      </c>
      <c r="D77" s="711">
        <v>150</v>
      </c>
      <c r="E77" s="712"/>
      <c r="F77" s="679"/>
      <c r="G77" s="680"/>
      <c r="H77" s="680">
        <v>25</v>
      </c>
      <c r="I77" s="680">
        <v>25</v>
      </c>
      <c r="J77" s="680">
        <v>35</v>
      </c>
      <c r="K77" s="680">
        <v>35</v>
      </c>
      <c r="L77" s="680">
        <v>35</v>
      </c>
      <c r="M77" s="680">
        <v>35</v>
      </c>
      <c r="N77" s="680"/>
      <c r="O77" s="680"/>
      <c r="P77" s="680"/>
      <c r="Q77" s="680"/>
      <c r="R77" s="680"/>
      <c r="S77" s="680"/>
      <c r="T77" s="680"/>
      <c r="U77" s="680"/>
      <c r="V77" s="680"/>
      <c r="W77" s="680"/>
      <c r="X77" s="680"/>
      <c r="Y77" s="680"/>
      <c r="Z77" s="680"/>
      <c r="AA77" s="680"/>
      <c r="AB77" s="680"/>
      <c r="AC77" s="680"/>
      <c r="AD77" s="591">
        <f t="shared" si="10"/>
        <v>190</v>
      </c>
      <c r="AE77" s="531">
        <f t="shared" si="11"/>
        <v>28500</v>
      </c>
      <c r="AF77" s="494" t="str">
        <f t="shared" si="9"/>
        <v>sell</v>
      </c>
    </row>
    <row r="78" spans="1:32" s="349" customFormat="1" ht="14.25" customHeight="1" x14ac:dyDescent="0.25">
      <c r="A78" s="577" t="s">
        <v>68</v>
      </c>
      <c r="B78" s="527" t="s">
        <v>367</v>
      </c>
      <c r="C78" s="527" t="s">
        <v>152</v>
      </c>
      <c r="D78" s="711">
        <v>175</v>
      </c>
      <c r="E78" s="712"/>
      <c r="F78" s="679"/>
      <c r="G78" s="680"/>
      <c r="H78" s="680"/>
      <c r="I78" s="680"/>
      <c r="J78" s="680"/>
      <c r="K78" s="680"/>
      <c r="L78" s="680"/>
      <c r="M78" s="680"/>
      <c r="N78" s="680">
        <v>50</v>
      </c>
      <c r="O78" s="680"/>
      <c r="P78" s="680"/>
      <c r="Q78" s="680"/>
      <c r="R78" s="680"/>
      <c r="S78" s="680"/>
      <c r="T78" s="680"/>
      <c r="U78" s="680"/>
      <c r="V78" s="680"/>
      <c r="W78" s="680"/>
      <c r="X78" s="680"/>
      <c r="Y78" s="680"/>
      <c r="Z78" s="680"/>
      <c r="AA78" s="680"/>
      <c r="AB78" s="680"/>
      <c r="AC78" s="680"/>
      <c r="AD78" s="591">
        <f t="shared" si="10"/>
        <v>50</v>
      </c>
      <c r="AE78" s="531">
        <f t="shared" si="11"/>
        <v>8750</v>
      </c>
      <c r="AF78" s="494" t="str">
        <f t="shared" si="9"/>
        <v>sell</v>
      </c>
    </row>
    <row r="79" spans="1:32" s="349" customFormat="1" ht="14.25" customHeight="1" x14ac:dyDescent="0.25">
      <c r="A79" s="577" t="s">
        <v>68</v>
      </c>
      <c r="B79" s="527" t="s">
        <v>367</v>
      </c>
      <c r="C79" s="527" t="s">
        <v>152</v>
      </c>
      <c r="D79" s="711">
        <v>220</v>
      </c>
      <c r="E79" s="712"/>
      <c r="F79" s="679"/>
      <c r="G79" s="680"/>
      <c r="H79" s="680"/>
      <c r="I79" s="680"/>
      <c r="J79" s="680"/>
      <c r="K79" s="680"/>
      <c r="L79" s="680"/>
      <c r="M79" s="680"/>
      <c r="N79" s="680"/>
      <c r="O79" s="680"/>
      <c r="P79" s="680"/>
      <c r="Q79" s="680"/>
      <c r="R79" s="680"/>
      <c r="S79" s="680"/>
      <c r="T79" s="680"/>
      <c r="U79" s="680"/>
      <c r="V79" s="680"/>
      <c r="W79" s="680"/>
      <c r="X79" s="680"/>
      <c r="Y79" s="680"/>
      <c r="Z79" s="680">
        <v>50</v>
      </c>
      <c r="AA79" s="680">
        <v>75</v>
      </c>
      <c r="AB79" s="680"/>
      <c r="AC79" s="680"/>
      <c r="AD79" s="591">
        <f>SUM(E79:AC79)</f>
        <v>125</v>
      </c>
      <c r="AE79" s="531">
        <f>AD79*D79</f>
        <v>27500</v>
      </c>
      <c r="AF79" s="494" t="str">
        <f>IF(AD79&lt;0,"buy","sell")</f>
        <v>sell</v>
      </c>
    </row>
    <row r="80" spans="1:32" s="349" customFormat="1" ht="14.25" customHeight="1" x14ac:dyDescent="0.25">
      <c r="A80" s="577" t="s">
        <v>68</v>
      </c>
      <c r="B80" s="527" t="s">
        <v>367</v>
      </c>
      <c r="C80" s="527" t="s">
        <v>280</v>
      </c>
      <c r="D80" s="711">
        <v>160</v>
      </c>
      <c r="E80" s="712"/>
      <c r="F80" s="679"/>
      <c r="G80" s="680"/>
      <c r="H80" s="680"/>
      <c r="I80" s="680"/>
      <c r="J80" s="680"/>
      <c r="K80" s="680"/>
      <c r="L80" s="680"/>
      <c r="M80" s="680"/>
      <c r="N80" s="680"/>
      <c r="O80" s="680"/>
      <c r="P80" s="680"/>
      <c r="Q80" s="680"/>
      <c r="R80" s="680"/>
      <c r="S80" s="680"/>
      <c r="T80" s="680"/>
      <c r="U80" s="680"/>
      <c r="V80" s="680"/>
      <c r="W80" s="680"/>
      <c r="X80" s="680"/>
      <c r="Y80" s="680"/>
      <c r="Z80" s="680"/>
      <c r="AA80" s="680"/>
      <c r="AB80" s="680"/>
      <c r="AC80" s="680">
        <v>45</v>
      </c>
      <c r="AD80" s="591">
        <f>SUM(E80:AC80)</f>
        <v>45</v>
      </c>
      <c r="AE80" s="531">
        <f>AD80*D80</f>
        <v>7200</v>
      </c>
      <c r="AF80" s="494" t="str">
        <f>IF(AD80&lt;0,"buy","sell")</f>
        <v>sell</v>
      </c>
    </row>
    <row r="81" spans="1:32" s="349" customFormat="1" ht="14.25" customHeight="1" x14ac:dyDescent="0.25">
      <c r="A81" s="577" t="s">
        <v>226</v>
      </c>
      <c r="B81" s="527" t="s">
        <v>367</v>
      </c>
      <c r="C81" s="527" t="s">
        <v>280</v>
      </c>
      <c r="D81" s="711">
        <v>75</v>
      </c>
      <c r="E81" s="712"/>
      <c r="F81" s="679"/>
      <c r="G81" s="680"/>
      <c r="H81" s="680"/>
      <c r="I81" s="680"/>
      <c r="J81" s="680">
        <v>13</v>
      </c>
      <c r="K81" s="680"/>
      <c r="L81" s="680"/>
      <c r="M81" s="680"/>
      <c r="N81" s="680"/>
      <c r="O81" s="680"/>
      <c r="P81" s="680"/>
      <c r="Q81" s="680"/>
      <c r="R81" s="680"/>
      <c r="S81" s="680"/>
      <c r="T81" s="680"/>
      <c r="U81" s="680"/>
      <c r="V81" s="680"/>
      <c r="W81" s="680"/>
      <c r="X81" s="680"/>
      <c r="Y81" s="680"/>
      <c r="Z81" s="680"/>
      <c r="AA81" s="680"/>
      <c r="AB81" s="680"/>
      <c r="AC81" s="680"/>
      <c r="AD81" s="591">
        <f t="shared" si="10"/>
        <v>13</v>
      </c>
      <c r="AE81" s="531">
        <f t="shared" si="11"/>
        <v>975</v>
      </c>
      <c r="AF81" s="494" t="str">
        <f t="shared" si="9"/>
        <v>sell</v>
      </c>
    </row>
    <row r="82" spans="1:32" s="349" customFormat="1" ht="14.25" customHeight="1" x14ac:dyDescent="0.25">
      <c r="A82" s="577" t="s">
        <v>381</v>
      </c>
      <c r="B82" s="527" t="s">
        <v>367</v>
      </c>
      <c r="C82" s="527" t="s">
        <v>280</v>
      </c>
      <c r="D82" s="711">
        <v>175</v>
      </c>
      <c r="E82" s="712"/>
      <c r="F82" s="679"/>
      <c r="G82" s="680"/>
      <c r="H82" s="680"/>
      <c r="I82" s="680"/>
      <c r="J82" s="680"/>
      <c r="K82" s="680"/>
      <c r="L82" s="680"/>
      <c r="M82" s="680"/>
      <c r="N82" s="680">
        <v>25</v>
      </c>
      <c r="O82" s="680"/>
      <c r="P82" s="680"/>
      <c r="Q82" s="680"/>
      <c r="R82" s="680"/>
      <c r="S82" s="680"/>
      <c r="T82" s="680"/>
      <c r="U82" s="680"/>
      <c r="V82" s="680"/>
      <c r="W82" s="680"/>
      <c r="X82" s="680"/>
      <c r="Y82" s="680"/>
      <c r="Z82" s="680"/>
      <c r="AA82" s="680"/>
      <c r="AB82" s="680"/>
      <c r="AC82" s="680"/>
      <c r="AD82" s="591">
        <f t="shared" si="10"/>
        <v>25</v>
      </c>
      <c r="AE82" s="531">
        <f t="shared" si="11"/>
        <v>4375</v>
      </c>
      <c r="AF82" s="494" t="str">
        <f t="shared" ref="AF82:AF92" si="12">IF(AD82&lt;0,"buy","sell")</f>
        <v>sell</v>
      </c>
    </row>
    <row r="83" spans="1:32" s="349" customFormat="1" ht="14.25" customHeight="1" x14ac:dyDescent="0.25">
      <c r="A83" s="577" t="s">
        <v>381</v>
      </c>
      <c r="B83" s="527" t="s">
        <v>367</v>
      </c>
      <c r="C83" s="527" t="s">
        <v>280</v>
      </c>
      <c r="D83" s="711">
        <v>235</v>
      </c>
      <c r="E83" s="712"/>
      <c r="F83" s="679"/>
      <c r="G83" s="680"/>
      <c r="H83" s="680"/>
      <c r="I83" s="680"/>
      <c r="J83" s="680"/>
      <c r="K83" s="680"/>
      <c r="L83" s="680"/>
      <c r="M83" s="680"/>
      <c r="N83" s="680"/>
      <c r="O83" s="680"/>
      <c r="P83" s="680"/>
      <c r="Q83" s="680"/>
      <c r="R83" s="680"/>
      <c r="S83" s="680"/>
      <c r="T83" s="680"/>
      <c r="U83" s="680"/>
      <c r="V83" s="680"/>
      <c r="W83" s="680"/>
      <c r="X83" s="680"/>
      <c r="Y83" s="680"/>
      <c r="Z83" s="680"/>
      <c r="AA83" s="680">
        <v>61</v>
      </c>
      <c r="AB83" s="680"/>
      <c r="AC83" s="680"/>
      <c r="AD83" s="591">
        <f>SUM(E83:AC83)</f>
        <v>61</v>
      </c>
      <c r="AE83" s="531">
        <f>AD83*D83</f>
        <v>14335</v>
      </c>
      <c r="AF83" s="494" t="str">
        <f>IF(AD83&lt;0,"buy","sell")</f>
        <v>sell</v>
      </c>
    </row>
    <row r="84" spans="1:32" s="349" customFormat="1" ht="14.25" customHeight="1" x14ac:dyDescent="0.25">
      <c r="A84" s="577" t="s">
        <v>67</v>
      </c>
      <c r="B84" s="527" t="s">
        <v>367</v>
      </c>
      <c r="C84" s="527" t="s">
        <v>280</v>
      </c>
      <c r="D84" s="711">
        <v>300</v>
      </c>
      <c r="E84" s="712"/>
      <c r="F84" s="679"/>
      <c r="G84" s="680"/>
      <c r="H84" s="680"/>
      <c r="I84" s="680"/>
      <c r="J84" s="680"/>
      <c r="K84" s="680"/>
      <c r="L84" s="680"/>
      <c r="M84" s="680"/>
      <c r="N84" s="680"/>
      <c r="O84" s="680">
        <v>100</v>
      </c>
      <c r="P84" s="680">
        <v>75</v>
      </c>
      <c r="Q84" s="680"/>
      <c r="R84" s="680"/>
      <c r="S84" s="680"/>
      <c r="T84" s="680"/>
      <c r="U84" s="680"/>
      <c r="V84" s="680"/>
      <c r="W84" s="680"/>
      <c r="X84" s="680"/>
      <c r="Y84" s="680"/>
      <c r="Z84" s="680"/>
      <c r="AA84" s="680"/>
      <c r="AB84" s="680"/>
      <c r="AC84" s="680"/>
      <c r="AD84" s="591">
        <f t="shared" si="10"/>
        <v>175</v>
      </c>
      <c r="AE84" s="531">
        <f t="shared" si="11"/>
        <v>52500</v>
      </c>
      <c r="AF84" s="494" t="str">
        <f t="shared" si="12"/>
        <v>sell</v>
      </c>
    </row>
    <row r="85" spans="1:32" s="349" customFormat="1" ht="14.25" customHeight="1" x14ac:dyDescent="0.25">
      <c r="A85" s="577" t="s">
        <v>67</v>
      </c>
      <c r="B85" s="527" t="s">
        <v>367</v>
      </c>
      <c r="C85" s="527" t="s">
        <v>280</v>
      </c>
      <c r="D85" s="711">
        <v>350</v>
      </c>
      <c r="E85" s="712"/>
      <c r="F85" s="679"/>
      <c r="G85" s="680"/>
      <c r="H85" s="680"/>
      <c r="I85" s="680"/>
      <c r="J85" s="680"/>
      <c r="K85" s="680"/>
      <c r="L85" s="680"/>
      <c r="M85" s="680"/>
      <c r="N85" s="680"/>
      <c r="O85" s="680"/>
      <c r="P85" s="680"/>
      <c r="Q85" s="680">
        <v>65</v>
      </c>
      <c r="R85" s="680">
        <v>50</v>
      </c>
      <c r="S85" s="680"/>
      <c r="T85" s="680"/>
      <c r="U85" s="680"/>
      <c r="V85" s="680"/>
      <c r="W85" s="680"/>
      <c r="X85" s="680"/>
      <c r="Y85" s="680"/>
      <c r="Z85" s="680"/>
      <c r="AA85" s="680"/>
      <c r="AB85" s="680"/>
      <c r="AC85" s="680"/>
      <c r="AD85" s="591">
        <f t="shared" si="10"/>
        <v>115</v>
      </c>
      <c r="AE85" s="531">
        <f t="shared" si="11"/>
        <v>40250</v>
      </c>
      <c r="AF85" s="494" t="str">
        <f t="shared" si="12"/>
        <v>sell</v>
      </c>
    </row>
    <row r="86" spans="1:32" s="349" customFormat="1" ht="14.25" customHeight="1" x14ac:dyDescent="0.25">
      <c r="A86" s="577" t="s">
        <v>67</v>
      </c>
      <c r="B86" s="527" t="s">
        <v>367</v>
      </c>
      <c r="C86" s="527" t="s">
        <v>280</v>
      </c>
      <c r="D86" s="711">
        <v>375</v>
      </c>
      <c r="E86" s="712"/>
      <c r="F86" s="679"/>
      <c r="G86" s="680"/>
      <c r="H86" s="680"/>
      <c r="I86" s="680"/>
      <c r="J86" s="680"/>
      <c r="K86" s="680"/>
      <c r="L86" s="680"/>
      <c r="M86" s="680"/>
      <c r="N86" s="680"/>
      <c r="O86" s="680"/>
      <c r="P86" s="680"/>
      <c r="Q86" s="680"/>
      <c r="R86" s="680"/>
      <c r="S86" s="680">
        <v>50</v>
      </c>
      <c r="T86" s="680">
        <v>50</v>
      </c>
      <c r="U86" s="680">
        <v>50</v>
      </c>
      <c r="V86" s="680">
        <v>50</v>
      </c>
      <c r="W86" s="680"/>
      <c r="X86" s="680"/>
      <c r="Y86" s="680"/>
      <c r="Z86" s="680"/>
      <c r="AA86" s="680"/>
      <c r="AB86" s="680"/>
      <c r="AC86" s="680"/>
      <c r="AD86" s="591">
        <f>SUM(E86:AC86)</f>
        <v>200</v>
      </c>
      <c r="AE86" s="531">
        <f>AD86*D86</f>
        <v>75000</v>
      </c>
      <c r="AF86" s="494" t="str">
        <f>IF(AD86&lt;0,"buy","sell")</f>
        <v>sell</v>
      </c>
    </row>
    <row r="87" spans="1:32" s="349" customFormat="1" ht="14.25" customHeight="1" x14ac:dyDescent="0.25">
      <c r="A87" s="577" t="s">
        <v>67</v>
      </c>
      <c r="B87" s="527" t="s">
        <v>367</v>
      </c>
      <c r="C87" s="527" t="s">
        <v>280</v>
      </c>
      <c r="D87" s="711">
        <v>375</v>
      </c>
      <c r="E87" s="712"/>
      <c r="F87" s="679"/>
      <c r="G87" s="680"/>
      <c r="H87" s="680"/>
      <c r="I87" s="680"/>
      <c r="J87" s="680"/>
      <c r="K87" s="680"/>
      <c r="L87" s="680"/>
      <c r="M87" s="680"/>
      <c r="N87" s="680"/>
      <c r="O87" s="680"/>
      <c r="P87" s="680"/>
      <c r="Q87" s="680"/>
      <c r="R87" s="680"/>
      <c r="S87" s="680"/>
      <c r="T87" s="680"/>
      <c r="U87" s="680"/>
      <c r="V87" s="680"/>
      <c r="W87" s="680"/>
      <c r="X87" s="680"/>
      <c r="Y87" s="680"/>
      <c r="Z87" s="680"/>
      <c r="AA87" s="680"/>
      <c r="AB87" s="680"/>
      <c r="AC87" s="680"/>
      <c r="AD87" s="591">
        <f t="shared" si="10"/>
        <v>0</v>
      </c>
      <c r="AE87" s="531">
        <f t="shared" si="11"/>
        <v>0</v>
      </c>
      <c r="AF87" s="494" t="str">
        <f t="shared" si="12"/>
        <v>sell</v>
      </c>
    </row>
    <row r="88" spans="1:32" s="349" customFormat="1" ht="14.25" customHeight="1" x14ac:dyDescent="0.25">
      <c r="A88" s="577" t="s">
        <v>376</v>
      </c>
      <c r="B88" s="527" t="s">
        <v>367</v>
      </c>
      <c r="C88" s="527" t="s">
        <v>280</v>
      </c>
      <c r="D88" s="711">
        <v>300</v>
      </c>
      <c r="E88" s="712"/>
      <c r="F88" s="679"/>
      <c r="G88" s="680"/>
      <c r="H88" s="680"/>
      <c r="I88" s="680"/>
      <c r="J88" s="680"/>
      <c r="K88" s="680"/>
      <c r="L88" s="680"/>
      <c r="M88" s="680"/>
      <c r="N88" s="680"/>
      <c r="O88" s="680">
        <v>39</v>
      </c>
      <c r="P88" s="680">
        <v>35</v>
      </c>
      <c r="Q88" s="680"/>
      <c r="R88" s="680"/>
      <c r="S88" s="680"/>
      <c r="T88" s="680"/>
      <c r="U88" s="680"/>
      <c r="V88" s="680"/>
      <c r="W88" s="680"/>
      <c r="X88" s="680"/>
      <c r="Y88" s="680"/>
      <c r="Z88" s="680"/>
      <c r="AA88" s="680"/>
      <c r="AB88" s="680"/>
      <c r="AC88" s="680"/>
      <c r="AD88" s="591">
        <f t="shared" si="10"/>
        <v>74</v>
      </c>
      <c r="AE88" s="531">
        <f t="shared" si="11"/>
        <v>22200</v>
      </c>
      <c r="AF88" s="494" t="str">
        <f t="shared" si="12"/>
        <v>sell</v>
      </c>
    </row>
    <row r="89" spans="1:32" s="349" customFormat="1" ht="14.25" customHeight="1" x14ac:dyDescent="0.25">
      <c r="A89" s="577" t="s">
        <v>376</v>
      </c>
      <c r="B89" s="527" t="s">
        <v>367</v>
      </c>
      <c r="C89" s="527" t="s">
        <v>280</v>
      </c>
      <c r="D89" s="711">
        <v>360</v>
      </c>
      <c r="E89" s="712"/>
      <c r="F89" s="679"/>
      <c r="G89" s="680"/>
      <c r="H89" s="680"/>
      <c r="I89" s="680"/>
      <c r="J89" s="680"/>
      <c r="K89" s="680"/>
      <c r="L89" s="680"/>
      <c r="M89" s="680"/>
      <c r="N89" s="680"/>
      <c r="O89" s="680"/>
      <c r="P89" s="680"/>
      <c r="Q89" s="680">
        <v>39</v>
      </c>
      <c r="R89" s="680">
        <v>39</v>
      </c>
      <c r="S89" s="680"/>
      <c r="T89" s="680"/>
      <c r="U89" s="680"/>
      <c r="V89" s="680"/>
      <c r="W89" s="680">
        <v>39</v>
      </c>
      <c r="X89" s="680"/>
      <c r="Y89" s="680"/>
      <c r="Z89" s="680"/>
      <c r="AA89" s="680"/>
      <c r="AB89" s="680"/>
      <c r="AC89" s="680"/>
      <c r="AD89" s="591">
        <f>SUM(E89:AC89)</f>
        <v>117</v>
      </c>
      <c r="AE89" s="531">
        <f>AD89*D89</f>
        <v>42120</v>
      </c>
      <c r="AF89" s="494" t="str">
        <f>IF(AD89&lt;0,"buy","sell")</f>
        <v>sell</v>
      </c>
    </row>
    <row r="90" spans="1:32" s="349" customFormat="1" ht="14.25" customHeight="1" x14ac:dyDescent="0.25">
      <c r="A90" s="577" t="s">
        <v>376</v>
      </c>
      <c r="B90" s="527" t="s">
        <v>367</v>
      </c>
      <c r="C90" s="527" t="s">
        <v>280</v>
      </c>
      <c r="D90" s="711">
        <v>400</v>
      </c>
      <c r="E90" s="712"/>
      <c r="F90" s="679"/>
      <c r="G90" s="680"/>
      <c r="H90" s="680"/>
      <c r="I90" s="680"/>
      <c r="J90" s="680"/>
      <c r="K90" s="680"/>
      <c r="L90" s="680"/>
      <c r="M90" s="680"/>
      <c r="N90" s="680"/>
      <c r="O90" s="680"/>
      <c r="P90" s="680"/>
      <c r="Q90" s="680"/>
      <c r="R90" s="680"/>
      <c r="S90" s="680"/>
      <c r="T90" s="680"/>
      <c r="U90" s="680"/>
      <c r="V90" s="680"/>
      <c r="W90" s="680"/>
      <c r="X90" s="680"/>
      <c r="Y90" s="680"/>
      <c r="Z90" s="680"/>
      <c r="AA90" s="680"/>
      <c r="AB90" s="680"/>
      <c r="AC90" s="680"/>
      <c r="AD90" s="591">
        <f t="shared" si="10"/>
        <v>0</v>
      </c>
      <c r="AE90" s="531">
        <f t="shared" si="11"/>
        <v>0</v>
      </c>
      <c r="AF90" s="494" t="str">
        <f t="shared" si="12"/>
        <v>sell</v>
      </c>
    </row>
    <row r="91" spans="1:32" s="349" customFormat="1" ht="14.25" customHeight="1" x14ac:dyDescent="0.25">
      <c r="A91" s="577" t="s">
        <v>64</v>
      </c>
      <c r="B91" s="527" t="s">
        <v>367</v>
      </c>
      <c r="C91" s="527" t="s">
        <v>280</v>
      </c>
      <c r="D91" s="711">
        <v>375</v>
      </c>
      <c r="E91" s="712"/>
      <c r="F91" s="679"/>
      <c r="G91" s="680"/>
      <c r="H91" s="680"/>
      <c r="I91" s="680"/>
      <c r="J91" s="680"/>
      <c r="K91" s="680"/>
      <c r="L91" s="680"/>
      <c r="M91" s="680"/>
      <c r="N91" s="680"/>
      <c r="O91" s="680"/>
      <c r="P91" s="680"/>
      <c r="Q91" s="680"/>
      <c r="R91" s="680"/>
      <c r="S91" s="680">
        <v>25</v>
      </c>
      <c r="T91" s="680">
        <v>25</v>
      </c>
      <c r="U91" s="680">
        <v>25</v>
      </c>
      <c r="V91" s="680">
        <v>25</v>
      </c>
      <c r="W91" s="680"/>
      <c r="X91" s="680"/>
      <c r="Y91" s="680"/>
      <c r="Z91" s="680"/>
      <c r="AA91" s="680"/>
      <c r="AB91" s="680"/>
      <c r="AC91" s="680"/>
      <c r="AD91" s="591">
        <f t="shared" si="10"/>
        <v>100</v>
      </c>
      <c r="AE91" s="531">
        <f t="shared" si="11"/>
        <v>37500</v>
      </c>
      <c r="AF91" s="494" t="str">
        <f t="shared" si="12"/>
        <v>sell</v>
      </c>
    </row>
    <row r="92" spans="1:32" s="349" customFormat="1" ht="14.25" customHeight="1" x14ac:dyDescent="0.25">
      <c r="A92" s="577" t="s">
        <v>378</v>
      </c>
      <c r="B92" s="527" t="s">
        <v>367</v>
      </c>
      <c r="C92" s="527" t="s">
        <v>280</v>
      </c>
      <c r="D92" s="711">
        <v>175</v>
      </c>
      <c r="E92" s="712"/>
      <c r="F92" s="679"/>
      <c r="G92" s="680"/>
      <c r="H92" s="680"/>
      <c r="I92" s="680"/>
      <c r="J92" s="680"/>
      <c r="K92" s="680"/>
      <c r="L92" s="680"/>
      <c r="M92" s="680"/>
      <c r="N92" s="680">
        <v>50</v>
      </c>
      <c r="O92" s="680"/>
      <c r="P92" s="680"/>
      <c r="Q92" s="680"/>
      <c r="R92" s="680"/>
      <c r="S92" s="680"/>
      <c r="T92" s="680"/>
      <c r="U92" s="680"/>
      <c r="V92" s="680"/>
      <c r="W92" s="680"/>
      <c r="X92" s="680"/>
      <c r="Y92" s="680"/>
      <c r="Z92" s="680"/>
      <c r="AA92" s="680"/>
      <c r="AB92" s="680"/>
      <c r="AC92" s="680"/>
      <c r="AD92" s="591">
        <f t="shared" si="10"/>
        <v>50</v>
      </c>
      <c r="AE92" s="531">
        <f t="shared" si="11"/>
        <v>8750</v>
      </c>
      <c r="AF92" s="494" t="str">
        <f t="shared" si="12"/>
        <v>sell</v>
      </c>
    </row>
    <row r="93" spans="1:32" s="349" customFormat="1" x14ac:dyDescent="0.25">
      <c r="A93" s="577" t="s">
        <v>15</v>
      </c>
      <c r="B93" s="527"/>
      <c r="C93" s="527"/>
      <c r="D93" s="711"/>
      <c r="E93" s="712"/>
      <c r="F93" s="679"/>
      <c r="G93" s="680"/>
      <c r="H93" s="680"/>
      <c r="I93" s="680"/>
      <c r="J93" s="680"/>
      <c r="K93" s="680"/>
      <c r="L93" s="680"/>
      <c r="M93" s="680"/>
      <c r="N93" s="680"/>
      <c r="O93" s="680"/>
      <c r="P93" s="680"/>
      <c r="Q93" s="680"/>
      <c r="R93" s="680"/>
      <c r="S93" s="680"/>
      <c r="T93" s="680"/>
      <c r="U93" s="680"/>
      <c r="V93" s="680"/>
      <c r="W93" s="680"/>
      <c r="X93" s="680"/>
      <c r="Y93" s="680"/>
      <c r="Z93" s="680"/>
      <c r="AA93" s="680"/>
      <c r="AB93" s="680"/>
      <c r="AC93" s="680"/>
      <c r="AD93" s="591">
        <f t="shared" si="10"/>
        <v>0</v>
      </c>
      <c r="AE93" s="531">
        <f t="shared" si="11"/>
        <v>0</v>
      </c>
      <c r="AF93" s="494" t="str">
        <f>IF(AD93&lt;0,"buy","sell")</f>
        <v>sell</v>
      </c>
    </row>
    <row r="94" spans="1:32" s="349" customFormat="1" x14ac:dyDescent="0.25">
      <c r="A94" s="577" t="s">
        <v>15</v>
      </c>
      <c r="B94" s="527"/>
      <c r="C94" s="527"/>
      <c r="D94" s="711"/>
      <c r="E94" s="712"/>
      <c r="F94" s="679"/>
      <c r="G94" s="680"/>
      <c r="H94" s="680"/>
      <c r="I94" s="680"/>
      <c r="J94" s="680"/>
      <c r="K94" s="680"/>
      <c r="L94" s="680"/>
      <c r="M94" s="680"/>
      <c r="N94" s="680"/>
      <c r="O94" s="680"/>
      <c r="P94" s="680"/>
      <c r="Q94" s="680"/>
      <c r="R94" s="680"/>
      <c r="S94" s="680"/>
      <c r="T94" s="680"/>
      <c r="U94" s="680"/>
      <c r="V94" s="680"/>
      <c r="W94" s="680"/>
      <c r="X94" s="680"/>
      <c r="Y94" s="680"/>
      <c r="Z94" s="680"/>
      <c r="AA94" s="680"/>
      <c r="AB94" s="680"/>
      <c r="AC94" s="680"/>
      <c r="AD94" s="591">
        <f t="shared" si="10"/>
        <v>0</v>
      </c>
      <c r="AE94" s="531">
        <f t="shared" ref="AE94:AE106" si="13">AD94*D94</f>
        <v>0</v>
      </c>
      <c r="AF94" s="494" t="str">
        <f t="shared" ref="AF94:AF102" si="14">IF(AD94&lt;0,"buy","sell")</f>
        <v>sell</v>
      </c>
    </row>
    <row r="95" spans="1:32" s="349" customFormat="1" ht="12" customHeight="1" x14ac:dyDescent="0.25">
      <c r="A95" s="588"/>
      <c r="B95" s="589"/>
      <c r="C95" s="589"/>
      <c r="D95" s="708"/>
      <c r="E95" s="678"/>
      <c r="F95" s="633"/>
      <c r="G95" s="678"/>
      <c r="H95" s="633"/>
      <c r="I95" s="633"/>
      <c r="J95" s="633"/>
      <c r="K95" s="633"/>
      <c r="L95" s="633"/>
      <c r="M95" s="633"/>
      <c r="N95" s="633"/>
      <c r="O95" s="633"/>
      <c r="P95" s="633"/>
      <c r="Q95" s="633"/>
      <c r="R95" s="633"/>
      <c r="S95" s="633"/>
      <c r="T95" s="633"/>
      <c r="U95" s="633"/>
      <c r="V95" s="633"/>
      <c r="W95" s="633"/>
      <c r="X95" s="633"/>
      <c r="Y95" s="633"/>
      <c r="Z95" s="633"/>
      <c r="AA95" s="633"/>
      <c r="AB95" s="633"/>
      <c r="AC95" s="633"/>
      <c r="AD95" s="541">
        <f t="shared" si="4"/>
        <v>0</v>
      </c>
      <c r="AE95" s="531">
        <f t="shared" si="13"/>
        <v>0</v>
      </c>
      <c r="AF95" s="494" t="str">
        <f t="shared" si="14"/>
        <v>sell</v>
      </c>
    </row>
    <row r="96" spans="1:32" s="349" customFormat="1" ht="12" customHeight="1" x14ac:dyDescent="0.25">
      <c r="A96" s="588" t="s">
        <v>370</v>
      </c>
      <c r="B96" s="589" t="s">
        <v>241</v>
      </c>
      <c r="C96" s="589" t="s">
        <v>152</v>
      </c>
      <c r="D96" s="708">
        <v>300</v>
      </c>
      <c r="E96" s="678"/>
      <c r="F96" s="633"/>
      <c r="G96" s="678"/>
      <c r="H96" s="633"/>
      <c r="I96" s="633"/>
      <c r="J96" s="633"/>
      <c r="K96" s="633"/>
      <c r="L96" s="633">
        <v>-25</v>
      </c>
      <c r="M96" s="633">
        <v>-25</v>
      </c>
      <c r="N96" s="633">
        <v>-25</v>
      </c>
      <c r="O96" s="633">
        <v>-25</v>
      </c>
      <c r="P96" s="633">
        <v>-25</v>
      </c>
      <c r="Q96" s="633">
        <v>-25</v>
      </c>
      <c r="R96" s="633">
        <v>-25</v>
      </c>
      <c r="S96" s="633">
        <v>-25</v>
      </c>
      <c r="T96" s="633">
        <v>-25</v>
      </c>
      <c r="U96" s="633">
        <v>-25</v>
      </c>
      <c r="V96" s="633">
        <v>-25</v>
      </c>
      <c r="W96" s="633">
        <v>-25</v>
      </c>
      <c r="X96" s="633">
        <v>-25</v>
      </c>
      <c r="Y96" s="633">
        <v>-25</v>
      </c>
      <c r="Z96" s="633">
        <v>-25</v>
      </c>
      <c r="AA96" s="633">
        <v>-25</v>
      </c>
      <c r="AB96" s="633"/>
      <c r="AC96" s="633"/>
      <c r="AD96" s="541">
        <f t="shared" ref="AD96:AD101" si="15">SUM(E96:AC96)</f>
        <v>-400</v>
      </c>
      <c r="AE96" s="531">
        <f t="shared" si="13"/>
        <v>-120000</v>
      </c>
      <c r="AF96" s="494" t="str">
        <f t="shared" si="14"/>
        <v>buy</v>
      </c>
    </row>
    <row r="97" spans="1:33" s="349" customFormat="1" ht="12" customHeight="1" x14ac:dyDescent="0.25">
      <c r="A97" s="588" t="s">
        <v>371</v>
      </c>
      <c r="B97" s="589" t="s">
        <v>241</v>
      </c>
      <c r="C97" s="589" t="s">
        <v>152</v>
      </c>
      <c r="D97" s="708">
        <v>300</v>
      </c>
      <c r="E97" s="678"/>
      <c r="F97" s="633"/>
      <c r="G97" s="678"/>
      <c r="H97" s="633"/>
      <c r="I97" s="633"/>
      <c r="J97" s="633"/>
      <c r="K97" s="633"/>
      <c r="L97" s="633">
        <v>-7</v>
      </c>
      <c r="M97" s="633">
        <v>-7</v>
      </c>
      <c r="N97" s="633">
        <v>-7</v>
      </c>
      <c r="O97" s="633">
        <v>-7</v>
      </c>
      <c r="P97" s="633">
        <v>-7</v>
      </c>
      <c r="Q97" s="633">
        <v>-7</v>
      </c>
      <c r="R97" s="633">
        <v>-7</v>
      </c>
      <c r="S97" s="633">
        <v>-7</v>
      </c>
      <c r="T97" s="633">
        <v>-7</v>
      </c>
      <c r="U97" s="633">
        <v>-7</v>
      </c>
      <c r="V97" s="633">
        <v>-7</v>
      </c>
      <c r="W97" s="633">
        <v>-7</v>
      </c>
      <c r="X97" s="633">
        <v>-7</v>
      </c>
      <c r="Y97" s="633">
        <v>-7</v>
      </c>
      <c r="Z97" s="633">
        <v>-7</v>
      </c>
      <c r="AA97" s="633">
        <v>-7</v>
      </c>
      <c r="AB97" s="633"/>
      <c r="AC97" s="633"/>
      <c r="AD97" s="541">
        <f t="shared" si="15"/>
        <v>-112</v>
      </c>
      <c r="AE97" s="531">
        <f t="shared" si="13"/>
        <v>-33600</v>
      </c>
      <c r="AF97" s="494" t="str">
        <f t="shared" si="14"/>
        <v>buy</v>
      </c>
    </row>
    <row r="98" spans="1:33" s="349" customFormat="1" ht="12" customHeight="1" x14ac:dyDescent="0.25">
      <c r="A98" s="588" t="s">
        <v>371</v>
      </c>
      <c r="B98" s="589" t="s">
        <v>241</v>
      </c>
      <c r="C98" s="589" t="s">
        <v>152</v>
      </c>
      <c r="D98" s="708">
        <v>310</v>
      </c>
      <c r="E98" s="678"/>
      <c r="F98" s="633"/>
      <c r="G98" s="678"/>
      <c r="H98" s="633"/>
      <c r="I98" s="633"/>
      <c r="J98" s="633"/>
      <c r="K98" s="633"/>
      <c r="L98" s="633">
        <v>-25</v>
      </c>
      <c r="M98" s="633">
        <v>-25</v>
      </c>
      <c r="N98" s="633">
        <v>-25</v>
      </c>
      <c r="O98" s="633">
        <v>-25</v>
      </c>
      <c r="P98" s="633">
        <v>-25</v>
      </c>
      <c r="Q98" s="633">
        <v>-25</v>
      </c>
      <c r="R98" s="633">
        <v>-25</v>
      </c>
      <c r="S98" s="633">
        <v>-25</v>
      </c>
      <c r="T98" s="633">
        <v>-25</v>
      </c>
      <c r="U98" s="633">
        <v>-25</v>
      </c>
      <c r="V98" s="633">
        <v>-25</v>
      </c>
      <c r="W98" s="633">
        <v>-25</v>
      </c>
      <c r="X98" s="633">
        <v>-25</v>
      </c>
      <c r="Y98" s="633">
        <v>-25</v>
      </c>
      <c r="Z98" s="633">
        <v>-25</v>
      </c>
      <c r="AA98" s="633">
        <v>-25</v>
      </c>
      <c r="AB98" s="633"/>
      <c r="AC98" s="633"/>
      <c r="AD98" s="541">
        <f t="shared" si="15"/>
        <v>-400</v>
      </c>
      <c r="AE98" s="531">
        <f t="shared" si="13"/>
        <v>-124000</v>
      </c>
      <c r="AF98" s="494" t="str">
        <f t="shared" si="14"/>
        <v>buy</v>
      </c>
    </row>
    <row r="99" spans="1:33" s="349" customFormat="1" ht="12" customHeight="1" x14ac:dyDescent="0.25">
      <c r="A99" s="588" t="s">
        <v>374</v>
      </c>
      <c r="B99" s="589" t="s">
        <v>241</v>
      </c>
      <c r="C99" s="589" t="s">
        <v>152</v>
      </c>
      <c r="D99" s="708">
        <v>310</v>
      </c>
      <c r="E99" s="678"/>
      <c r="F99" s="633"/>
      <c r="G99" s="678"/>
      <c r="H99" s="633"/>
      <c r="I99" s="633"/>
      <c r="J99" s="633"/>
      <c r="K99" s="633"/>
      <c r="L99" s="633">
        <v>-25</v>
      </c>
      <c r="M99" s="633">
        <v>-25</v>
      </c>
      <c r="N99" s="633">
        <v>-25</v>
      </c>
      <c r="O99" s="633">
        <v>-25</v>
      </c>
      <c r="P99" s="633">
        <v>-25</v>
      </c>
      <c r="Q99" s="633">
        <v>-25</v>
      </c>
      <c r="R99" s="633">
        <v>-25</v>
      </c>
      <c r="S99" s="633">
        <v>-25</v>
      </c>
      <c r="T99" s="633">
        <v>-25</v>
      </c>
      <c r="U99" s="633">
        <v>-25</v>
      </c>
      <c r="V99" s="633">
        <v>-25</v>
      </c>
      <c r="W99" s="633">
        <v>-25</v>
      </c>
      <c r="X99" s="633">
        <v>-25</v>
      </c>
      <c r="Y99" s="633">
        <v>-25</v>
      </c>
      <c r="Z99" s="633">
        <v>-25</v>
      </c>
      <c r="AA99" s="633">
        <v>-25</v>
      </c>
      <c r="AB99" s="633"/>
      <c r="AC99" s="633"/>
      <c r="AD99" s="541">
        <f t="shared" si="15"/>
        <v>-400</v>
      </c>
      <c r="AE99" s="531">
        <f t="shared" si="13"/>
        <v>-124000</v>
      </c>
      <c r="AF99" s="494" t="str">
        <f t="shared" si="14"/>
        <v>buy</v>
      </c>
    </row>
    <row r="100" spans="1:33" s="349" customFormat="1" ht="12" customHeight="1" x14ac:dyDescent="0.25">
      <c r="A100" s="588" t="s">
        <v>374</v>
      </c>
      <c r="B100" s="589" t="s">
        <v>241</v>
      </c>
      <c r="C100" s="589" t="s">
        <v>152</v>
      </c>
      <c r="D100" s="708">
        <v>300</v>
      </c>
      <c r="E100" s="678"/>
      <c r="F100" s="633"/>
      <c r="G100" s="678"/>
      <c r="H100" s="633"/>
      <c r="I100" s="633"/>
      <c r="J100" s="633"/>
      <c r="K100" s="633"/>
      <c r="L100" s="633">
        <v>-18</v>
      </c>
      <c r="M100" s="633">
        <v>-18</v>
      </c>
      <c r="N100" s="633">
        <v>-18</v>
      </c>
      <c r="O100" s="633">
        <v>-18</v>
      </c>
      <c r="P100" s="633">
        <v>-18</v>
      </c>
      <c r="Q100" s="633">
        <v>-18</v>
      </c>
      <c r="R100" s="633">
        <v>-18</v>
      </c>
      <c r="S100" s="633">
        <v>-18</v>
      </c>
      <c r="T100" s="633">
        <v>-18</v>
      </c>
      <c r="U100" s="633">
        <v>-18</v>
      </c>
      <c r="V100" s="633">
        <v>-18</v>
      </c>
      <c r="W100" s="633">
        <v>-18</v>
      </c>
      <c r="X100" s="633">
        <v>-18</v>
      </c>
      <c r="Y100" s="633">
        <v>-18</v>
      </c>
      <c r="Z100" s="633">
        <v>-18</v>
      </c>
      <c r="AA100" s="633">
        <v>-18</v>
      </c>
      <c r="AB100" s="633"/>
      <c r="AC100" s="633"/>
      <c r="AD100" s="541">
        <f t="shared" si="15"/>
        <v>-288</v>
      </c>
      <c r="AE100" s="531">
        <f t="shared" si="13"/>
        <v>-86400</v>
      </c>
      <c r="AF100" s="494" t="str">
        <f t="shared" si="14"/>
        <v>buy</v>
      </c>
    </row>
    <row r="101" spans="1:33" s="349" customFormat="1" ht="12" customHeight="1" x14ac:dyDescent="0.25">
      <c r="A101" s="588" t="s">
        <v>374</v>
      </c>
      <c r="B101" s="589" t="s">
        <v>241</v>
      </c>
      <c r="C101" s="589" t="s">
        <v>152</v>
      </c>
      <c r="D101" s="708">
        <v>294</v>
      </c>
      <c r="E101" s="678"/>
      <c r="F101" s="633"/>
      <c r="G101" s="678"/>
      <c r="H101" s="633"/>
      <c r="I101" s="633"/>
      <c r="J101" s="633"/>
      <c r="K101" s="633"/>
      <c r="L101" s="633">
        <v>-50</v>
      </c>
      <c r="M101" s="633">
        <v>-50</v>
      </c>
      <c r="N101" s="633">
        <v>-50</v>
      </c>
      <c r="O101" s="633">
        <v>-50</v>
      </c>
      <c r="P101" s="633">
        <v>-50</v>
      </c>
      <c r="Q101" s="633">
        <v>-50</v>
      </c>
      <c r="R101" s="633">
        <v>-50</v>
      </c>
      <c r="S101" s="633">
        <v>-50</v>
      </c>
      <c r="T101" s="633">
        <v>-50</v>
      </c>
      <c r="U101" s="633">
        <v>-50</v>
      </c>
      <c r="V101" s="633">
        <v>-50</v>
      </c>
      <c r="W101" s="633">
        <v>-50</v>
      </c>
      <c r="X101" s="633">
        <v>-50</v>
      </c>
      <c r="Y101" s="633">
        <v>-50</v>
      </c>
      <c r="Z101" s="633">
        <v>-50</v>
      </c>
      <c r="AA101" s="633">
        <v>-50</v>
      </c>
      <c r="AB101" s="633"/>
      <c r="AC101" s="633"/>
      <c r="AD101" s="541">
        <f t="shared" si="15"/>
        <v>-800</v>
      </c>
      <c r="AE101" s="531">
        <f t="shared" si="13"/>
        <v>-235200</v>
      </c>
      <c r="AF101" s="494" t="str">
        <f t="shared" si="14"/>
        <v>buy</v>
      </c>
    </row>
    <row r="102" spans="1:33" s="349" customFormat="1" ht="12.75" customHeight="1" x14ac:dyDescent="0.25">
      <c r="A102" s="588"/>
      <c r="B102" s="589"/>
      <c r="C102" s="589"/>
      <c r="D102" s="708"/>
      <c r="E102" s="678"/>
      <c r="F102" s="633"/>
      <c r="G102" s="678"/>
      <c r="H102" s="633"/>
      <c r="I102" s="633"/>
      <c r="J102" s="633"/>
      <c r="K102" s="633"/>
      <c r="L102" s="633"/>
      <c r="M102" s="633"/>
      <c r="N102" s="633"/>
      <c r="O102" s="633"/>
      <c r="P102" s="633"/>
      <c r="Q102" s="633"/>
      <c r="R102" s="633"/>
      <c r="S102" s="633"/>
      <c r="T102" s="633"/>
      <c r="U102" s="633"/>
      <c r="V102" s="633"/>
      <c r="W102" s="633"/>
      <c r="X102" s="633"/>
      <c r="Y102" s="633"/>
      <c r="Z102" s="633"/>
      <c r="AA102" s="633"/>
      <c r="AB102" s="633"/>
      <c r="AC102" s="633"/>
      <c r="AD102" s="591"/>
      <c r="AE102" s="531"/>
      <c r="AF102" s="494" t="str">
        <f t="shared" si="14"/>
        <v>sell</v>
      </c>
    </row>
    <row r="103" spans="1:33" s="349" customFormat="1" x14ac:dyDescent="0.25">
      <c r="A103" s="577"/>
      <c r="B103" s="527"/>
      <c r="C103" s="527"/>
      <c r="D103" s="711"/>
      <c r="E103" s="712"/>
      <c r="F103" s="713"/>
      <c r="G103" s="680"/>
      <c r="H103" s="680"/>
      <c r="I103" s="680"/>
      <c r="J103" s="680"/>
      <c r="K103" s="680"/>
      <c r="L103" s="680"/>
      <c r="M103" s="680"/>
      <c r="N103" s="680"/>
      <c r="O103" s="680"/>
      <c r="P103" s="680"/>
      <c r="Q103" s="680"/>
      <c r="R103" s="680"/>
      <c r="S103" s="680"/>
      <c r="T103" s="680"/>
      <c r="U103" s="680"/>
      <c r="V103" s="680"/>
      <c r="W103" s="680"/>
      <c r="X103" s="680"/>
      <c r="Y103" s="680"/>
      <c r="Z103" s="680"/>
      <c r="AA103" s="680"/>
      <c r="AB103" s="680"/>
      <c r="AC103" s="680"/>
      <c r="AD103" s="591"/>
      <c r="AE103" s="531"/>
      <c r="AF103" s="494"/>
    </row>
    <row r="104" spans="1:33" s="349" customFormat="1" x14ac:dyDescent="0.25">
      <c r="A104" s="577"/>
      <c r="B104" s="527"/>
      <c r="C104" s="527"/>
      <c r="D104" s="711"/>
      <c r="E104" s="714"/>
      <c r="F104" s="679"/>
      <c r="G104" s="680"/>
      <c r="H104" s="680"/>
      <c r="I104" s="680"/>
      <c r="J104" s="680"/>
      <c r="K104" s="680"/>
      <c r="L104" s="680"/>
      <c r="M104" s="680"/>
      <c r="N104" s="680"/>
      <c r="O104" s="680"/>
      <c r="P104" s="680"/>
      <c r="Q104" s="680"/>
      <c r="R104" s="680"/>
      <c r="S104" s="680"/>
      <c r="T104" s="680"/>
      <c r="U104" s="680"/>
      <c r="V104" s="680"/>
      <c r="W104" s="680"/>
      <c r="X104" s="680"/>
      <c r="Y104" s="680"/>
      <c r="Z104" s="680"/>
      <c r="AA104" s="680"/>
      <c r="AB104" s="680"/>
      <c r="AC104" s="680"/>
      <c r="AD104" s="591"/>
      <c r="AE104" s="531"/>
      <c r="AF104" s="494"/>
    </row>
    <row r="105" spans="1:33" s="349" customFormat="1" x14ac:dyDescent="0.25">
      <c r="A105" s="582"/>
      <c r="B105" s="511"/>
      <c r="C105" s="628"/>
      <c r="D105" s="506"/>
      <c r="E105" s="506"/>
      <c r="F105" s="507"/>
      <c r="G105" s="507"/>
      <c r="H105" s="683"/>
      <c r="I105" s="507"/>
      <c r="J105" s="507"/>
      <c r="K105" s="507"/>
      <c r="L105" s="507"/>
      <c r="M105" s="507"/>
      <c r="N105" s="507"/>
      <c r="O105" s="507"/>
      <c r="P105" s="507"/>
      <c r="Q105" s="507"/>
      <c r="R105" s="507"/>
      <c r="S105" s="507"/>
      <c r="T105" s="507"/>
      <c r="U105" s="507"/>
      <c r="V105" s="507"/>
      <c r="W105" s="507"/>
      <c r="X105" s="507"/>
      <c r="Y105" s="507"/>
      <c r="Z105" s="507"/>
      <c r="AA105" s="507"/>
      <c r="AB105" s="507"/>
      <c r="AC105" s="508"/>
      <c r="AD105" s="591"/>
      <c r="AE105" s="531"/>
      <c r="AF105" s="494"/>
    </row>
    <row r="106" spans="1:33" s="731" customFormat="1" x14ac:dyDescent="0.25">
      <c r="A106" s="726" t="s">
        <v>67</v>
      </c>
      <c r="B106" s="727" t="s">
        <v>377</v>
      </c>
      <c r="C106" s="727" t="s">
        <v>280</v>
      </c>
      <c r="D106" s="706">
        <v>10</v>
      </c>
      <c r="E106" s="728"/>
      <c r="F106" s="724"/>
      <c r="G106" s="724"/>
      <c r="H106" s="729"/>
      <c r="I106" s="730"/>
      <c r="J106" s="730"/>
      <c r="K106" s="730"/>
      <c r="L106" s="730"/>
      <c r="M106" s="730"/>
      <c r="N106" s="730"/>
      <c r="O106" s="730"/>
      <c r="P106" s="730"/>
      <c r="Q106" s="730">
        <v>-25</v>
      </c>
      <c r="R106" s="730">
        <v>-25</v>
      </c>
      <c r="S106" s="730">
        <v>-25</v>
      </c>
      <c r="T106" s="730">
        <v>-25</v>
      </c>
      <c r="U106" s="730">
        <v>-25</v>
      </c>
      <c r="V106" s="730">
        <v>-25</v>
      </c>
      <c r="W106" s="730">
        <v>-25</v>
      </c>
      <c r="X106" s="730">
        <v>-25</v>
      </c>
      <c r="Y106" s="730">
        <v>-25</v>
      </c>
      <c r="Z106" s="730">
        <v>-25</v>
      </c>
      <c r="AA106" s="730">
        <v>-25</v>
      </c>
      <c r="AB106" s="730">
        <v>-25</v>
      </c>
      <c r="AC106" s="725">
        <v>-50</v>
      </c>
      <c r="AD106" s="732">
        <f>SUM(F106:AC106)</f>
        <v>-350</v>
      </c>
      <c r="AE106" s="733">
        <f t="shared" si="13"/>
        <v>-3500</v>
      </c>
      <c r="AF106" s="696"/>
    </row>
    <row r="107" spans="1:33" s="349" customFormat="1" x14ac:dyDescent="0.25">
      <c r="A107" s="509" t="s">
        <v>207</v>
      </c>
      <c r="B107" s="461"/>
      <c r="C107" s="461"/>
      <c r="D107" s="461"/>
      <c r="E107" s="461"/>
      <c r="F107" s="621"/>
      <c r="G107" s="461"/>
      <c r="H107" s="684"/>
      <c r="I107" s="461"/>
      <c r="J107" s="461"/>
      <c r="K107" s="461"/>
      <c r="L107" s="461"/>
      <c r="M107" s="461"/>
      <c r="N107" s="461"/>
      <c r="O107" s="461"/>
      <c r="P107" s="461"/>
      <c r="Q107" s="461"/>
      <c r="R107" s="461"/>
      <c r="S107" s="461"/>
      <c r="T107" s="461"/>
      <c r="U107" s="461"/>
      <c r="V107" s="461"/>
      <c r="W107" s="461"/>
      <c r="X107" s="461"/>
      <c r="Y107" s="461"/>
      <c r="Z107" s="461"/>
      <c r="AA107" s="461"/>
      <c r="AB107" s="461"/>
      <c r="AC107" s="461"/>
      <c r="AD107" s="461"/>
      <c r="AE107" s="461"/>
      <c r="AF107" s="461"/>
    </row>
    <row r="108" spans="1:33" x14ac:dyDescent="0.25">
      <c r="A108" s="349"/>
      <c r="B108" s="360"/>
      <c r="C108" s="360"/>
      <c r="D108" s="361"/>
      <c r="E108" s="361"/>
      <c r="F108" s="13"/>
      <c r="G108" s="362"/>
      <c r="H108" s="685"/>
      <c r="I108" s="362"/>
      <c r="J108" s="362"/>
      <c r="K108" s="362"/>
      <c r="L108" s="362"/>
      <c r="M108" s="597"/>
      <c r="N108" s="597"/>
      <c r="O108" s="597"/>
      <c r="P108" s="597"/>
      <c r="Q108" s="597"/>
      <c r="R108" s="597"/>
      <c r="S108" s="597"/>
      <c r="T108" s="597"/>
      <c r="U108" s="597"/>
      <c r="V108" s="597"/>
      <c r="W108" s="597"/>
      <c r="X108" s="597"/>
      <c r="Y108" s="597"/>
      <c r="Z108" s="597"/>
      <c r="AA108" s="597"/>
      <c r="AB108" s="597"/>
      <c r="AC108" s="603"/>
      <c r="AD108" s="447"/>
      <c r="AE108" s="448"/>
      <c r="AF108" s="435"/>
      <c r="AG108" s="349"/>
    </row>
    <row r="109" spans="1:33" s="349" customFormat="1" ht="17.399999999999999" x14ac:dyDescent="0.3">
      <c r="A109" s="421" t="s">
        <v>242</v>
      </c>
      <c r="B109" s="422"/>
      <c r="C109" s="501"/>
      <c r="D109" s="423"/>
      <c r="E109" s="423"/>
      <c r="F109" s="13"/>
      <c r="G109" s="425"/>
      <c r="H109" s="415"/>
      <c r="I109" s="366"/>
      <c r="J109" s="366"/>
      <c r="K109" s="367"/>
      <c r="L109" s="366"/>
      <c r="M109" s="598"/>
      <c r="N109" s="598"/>
      <c r="O109" s="598"/>
      <c r="P109" s="598"/>
      <c r="Q109" s="598"/>
      <c r="R109" s="598"/>
      <c r="S109" s="598" t="s">
        <v>15</v>
      </c>
      <c r="T109" s="598"/>
      <c r="U109" s="598"/>
      <c r="V109" s="598"/>
      <c r="W109" s="598"/>
      <c r="X109" s="598"/>
      <c r="Y109" s="598"/>
      <c r="Z109" s="604"/>
      <c r="AA109" s="604"/>
      <c r="AB109" s="604"/>
      <c r="AC109" s="605"/>
      <c r="AD109" s="447"/>
      <c r="AE109" s="448"/>
      <c r="AF109" s="368"/>
    </row>
    <row r="110" spans="1:33" s="349" customFormat="1" ht="18" thickBot="1" x14ac:dyDescent="0.35">
      <c r="A110" s="426"/>
      <c r="B110" s="427"/>
      <c r="C110" s="427"/>
      <c r="D110" s="423"/>
      <c r="E110" s="423"/>
      <c r="F110" s="622" t="s">
        <v>272</v>
      </c>
      <c r="G110" s="425"/>
      <c r="H110" s="415"/>
      <c r="I110" s="366"/>
      <c r="J110" s="366"/>
      <c r="K110" s="369"/>
      <c r="L110" s="369"/>
      <c r="M110" s="598"/>
      <c r="N110" s="598"/>
      <c r="O110" s="598"/>
      <c r="P110" s="598"/>
      <c r="Q110" s="598"/>
      <c r="R110" s="598"/>
      <c r="S110" s="598"/>
      <c r="T110" s="598"/>
      <c r="U110" s="598"/>
      <c r="V110" s="598"/>
      <c r="W110" s="598"/>
      <c r="X110" s="598"/>
      <c r="Y110" s="598"/>
      <c r="Z110" s="604"/>
      <c r="AA110" s="604"/>
      <c r="AB110" s="604"/>
      <c r="AC110" s="605"/>
      <c r="AD110" s="447"/>
      <c r="AE110" s="448"/>
      <c r="AF110" s="368"/>
    </row>
    <row r="111" spans="1:33" s="349" customFormat="1" ht="18" thickBot="1" x14ac:dyDescent="0.35">
      <c r="A111" s="428" t="s">
        <v>7</v>
      </c>
      <c r="B111" s="429"/>
      <c r="C111" s="429" t="s">
        <v>266</v>
      </c>
      <c r="D111" s="430" t="s">
        <v>9</v>
      </c>
      <c r="E111" s="429"/>
      <c r="F111" s="623" t="s">
        <v>320</v>
      </c>
      <c r="G111" s="432"/>
      <c r="H111" s="415"/>
      <c r="I111" s="366"/>
      <c r="J111" s="366"/>
      <c r="K111" s="369"/>
      <c r="L111" s="367"/>
      <c r="M111" s="598"/>
      <c r="N111" s="598"/>
      <c r="O111" s="598"/>
      <c r="P111" s="598"/>
      <c r="Q111" s="598"/>
      <c r="R111" s="598"/>
      <c r="S111" s="598"/>
      <c r="T111" s="598"/>
      <c r="U111" s="598"/>
      <c r="V111" s="598"/>
      <c r="W111" s="598"/>
      <c r="X111" s="598"/>
      <c r="Y111" s="598"/>
      <c r="Z111" s="398"/>
      <c r="AA111" s="604"/>
      <c r="AB111" s="604"/>
      <c r="AC111" s="605"/>
      <c r="AD111" s="447"/>
      <c r="AE111" s="448"/>
      <c r="AF111" s="368"/>
    </row>
    <row r="112" spans="1:33" s="349" customFormat="1" ht="17.399999999999999" x14ac:dyDescent="0.3">
      <c r="A112" s="433" t="s">
        <v>244</v>
      </c>
      <c r="B112" s="434" t="s">
        <v>245</v>
      </c>
      <c r="C112" s="434"/>
      <c r="D112" s="529"/>
      <c r="E112" s="434"/>
      <c r="F112" s="624">
        <f>D113-0.25</f>
        <v>-0.25</v>
      </c>
      <c r="G112" s="425" t="s">
        <v>321</v>
      </c>
      <c r="H112" s="415"/>
      <c r="I112" s="366"/>
      <c r="J112" s="366"/>
      <c r="K112" s="369"/>
      <c r="L112" s="367"/>
      <c r="M112" s="598"/>
      <c r="N112" s="598"/>
      <c r="O112" s="598"/>
      <c r="P112" s="598"/>
      <c r="Q112" s="598"/>
      <c r="R112" s="598"/>
      <c r="S112" s="598"/>
      <c r="T112" s="598"/>
      <c r="U112" s="598"/>
      <c r="V112" s="598"/>
      <c r="W112" s="598"/>
      <c r="X112" s="598"/>
      <c r="Y112" s="598"/>
      <c r="Z112" s="604" t="s">
        <v>208</v>
      </c>
      <c r="AA112" s="604"/>
      <c r="AB112" s="604"/>
      <c r="AC112" s="606"/>
      <c r="AD112" s="443"/>
      <c r="AE112" s="444"/>
      <c r="AF112" s="368"/>
    </row>
    <row r="113" spans="1:33" s="349" customFormat="1" x14ac:dyDescent="0.25">
      <c r="A113" s="427">
        <v>24</v>
      </c>
      <c r="B113" s="427">
        <v>1</v>
      </c>
      <c r="C113" s="435">
        <v>1</v>
      </c>
      <c r="D113" s="532"/>
      <c r="E113" s="496"/>
      <c r="F113" s="624">
        <f t="shared" ref="F113:F136" si="16">D114-0.25</f>
        <v>-0.25</v>
      </c>
      <c r="G113" s="510">
        <f>D113+0.56</f>
        <v>0.56000000000000005</v>
      </c>
      <c r="H113" s="415"/>
      <c r="I113" s="366"/>
      <c r="J113" s="366"/>
      <c r="K113" s="369"/>
      <c r="L113" s="366"/>
      <c r="M113" s="598"/>
      <c r="N113" s="598"/>
      <c r="O113" s="598"/>
      <c r="P113" s="598"/>
      <c r="Q113" s="598"/>
      <c r="R113" s="598"/>
      <c r="S113" s="598"/>
      <c r="T113" s="598"/>
      <c r="U113" s="598"/>
      <c r="V113" s="598"/>
      <c r="W113" s="598"/>
      <c r="X113" s="598"/>
      <c r="Y113" s="598"/>
      <c r="Z113" s="604"/>
      <c r="AA113" s="598"/>
      <c r="AB113" s="598"/>
      <c r="AC113" s="606"/>
      <c r="AD113" s="398"/>
      <c r="AE113" s="398"/>
      <c r="AF113" s="497"/>
    </row>
    <row r="114" spans="1:33" s="349" customFormat="1" x14ac:dyDescent="0.25">
      <c r="A114" s="425">
        <v>1</v>
      </c>
      <c r="B114" s="425">
        <v>2</v>
      </c>
      <c r="C114" s="435">
        <v>1</v>
      </c>
      <c r="D114" s="532"/>
      <c r="E114" s="465"/>
      <c r="F114" s="624">
        <f t="shared" si="16"/>
        <v>-0.25</v>
      </c>
      <c r="G114" s="510">
        <f t="shared" ref="G114:G137" si="17">D114+0.56</f>
        <v>0.56000000000000005</v>
      </c>
      <c r="H114" s="415"/>
      <c r="I114" s="366"/>
      <c r="J114" s="366"/>
      <c r="K114" s="369"/>
      <c r="L114" s="366"/>
      <c r="M114" s="598"/>
      <c r="N114" s="598"/>
      <c r="O114" s="598"/>
      <c r="P114" s="598"/>
      <c r="Q114" s="598"/>
      <c r="R114" s="598"/>
      <c r="S114" s="598"/>
      <c r="T114" s="598"/>
      <c r="U114" s="598"/>
      <c r="V114" s="598"/>
      <c r="W114" s="598"/>
      <c r="X114" s="598"/>
      <c r="Y114" s="598"/>
      <c r="Z114" s="598" t="s">
        <v>267</v>
      </c>
      <c r="AA114" s="598"/>
      <c r="AB114" s="598"/>
      <c r="AC114" s="606"/>
      <c r="AD114" s="456">
        <f>SUM(AD22:AD95)</f>
        <v>2140</v>
      </c>
      <c r="AE114" s="456">
        <f>SUM(AE22:AE95)</f>
        <v>642755</v>
      </c>
      <c r="AF114" s="497"/>
    </row>
    <row r="115" spans="1:33" s="349" customFormat="1" x14ac:dyDescent="0.25">
      <c r="A115" s="427">
        <v>2</v>
      </c>
      <c r="B115" s="427">
        <v>3</v>
      </c>
      <c r="C115" s="435">
        <v>1</v>
      </c>
      <c r="D115" s="532"/>
      <c r="E115" s="465"/>
      <c r="F115" s="624">
        <f t="shared" si="16"/>
        <v>-0.25</v>
      </c>
      <c r="G115" s="510">
        <f t="shared" si="17"/>
        <v>0.56000000000000005</v>
      </c>
      <c r="H115" s="415"/>
      <c r="I115" s="366"/>
      <c r="J115" s="366"/>
      <c r="K115" s="369"/>
      <c r="L115" s="366"/>
      <c r="M115" s="598"/>
      <c r="N115" s="598"/>
      <c r="O115" s="598"/>
      <c r="P115" s="598"/>
      <c r="Q115" s="598"/>
      <c r="R115" s="598"/>
      <c r="S115" s="598"/>
      <c r="T115" s="598"/>
      <c r="U115" s="598"/>
      <c r="V115" s="598"/>
      <c r="W115" s="598"/>
      <c r="X115" s="598"/>
      <c r="Y115" s="598"/>
      <c r="Z115" s="598" t="s">
        <v>268</v>
      </c>
      <c r="AA115" s="598"/>
      <c r="AB115" s="598"/>
      <c r="AC115" s="607"/>
      <c r="AD115" s="451">
        <f>SUM(AD95:AD105)</f>
        <v>-2400</v>
      </c>
      <c r="AE115" s="451">
        <f>SUM(AE95:AE105)</f>
        <v>-723200</v>
      </c>
      <c r="AF115" s="497"/>
    </row>
    <row r="116" spans="1:33" s="349" customFormat="1" x14ac:dyDescent="0.25">
      <c r="A116" s="425">
        <v>3</v>
      </c>
      <c r="B116" s="425">
        <v>4</v>
      </c>
      <c r="C116" s="435">
        <v>1</v>
      </c>
      <c r="D116" s="532"/>
      <c r="E116" s="465"/>
      <c r="F116" s="624">
        <f t="shared" si="16"/>
        <v>-0.25</v>
      </c>
      <c r="G116" s="510">
        <f t="shared" si="17"/>
        <v>0.56000000000000005</v>
      </c>
      <c r="H116" s="415"/>
      <c r="I116" s="373"/>
      <c r="J116" s="373"/>
      <c r="K116" s="374"/>
      <c r="L116" s="373"/>
      <c r="M116" s="598"/>
      <c r="N116" s="598"/>
      <c r="O116" s="598"/>
      <c r="P116" s="598"/>
      <c r="Q116" s="598"/>
      <c r="R116" s="598"/>
      <c r="S116" s="598"/>
      <c r="T116" s="598"/>
      <c r="U116" s="598"/>
      <c r="V116" s="598"/>
      <c r="W116" s="598"/>
      <c r="X116" s="598"/>
      <c r="Y116" s="598"/>
      <c r="Z116" s="608"/>
      <c r="AA116" s="608"/>
      <c r="AB116" s="608"/>
      <c r="AC116" s="609"/>
      <c r="AF116" s="380"/>
    </row>
    <row r="117" spans="1:33" s="398" customFormat="1" x14ac:dyDescent="0.25">
      <c r="A117" s="427">
        <v>4</v>
      </c>
      <c r="B117" s="427">
        <v>5</v>
      </c>
      <c r="C117" s="435">
        <v>1</v>
      </c>
      <c r="D117" s="532"/>
      <c r="E117" s="465"/>
      <c r="F117" s="624">
        <f t="shared" si="16"/>
        <v>-0.25</v>
      </c>
      <c r="G117" s="510">
        <f t="shared" si="17"/>
        <v>0.56000000000000005</v>
      </c>
      <c r="H117" s="415"/>
      <c r="I117" s="349"/>
      <c r="J117" s="349"/>
      <c r="K117" s="349"/>
      <c r="L117" s="349"/>
      <c r="O117" s="598"/>
      <c r="P117" s="598"/>
      <c r="Q117" s="598"/>
      <c r="R117" s="598"/>
      <c r="S117" s="598"/>
      <c r="T117" s="598"/>
      <c r="U117" s="598"/>
      <c r="V117" s="598"/>
      <c r="W117" s="598"/>
      <c r="X117" s="598"/>
      <c r="Y117" s="598"/>
      <c r="Z117" s="610" t="s">
        <v>281</v>
      </c>
      <c r="AA117" s="610"/>
      <c r="AB117" s="610"/>
      <c r="AC117" s="611"/>
      <c r="AD117" s="585"/>
      <c r="AE117" s="586"/>
      <c r="AG117" s="349"/>
    </row>
    <row r="118" spans="1:33" s="398" customFormat="1" x14ac:dyDescent="0.25">
      <c r="A118" s="425">
        <v>5</v>
      </c>
      <c r="B118" s="425">
        <v>6</v>
      </c>
      <c r="C118" s="435">
        <v>1</v>
      </c>
      <c r="D118" s="532"/>
      <c r="E118" s="465"/>
      <c r="F118" s="624">
        <f t="shared" si="16"/>
        <v>-0.25</v>
      </c>
      <c r="G118" s="510">
        <f t="shared" si="17"/>
        <v>0.56000000000000005</v>
      </c>
      <c r="H118" s="415"/>
      <c r="I118" s="349"/>
      <c r="J118" s="349"/>
      <c r="K118" s="349"/>
      <c r="L118" s="349"/>
      <c r="O118" s="598"/>
      <c r="P118" s="598"/>
      <c r="Q118" s="598"/>
      <c r="R118" s="598"/>
      <c r="S118" s="598"/>
      <c r="T118" s="598"/>
      <c r="U118" s="598"/>
      <c r="V118" s="598"/>
      <c r="W118" s="598"/>
      <c r="X118" s="598"/>
      <c r="Y118" s="598"/>
      <c r="Z118" s="610"/>
      <c r="AA118" s="610"/>
      <c r="AB118" s="610"/>
      <c r="AC118" s="611"/>
      <c r="AD118" s="585"/>
      <c r="AE118" s="586"/>
      <c r="AG118" s="366"/>
    </row>
    <row r="119" spans="1:33" s="398" customFormat="1" x14ac:dyDescent="0.25">
      <c r="A119" s="427">
        <v>6</v>
      </c>
      <c r="B119" s="427">
        <v>7</v>
      </c>
      <c r="C119" s="435">
        <v>1</v>
      </c>
      <c r="D119" s="532"/>
      <c r="E119" s="465"/>
      <c r="F119" s="624">
        <f t="shared" si="16"/>
        <v>-0.25</v>
      </c>
      <c r="G119" s="510">
        <f t="shared" si="17"/>
        <v>0.56000000000000005</v>
      </c>
      <c r="H119" s="415"/>
      <c r="I119" s="349"/>
      <c r="J119" s="349"/>
      <c r="K119" s="349"/>
      <c r="L119" s="349"/>
      <c r="O119" s="598"/>
      <c r="P119" s="598"/>
      <c r="Q119" s="598"/>
      <c r="R119" s="598"/>
      <c r="S119" s="598"/>
      <c r="T119" s="598"/>
      <c r="U119" s="598"/>
      <c r="V119" s="598"/>
      <c r="W119" s="598"/>
      <c r="X119" s="598"/>
      <c r="Y119" s="598"/>
      <c r="Z119" s="610" t="s">
        <v>268</v>
      </c>
      <c r="AA119" s="610"/>
      <c r="AB119" s="610"/>
      <c r="AC119" s="611"/>
      <c r="AD119" s="587">
        <f>SUM(AD105:AD106)</f>
        <v>-350</v>
      </c>
      <c r="AE119" s="587">
        <f>SUM(AE105:AE106)</f>
        <v>-3500</v>
      </c>
      <c r="AG119" s="349"/>
    </row>
    <row r="120" spans="1:33" s="398" customFormat="1" x14ac:dyDescent="0.25">
      <c r="A120" s="425">
        <v>7</v>
      </c>
      <c r="B120" s="425">
        <v>8</v>
      </c>
      <c r="C120" s="435">
        <v>1</v>
      </c>
      <c r="D120" s="532"/>
      <c r="E120" s="465"/>
      <c r="F120" s="624">
        <f t="shared" si="16"/>
        <v>-0.25</v>
      </c>
      <c r="G120" s="510">
        <f t="shared" si="17"/>
        <v>0.56000000000000005</v>
      </c>
      <c r="H120" s="415"/>
      <c r="I120" s="349"/>
      <c r="J120" s="349"/>
      <c r="K120" s="349"/>
      <c r="L120" s="349"/>
      <c r="O120" s="598"/>
      <c r="P120" s="598"/>
      <c r="Q120" s="598"/>
      <c r="R120" s="598"/>
      <c r="S120" s="598"/>
      <c r="T120" s="598"/>
      <c r="U120" s="598"/>
      <c r="V120" s="598"/>
      <c r="W120" s="598"/>
      <c r="X120" s="598"/>
      <c r="Y120" s="598"/>
      <c r="AC120" s="454"/>
      <c r="AG120" s="349"/>
    </row>
    <row r="121" spans="1:33" s="398" customFormat="1" x14ac:dyDescent="0.25">
      <c r="A121" s="427">
        <v>8</v>
      </c>
      <c r="B121" s="427">
        <v>9</v>
      </c>
      <c r="C121" s="435">
        <v>1</v>
      </c>
      <c r="D121" s="532"/>
      <c r="E121" s="465"/>
      <c r="F121" s="624">
        <f t="shared" si="16"/>
        <v>-0.25</v>
      </c>
      <c r="G121" s="510">
        <f t="shared" si="17"/>
        <v>0.56000000000000005</v>
      </c>
      <c r="H121" s="415"/>
      <c r="I121" s="349"/>
      <c r="J121" s="349"/>
      <c r="K121" s="349"/>
      <c r="L121" s="349"/>
      <c r="O121" s="598"/>
      <c r="P121" s="598"/>
      <c r="Q121" s="598"/>
      <c r="R121" s="598"/>
      <c r="S121" s="598"/>
      <c r="T121" s="598"/>
      <c r="U121" s="598"/>
      <c r="V121" s="598"/>
      <c r="W121" s="598"/>
      <c r="X121" s="598"/>
      <c r="Y121" s="598"/>
      <c r="AC121" s="454"/>
      <c r="AG121" s="349"/>
    </row>
    <row r="122" spans="1:33" s="398" customFormat="1" x14ac:dyDescent="0.25">
      <c r="A122" s="425">
        <v>9</v>
      </c>
      <c r="B122" s="425">
        <v>10</v>
      </c>
      <c r="C122" s="435">
        <v>1</v>
      </c>
      <c r="D122" s="532"/>
      <c r="E122" s="465"/>
      <c r="F122" s="624">
        <f t="shared" si="16"/>
        <v>-0.25</v>
      </c>
      <c r="G122" s="510">
        <f t="shared" si="17"/>
        <v>0.56000000000000005</v>
      </c>
      <c r="H122" s="415"/>
      <c r="I122" s="349"/>
      <c r="J122" s="349"/>
      <c r="K122" s="349"/>
      <c r="L122" s="349"/>
      <c r="O122" s="598"/>
      <c r="P122" s="598"/>
      <c r="Q122" s="598"/>
      <c r="R122" s="598"/>
      <c r="S122" s="598"/>
      <c r="T122" s="598"/>
      <c r="U122" s="598"/>
      <c r="V122" s="598"/>
      <c r="W122" s="598"/>
      <c r="X122" s="598"/>
      <c r="Y122" s="598"/>
      <c r="AC122" s="454"/>
      <c r="AG122" s="349"/>
    </row>
    <row r="123" spans="1:33" s="398" customFormat="1" x14ac:dyDescent="0.25">
      <c r="A123" s="427">
        <v>10</v>
      </c>
      <c r="B123" s="427">
        <v>11</v>
      </c>
      <c r="C123" s="435">
        <v>1</v>
      </c>
      <c r="D123" s="532"/>
      <c r="E123" s="465"/>
      <c r="F123" s="624">
        <f t="shared" si="16"/>
        <v>-0.25</v>
      </c>
      <c r="G123" s="510">
        <f t="shared" si="17"/>
        <v>0.56000000000000005</v>
      </c>
      <c r="H123" s="686"/>
      <c r="I123" s="400"/>
      <c r="J123" s="400"/>
      <c r="K123" s="400"/>
      <c r="L123" s="400"/>
      <c r="O123" s="612"/>
      <c r="P123" s="612"/>
      <c r="Q123" s="612"/>
      <c r="R123" s="612"/>
      <c r="S123" s="612"/>
      <c r="T123" s="612"/>
      <c r="U123" s="612"/>
      <c r="V123" s="612"/>
      <c r="W123" s="612"/>
      <c r="X123" s="612"/>
      <c r="Y123" s="612"/>
      <c r="AC123" s="454"/>
      <c r="AG123" s="349"/>
    </row>
    <row r="124" spans="1:33" s="398" customFormat="1" x14ac:dyDescent="0.25">
      <c r="A124" s="425">
        <v>11</v>
      </c>
      <c r="B124" s="425">
        <v>12</v>
      </c>
      <c r="C124" s="435">
        <v>1</v>
      </c>
      <c r="D124" s="532"/>
      <c r="E124" s="465"/>
      <c r="F124" s="624">
        <f t="shared" si="16"/>
        <v>-0.25</v>
      </c>
      <c r="G124" s="510">
        <f t="shared" si="17"/>
        <v>0.56000000000000005</v>
      </c>
      <c r="H124" s="687"/>
      <c r="I124" s="349"/>
      <c r="J124" s="349"/>
      <c r="K124" s="349"/>
      <c r="L124" s="349"/>
      <c r="O124" s="608"/>
      <c r="P124" s="608"/>
      <c r="Q124" s="608"/>
      <c r="R124" s="608"/>
      <c r="S124" s="608"/>
      <c r="T124" s="608"/>
      <c r="U124" s="608"/>
      <c r="V124" s="608"/>
      <c r="W124" s="608"/>
      <c r="X124" s="608"/>
      <c r="Y124" s="608"/>
      <c r="AC124" s="454"/>
      <c r="AG124" s="349"/>
    </row>
    <row r="125" spans="1:33" s="398" customFormat="1" x14ac:dyDescent="0.25">
      <c r="A125" s="427">
        <v>12</v>
      </c>
      <c r="B125" s="427">
        <v>13</v>
      </c>
      <c r="C125" s="435">
        <v>1</v>
      </c>
      <c r="D125" s="532"/>
      <c r="E125" s="465"/>
      <c r="F125" s="624">
        <f t="shared" si="16"/>
        <v>-0.25</v>
      </c>
      <c r="G125" s="510">
        <f t="shared" si="17"/>
        <v>0.56000000000000005</v>
      </c>
      <c r="H125" s="687"/>
      <c r="I125" s="349"/>
      <c r="J125" s="349"/>
      <c r="K125" s="349"/>
      <c r="L125" s="349"/>
      <c r="O125" s="608"/>
      <c r="P125" s="608"/>
      <c r="Q125" s="608"/>
      <c r="R125" s="608"/>
      <c r="S125" s="608"/>
      <c r="T125" s="608"/>
      <c r="U125" s="608"/>
      <c r="V125" s="608"/>
      <c r="W125" s="608"/>
      <c r="X125" s="608"/>
      <c r="Y125" s="608"/>
      <c r="Z125" s="608"/>
      <c r="AA125" s="608"/>
      <c r="AB125" s="608"/>
      <c r="AC125" s="609"/>
      <c r="AG125" s="349"/>
    </row>
    <row r="126" spans="1:33" s="398" customFormat="1" x14ac:dyDescent="0.25">
      <c r="A126" s="425">
        <v>13</v>
      </c>
      <c r="B126" s="425">
        <v>14</v>
      </c>
      <c r="C126" s="435">
        <v>1</v>
      </c>
      <c r="D126" s="532"/>
      <c r="E126" s="465"/>
      <c r="F126" s="624">
        <f t="shared" si="16"/>
        <v>-0.25</v>
      </c>
      <c r="G126" s="510">
        <f t="shared" si="17"/>
        <v>0.56000000000000005</v>
      </c>
      <c r="H126" s="687"/>
      <c r="I126" s="349"/>
      <c r="J126" s="349"/>
      <c r="K126" s="349"/>
      <c r="L126" s="349"/>
      <c r="O126" s="608"/>
      <c r="P126" s="608"/>
      <c r="Q126" s="608"/>
      <c r="R126" s="608"/>
      <c r="S126" s="608"/>
      <c r="T126" s="608"/>
      <c r="U126" s="608"/>
      <c r="V126" s="608"/>
      <c r="W126" s="608"/>
      <c r="X126" s="608"/>
      <c r="Y126" s="608"/>
      <c r="Z126" s="608"/>
      <c r="AA126" s="608"/>
      <c r="AB126" s="608"/>
      <c r="AC126" s="609"/>
      <c r="AD126" s="447"/>
      <c r="AE126" s="448"/>
      <c r="AF126" s="449"/>
      <c r="AG126" s="349"/>
    </row>
    <row r="127" spans="1:33" s="398" customFormat="1" x14ac:dyDescent="0.25">
      <c r="A127" s="427">
        <v>14</v>
      </c>
      <c r="B127" s="427">
        <v>15</v>
      </c>
      <c r="C127" s="435">
        <v>1</v>
      </c>
      <c r="D127" s="532"/>
      <c r="E127" s="465"/>
      <c r="F127" s="624">
        <f t="shared" si="16"/>
        <v>-0.25</v>
      </c>
      <c r="G127" s="510">
        <f t="shared" si="17"/>
        <v>0.56000000000000005</v>
      </c>
      <c r="H127" s="687"/>
      <c r="I127" s="349"/>
      <c r="J127" s="349"/>
      <c r="K127" s="349"/>
      <c r="L127" s="349"/>
      <c r="O127" s="608"/>
      <c r="P127" s="608"/>
      <c r="Q127" s="608"/>
      <c r="R127" s="608"/>
      <c r="S127" s="608"/>
      <c r="T127" s="608"/>
      <c r="U127" s="608"/>
      <c r="V127" s="608"/>
      <c r="W127" s="608"/>
      <c r="X127" s="608"/>
      <c r="Y127" s="608"/>
      <c r="Z127" s="608"/>
      <c r="AA127" s="608"/>
      <c r="AB127" s="608"/>
      <c r="AC127" s="609"/>
      <c r="AD127" s="447"/>
      <c r="AE127" s="448"/>
      <c r="AF127" s="449"/>
    </row>
    <row r="128" spans="1:33" s="450" customFormat="1" ht="13.8" thickBot="1" x14ac:dyDescent="0.3">
      <c r="A128" s="425">
        <v>15</v>
      </c>
      <c r="B128" s="425">
        <v>16</v>
      </c>
      <c r="C128" s="435">
        <v>1</v>
      </c>
      <c r="D128" s="532"/>
      <c r="E128" s="465"/>
      <c r="F128" s="624">
        <f t="shared" si="16"/>
        <v>-0.25</v>
      </c>
      <c r="G128" s="510">
        <f t="shared" si="17"/>
        <v>0.56000000000000005</v>
      </c>
      <c r="H128" s="687"/>
      <c r="I128" s="349"/>
      <c r="J128" s="349"/>
      <c r="K128" s="349"/>
      <c r="L128" s="349"/>
      <c r="M128" s="398"/>
      <c r="N128" s="398"/>
      <c r="O128" s="608"/>
      <c r="P128" s="608"/>
      <c r="Q128" s="608"/>
      <c r="R128" s="608"/>
      <c r="S128" s="608"/>
      <c r="T128" s="608"/>
      <c r="U128" s="608"/>
      <c r="V128" s="608"/>
      <c r="W128" s="608"/>
      <c r="X128" s="608"/>
      <c r="Y128" s="608"/>
      <c r="Z128" s="608"/>
      <c r="AA128" s="608"/>
      <c r="AB128" s="608"/>
      <c r="AC128" s="609"/>
      <c r="AD128" s="447"/>
      <c r="AE128" s="448"/>
      <c r="AF128" s="449"/>
      <c r="AG128" s="398"/>
    </row>
    <row r="129" spans="1:33" s="398" customFormat="1" x14ac:dyDescent="0.25">
      <c r="A129" s="427">
        <v>16</v>
      </c>
      <c r="B129" s="427">
        <v>17</v>
      </c>
      <c r="C129" s="435">
        <v>1</v>
      </c>
      <c r="D129" s="532"/>
      <c r="E129" s="465"/>
      <c r="F129" s="624">
        <f t="shared" si="16"/>
        <v>-0.25</v>
      </c>
      <c r="G129" s="510">
        <f t="shared" si="17"/>
        <v>0.56000000000000005</v>
      </c>
      <c r="H129" s="687"/>
      <c r="I129" s="349"/>
      <c r="J129" s="349"/>
      <c r="K129" s="349"/>
      <c r="L129" s="349"/>
      <c r="O129" s="608"/>
      <c r="P129" s="608"/>
      <c r="Q129" s="608"/>
      <c r="R129" s="608"/>
      <c r="S129" s="608"/>
      <c r="T129" s="608"/>
      <c r="U129" s="608"/>
      <c r="V129" s="608"/>
      <c r="W129" s="608"/>
      <c r="X129" s="608"/>
      <c r="Y129" s="608"/>
      <c r="Z129" s="608"/>
      <c r="AA129" s="608"/>
      <c r="AB129" s="608"/>
      <c r="AC129" s="609"/>
      <c r="AD129" s="447"/>
      <c r="AE129" s="448"/>
      <c r="AF129" s="449"/>
    </row>
    <row r="130" spans="1:33" s="349" customFormat="1" x14ac:dyDescent="0.25">
      <c r="A130" s="425">
        <v>17</v>
      </c>
      <c r="B130" s="425">
        <v>18</v>
      </c>
      <c r="C130" s="435">
        <v>1</v>
      </c>
      <c r="D130" s="532"/>
      <c r="E130" s="465"/>
      <c r="F130" s="624">
        <f t="shared" si="16"/>
        <v>-0.25</v>
      </c>
      <c r="G130" s="510">
        <f t="shared" si="17"/>
        <v>0.56000000000000005</v>
      </c>
      <c r="H130" s="687"/>
      <c r="M130" s="398"/>
      <c r="N130" s="398"/>
      <c r="O130" s="608"/>
      <c r="P130" s="608"/>
      <c r="Q130" s="608"/>
      <c r="R130" s="608"/>
      <c r="S130" s="608"/>
      <c r="T130" s="608"/>
      <c r="U130" s="608"/>
      <c r="V130" s="608"/>
      <c r="W130" s="608"/>
      <c r="X130" s="608"/>
      <c r="Y130" s="608"/>
      <c r="Z130" s="608"/>
      <c r="AA130" s="608"/>
      <c r="AB130" s="608"/>
      <c r="AC130" s="609"/>
      <c r="AD130" s="447"/>
      <c r="AE130" s="498"/>
      <c r="AF130" s="398"/>
      <c r="AG130" s="398"/>
    </row>
    <row r="131" spans="1:33" s="349" customFormat="1" x14ac:dyDescent="0.25">
      <c r="A131" s="427">
        <v>18</v>
      </c>
      <c r="B131" s="427">
        <v>19</v>
      </c>
      <c r="C131" s="435">
        <v>1</v>
      </c>
      <c r="D131" s="532"/>
      <c r="E131" s="465"/>
      <c r="F131" s="624">
        <f t="shared" si="16"/>
        <v>-0.25</v>
      </c>
      <c r="G131" s="510">
        <f t="shared" si="17"/>
        <v>0.56000000000000005</v>
      </c>
      <c r="H131" s="688"/>
      <c r="M131" s="398"/>
      <c r="N131" s="398"/>
      <c r="O131" s="613"/>
      <c r="P131" s="613"/>
      <c r="Q131" s="613"/>
      <c r="R131" s="613"/>
      <c r="S131" s="613"/>
      <c r="T131" s="613"/>
      <c r="U131" s="613"/>
      <c r="V131" s="613"/>
      <c r="W131" s="613"/>
      <c r="X131" s="613"/>
      <c r="Y131" s="613"/>
      <c r="Z131" s="613"/>
      <c r="AA131" s="613"/>
      <c r="AB131" s="613"/>
      <c r="AC131" s="614"/>
      <c r="AD131" s="398"/>
      <c r="AE131" s="398"/>
      <c r="AF131" s="398"/>
      <c r="AG131" s="398"/>
    </row>
    <row r="132" spans="1:33" s="349" customFormat="1" x14ac:dyDescent="0.25">
      <c r="A132" s="425">
        <v>19</v>
      </c>
      <c r="B132" s="425">
        <v>20</v>
      </c>
      <c r="C132" s="435">
        <v>1</v>
      </c>
      <c r="D132" s="532"/>
      <c r="E132" s="465"/>
      <c r="F132" s="624">
        <f t="shared" si="16"/>
        <v>-0.25</v>
      </c>
      <c r="G132" s="510">
        <f t="shared" si="17"/>
        <v>0.56000000000000005</v>
      </c>
      <c r="H132" s="689"/>
      <c r="M132" s="398"/>
      <c r="N132" s="398"/>
      <c r="O132" s="615"/>
      <c r="P132" s="615"/>
      <c r="Q132" s="615"/>
      <c r="R132" s="615"/>
      <c r="S132" s="615"/>
      <c r="T132" s="615"/>
      <c r="U132" s="615"/>
      <c r="V132" s="615"/>
      <c r="W132" s="615"/>
      <c r="X132" s="615"/>
      <c r="Y132" s="615"/>
      <c r="Z132" s="615"/>
      <c r="AA132" s="615"/>
      <c r="AB132" s="615"/>
      <c r="AC132" s="616"/>
      <c r="AD132" s="499"/>
      <c r="AE132" s="451"/>
      <c r="AF132" s="398"/>
      <c r="AG132" s="398"/>
    </row>
    <row r="133" spans="1:33" s="398" customFormat="1" x14ac:dyDescent="0.25">
      <c r="A133" s="427">
        <v>20</v>
      </c>
      <c r="B133" s="427">
        <v>21</v>
      </c>
      <c r="C133" s="435">
        <v>1</v>
      </c>
      <c r="D133" s="532"/>
      <c r="E133" s="465"/>
      <c r="F133" s="624">
        <f t="shared" si="16"/>
        <v>-0.25</v>
      </c>
      <c r="G133" s="510">
        <f t="shared" si="17"/>
        <v>0.56000000000000005</v>
      </c>
      <c r="H133" s="689"/>
      <c r="I133" s="349"/>
      <c r="J133" s="349"/>
      <c r="K133" s="349"/>
      <c r="L133" s="349"/>
      <c r="O133" s="615"/>
      <c r="P133" s="615"/>
      <c r="Q133" s="615"/>
      <c r="R133" s="615"/>
      <c r="S133" s="615"/>
      <c r="T133" s="615"/>
      <c r="U133" s="615"/>
      <c r="V133" s="615"/>
      <c r="W133" s="615"/>
      <c r="X133" s="615"/>
      <c r="Y133" s="615"/>
      <c r="Z133" s="615"/>
      <c r="AA133" s="615"/>
      <c r="AB133" s="615"/>
      <c r="AC133" s="616"/>
      <c r="AD133" s="451"/>
      <c r="AE133" s="451"/>
    </row>
    <row r="134" spans="1:33" s="398" customFormat="1" x14ac:dyDescent="0.25">
      <c r="A134" s="425">
        <v>21</v>
      </c>
      <c r="B134" s="425">
        <v>22</v>
      </c>
      <c r="C134" s="435">
        <v>1</v>
      </c>
      <c r="D134" s="532"/>
      <c r="E134" s="465"/>
      <c r="F134" s="624">
        <f t="shared" si="16"/>
        <v>-0.25</v>
      </c>
      <c r="G134" s="510">
        <f t="shared" si="17"/>
        <v>0.56000000000000005</v>
      </c>
      <c r="H134" s="689"/>
      <c r="I134" s="349"/>
      <c r="J134" s="418"/>
      <c r="K134" s="349"/>
      <c r="L134" s="349"/>
      <c r="O134" s="615"/>
      <c r="P134" s="615"/>
      <c r="Q134" s="615"/>
      <c r="R134" s="615"/>
      <c r="S134" s="615"/>
      <c r="T134" s="615"/>
      <c r="U134" s="615"/>
      <c r="V134" s="615"/>
      <c r="W134" s="615"/>
      <c r="X134" s="615"/>
      <c r="Y134" s="615"/>
      <c r="Z134" s="615"/>
      <c r="AA134" s="615"/>
      <c r="AB134" s="615"/>
      <c r="AC134" s="616"/>
      <c r="AD134" s="349"/>
      <c r="AE134" s="349"/>
    </row>
    <row r="135" spans="1:33" s="398" customFormat="1" x14ac:dyDescent="0.25">
      <c r="A135" s="427">
        <v>22</v>
      </c>
      <c r="B135" s="427">
        <v>23</v>
      </c>
      <c r="C135" s="435">
        <v>1</v>
      </c>
      <c r="D135" s="532"/>
      <c r="E135" s="465"/>
      <c r="F135" s="624">
        <f t="shared" si="16"/>
        <v>-0.25</v>
      </c>
      <c r="G135" s="510">
        <f t="shared" si="17"/>
        <v>0.56000000000000005</v>
      </c>
      <c r="H135" s="689"/>
      <c r="I135" s="349"/>
      <c r="J135" s="349"/>
      <c r="K135" s="349"/>
      <c r="L135" s="349"/>
      <c r="O135" s="615"/>
      <c r="P135" s="615"/>
      <c r="Q135" s="615"/>
      <c r="R135" s="615"/>
      <c r="S135" s="615"/>
      <c r="T135" s="615"/>
      <c r="U135" s="615"/>
      <c r="V135" s="615"/>
      <c r="W135" s="615"/>
      <c r="X135" s="615"/>
      <c r="Y135" s="615"/>
      <c r="Z135" s="615"/>
      <c r="AA135" s="615"/>
      <c r="AB135" s="615"/>
      <c r="AC135" s="616"/>
      <c r="AD135" s="447"/>
      <c r="AE135" s="498"/>
      <c r="AF135" s="500"/>
    </row>
    <row r="136" spans="1:33" s="398" customFormat="1" x14ac:dyDescent="0.25">
      <c r="A136" s="427">
        <v>23</v>
      </c>
      <c r="B136" s="425">
        <v>24</v>
      </c>
      <c r="C136" s="435">
        <v>1</v>
      </c>
      <c r="D136" s="532"/>
      <c r="E136" s="496"/>
      <c r="F136" s="624">
        <f t="shared" si="16"/>
        <v>-0.25</v>
      </c>
      <c r="G136" s="510">
        <f t="shared" si="17"/>
        <v>0.56000000000000005</v>
      </c>
      <c r="H136" s="690"/>
      <c r="I136" s="349"/>
      <c r="J136" s="349"/>
      <c r="K136" s="349"/>
      <c r="L136" s="349"/>
      <c r="O136" s="617"/>
      <c r="P136" s="617"/>
      <c r="Q136" s="617"/>
      <c r="R136" s="617"/>
      <c r="S136" s="617"/>
      <c r="T136" s="617"/>
      <c r="U136" s="617"/>
      <c r="V136" s="617"/>
      <c r="W136" s="617"/>
      <c r="X136" s="617"/>
      <c r="Y136" s="617"/>
      <c r="Z136" s="615"/>
      <c r="AA136" s="615"/>
      <c r="AB136" s="615"/>
      <c r="AC136" s="616"/>
      <c r="AD136" s="447"/>
      <c r="AE136" s="498"/>
      <c r="AF136" s="500"/>
    </row>
    <row r="137" spans="1:33" s="398" customFormat="1" x14ac:dyDescent="0.25">
      <c r="A137" s="528">
        <v>24</v>
      </c>
      <c r="B137" s="427">
        <v>1</v>
      </c>
      <c r="C137" s="435">
        <v>1</v>
      </c>
      <c r="D137" s="534"/>
      <c r="E137" s="462"/>
      <c r="G137" s="510">
        <f t="shared" si="17"/>
        <v>0.56000000000000005</v>
      </c>
      <c r="H137" s="690"/>
      <c r="I137" s="349"/>
      <c r="J137" s="349"/>
      <c r="K137" s="349"/>
      <c r="L137" s="349"/>
      <c r="O137" s="617"/>
      <c r="P137" s="617"/>
      <c r="Q137" s="617"/>
      <c r="R137" s="617"/>
      <c r="S137" s="617"/>
      <c r="T137" s="617"/>
      <c r="U137" s="617"/>
      <c r="V137" s="617"/>
      <c r="W137" s="617"/>
      <c r="X137" s="617"/>
      <c r="Y137" s="617"/>
      <c r="Z137" s="615"/>
      <c r="AA137" s="615"/>
      <c r="AB137" s="615"/>
      <c r="AC137" s="616"/>
      <c r="AD137" s="451"/>
      <c r="AE137" s="451"/>
      <c r="AF137" s="500"/>
    </row>
    <row r="138" spans="1:33" s="398" customFormat="1" ht="13.8" thickBot="1" x14ac:dyDescent="0.3">
      <c r="A138" s="349"/>
      <c r="B138" s="349"/>
      <c r="C138" s="349"/>
      <c r="D138" s="532"/>
      <c r="E138" s="349"/>
      <c r="F138" s="13"/>
      <c r="G138" s="425"/>
      <c r="H138" s="690"/>
      <c r="I138" s="349"/>
      <c r="J138" s="349"/>
      <c r="K138" s="349"/>
      <c r="L138" s="349"/>
      <c r="O138" s="617"/>
      <c r="P138" s="617"/>
      <c r="Q138" s="617"/>
      <c r="R138" s="617"/>
      <c r="S138" s="617"/>
      <c r="T138" s="617"/>
      <c r="U138" s="617"/>
      <c r="V138" s="617"/>
      <c r="W138" s="617"/>
      <c r="X138" s="617"/>
      <c r="Y138" s="617"/>
      <c r="Z138" s="615"/>
      <c r="AA138" s="615"/>
      <c r="AB138" s="615"/>
      <c r="AC138" s="616"/>
      <c r="AF138" s="445"/>
      <c r="AG138" s="450"/>
    </row>
    <row r="139" spans="1:33" s="398" customFormat="1" ht="17.399999999999999" x14ac:dyDescent="0.3">
      <c r="A139" s="424"/>
      <c r="B139" s="436" t="s">
        <v>243</v>
      </c>
      <c r="C139" s="437"/>
      <c r="D139" s="535"/>
      <c r="E139" s="437"/>
      <c r="F139" s="625"/>
      <c r="G139" s="425"/>
      <c r="H139" s="691"/>
      <c r="I139" s="349"/>
      <c r="J139" s="349"/>
      <c r="K139" s="349"/>
      <c r="L139" s="349"/>
      <c r="O139" s="13"/>
      <c r="P139" s="13"/>
      <c r="Q139" s="13"/>
      <c r="R139" s="13"/>
      <c r="S139" s="13"/>
      <c r="T139" s="13"/>
      <c r="U139" s="13"/>
      <c r="V139" s="13"/>
      <c r="W139" s="13"/>
      <c r="X139" s="13"/>
      <c r="Y139" s="617"/>
      <c r="Z139" s="615"/>
      <c r="AA139" s="615"/>
      <c r="AB139" s="615"/>
      <c r="AC139" s="616"/>
      <c r="AF139" s="445"/>
    </row>
    <row r="140" spans="1:33" s="398" customFormat="1" ht="18" thickBot="1" x14ac:dyDescent="0.35">
      <c r="A140" s="425"/>
      <c r="B140" s="425"/>
      <c r="C140" s="425"/>
      <c r="D140" s="536"/>
      <c r="E140" s="425"/>
      <c r="F140" s="626" t="s">
        <v>272</v>
      </c>
      <c r="G140" s="425"/>
      <c r="H140" s="691"/>
      <c r="I140" s="349"/>
      <c r="J140" s="349"/>
      <c r="K140" s="349"/>
      <c r="L140" s="349"/>
      <c r="O140" s="13"/>
      <c r="P140" s="13"/>
      <c r="Q140" s="13"/>
      <c r="R140" s="13"/>
      <c r="S140" s="13"/>
      <c r="T140" s="13"/>
      <c r="U140" s="13"/>
      <c r="V140" s="13"/>
      <c r="W140" s="13"/>
      <c r="X140" s="13"/>
      <c r="Y140" s="617"/>
      <c r="Z140" s="615"/>
      <c r="AA140" s="615"/>
      <c r="AB140" s="615"/>
      <c r="AC140" s="616"/>
      <c r="AF140" s="349"/>
      <c r="AG140" s="349"/>
    </row>
    <row r="141" spans="1:33" s="398" customFormat="1" ht="18" thickBot="1" x14ac:dyDescent="0.35">
      <c r="A141" s="428" t="s">
        <v>7</v>
      </c>
      <c r="B141" s="429"/>
      <c r="C141" s="429" t="s">
        <v>266</v>
      </c>
      <c r="D141" s="533"/>
      <c r="E141" s="429"/>
      <c r="F141" s="627" t="s">
        <v>320</v>
      </c>
      <c r="G141" s="430"/>
      <c r="H141" s="691" t="s">
        <v>273</v>
      </c>
      <c r="I141" s="349"/>
      <c r="J141" s="349"/>
      <c r="K141" s="349"/>
      <c r="L141" s="349"/>
      <c r="O141" s="13"/>
      <c r="P141" s="13"/>
      <c r="Q141" s="13"/>
      <c r="R141" s="13"/>
      <c r="S141" s="13"/>
      <c r="T141" s="13"/>
      <c r="U141" s="13"/>
      <c r="V141" s="13"/>
      <c r="W141" s="13"/>
      <c r="X141" s="13"/>
      <c r="Y141" s="617"/>
      <c r="Z141" s="617"/>
      <c r="AA141" s="617"/>
      <c r="AB141" s="617"/>
      <c r="AC141" s="618"/>
      <c r="AF141" s="349"/>
      <c r="AG141" s="349"/>
    </row>
    <row r="142" spans="1:33" s="398" customFormat="1" ht="17.399999999999999" x14ac:dyDescent="0.3">
      <c r="A142" s="433" t="s">
        <v>244</v>
      </c>
      <c r="B142" s="434" t="s">
        <v>245</v>
      </c>
      <c r="C142" s="434"/>
      <c r="D142" s="537"/>
      <c r="E142" s="431"/>
      <c r="F142" s="624">
        <f t="shared" ref="F142:F166" si="18">D143-0.25</f>
        <v>-0.25</v>
      </c>
      <c r="G142" s="425" t="s">
        <v>321</v>
      </c>
      <c r="H142" s="692">
        <v>4.3999999999999997E-2</v>
      </c>
      <c r="I142" s="438" t="s">
        <v>275</v>
      </c>
      <c r="J142" s="349"/>
      <c r="K142" s="349"/>
      <c r="L142" s="349"/>
      <c r="M142" s="599" t="s">
        <v>276</v>
      </c>
      <c r="N142" s="619"/>
      <c r="O142" s="13"/>
      <c r="P142" s="13"/>
      <c r="Q142" s="13"/>
      <c r="R142" s="13"/>
      <c r="S142" s="13"/>
      <c r="T142" s="13"/>
      <c r="U142" s="13"/>
      <c r="V142" s="13"/>
      <c r="W142" s="13"/>
      <c r="X142" s="13"/>
      <c r="Y142" s="617"/>
      <c r="Z142" s="617"/>
      <c r="AA142" s="617"/>
      <c r="AB142" s="617"/>
      <c r="AC142" s="618"/>
      <c r="AF142" s="349"/>
      <c r="AG142" s="349"/>
    </row>
    <row r="143" spans="1:33" s="398" customFormat="1" x14ac:dyDescent="0.25">
      <c r="A143" s="427">
        <v>24</v>
      </c>
      <c r="B143" s="425">
        <v>1</v>
      </c>
      <c r="C143" s="435">
        <v>1</v>
      </c>
      <c r="D143" s="532"/>
      <c r="E143" s="496"/>
      <c r="F143" s="624">
        <f t="shared" si="18"/>
        <v>-0.25</v>
      </c>
      <c r="G143" s="510">
        <f>D143+0.56</f>
        <v>0.56000000000000005</v>
      </c>
      <c r="H143" s="400"/>
      <c r="I143" s="439" t="s">
        <v>274</v>
      </c>
      <c r="J143" s="440"/>
      <c r="K143" s="349"/>
      <c r="L143" s="349"/>
      <c r="O143" s="13"/>
      <c r="P143" s="13"/>
      <c r="Q143" s="13"/>
      <c r="R143" s="13"/>
      <c r="S143" s="13"/>
      <c r="T143" s="13"/>
      <c r="U143" s="13"/>
      <c r="V143" s="13"/>
      <c r="W143" s="13"/>
      <c r="X143" s="13"/>
      <c r="Y143" s="617"/>
      <c r="Z143" s="617"/>
      <c r="AA143" s="620"/>
      <c r="AB143" s="617"/>
      <c r="AC143" s="618"/>
      <c r="AD143" s="349"/>
      <c r="AE143" s="349"/>
      <c r="AF143" s="349"/>
    </row>
    <row r="144" spans="1:33" s="398" customFormat="1" x14ac:dyDescent="0.25">
      <c r="A144" s="425">
        <v>1</v>
      </c>
      <c r="B144" s="425">
        <v>2</v>
      </c>
      <c r="C144" s="435">
        <v>1</v>
      </c>
      <c r="D144" s="538"/>
      <c r="E144" s="465"/>
      <c r="F144" s="624">
        <f t="shared" si="18"/>
        <v>-0.25</v>
      </c>
      <c r="G144" s="510">
        <f t="shared" ref="G144:G166" si="19">D144+0.56</f>
        <v>0.56000000000000005</v>
      </c>
      <c r="H144" s="400"/>
      <c r="I144" s="439"/>
      <c r="J144" s="440"/>
      <c r="K144" s="349"/>
      <c r="L144" s="349"/>
      <c r="O144" s="13"/>
      <c r="P144" s="13"/>
      <c r="Q144" s="13"/>
      <c r="R144" s="13"/>
      <c r="S144" s="13"/>
      <c r="T144" s="13"/>
      <c r="U144" s="13"/>
      <c r="V144" s="13"/>
      <c r="W144" s="13"/>
      <c r="X144" s="13"/>
      <c r="Y144" s="617"/>
      <c r="Z144" s="617"/>
      <c r="AA144" s="620"/>
      <c r="AB144" s="617"/>
      <c r="AC144" s="618"/>
      <c r="AD144" s="399"/>
      <c r="AE144" s="349"/>
      <c r="AF144" s="349"/>
    </row>
    <row r="145" spans="1:32" s="398" customFormat="1" x14ac:dyDescent="0.25">
      <c r="A145" s="427">
        <v>2</v>
      </c>
      <c r="B145" s="425">
        <v>3</v>
      </c>
      <c r="C145" s="435">
        <v>1</v>
      </c>
      <c r="D145" s="534"/>
      <c r="E145" s="465"/>
      <c r="F145" s="624">
        <f t="shared" si="18"/>
        <v>-0.25</v>
      </c>
      <c r="G145" s="510">
        <f t="shared" si="19"/>
        <v>0.56000000000000005</v>
      </c>
      <c r="H145" s="400"/>
      <c r="I145" s="439"/>
      <c r="J145" s="440"/>
      <c r="K145" s="372"/>
      <c r="L145" s="372"/>
      <c r="M145" s="600"/>
      <c r="N145" s="600"/>
      <c r="O145" s="13"/>
      <c r="P145" s="13"/>
      <c r="Q145" s="13"/>
      <c r="R145" s="13"/>
      <c r="S145" s="13"/>
      <c r="T145" s="13"/>
      <c r="U145" s="13"/>
      <c r="V145" s="13"/>
      <c r="W145" s="13"/>
      <c r="X145" s="13"/>
      <c r="Y145" s="617"/>
      <c r="Z145" s="617"/>
      <c r="AA145" s="620"/>
      <c r="AB145" s="617"/>
      <c r="AC145" s="618"/>
      <c r="AF145" s="349"/>
    </row>
    <row r="146" spans="1:32" s="398" customFormat="1" x14ac:dyDescent="0.25">
      <c r="A146" s="425">
        <v>3</v>
      </c>
      <c r="B146" s="425">
        <v>4</v>
      </c>
      <c r="C146" s="435">
        <v>1</v>
      </c>
      <c r="D146" s="534"/>
      <c r="E146" s="465"/>
      <c r="F146" s="624">
        <f t="shared" si="18"/>
        <v>-0.25</v>
      </c>
      <c r="G146" s="510">
        <f t="shared" si="19"/>
        <v>0.56000000000000005</v>
      </c>
      <c r="H146" s="400"/>
      <c r="I146" s="441"/>
      <c r="J146" s="440"/>
      <c r="K146" s="425"/>
      <c r="L146" s="425"/>
      <c r="M146" s="13"/>
      <c r="N146" s="13"/>
      <c r="O146" s="13"/>
      <c r="P146" s="13"/>
      <c r="Q146" s="13"/>
      <c r="R146" s="13"/>
      <c r="S146" s="13"/>
      <c r="T146" s="13"/>
      <c r="U146" s="13"/>
      <c r="V146" s="13"/>
      <c r="W146" s="13"/>
      <c r="X146" s="13"/>
      <c r="Y146" s="617"/>
      <c r="Z146" s="617"/>
      <c r="AA146" s="620"/>
      <c r="AB146" s="617"/>
      <c r="AC146" s="618"/>
      <c r="AD146" s="419"/>
      <c r="AE146" s="420"/>
      <c r="AF146" s="349"/>
    </row>
    <row r="147" spans="1:32" s="398" customFormat="1" x14ac:dyDescent="0.25">
      <c r="A147" s="427">
        <v>4</v>
      </c>
      <c r="B147" s="425">
        <v>5</v>
      </c>
      <c r="C147" s="435">
        <v>1</v>
      </c>
      <c r="D147" s="534"/>
      <c r="E147" s="465"/>
      <c r="F147" s="624">
        <f t="shared" si="18"/>
        <v>-0.25</v>
      </c>
      <c r="G147" s="510">
        <f t="shared" si="19"/>
        <v>0.56000000000000005</v>
      </c>
      <c r="H147" s="400"/>
      <c r="I147" s="441"/>
      <c r="J147" s="440"/>
      <c r="K147" s="425"/>
      <c r="L147" s="425"/>
      <c r="M147" s="13"/>
      <c r="N147" s="13"/>
      <c r="O147" s="13"/>
      <c r="P147" s="13"/>
      <c r="Q147" s="13"/>
      <c r="R147" s="13"/>
      <c r="S147" s="13"/>
      <c r="T147" s="13"/>
      <c r="U147" s="13"/>
      <c r="V147" s="13"/>
      <c r="W147" s="13"/>
      <c r="X147" s="13"/>
      <c r="Y147" s="617"/>
      <c r="Z147" s="617"/>
      <c r="AA147" s="620"/>
      <c r="AB147" s="617"/>
      <c r="AC147" s="618"/>
      <c r="AD147" s="399"/>
      <c r="AE147" s="349"/>
      <c r="AF147" s="349"/>
    </row>
    <row r="148" spans="1:32" s="398" customFormat="1" x14ac:dyDescent="0.25">
      <c r="A148" s="425">
        <v>5</v>
      </c>
      <c r="B148" s="425">
        <v>6</v>
      </c>
      <c r="C148" s="435">
        <v>1</v>
      </c>
      <c r="D148" s="534"/>
      <c r="E148" s="465"/>
      <c r="F148" s="624">
        <f t="shared" si="18"/>
        <v>-0.25</v>
      </c>
      <c r="G148" s="510">
        <f t="shared" si="19"/>
        <v>0.56000000000000005</v>
      </c>
      <c r="H148" s="400"/>
      <c r="I148" s="441"/>
      <c r="J148" s="440"/>
      <c r="K148" s="425"/>
      <c r="L148" s="425"/>
      <c r="M148" s="13"/>
      <c r="N148" s="13"/>
      <c r="O148" s="13"/>
      <c r="P148" s="13"/>
      <c r="Q148" s="13"/>
      <c r="R148" s="13"/>
      <c r="S148" s="13"/>
      <c r="T148" s="13"/>
      <c r="U148" s="13"/>
      <c r="V148" s="13"/>
      <c r="W148" s="13"/>
      <c r="X148" s="13"/>
      <c r="Y148" s="617"/>
      <c r="Z148" s="617"/>
      <c r="AA148" s="620"/>
      <c r="AB148" s="617"/>
      <c r="AC148" s="618"/>
      <c r="AD148" s="399"/>
      <c r="AE148" s="349"/>
      <c r="AF148" s="349"/>
    </row>
    <row r="149" spans="1:32" s="398" customFormat="1" x14ac:dyDescent="0.25">
      <c r="A149" s="427">
        <v>6</v>
      </c>
      <c r="B149" s="425">
        <v>7</v>
      </c>
      <c r="C149" s="435">
        <v>1</v>
      </c>
      <c r="D149" s="534"/>
      <c r="E149" s="465"/>
      <c r="F149" s="624">
        <f t="shared" si="18"/>
        <v>-0.25</v>
      </c>
      <c r="G149" s="510">
        <f t="shared" si="19"/>
        <v>0.56000000000000005</v>
      </c>
      <c r="H149" s="400"/>
      <c r="I149" s="441"/>
      <c r="J149" s="440"/>
      <c r="K149" s="425"/>
      <c r="L149" s="425"/>
      <c r="M149" s="13"/>
      <c r="N149" s="13"/>
      <c r="O149" s="13"/>
      <c r="P149" s="13"/>
      <c r="Q149" s="13"/>
      <c r="R149" s="13"/>
      <c r="S149" s="13"/>
      <c r="T149" s="13"/>
      <c r="U149" s="13"/>
      <c r="V149" s="13"/>
      <c r="W149" s="13"/>
      <c r="X149" s="13"/>
      <c r="Y149" s="617"/>
      <c r="Z149" s="598"/>
      <c r="AA149" s="620"/>
      <c r="AB149" s="598"/>
      <c r="AC149" s="606"/>
      <c r="AD149" s="399"/>
      <c r="AE149" s="349"/>
      <c r="AF149" s="349"/>
    </row>
    <row r="150" spans="1:32" s="398" customFormat="1" x14ac:dyDescent="0.25">
      <c r="A150" s="425">
        <v>7</v>
      </c>
      <c r="B150" s="425">
        <v>8</v>
      </c>
      <c r="C150" s="435">
        <v>1</v>
      </c>
      <c r="D150" s="534"/>
      <c r="E150" s="465"/>
      <c r="F150" s="624">
        <f t="shared" si="18"/>
        <v>-0.25</v>
      </c>
      <c r="G150" s="510">
        <f t="shared" si="19"/>
        <v>0.56000000000000005</v>
      </c>
      <c r="H150" s="400"/>
      <c r="I150" s="441"/>
      <c r="J150" s="440"/>
      <c r="K150" s="425"/>
      <c r="L150" s="425"/>
      <c r="M150" s="13"/>
      <c r="N150" s="13"/>
      <c r="O150" s="13"/>
      <c r="P150" s="13"/>
      <c r="Q150" s="13"/>
      <c r="R150" s="13"/>
      <c r="S150" s="13"/>
      <c r="T150" s="13"/>
      <c r="U150" s="13"/>
      <c r="V150" s="13"/>
      <c r="W150" s="13"/>
      <c r="X150" s="13"/>
      <c r="Y150" s="617"/>
      <c r="Z150" s="598"/>
      <c r="AA150" s="620"/>
      <c r="AB150" s="598"/>
      <c r="AC150" s="606"/>
      <c r="AD150" s="399"/>
      <c r="AE150" s="349"/>
      <c r="AF150" s="349"/>
    </row>
    <row r="151" spans="1:32" s="398" customFormat="1" x14ac:dyDescent="0.25">
      <c r="A151" s="427">
        <v>8</v>
      </c>
      <c r="B151" s="425">
        <v>9</v>
      </c>
      <c r="C151" s="435">
        <v>1</v>
      </c>
      <c r="D151" s="534"/>
      <c r="E151" s="465"/>
      <c r="F151" s="624">
        <f t="shared" si="18"/>
        <v>-0.25</v>
      </c>
      <c r="G151" s="510">
        <f t="shared" si="19"/>
        <v>0.56000000000000005</v>
      </c>
      <c r="H151" s="400"/>
      <c r="I151" s="441"/>
      <c r="J151" s="440"/>
      <c r="K151" s="425"/>
      <c r="L151" s="425"/>
      <c r="M151" s="13"/>
      <c r="N151" s="13"/>
      <c r="O151" s="13"/>
      <c r="P151" s="13"/>
      <c r="Q151" s="13"/>
      <c r="R151" s="13"/>
      <c r="S151" s="13"/>
      <c r="T151" s="13"/>
      <c r="U151" s="13"/>
      <c r="V151" s="13"/>
      <c r="W151" s="13"/>
      <c r="X151" s="13"/>
      <c r="Y151" s="617"/>
      <c r="Z151" s="598"/>
      <c r="AA151" s="620"/>
      <c r="AB151" s="598"/>
      <c r="AC151" s="606"/>
      <c r="AD151" s="391"/>
      <c r="AE151" s="392"/>
      <c r="AF151" s="399"/>
    </row>
    <row r="152" spans="1:32" s="398" customFormat="1" x14ac:dyDescent="0.25">
      <c r="A152" s="425">
        <v>9</v>
      </c>
      <c r="B152" s="425">
        <v>10</v>
      </c>
      <c r="C152" s="435">
        <v>1</v>
      </c>
      <c r="D152" s="534"/>
      <c r="E152" s="465"/>
      <c r="F152" s="624">
        <f t="shared" si="18"/>
        <v>-0.25</v>
      </c>
      <c r="G152" s="510">
        <f t="shared" si="19"/>
        <v>0.56000000000000005</v>
      </c>
      <c r="H152" s="400"/>
      <c r="I152" s="441"/>
      <c r="J152" s="440"/>
      <c r="K152" s="425"/>
      <c r="L152" s="425"/>
      <c r="M152" s="13"/>
      <c r="N152" s="13"/>
      <c r="O152" s="13"/>
      <c r="P152" s="13"/>
      <c r="Q152" s="13"/>
      <c r="R152" s="13"/>
      <c r="S152" s="13"/>
      <c r="T152" s="13"/>
      <c r="U152" s="13"/>
      <c r="V152" s="13"/>
      <c r="W152" s="13"/>
      <c r="X152" s="13"/>
      <c r="Y152" s="617"/>
      <c r="Z152" s="598"/>
      <c r="AA152" s="620"/>
      <c r="AB152" s="598"/>
      <c r="AC152" s="606"/>
      <c r="AD152" s="393"/>
      <c r="AE152" s="393"/>
      <c r="AF152" s="399"/>
    </row>
    <row r="153" spans="1:32" s="398" customFormat="1" x14ac:dyDescent="0.25">
      <c r="A153" s="427">
        <v>10</v>
      </c>
      <c r="B153" s="425">
        <v>11</v>
      </c>
      <c r="C153" s="435">
        <v>1</v>
      </c>
      <c r="D153" s="534"/>
      <c r="E153" s="465"/>
      <c r="F153" s="624">
        <f t="shared" si="18"/>
        <v>-0.25</v>
      </c>
      <c r="G153" s="510">
        <f t="shared" si="19"/>
        <v>0.56000000000000005</v>
      </c>
      <c r="H153" s="400"/>
      <c r="I153" s="441"/>
      <c r="J153" s="440"/>
      <c r="K153" s="425"/>
      <c r="L153" s="425"/>
      <c r="M153" s="13"/>
      <c r="N153" s="13"/>
      <c r="O153" s="13"/>
      <c r="P153" s="13"/>
      <c r="Q153" s="13"/>
      <c r="R153" s="13"/>
      <c r="S153" s="13"/>
      <c r="T153" s="13"/>
      <c r="U153" s="13"/>
      <c r="V153" s="13"/>
      <c r="W153" s="13"/>
      <c r="X153" s="13"/>
      <c r="Y153" s="617"/>
      <c r="Z153" s="598"/>
      <c r="AA153" s="620"/>
      <c r="AB153" s="598"/>
      <c r="AC153" s="606"/>
      <c r="AD153" s="391"/>
      <c r="AE153" s="392"/>
      <c r="AF153" s="399"/>
    </row>
    <row r="154" spans="1:32" s="398" customFormat="1" x14ac:dyDescent="0.25">
      <c r="A154" s="425">
        <v>11</v>
      </c>
      <c r="B154" s="425">
        <v>12</v>
      </c>
      <c r="C154" s="435">
        <v>1</v>
      </c>
      <c r="D154" s="534"/>
      <c r="E154" s="465"/>
      <c r="F154" s="624">
        <f t="shared" si="18"/>
        <v>-0.25</v>
      </c>
      <c r="G154" s="510">
        <f t="shared" si="19"/>
        <v>0.56000000000000005</v>
      </c>
      <c r="H154" s="400"/>
      <c r="I154" s="441"/>
      <c r="J154" s="440"/>
      <c r="K154" s="425"/>
      <c r="L154" s="425"/>
      <c r="M154" s="13"/>
      <c r="N154" s="13"/>
      <c r="O154" s="13"/>
      <c r="P154" s="13"/>
      <c r="Q154" s="13"/>
      <c r="R154" s="13"/>
      <c r="S154" s="13"/>
      <c r="T154" s="13"/>
      <c r="U154" s="13"/>
      <c r="V154" s="13"/>
      <c r="W154" s="13"/>
      <c r="X154" s="13"/>
      <c r="Y154" s="617"/>
      <c r="Z154" s="598"/>
      <c r="AA154" s="620"/>
      <c r="AB154" s="598"/>
      <c r="AC154" s="606"/>
      <c r="AD154" s="396"/>
      <c r="AE154" s="394"/>
      <c r="AF154" s="399"/>
    </row>
    <row r="155" spans="1:32" s="398" customFormat="1" x14ac:dyDescent="0.25">
      <c r="A155" s="427">
        <v>12</v>
      </c>
      <c r="B155" s="425">
        <v>13</v>
      </c>
      <c r="C155" s="435">
        <v>1</v>
      </c>
      <c r="D155" s="534"/>
      <c r="E155" s="465"/>
      <c r="F155" s="624">
        <f t="shared" si="18"/>
        <v>-0.25</v>
      </c>
      <c r="G155" s="510">
        <f t="shared" si="19"/>
        <v>0.56000000000000005</v>
      </c>
      <c r="H155" s="400"/>
      <c r="I155" s="441"/>
      <c r="J155" s="440"/>
      <c r="K155" s="425"/>
      <c r="L155" s="425"/>
      <c r="M155" s="13"/>
      <c r="N155" s="13"/>
      <c r="O155" s="13"/>
      <c r="P155" s="13"/>
      <c r="Q155" s="13"/>
      <c r="R155" s="13"/>
      <c r="S155" s="13"/>
      <c r="T155" s="13"/>
      <c r="U155" s="13"/>
      <c r="V155" s="13"/>
      <c r="W155" s="13"/>
      <c r="X155" s="13"/>
      <c r="Y155" s="617"/>
      <c r="Z155" s="598"/>
      <c r="AA155" s="620"/>
      <c r="AB155" s="598"/>
      <c r="AC155" s="606"/>
      <c r="AD155" s="396"/>
      <c r="AE155" s="394"/>
      <c r="AF155" s="399"/>
    </row>
    <row r="156" spans="1:32" s="398" customFormat="1" x14ac:dyDescent="0.25">
      <c r="A156" s="425">
        <v>13</v>
      </c>
      <c r="B156" s="425">
        <v>14</v>
      </c>
      <c r="C156" s="435">
        <v>1</v>
      </c>
      <c r="D156" s="534"/>
      <c r="E156" s="465"/>
      <c r="F156" s="624">
        <f t="shared" si="18"/>
        <v>-0.25</v>
      </c>
      <c r="G156" s="510">
        <f t="shared" si="19"/>
        <v>0.56000000000000005</v>
      </c>
      <c r="H156" s="400"/>
      <c r="I156" s="441"/>
      <c r="J156" s="440"/>
      <c r="K156" s="425"/>
      <c r="L156" s="425"/>
      <c r="M156" s="13"/>
      <c r="N156" s="13"/>
      <c r="O156" s="13"/>
      <c r="P156" s="13"/>
      <c r="Q156" s="13"/>
      <c r="R156" s="13"/>
      <c r="S156" s="13"/>
      <c r="T156" s="13"/>
      <c r="U156" s="13"/>
      <c r="V156" s="13"/>
      <c r="W156" s="13"/>
      <c r="X156" s="13"/>
      <c r="Y156" s="617"/>
      <c r="Z156" s="598"/>
      <c r="AA156" s="620"/>
      <c r="AB156" s="598"/>
      <c r="AC156" s="606"/>
      <c r="AD156" s="396"/>
      <c r="AE156" s="407"/>
      <c r="AF156" s="399"/>
    </row>
    <row r="157" spans="1:32" s="398" customFormat="1" x14ac:dyDescent="0.25">
      <c r="A157" s="427">
        <v>14</v>
      </c>
      <c r="B157" s="425">
        <v>15</v>
      </c>
      <c r="C157" s="435">
        <v>1</v>
      </c>
      <c r="D157" s="534"/>
      <c r="E157" s="465"/>
      <c r="F157" s="624">
        <f t="shared" si="18"/>
        <v>-0.25</v>
      </c>
      <c r="G157" s="510">
        <f t="shared" si="19"/>
        <v>0.56000000000000005</v>
      </c>
      <c r="H157" s="400" t="s">
        <v>170</v>
      </c>
      <c r="I157" s="441"/>
      <c r="J157" s="440"/>
      <c r="K157" s="425"/>
      <c r="L157" s="425"/>
      <c r="M157" s="13"/>
      <c r="N157" s="13"/>
      <c r="O157" s="13"/>
      <c r="P157" s="13"/>
      <c r="Q157" s="13"/>
      <c r="R157" s="13"/>
      <c r="S157" s="13"/>
      <c r="T157" s="13"/>
      <c r="U157" s="13"/>
      <c r="V157" s="13"/>
      <c r="W157" s="13"/>
      <c r="X157" s="13"/>
      <c r="Y157" s="617"/>
      <c r="Z157" s="598"/>
      <c r="AA157" s="620"/>
      <c r="AB157" s="598"/>
      <c r="AC157" s="606"/>
      <c r="AD157" s="396"/>
      <c r="AE157" s="408"/>
      <c r="AF157" s="349"/>
    </row>
    <row r="158" spans="1:32" s="398" customFormat="1" x14ac:dyDescent="0.25">
      <c r="A158" s="425">
        <v>15</v>
      </c>
      <c r="B158" s="425">
        <v>16</v>
      </c>
      <c r="C158" s="435">
        <v>1</v>
      </c>
      <c r="D158" s="534"/>
      <c r="E158" s="465"/>
      <c r="F158" s="624">
        <f t="shared" si="18"/>
        <v>-0.25</v>
      </c>
      <c r="G158" s="510">
        <f t="shared" si="19"/>
        <v>0.56000000000000005</v>
      </c>
      <c r="H158" s="400"/>
      <c r="I158" s="441"/>
      <c r="J158" s="440"/>
      <c r="K158" s="425"/>
      <c r="L158" s="425"/>
      <c r="M158" s="13"/>
      <c r="N158" s="13"/>
      <c r="O158" s="13"/>
      <c r="P158" s="13"/>
      <c r="Q158" s="13"/>
      <c r="R158" s="13"/>
      <c r="S158" s="13"/>
      <c r="T158" s="13"/>
      <c r="U158" s="13"/>
      <c r="V158" s="13"/>
      <c r="W158" s="13"/>
      <c r="X158" s="13"/>
      <c r="Y158" s="617"/>
      <c r="Z158" s="598"/>
      <c r="AA158" s="620"/>
      <c r="AB158" s="598"/>
      <c r="AC158" s="606"/>
      <c r="AD158" s="391"/>
      <c r="AE158" s="392"/>
      <c r="AF158" s="349"/>
    </row>
    <row r="159" spans="1:32" s="398" customFormat="1" x14ac:dyDescent="0.25">
      <c r="A159" s="427">
        <v>16</v>
      </c>
      <c r="B159" s="425">
        <v>17</v>
      </c>
      <c r="C159" s="435">
        <v>1</v>
      </c>
      <c r="D159" s="534"/>
      <c r="E159" s="465"/>
      <c r="F159" s="624">
        <f t="shared" si="18"/>
        <v>-0.25</v>
      </c>
      <c r="G159" s="510">
        <f t="shared" si="19"/>
        <v>0.56000000000000005</v>
      </c>
      <c r="H159" s="400"/>
      <c r="I159" s="441"/>
      <c r="J159" s="440"/>
      <c r="K159" s="425"/>
      <c r="L159" s="425"/>
      <c r="M159" s="13"/>
      <c r="N159" s="13"/>
      <c r="O159" s="13"/>
      <c r="R159" s="13"/>
      <c r="S159" s="13"/>
      <c r="T159" s="13"/>
      <c r="U159" s="13"/>
      <c r="V159" s="13"/>
      <c r="W159" s="13"/>
      <c r="X159" s="13"/>
      <c r="Y159" s="617"/>
      <c r="Z159" s="598"/>
      <c r="AA159" s="620"/>
      <c r="AB159" s="598"/>
      <c r="AC159" s="606"/>
      <c r="AD159" s="391"/>
      <c r="AE159" s="392"/>
      <c r="AF159" s="393"/>
    </row>
    <row r="160" spans="1:32" s="398" customFormat="1" x14ac:dyDescent="0.25">
      <c r="A160" s="425">
        <v>17</v>
      </c>
      <c r="B160" s="425">
        <v>18</v>
      </c>
      <c r="C160" s="435">
        <v>1</v>
      </c>
      <c r="D160" s="534"/>
      <c r="E160" s="465"/>
      <c r="F160" s="624">
        <f t="shared" si="18"/>
        <v>-0.25</v>
      </c>
      <c r="G160" s="510">
        <f t="shared" si="19"/>
        <v>0.56000000000000005</v>
      </c>
      <c r="H160" s="400"/>
      <c r="I160" s="441"/>
      <c r="J160" s="440"/>
      <c r="K160" s="425"/>
      <c r="L160" s="425"/>
      <c r="M160" s="13"/>
      <c r="N160" s="13"/>
      <c r="O160" s="13"/>
      <c r="R160" s="13"/>
      <c r="S160" s="13"/>
      <c r="T160" s="13"/>
      <c r="U160" s="13"/>
      <c r="V160" s="13"/>
      <c r="W160" s="13"/>
      <c r="X160" s="13"/>
      <c r="Y160" s="617"/>
      <c r="Z160" s="598"/>
      <c r="AA160" s="620"/>
      <c r="AB160" s="598"/>
      <c r="AC160" s="606"/>
      <c r="AD160" s="377"/>
      <c r="AE160" s="377"/>
      <c r="AF160" s="391"/>
    </row>
    <row r="161" spans="1:32" s="398" customFormat="1" x14ac:dyDescent="0.25">
      <c r="A161" s="427">
        <v>18</v>
      </c>
      <c r="B161" s="425">
        <v>19</v>
      </c>
      <c r="C161" s="435">
        <v>1</v>
      </c>
      <c r="D161" s="534"/>
      <c r="E161" s="465"/>
      <c r="F161" s="624">
        <f t="shared" si="18"/>
        <v>-0.25</v>
      </c>
      <c r="G161" s="510">
        <f t="shared" si="19"/>
        <v>0.56000000000000005</v>
      </c>
      <c r="H161" s="400"/>
      <c r="I161" s="441"/>
      <c r="J161" s="440"/>
      <c r="K161" s="425"/>
      <c r="L161" s="425"/>
      <c r="M161" s="13"/>
      <c r="N161" s="13"/>
      <c r="O161" s="13"/>
      <c r="R161" s="13"/>
      <c r="S161" s="13"/>
      <c r="T161" s="13"/>
      <c r="U161" s="13"/>
      <c r="V161" s="13"/>
      <c r="W161" s="13"/>
      <c r="X161" s="13"/>
      <c r="Y161" s="617"/>
      <c r="Z161" s="598"/>
      <c r="AA161" s="620"/>
      <c r="AB161" s="598"/>
      <c r="AC161" s="606"/>
      <c r="AD161" s="366"/>
      <c r="AE161" s="366"/>
      <c r="AF161" s="391"/>
    </row>
    <row r="162" spans="1:32" s="398" customFormat="1" x14ac:dyDescent="0.25">
      <c r="A162" s="425">
        <v>19</v>
      </c>
      <c r="B162" s="425">
        <v>20</v>
      </c>
      <c r="C162" s="435">
        <v>1</v>
      </c>
      <c r="D162" s="534"/>
      <c r="E162" s="465"/>
      <c r="F162" s="624">
        <f t="shared" si="18"/>
        <v>-0.25</v>
      </c>
      <c r="G162" s="510">
        <f t="shared" si="19"/>
        <v>0.56000000000000005</v>
      </c>
      <c r="H162" s="400"/>
      <c r="I162" s="441"/>
      <c r="J162" s="440"/>
      <c r="K162" s="425"/>
      <c r="L162" s="425"/>
      <c r="M162" s="13"/>
      <c r="N162" s="13"/>
      <c r="O162" s="13"/>
      <c r="R162" s="13"/>
      <c r="S162" s="13"/>
      <c r="T162" s="13"/>
      <c r="U162" s="13"/>
      <c r="V162" s="13"/>
      <c r="W162" s="13"/>
      <c r="X162" s="13"/>
      <c r="Y162" s="617"/>
      <c r="Z162" s="598"/>
      <c r="AA162" s="620"/>
      <c r="AB162" s="598"/>
      <c r="AC162" s="606"/>
      <c r="AD162" s="378"/>
      <c r="AE162" s="378"/>
      <c r="AF162" s="389"/>
    </row>
    <row r="163" spans="1:32" s="398" customFormat="1" x14ac:dyDescent="0.25">
      <c r="A163" s="427">
        <v>20</v>
      </c>
      <c r="B163" s="425">
        <v>21</v>
      </c>
      <c r="C163" s="435">
        <v>1</v>
      </c>
      <c r="D163" s="534"/>
      <c r="E163" s="465"/>
      <c r="F163" s="624">
        <f t="shared" si="18"/>
        <v>-0.25</v>
      </c>
      <c r="G163" s="510">
        <f t="shared" si="19"/>
        <v>0.56000000000000005</v>
      </c>
      <c r="H163" s="400"/>
      <c r="I163" s="441"/>
      <c r="J163" s="440"/>
      <c r="K163" s="425"/>
      <c r="L163" s="425"/>
      <c r="M163" s="13"/>
      <c r="N163" s="13"/>
      <c r="O163" s="13"/>
      <c r="R163" s="13"/>
      <c r="S163" s="13"/>
      <c r="T163" s="13"/>
      <c r="U163" s="13"/>
      <c r="V163" s="13"/>
      <c r="W163" s="13"/>
      <c r="X163" s="13"/>
      <c r="Y163" s="617"/>
      <c r="Z163" s="598"/>
      <c r="AA163" s="620"/>
      <c r="AB163" s="598"/>
      <c r="AC163" s="606"/>
      <c r="AD163" s="378"/>
      <c r="AE163" s="378"/>
      <c r="AF163" s="363"/>
    </row>
    <row r="164" spans="1:32" s="398" customFormat="1" x14ac:dyDescent="0.25">
      <c r="A164" s="425">
        <v>21</v>
      </c>
      <c r="B164" s="425">
        <v>22</v>
      </c>
      <c r="C164" s="435">
        <v>1</v>
      </c>
      <c r="D164" s="534"/>
      <c r="E164" s="465"/>
      <c r="F164" s="624">
        <f t="shared" si="18"/>
        <v>-0.25</v>
      </c>
      <c r="G164" s="510">
        <f t="shared" si="19"/>
        <v>0.56000000000000005</v>
      </c>
      <c r="H164" s="400"/>
      <c r="I164" s="441"/>
      <c r="J164" s="440"/>
      <c r="K164" s="425"/>
      <c r="L164" s="425"/>
      <c r="M164" s="13"/>
      <c r="N164" s="13"/>
      <c r="O164" s="13"/>
      <c r="R164" s="13"/>
      <c r="S164" s="13"/>
      <c r="T164" s="13"/>
      <c r="U164" s="13"/>
      <c r="V164" s="13"/>
      <c r="W164" s="13"/>
      <c r="X164" s="13"/>
      <c r="Y164" s="617"/>
      <c r="Z164" s="598"/>
      <c r="AA164" s="620"/>
      <c r="AB164" s="598"/>
      <c r="AC164" s="606"/>
      <c r="AD164" s="366"/>
      <c r="AE164" s="366"/>
      <c r="AF164" s="363"/>
    </row>
    <row r="165" spans="1:32" s="398" customFormat="1" x14ac:dyDescent="0.25">
      <c r="A165" s="427">
        <v>22</v>
      </c>
      <c r="B165" s="425">
        <v>23</v>
      </c>
      <c r="C165" s="435">
        <v>1</v>
      </c>
      <c r="D165" s="534"/>
      <c r="E165" s="465"/>
      <c r="F165" s="624">
        <f t="shared" si="18"/>
        <v>-0.25</v>
      </c>
      <c r="G165" s="510">
        <f t="shared" si="19"/>
        <v>0.56000000000000005</v>
      </c>
      <c r="H165" s="400"/>
      <c r="I165" s="441"/>
      <c r="J165" s="440"/>
      <c r="K165" s="425"/>
      <c r="L165" s="425"/>
      <c r="M165" s="13"/>
      <c r="N165" s="13"/>
      <c r="O165" s="13"/>
      <c r="R165" s="13"/>
      <c r="S165" s="13"/>
      <c r="T165" s="13"/>
      <c r="U165" s="13"/>
      <c r="V165" s="13"/>
      <c r="W165" s="13"/>
      <c r="X165" s="13"/>
      <c r="Y165" s="617"/>
      <c r="Z165" s="598"/>
      <c r="AA165" s="620"/>
      <c r="AB165" s="598"/>
      <c r="AC165" s="606"/>
      <c r="AD165" s="366"/>
      <c r="AE165" s="366"/>
      <c r="AF165" s="363"/>
    </row>
    <row r="166" spans="1:32" s="398" customFormat="1" x14ac:dyDescent="0.25">
      <c r="A166" s="427">
        <v>23</v>
      </c>
      <c r="B166" s="425">
        <v>24</v>
      </c>
      <c r="C166" s="435">
        <v>1</v>
      </c>
      <c r="D166" s="534"/>
      <c r="E166" s="496"/>
      <c r="F166" s="624">
        <f t="shared" si="18"/>
        <v>-0.25</v>
      </c>
      <c r="G166" s="510">
        <f t="shared" si="19"/>
        <v>0.56000000000000005</v>
      </c>
      <c r="H166" s="400"/>
      <c r="I166" s="441"/>
      <c r="J166" s="440"/>
      <c r="K166" s="425"/>
      <c r="L166" s="425"/>
      <c r="M166" s="13"/>
      <c r="N166" s="13"/>
      <c r="O166" s="13"/>
      <c r="R166" s="13"/>
      <c r="S166" s="13"/>
      <c r="T166" s="13"/>
      <c r="U166" s="13"/>
      <c r="V166" s="13"/>
      <c r="W166" s="13"/>
      <c r="X166" s="13"/>
      <c r="Y166" s="617"/>
      <c r="Z166" s="598"/>
      <c r="AA166" s="620"/>
      <c r="AB166" s="598"/>
      <c r="AC166" s="606"/>
      <c r="AD166" s="379"/>
      <c r="AE166" s="379"/>
      <c r="AF166" s="370"/>
    </row>
    <row r="167" spans="1:32" s="398" customFormat="1" x14ac:dyDescent="0.25">
      <c r="A167" s="366">
        <v>24</v>
      </c>
      <c r="B167" s="425">
        <v>1</v>
      </c>
      <c r="C167" s="435">
        <v>1</v>
      </c>
      <c r="D167" s="534"/>
      <c r="E167" s="462"/>
      <c r="F167" s="598"/>
      <c r="G167" s="510">
        <f>D167+0.56</f>
        <v>0.56000000000000005</v>
      </c>
      <c r="H167" s="693"/>
      <c r="I167" s="441"/>
      <c r="J167" s="440"/>
      <c r="K167" s="425"/>
      <c r="L167" s="425"/>
      <c r="M167" s="13"/>
      <c r="N167" s="13"/>
      <c r="O167" s="13"/>
      <c r="R167" s="13"/>
      <c r="S167" s="13"/>
      <c r="T167" s="13"/>
      <c r="U167" s="13"/>
      <c r="V167" s="13"/>
      <c r="W167" s="13"/>
      <c r="X167" s="13"/>
      <c r="Y167" s="598"/>
      <c r="Z167" s="598"/>
      <c r="AA167" s="598"/>
      <c r="AB167" s="598"/>
      <c r="AC167" s="606"/>
      <c r="AD167" s="380"/>
      <c r="AE167" s="380"/>
      <c r="AF167" s="370"/>
    </row>
    <row r="168" spans="1:32" s="398" customFormat="1" x14ac:dyDescent="0.25">
      <c r="A168" s="366"/>
      <c r="B168" s="366"/>
      <c r="C168" s="366"/>
      <c r="D168" s="530"/>
      <c r="E168" s="464"/>
      <c r="F168" s="598"/>
      <c r="G168" s="366"/>
      <c r="H168" s="694"/>
      <c r="I168" s="366"/>
      <c r="J168" s="366"/>
      <c r="K168" s="366"/>
      <c r="L168" s="366"/>
      <c r="M168" s="598"/>
      <c r="N168" s="598"/>
      <c r="O168" s="598"/>
      <c r="R168" s="598"/>
      <c r="S168" s="598"/>
      <c r="T168" s="598"/>
      <c r="U168" s="598"/>
      <c r="V168" s="598"/>
      <c r="W168" s="598"/>
      <c r="X168" s="598"/>
      <c r="Y168" s="598"/>
      <c r="Z168" s="598"/>
      <c r="AA168" s="598"/>
      <c r="AB168" s="598"/>
      <c r="AC168" s="606"/>
      <c r="AD168" s="380"/>
      <c r="AE168" s="380"/>
      <c r="AF168" s="370"/>
    </row>
    <row r="169" spans="1:32" s="398" customFormat="1" x14ac:dyDescent="0.25">
      <c r="A169" s="366"/>
      <c r="B169" s="366"/>
      <c r="C169" s="366"/>
      <c r="D169" s="366"/>
      <c r="E169" s="366"/>
      <c r="F169" s="598"/>
      <c r="G169" s="366"/>
      <c r="H169" s="415"/>
      <c r="I169" s="366"/>
      <c r="J169" s="366"/>
      <c r="K169" s="366"/>
      <c r="L169" s="366"/>
      <c r="M169" s="598"/>
      <c r="N169" s="598"/>
      <c r="O169" s="598"/>
      <c r="R169" s="598"/>
      <c r="S169" s="598"/>
      <c r="T169" s="598"/>
      <c r="U169" s="598"/>
      <c r="V169" s="598"/>
      <c r="W169" s="598"/>
      <c r="X169" s="598"/>
      <c r="Y169" s="598"/>
      <c r="Z169" s="598"/>
      <c r="AA169" s="598"/>
      <c r="AB169" s="598"/>
      <c r="AC169" s="606"/>
      <c r="AD169" s="380"/>
      <c r="AE169" s="380"/>
      <c r="AF169" s="375"/>
    </row>
    <row r="170" spans="1:32" s="398" customFormat="1" x14ac:dyDescent="0.25">
      <c r="A170" s="366"/>
      <c r="B170" s="366"/>
      <c r="C170" s="366"/>
      <c r="D170" s="366"/>
      <c r="E170" s="366"/>
      <c r="F170" s="598"/>
      <c r="G170" s="366"/>
      <c r="H170" s="415"/>
      <c r="I170" s="366"/>
      <c r="J170" s="366"/>
      <c r="K170" s="366"/>
      <c r="L170" s="366"/>
      <c r="M170" s="598"/>
      <c r="N170" s="598"/>
      <c r="O170" s="598"/>
      <c r="R170" s="598"/>
      <c r="S170" s="598"/>
      <c r="T170" s="598"/>
      <c r="U170" s="598"/>
      <c r="V170" s="598"/>
      <c r="W170" s="598"/>
      <c r="X170" s="598"/>
      <c r="Y170" s="598"/>
      <c r="Z170" s="598"/>
      <c r="AA170" s="598"/>
      <c r="AB170" s="598"/>
      <c r="AC170" s="606"/>
      <c r="AD170" s="380"/>
      <c r="AE170" s="380"/>
      <c r="AF170" s="377"/>
    </row>
    <row r="171" spans="1:32" s="398" customFormat="1" x14ac:dyDescent="0.25">
      <c r="A171" s="366"/>
      <c r="B171" s="366"/>
      <c r="C171" s="366"/>
      <c r="D171" s="366"/>
      <c r="E171" s="366"/>
      <c r="F171" s="598"/>
      <c r="G171" s="366"/>
      <c r="H171" s="415"/>
      <c r="I171" s="366"/>
      <c r="J171" s="366"/>
      <c r="K171" s="366"/>
      <c r="L171" s="366"/>
      <c r="M171" s="598"/>
      <c r="N171" s="598"/>
      <c r="O171" s="598"/>
      <c r="R171" s="598"/>
      <c r="S171" s="598"/>
      <c r="T171" s="598"/>
      <c r="U171" s="598"/>
      <c r="V171" s="598"/>
      <c r="W171" s="598"/>
      <c r="X171" s="598"/>
      <c r="Y171" s="598"/>
      <c r="Z171" s="598"/>
      <c r="AA171" s="598"/>
      <c r="AB171" s="598"/>
      <c r="AC171" s="606"/>
      <c r="AD171" s="380"/>
      <c r="AE171" s="380"/>
      <c r="AF171" s="366"/>
    </row>
    <row r="172" spans="1:32" s="398" customFormat="1" x14ac:dyDescent="0.25">
      <c r="A172" s="366"/>
      <c r="B172" s="366"/>
      <c r="C172" s="366"/>
      <c r="D172" s="366"/>
      <c r="E172" s="366"/>
      <c r="F172" s="598"/>
      <c r="G172" s="366"/>
      <c r="H172" s="415"/>
      <c r="I172" s="366"/>
      <c r="J172" s="366"/>
      <c r="K172" s="366"/>
      <c r="L172" s="366"/>
      <c r="M172" s="598"/>
      <c r="N172" s="598"/>
      <c r="O172" s="598"/>
      <c r="R172" s="598"/>
      <c r="S172" s="598"/>
      <c r="T172" s="598"/>
      <c r="U172" s="598"/>
      <c r="V172" s="598"/>
      <c r="W172" s="598"/>
      <c r="X172" s="598"/>
      <c r="Y172" s="598"/>
      <c r="Z172" s="598"/>
      <c r="AA172" s="598"/>
      <c r="AB172" s="598"/>
      <c r="AC172" s="606"/>
      <c r="AD172" s="380"/>
      <c r="AE172" s="380"/>
      <c r="AF172" s="378"/>
    </row>
    <row r="173" spans="1:32" s="398" customFormat="1" x14ac:dyDescent="0.25">
      <c r="A173" s="366"/>
      <c r="B173" s="366"/>
      <c r="C173" s="366"/>
      <c r="D173" s="366"/>
      <c r="E173" s="366"/>
      <c r="F173" s="598"/>
      <c r="G173" s="366"/>
      <c r="H173" s="415"/>
      <c r="I173" s="366"/>
      <c r="L173" s="366"/>
      <c r="M173" s="598"/>
      <c r="N173" s="598"/>
      <c r="O173" s="598"/>
      <c r="R173" s="598"/>
      <c r="S173" s="598"/>
      <c r="T173" s="598"/>
      <c r="U173" s="598"/>
      <c r="V173" s="598"/>
      <c r="W173" s="598"/>
      <c r="X173" s="598"/>
      <c r="Y173" s="598"/>
      <c r="Z173" s="598"/>
      <c r="AA173" s="598"/>
      <c r="AB173" s="598"/>
      <c r="AC173" s="606"/>
      <c r="AD173" s="380"/>
      <c r="AE173" s="380"/>
      <c r="AF173" s="378"/>
    </row>
    <row r="174" spans="1:32" s="398" customFormat="1" x14ac:dyDescent="0.25">
      <c r="A174" s="366"/>
      <c r="B174" s="366"/>
      <c r="C174" s="366"/>
      <c r="D174" s="366"/>
      <c r="E174" s="366"/>
      <c r="F174" s="598"/>
      <c r="G174" s="366"/>
      <c r="H174" s="415"/>
      <c r="I174" s="366"/>
      <c r="L174" s="366"/>
      <c r="M174" s="598"/>
      <c r="N174" s="598"/>
      <c r="O174" s="598"/>
      <c r="R174" s="598"/>
      <c r="S174" s="598"/>
      <c r="T174" s="598"/>
      <c r="U174" s="598"/>
      <c r="V174" s="598"/>
      <c r="W174" s="598"/>
      <c r="X174" s="598"/>
      <c r="Y174" s="598"/>
      <c r="Z174" s="598"/>
      <c r="AA174" s="598"/>
      <c r="AB174" s="598"/>
      <c r="AC174" s="606"/>
      <c r="AD174" s="383"/>
      <c r="AE174" s="383"/>
      <c r="AF174" s="366"/>
    </row>
    <row r="175" spans="1:32" s="398" customFormat="1" x14ac:dyDescent="0.25">
      <c r="A175" s="366"/>
      <c r="B175" s="366"/>
      <c r="C175" s="366"/>
      <c r="D175" s="366"/>
      <c r="E175" s="366"/>
      <c r="F175" s="598"/>
      <c r="G175" s="366"/>
      <c r="H175" s="415"/>
      <c r="I175" s="366"/>
      <c r="L175" s="366"/>
      <c r="M175" s="598"/>
      <c r="N175" s="598"/>
      <c r="O175" s="598"/>
      <c r="R175" s="598"/>
      <c r="S175" s="598"/>
      <c r="T175" s="598"/>
      <c r="U175" s="598"/>
      <c r="V175" s="598"/>
      <c r="W175" s="598"/>
      <c r="X175" s="598"/>
      <c r="Y175" s="598"/>
      <c r="Z175" s="598"/>
      <c r="AA175" s="598"/>
      <c r="AB175" s="598"/>
      <c r="AC175" s="606"/>
      <c r="AD175" s="384"/>
      <c r="AE175" s="384"/>
      <c r="AF175" s="379"/>
    </row>
    <row r="176" spans="1:32" s="398" customFormat="1" x14ac:dyDescent="0.25">
      <c r="A176" s="366"/>
      <c r="B176" s="366"/>
      <c r="C176" s="366"/>
      <c r="D176" s="366"/>
      <c r="E176" s="366"/>
      <c r="F176" s="598"/>
      <c r="G176" s="366"/>
      <c r="H176" s="415"/>
      <c r="I176" s="366"/>
      <c r="L176" s="366"/>
      <c r="M176" s="598"/>
      <c r="N176" s="598"/>
      <c r="O176" s="598"/>
      <c r="R176" s="598"/>
      <c r="S176" s="598"/>
      <c r="T176" s="598"/>
      <c r="U176" s="598"/>
      <c r="V176" s="598"/>
      <c r="W176" s="598"/>
      <c r="X176" s="598"/>
      <c r="Y176" s="598"/>
      <c r="Z176" s="598"/>
      <c r="AA176" s="598"/>
      <c r="AB176" s="598"/>
      <c r="AC176" s="606"/>
      <c r="AD176" s="384"/>
      <c r="AE176" s="384"/>
      <c r="AF176" s="380"/>
    </row>
    <row r="177" spans="1:32" s="398" customFormat="1" x14ac:dyDescent="0.25">
      <c r="A177" s="366"/>
      <c r="B177" s="366"/>
      <c r="C177" s="366"/>
      <c r="D177" s="366"/>
      <c r="E177" s="366"/>
      <c r="F177" s="598"/>
      <c r="G177" s="366"/>
      <c r="H177" s="415"/>
      <c r="I177" s="366"/>
      <c r="L177" s="366"/>
      <c r="M177" s="598"/>
      <c r="N177" s="598"/>
      <c r="O177" s="598"/>
      <c r="R177" s="598"/>
      <c r="S177" s="598"/>
      <c r="T177" s="598"/>
      <c r="U177" s="598"/>
      <c r="V177" s="598"/>
      <c r="W177" s="598"/>
      <c r="X177" s="598"/>
      <c r="Y177" s="598"/>
      <c r="Z177" s="598"/>
      <c r="AA177" s="598"/>
      <c r="AB177" s="598"/>
      <c r="AC177" s="606"/>
      <c r="AD177" s="384"/>
      <c r="AE177" s="384"/>
      <c r="AF177" s="380"/>
    </row>
    <row r="178" spans="1:32" s="398" customFormat="1" x14ac:dyDescent="0.25">
      <c r="A178" s="366"/>
      <c r="B178" s="366"/>
      <c r="C178" s="366"/>
      <c r="D178" s="366"/>
      <c r="E178" s="366"/>
      <c r="F178" s="598"/>
      <c r="G178" s="366"/>
      <c r="H178" s="415"/>
      <c r="I178" s="366"/>
      <c r="L178" s="366"/>
      <c r="M178" s="598"/>
      <c r="N178" s="598"/>
      <c r="O178" s="598"/>
      <c r="R178" s="598"/>
      <c r="S178" s="598"/>
      <c r="T178" s="598"/>
      <c r="U178" s="598"/>
      <c r="V178" s="598"/>
      <c r="W178" s="598"/>
      <c r="X178" s="598"/>
      <c r="Y178" s="598"/>
      <c r="Z178" s="598"/>
      <c r="AA178" s="598"/>
      <c r="AB178" s="598"/>
      <c r="AC178" s="606"/>
      <c r="AD178" s="384"/>
      <c r="AE178" s="384"/>
      <c r="AF178" s="380"/>
    </row>
    <row r="179" spans="1:32" s="398" customFormat="1" x14ac:dyDescent="0.25">
      <c r="A179" s="366"/>
      <c r="B179" s="366"/>
      <c r="C179" s="366"/>
      <c r="D179" s="366"/>
      <c r="E179" s="366"/>
      <c r="F179" s="598"/>
      <c r="G179" s="366"/>
      <c r="H179" s="415"/>
      <c r="I179" s="366"/>
      <c r="L179" s="366"/>
      <c r="M179" s="598"/>
      <c r="N179" s="598"/>
      <c r="O179" s="598"/>
      <c r="R179" s="598"/>
      <c r="S179" s="598"/>
      <c r="T179" s="598"/>
      <c r="U179" s="598"/>
      <c r="V179" s="598"/>
      <c r="W179" s="598"/>
      <c r="X179" s="598"/>
      <c r="Y179" s="598"/>
      <c r="Z179" s="598"/>
      <c r="AA179" s="598"/>
      <c r="AB179" s="598"/>
      <c r="AC179" s="606"/>
      <c r="AD179" s="384"/>
      <c r="AE179" s="387"/>
      <c r="AF179" s="380"/>
    </row>
    <row r="180" spans="1:32" s="398" customFormat="1" x14ac:dyDescent="0.25">
      <c r="A180" s="366"/>
      <c r="B180" s="366"/>
      <c r="C180" s="366"/>
      <c r="D180" s="366"/>
      <c r="E180" s="366"/>
      <c r="F180" s="598"/>
      <c r="G180" s="366"/>
      <c r="H180" s="415"/>
      <c r="I180" s="366"/>
      <c r="L180" s="366"/>
      <c r="M180" s="598"/>
      <c r="N180" s="598"/>
      <c r="O180" s="598"/>
      <c r="R180" s="598"/>
      <c r="S180" s="598"/>
      <c r="T180" s="598"/>
      <c r="U180" s="598"/>
      <c r="V180" s="598"/>
      <c r="W180" s="598"/>
      <c r="X180" s="598"/>
      <c r="Y180" s="598"/>
      <c r="Z180" s="598"/>
      <c r="AA180" s="598"/>
      <c r="AB180" s="598"/>
      <c r="AC180" s="606"/>
      <c r="AD180" s="384"/>
      <c r="AE180" s="387"/>
      <c r="AF180" s="380"/>
    </row>
    <row r="181" spans="1:32" s="398" customFormat="1" x14ac:dyDescent="0.25">
      <c r="A181" s="366"/>
      <c r="B181" s="366"/>
      <c r="C181" s="366"/>
      <c r="D181" s="366"/>
      <c r="E181" s="366"/>
      <c r="F181" s="598"/>
      <c r="G181" s="366"/>
      <c r="H181" s="415"/>
      <c r="I181" s="366"/>
      <c r="L181" s="366"/>
      <c r="M181" s="598"/>
      <c r="N181" s="598"/>
      <c r="O181" s="598"/>
      <c r="R181" s="598"/>
      <c r="S181" s="598"/>
      <c r="T181" s="598"/>
      <c r="U181" s="598"/>
      <c r="V181" s="598"/>
      <c r="W181" s="598"/>
      <c r="X181" s="598"/>
      <c r="Y181" s="598"/>
      <c r="Z181" s="598"/>
      <c r="AA181" s="598"/>
      <c r="AB181" s="598"/>
      <c r="AC181" s="606"/>
      <c r="AD181" s="384"/>
      <c r="AE181" s="387"/>
      <c r="AF181" s="380"/>
    </row>
    <row r="182" spans="1:32" s="398" customFormat="1" x14ac:dyDescent="0.25">
      <c r="A182" s="366"/>
      <c r="B182" s="366"/>
      <c r="C182" s="366"/>
      <c r="D182" s="366"/>
      <c r="E182" s="366"/>
      <c r="F182" s="598"/>
      <c r="G182" s="366"/>
      <c r="H182" s="415"/>
      <c r="I182" s="366"/>
      <c r="L182" s="366"/>
      <c r="M182" s="598"/>
      <c r="N182" s="598"/>
      <c r="O182" s="598"/>
      <c r="R182" s="598"/>
      <c r="S182" s="598"/>
      <c r="T182" s="598"/>
      <c r="U182" s="598"/>
      <c r="V182" s="598"/>
      <c r="W182" s="598"/>
      <c r="X182" s="598"/>
      <c r="Y182" s="598"/>
      <c r="Z182" s="598"/>
      <c r="AA182" s="598"/>
      <c r="AB182" s="598"/>
      <c r="AC182" s="606"/>
      <c r="AD182" s="384"/>
      <c r="AE182" s="387"/>
      <c r="AF182" s="380"/>
    </row>
    <row r="183" spans="1:32" s="398" customFormat="1" x14ac:dyDescent="0.25">
      <c r="A183" s="366"/>
      <c r="B183" s="366"/>
      <c r="C183" s="366"/>
      <c r="D183" s="366"/>
      <c r="E183" s="366"/>
      <c r="F183" s="598"/>
      <c r="G183" s="366"/>
      <c r="H183" s="415"/>
      <c r="I183" s="366"/>
      <c r="L183" s="366"/>
      <c r="M183" s="598"/>
      <c r="N183" s="598"/>
      <c r="O183" s="598"/>
      <c r="P183" s="598"/>
      <c r="Q183" s="598"/>
      <c r="R183" s="598"/>
      <c r="S183" s="598"/>
      <c r="T183" s="598"/>
      <c r="U183" s="598"/>
      <c r="V183" s="598"/>
      <c r="W183" s="598"/>
      <c r="X183" s="598"/>
      <c r="Y183" s="598"/>
      <c r="Z183" s="598"/>
      <c r="AA183" s="598"/>
      <c r="AB183" s="598"/>
      <c r="AC183" s="606"/>
      <c r="AD183" s="384"/>
      <c r="AE183" s="387"/>
      <c r="AF183" s="382"/>
    </row>
    <row r="184" spans="1:32" s="398" customFormat="1" x14ac:dyDescent="0.25">
      <c r="A184" s="366"/>
      <c r="B184" s="366"/>
      <c r="C184" s="366"/>
      <c r="D184" s="366"/>
      <c r="E184" s="366"/>
      <c r="F184" s="598"/>
      <c r="G184" s="366"/>
      <c r="H184" s="415"/>
      <c r="I184" s="366"/>
      <c r="L184" s="366"/>
      <c r="M184" s="598"/>
      <c r="N184" s="598"/>
      <c r="O184" s="598"/>
      <c r="P184" s="598"/>
      <c r="Q184" s="598"/>
      <c r="R184" s="598"/>
      <c r="S184" s="598"/>
      <c r="T184" s="598"/>
      <c r="U184" s="598"/>
      <c r="V184" s="598"/>
      <c r="W184" s="598"/>
      <c r="X184" s="598"/>
      <c r="Y184" s="598"/>
      <c r="Z184" s="598"/>
      <c r="AA184" s="598"/>
      <c r="AB184" s="598"/>
      <c r="AC184" s="606"/>
      <c r="AD184" s="387"/>
      <c r="AE184" s="387"/>
      <c r="AF184" s="384"/>
    </row>
    <row r="185" spans="1:32" s="398" customFormat="1" x14ac:dyDescent="0.25">
      <c r="A185" s="366"/>
      <c r="B185" s="366"/>
      <c r="C185" s="366"/>
      <c r="D185" s="366"/>
      <c r="E185" s="366"/>
      <c r="F185" s="598"/>
      <c r="G185" s="366"/>
      <c r="H185" s="415"/>
      <c r="I185" s="366"/>
      <c r="L185" s="366"/>
      <c r="M185" s="598"/>
      <c r="N185" s="598"/>
      <c r="O185" s="598"/>
      <c r="P185" s="598"/>
      <c r="Q185" s="598"/>
      <c r="R185" s="598"/>
      <c r="S185" s="598"/>
      <c r="T185" s="598"/>
      <c r="U185" s="598"/>
      <c r="V185" s="598"/>
      <c r="W185" s="598"/>
      <c r="X185" s="598"/>
      <c r="Y185" s="598"/>
      <c r="Z185" s="598"/>
      <c r="AA185" s="598"/>
      <c r="AB185" s="598"/>
      <c r="AC185" s="606"/>
      <c r="AD185" s="387"/>
      <c r="AE185" s="387"/>
      <c r="AF185" s="384"/>
    </row>
    <row r="186" spans="1:32" s="398" customFormat="1" x14ac:dyDescent="0.25">
      <c r="A186" s="366"/>
      <c r="B186" s="366"/>
      <c r="C186" s="366"/>
      <c r="D186" s="366"/>
      <c r="E186" s="366"/>
      <c r="F186" s="598"/>
      <c r="G186" s="366"/>
      <c r="H186" s="415"/>
      <c r="I186" s="366"/>
      <c r="L186" s="366"/>
      <c r="M186" s="598"/>
      <c r="N186" s="598"/>
      <c r="O186" s="598"/>
      <c r="P186" s="598"/>
      <c r="Q186" s="598"/>
      <c r="R186" s="598"/>
      <c r="S186" s="598"/>
      <c r="T186" s="598"/>
      <c r="U186" s="598"/>
      <c r="V186" s="598"/>
      <c r="W186" s="598"/>
      <c r="X186" s="598"/>
      <c r="Y186" s="598"/>
      <c r="Z186" s="598"/>
      <c r="AA186" s="598"/>
      <c r="AB186" s="598"/>
      <c r="AC186" s="606"/>
      <c r="AD186" s="387"/>
      <c r="AE186" s="387"/>
      <c r="AF186" s="384"/>
    </row>
    <row r="187" spans="1:32" s="398" customFormat="1" x14ac:dyDescent="0.25">
      <c r="A187" s="366"/>
      <c r="B187" s="366"/>
      <c r="C187" s="366"/>
      <c r="D187" s="366"/>
      <c r="E187" s="366"/>
      <c r="F187" s="598"/>
      <c r="G187" s="366"/>
      <c r="H187" s="415"/>
      <c r="I187" s="366"/>
      <c r="L187" s="366"/>
      <c r="M187" s="598"/>
      <c r="N187" s="598"/>
      <c r="O187" s="598"/>
      <c r="P187" s="598"/>
      <c r="Q187" s="598"/>
      <c r="R187" s="598"/>
      <c r="S187" s="598"/>
      <c r="T187" s="598"/>
      <c r="U187" s="598"/>
      <c r="V187" s="598"/>
      <c r="W187" s="598"/>
      <c r="X187" s="598"/>
      <c r="Y187" s="598"/>
      <c r="Z187" s="598"/>
      <c r="AA187" s="598"/>
      <c r="AB187" s="598"/>
      <c r="AC187" s="606"/>
      <c r="AD187" s="387"/>
      <c r="AE187" s="387"/>
      <c r="AF187" s="384"/>
    </row>
    <row r="188" spans="1:32" s="398" customFormat="1" x14ac:dyDescent="0.25">
      <c r="A188" s="366"/>
      <c r="B188" s="366"/>
      <c r="C188" s="366"/>
      <c r="D188" s="366"/>
      <c r="E188" s="366"/>
      <c r="F188" s="598"/>
      <c r="G188" s="366"/>
      <c r="H188" s="415"/>
      <c r="I188" s="366"/>
      <c r="L188" s="366"/>
      <c r="M188" s="598"/>
      <c r="N188" s="598"/>
      <c r="O188" s="598"/>
      <c r="P188" s="598"/>
      <c r="Q188" s="598"/>
      <c r="R188" s="598"/>
      <c r="S188" s="598"/>
      <c r="T188" s="598"/>
      <c r="U188" s="598"/>
      <c r="V188" s="598"/>
      <c r="W188" s="598"/>
      <c r="X188" s="598"/>
      <c r="Y188" s="598"/>
      <c r="Z188" s="598"/>
      <c r="AA188" s="598"/>
      <c r="AB188" s="598"/>
      <c r="AC188" s="606"/>
      <c r="AD188" s="387"/>
      <c r="AE188" s="387"/>
      <c r="AF188" s="385"/>
    </row>
    <row r="189" spans="1:32" s="398" customFormat="1" x14ac:dyDescent="0.25">
      <c r="A189" s="366"/>
      <c r="B189" s="366"/>
      <c r="C189" s="366"/>
      <c r="D189" s="366"/>
      <c r="E189" s="366"/>
      <c r="F189" s="598"/>
      <c r="G189" s="366"/>
      <c r="H189" s="415"/>
      <c r="I189" s="366"/>
      <c r="L189" s="366"/>
      <c r="M189" s="598"/>
      <c r="N189" s="598"/>
      <c r="O189" s="598"/>
      <c r="P189" s="598"/>
      <c r="Q189" s="598"/>
      <c r="R189" s="598"/>
      <c r="S189" s="598"/>
      <c r="T189" s="598"/>
      <c r="U189" s="598"/>
      <c r="V189" s="598"/>
      <c r="W189" s="598"/>
      <c r="X189" s="598"/>
      <c r="Y189" s="598"/>
      <c r="Z189" s="598"/>
      <c r="AA189" s="598"/>
      <c r="AB189" s="598"/>
      <c r="AC189" s="606"/>
      <c r="AD189" s="385"/>
      <c r="AE189" s="386"/>
      <c r="AF189" s="380"/>
    </row>
    <row r="190" spans="1:32" s="398" customFormat="1" x14ac:dyDescent="0.25">
      <c r="A190" s="366"/>
      <c r="B190" s="366"/>
      <c r="C190" s="366"/>
      <c r="D190" s="366"/>
      <c r="E190" s="366"/>
      <c r="F190" s="598"/>
      <c r="G190" s="366"/>
      <c r="H190" s="415"/>
      <c r="I190" s="366"/>
      <c r="L190" s="366"/>
      <c r="M190" s="598"/>
      <c r="N190" s="598"/>
      <c r="O190" s="598"/>
      <c r="P190" s="598"/>
      <c r="Q190" s="598"/>
      <c r="R190" s="598"/>
      <c r="S190" s="598"/>
      <c r="T190" s="598"/>
      <c r="U190" s="598"/>
      <c r="V190" s="598"/>
      <c r="W190" s="598"/>
      <c r="X190" s="598"/>
      <c r="Y190" s="598"/>
      <c r="Z190" s="598"/>
      <c r="AA190" s="598"/>
      <c r="AB190" s="598"/>
      <c r="AC190" s="606"/>
      <c r="AD190" s="385"/>
      <c r="AE190" s="385"/>
      <c r="AF190" s="382"/>
    </row>
    <row r="191" spans="1:32" s="398" customFormat="1" x14ac:dyDescent="0.25">
      <c r="A191" s="366"/>
      <c r="B191" s="366"/>
      <c r="C191" s="366"/>
      <c r="D191" s="366"/>
      <c r="E191" s="366"/>
      <c r="F191" s="598"/>
      <c r="G191" s="366"/>
      <c r="H191" s="415"/>
      <c r="I191" s="366"/>
      <c r="L191" s="366"/>
      <c r="M191" s="598"/>
      <c r="N191" s="598"/>
      <c r="O191" s="598"/>
      <c r="P191" s="598"/>
      <c r="Q191" s="598"/>
      <c r="R191" s="598"/>
      <c r="S191" s="598"/>
      <c r="T191" s="598"/>
      <c r="U191" s="598"/>
      <c r="V191" s="598"/>
      <c r="W191" s="598"/>
      <c r="X191" s="598"/>
      <c r="Y191" s="598"/>
      <c r="Z191" s="598"/>
      <c r="AA191" s="598"/>
      <c r="AB191" s="598"/>
      <c r="AC191" s="606"/>
      <c r="AD191" s="385"/>
      <c r="AE191" s="388"/>
      <c r="AF191" s="384"/>
    </row>
    <row r="192" spans="1:32" s="398" customFormat="1" x14ac:dyDescent="0.25">
      <c r="A192" s="366"/>
      <c r="B192" s="366"/>
      <c r="C192" s="366"/>
      <c r="D192" s="366"/>
      <c r="E192" s="366"/>
      <c r="F192" s="598"/>
      <c r="G192" s="366"/>
      <c r="H192" s="415"/>
      <c r="I192" s="366"/>
      <c r="L192" s="366"/>
      <c r="M192" s="598"/>
      <c r="N192" s="598"/>
      <c r="O192" s="598"/>
      <c r="P192" s="598"/>
      <c r="Q192" s="598"/>
      <c r="R192" s="598"/>
      <c r="S192" s="598"/>
      <c r="T192" s="598"/>
      <c r="U192" s="598"/>
      <c r="V192" s="598"/>
      <c r="W192" s="598"/>
      <c r="X192" s="598"/>
      <c r="Y192" s="598"/>
      <c r="Z192" s="598"/>
      <c r="AA192" s="598"/>
      <c r="AB192" s="598"/>
      <c r="AC192" s="606"/>
      <c r="AD192" s="385"/>
      <c r="AE192" s="386"/>
      <c r="AF192" s="384"/>
    </row>
    <row r="193" spans="1:32" s="398" customFormat="1" x14ac:dyDescent="0.25">
      <c r="A193" s="366"/>
      <c r="B193" s="366"/>
      <c r="C193" s="366"/>
      <c r="D193" s="366"/>
      <c r="E193" s="366"/>
      <c r="F193" s="598"/>
      <c r="G193" s="366"/>
      <c r="H193" s="415"/>
      <c r="I193" s="366"/>
      <c r="L193" s="366"/>
      <c r="M193" s="598"/>
      <c r="N193" s="598"/>
      <c r="O193" s="598"/>
      <c r="P193" s="598"/>
      <c r="Q193" s="598"/>
      <c r="R193" s="598"/>
      <c r="S193" s="598"/>
      <c r="T193" s="598"/>
      <c r="U193" s="598"/>
      <c r="V193" s="598"/>
      <c r="W193" s="598"/>
      <c r="X193" s="598"/>
      <c r="Y193" s="598"/>
      <c r="Z193" s="598"/>
      <c r="AA193" s="598"/>
      <c r="AB193" s="598"/>
      <c r="AC193" s="606"/>
      <c r="AD193" s="385"/>
      <c r="AE193" s="386"/>
      <c r="AF193" s="384"/>
    </row>
    <row r="194" spans="1:32" s="398" customFormat="1" x14ac:dyDescent="0.25">
      <c r="A194" s="366"/>
      <c r="B194" s="366"/>
      <c r="C194" s="366"/>
      <c r="D194" s="366"/>
      <c r="E194" s="366"/>
      <c r="F194" s="598"/>
      <c r="G194" s="366"/>
      <c r="H194" s="415"/>
      <c r="I194" s="366"/>
      <c r="L194" s="366"/>
      <c r="M194" s="598"/>
      <c r="N194" s="598"/>
      <c r="O194" s="598"/>
      <c r="P194" s="598"/>
      <c r="Q194" s="598"/>
      <c r="R194" s="598"/>
      <c r="S194" s="598"/>
      <c r="T194" s="598"/>
      <c r="U194" s="598"/>
      <c r="V194" s="598"/>
      <c r="W194" s="598"/>
      <c r="X194" s="598"/>
      <c r="Y194" s="598"/>
      <c r="Z194" s="598"/>
      <c r="AA194" s="598"/>
      <c r="AB194" s="598"/>
      <c r="AC194" s="606"/>
      <c r="AD194" s="385"/>
      <c r="AE194" s="386"/>
      <c r="AF194" s="384"/>
    </row>
    <row r="195" spans="1:32" s="398" customFormat="1" ht="12.75" customHeight="1" x14ac:dyDescent="0.25">
      <c r="A195" s="366"/>
      <c r="B195" s="366"/>
      <c r="C195" s="366"/>
      <c r="D195" s="366"/>
      <c r="E195" s="366"/>
      <c r="F195" s="598"/>
      <c r="G195" s="366"/>
      <c r="H195" s="415"/>
      <c r="I195" s="366"/>
      <c r="L195" s="366"/>
      <c r="M195" s="598"/>
      <c r="N195" s="598"/>
      <c r="O195" s="598"/>
      <c r="P195" s="598"/>
      <c r="Q195" s="598"/>
      <c r="R195" s="598"/>
      <c r="S195" s="598"/>
      <c r="T195" s="598"/>
      <c r="U195" s="598"/>
      <c r="V195" s="598"/>
      <c r="W195" s="598"/>
      <c r="X195" s="598"/>
      <c r="Y195" s="598"/>
      <c r="Z195" s="598"/>
      <c r="AA195" s="598"/>
      <c r="AB195" s="598"/>
      <c r="AC195" s="606"/>
      <c r="AD195" s="385"/>
      <c r="AE195" s="385"/>
      <c r="AF195" s="384"/>
    </row>
    <row r="196" spans="1:32" s="398" customFormat="1" x14ac:dyDescent="0.25">
      <c r="A196" s="366"/>
      <c r="B196" s="366"/>
      <c r="C196" s="366"/>
      <c r="D196" s="366"/>
      <c r="E196" s="366"/>
      <c r="F196" s="598"/>
      <c r="G196" s="366"/>
      <c r="H196" s="415"/>
      <c r="I196" s="366"/>
      <c r="L196" s="366"/>
      <c r="M196" s="598"/>
      <c r="N196" s="598"/>
      <c r="O196" s="598"/>
      <c r="P196" s="598"/>
      <c r="Q196" s="598"/>
      <c r="R196" s="598"/>
      <c r="S196" s="598"/>
      <c r="T196" s="598"/>
      <c r="U196" s="598"/>
      <c r="V196" s="598"/>
      <c r="W196" s="598"/>
      <c r="X196" s="598"/>
      <c r="Y196" s="598"/>
      <c r="Z196" s="598"/>
      <c r="AA196" s="598"/>
      <c r="AB196" s="598"/>
      <c r="AC196" s="606"/>
      <c r="AD196" s="385"/>
      <c r="AE196" s="388"/>
      <c r="AF196" s="384"/>
    </row>
    <row r="197" spans="1:32" s="398" customFormat="1" x14ac:dyDescent="0.25">
      <c r="A197" s="366"/>
      <c r="B197" s="366"/>
      <c r="C197" s="366"/>
      <c r="D197" s="366"/>
      <c r="E197" s="366"/>
      <c r="F197" s="598"/>
      <c r="G197" s="366"/>
      <c r="H197" s="415"/>
      <c r="I197" s="366"/>
      <c r="J197" s="366"/>
      <c r="K197" s="366"/>
      <c r="L197" s="366"/>
      <c r="M197" s="598"/>
      <c r="N197" s="598"/>
      <c r="O197" s="598"/>
      <c r="P197" s="598"/>
      <c r="Q197" s="598"/>
      <c r="R197" s="598"/>
      <c r="S197" s="598"/>
      <c r="T197" s="598"/>
      <c r="U197" s="598"/>
      <c r="V197" s="598"/>
      <c r="W197" s="598"/>
      <c r="X197" s="598"/>
      <c r="Y197" s="598"/>
      <c r="Z197" s="598"/>
      <c r="AA197" s="598"/>
      <c r="AB197" s="598"/>
      <c r="AC197" s="606"/>
      <c r="AD197" s="385"/>
      <c r="AE197" s="386"/>
      <c r="AF197" s="384"/>
    </row>
    <row r="198" spans="1:32" s="398" customFormat="1" x14ac:dyDescent="0.25">
      <c r="A198" s="366"/>
      <c r="B198" s="366"/>
      <c r="C198" s="366"/>
      <c r="D198" s="366"/>
      <c r="E198" s="366"/>
      <c r="F198" s="598"/>
      <c r="G198" s="366"/>
      <c r="H198" s="415"/>
      <c r="I198" s="366"/>
      <c r="J198" s="366"/>
      <c r="K198" s="366"/>
      <c r="L198" s="366"/>
      <c r="M198" s="598"/>
      <c r="N198" s="598"/>
      <c r="O198" s="598"/>
      <c r="P198" s="598"/>
      <c r="Q198" s="598"/>
      <c r="R198" s="598"/>
      <c r="S198" s="598"/>
      <c r="T198" s="598"/>
      <c r="U198" s="598"/>
      <c r="V198" s="598"/>
      <c r="W198" s="598"/>
      <c r="X198" s="598"/>
      <c r="Y198" s="598"/>
      <c r="Z198" s="598"/>
      <c r="AA198" s="598"/>
      <c r="AB198" s="598"/>
      <c r="AC198" s="606"/>
      <c r="AD198" s="387"/>
      <c r="AE198" s="385"/>
      <c r="AF198" s="384"/>
    </row>
    <row r="199" spans="1:32" s="398" customFormat="1" x14ac:dyDescent="0.25">
      <c r="A199" s="366"/>
      <c r="B199" s="366"/>
      <c r="C199" s="366"/>
      <c r="D199" s="366"/>
      <c r="E199" s="366"/>
      <c r="F199" s="598"/>
      <c r="G199" s="366"/>
      <c r="H199" s="415"/>
      <c r="I199" s="366"/>
      <c r="J199" s="366"/>
      <c r="K199" s="366"/>
      <c r="L199" s="366"/>
      <c r="M199" s="598"/>
      <c r="N199" s="598"/>
      <c r="O199" s="598"/>
      <c r="P199" s="598"/>
      <c r="Q199" s="598"/>
      <c r="R199" s="598"/>
      <c r="S199" s="598"/>
      <c r="T199" s="598"/>
      <c r="U199" s="598"/>
      <c r="V199" s="598"/>
      <c r="W199" s="598"/>
      <c r="X199" s="598"/>
      <c r="Y199" s="598"/>
      <c r="Z199" s="598"/>
      <c r="AA199" s="598"/>
      <c r="AB199" s="598"/>
      <c r="AC199" s="606"/>
      <c r="AD199" s="387"/>
      <c r="AE199" s="385"/>
      <c r="AF199" s="384"/>
    </row>
    <row r="200" spans="1:32" s="398" customFormat="1" x14ac:dyDescent="0.25">
      <c r="A200" s="366"/>
      <c r="B200" s="366"/>
      <c r="C200" s="366"/>
      <c r="D200" s="366"/>
      <c r="E200" s="366"/>
      <c r="F200" s="598"/>
      <c r="G200" s="366"/>
      <c r="H200" s="415"/>
      <c r="I200" s="366"/>
      <c r="J200" s="366"/>
      <c r="K200" s="366"/>
      <c r="L200" s="366"/>
      <c r="M200" s="598"/>
      <c r="N200" s="598"/>
      <c r="O200" s="598"/>
      <c r="P200" s="598"/>
      <c r="Q200" s="598"/>
      <c r="R200" s="598"/>
      <c r="S200" s="598"/>
      <c r="T200" s="598"/>
      <c r="U200" s="598"/>
      <c r="V200" s="598"/>
      <c r="W200" s="598"/>
      <c r="X200" s="598"/>
      <c r="Y200" s="598"/>
      <c r="Z200" s="598"/>
      <c r="AA200" s="598"/>
      <c r="AB200" s="598"/>
      <c r="AC200" s="606"/>
      <c r="AD200" s="387"/>
      <c r="AE200" s="385"/>
      <c r="AF200" s="387"/>
    </row>
    <row r="201" spans="1:32" s="398" customFormat="1" x14ac:dyDescent="0.25">
      <c r="A201" s="366"/>
      <c r="B201" s="366"/>
      <c r="C201" s="366"/>
      <c r="D201" s="366"/>
      <c r="E201" s="366"/>
      <c r="F201" s="598"/>
      <c r="G201" s="366"/>
      <c r="H201" s="415"/>
      <c r="I201" s="366"/>
      <c r="J201" s="366"/>
      <c r="K201" s="366"/>
      <c r="L201" s="366"/>
      <c r="M201" s="598"/>
      <c r="N201" s="598"/>
      <c r="O201" s="598"/>
      <c r="P201" s="598"/>
      <c r="Q201" s="598"/>
      <c r="R201" s="598"/>
      <c r="S201" s="598"/>
      <c r="T201" s="598"/>
      <c r="U201" s="598"/>
      <c r="V201" s="598"/>
      <c r="W201" s="598"/>
      <c r="X201" s="598"/>
      <c r="Y201" s="598"/>
      <c r="Z201" s="598"/>
      <c r="AA201" s="598"/>
      <c r="AB201" s="598"/>
      <c r="AC201" s="606"/>
      <c r="AD201" s="366"/>
      <c r="AE201" s="370"/>
      <c r="AF201" s="387"/>
    </row>
    <row r="202" spans="1:32" s="398" customFormat="1" x14ac:dyDescent="0.25">
      <c r="A202" s="366"/>
      <c r="B202" s="366"/>
      <c r="C202" s="366"/>
      <c r="D202" s="366"/>
      <c r="E202" s="366"/>
      <c r="F202" s="598"/>
      <c r="G202" s="366"/>
      <c r="H202" s="415"/>
      <c r="I202" s="366"/>
      <c r="J202" s="366"/>
      <c r="K202" s="366"/>
      <c r="L202" s="366"/>
      <c r="M202" s="598"/>
      <c r="N202" s="598"/>
      <c r="O202" s="598"/>
      <c r="P202" s="598"/>
      <c r="Q202" s="598"/>
      <c r="R202" s="598"/>
      <c r="S202" s="598"/>
      <c r="T202" s="598"/>
      <c r="U202" s="598"/>
      <c r="V202" s="598"/>
      <c r="W202" s="598"/>
      <c r="X202" s="598"/>
      <c r="Y202" s="598"/>
      <c r="Z202" s="598"/>
      <c r="AA202" s="598"/>
      <c r="AB202" s="598"/>
      <c r="AC202" s="606"/>
      <c r="AD202" s="366"/>
      <c r="AE202" s="370"/>
      <c r="AF202" s="387"/>
    </row>
    <row r="203" spans="1:32" s="398" customFormat="1" x14ac:dyDescent="0.25">
      <c r="A203" s="366"/>
      <c r="B203" s="366"/>
      <c r="C203" s="366"/>
      <c r="D203" s="366"/>
      <c r="E203" s="366"/>
      <c r="F203" s="598"/>
      <c r="G203" s="366"/>
      <c r="H203" s="415"/>
      <c r="I203" s="366"/>
      <c r="J203" s="366"/>
      <c r="K203" s="366"/>
      <c r="L203" s="366"/>
      <c r="M203" s="598"/>
      <c r="N203" s="598"/>
      <c r="O203" s="598"/>
      <c r="P203" s="598"/>
      <c r="Q203" s="598"/>
      <c r="R203" s="598"/>
      <c r="S203" s="598"/>
      <c r="T203" s="598"/>
      <c r="U203" s="598"/>
      <c r="V203" s="598"/>
      <c r="W203" s="598"/>
      <c r="X203" s="598"/>
      <c r="Y203" s="598"/>
      <c r="Z203" s="598"/>
      <c r="AA203" s="598"/>
      <c r="AB203" s="598"/>
      <c r="AC203" s="606"/>
      <c r="AD203" s="366"/>
      <c r="AE203" s="370"/>
      <c r="AF203" s="387"/>
    </row>
    <row r="204" spans="1:32" s="398" customFormat="1" x14ac:dyDescent="0.25">
      <c r="A204" s="366"/>
      <c r="B204" s="366"/>
      <c r="C204" s="366"/>
      <c r="D204" s="366"/>
      <c r="E204" s="366"/>
      <c r="F204" s="598"/>
      <c r="G204" s="366"/>
      <c r="H204" s="415"/>
      <c r="I204" s="366"/>
      <c r="J204" s="366"/>
      <c r="K204" s="366"/>
      <c r="L204" s="366"/>
      <c r="M204" s="598"/>
      <c r="N204" s="598"/>
      <c r="O204" s="598"/>
      <c r="P204" s="598"/>
      <c r="Q204" s="598"/>
      <c r="R204" s="598"/>
      <c r="S204" s="598"/>
      <c r="T204" s="598"/>
      <c r="U204" s="598"/>
      <c r="V204" s="598"/>
      <c r="W204" s="598"/>
      <c r="X204" s="598"/>
      <c r="Y204" s="598"/>
      <c r="Z204" s="598"/>
      <c r="AA204" s="598"/>
      <c r="AB204" s="598"/>
      <c r="AC204" s="606"/>
      <c r="AD204" s="366"/>
      <c r="AE204" s="370"/>
      <c r="AF204" s="387"/>
    </row>
    <row r="205" spans="1:32" s="398" customFormat="1" x14ac:dyDescent="0.25">
      <c r="A205" s="366"/>
      <c r="B205" s="366"/>
      <c r="C205" s="366"/>
      <c r="D205" s="366"/>
      <c r="E205" s="366"/>
      <c r="F205" s="598"/>
      <c r="G205" s="366"/>
      <c r="H205" s="415"/>
      <c r="I205" s="366"/>
      <c r="J205" s="366"/>
      <c r="K205" s="366"/>
      <c r="L205" s="366"/>
      <c r="M205" s="598"/>
      <c r="N205" s="598"/>
      <c r="O205" s="598"/>
      <c r="P205" s="598"/>
      <c r="Q205" s="598"/>
      <c r="R205" s="598"/>
      <c r="S205" s="598"/>
      <c r="T205" s="598"/>
      <c r="U205" s="598"/>
      <c r="V205" s="598"/>
      <c r="W205" s="598"/>
      <c r="X205" s="598"/>
      <c r="Y205" s="598"/>
      <c r="Z205" s="598"/>
      <c r="AA205" s="598"/>
      <c r="AB205" s="598"/>
      <c r="AC205" s="606"/>
      <c r="AD205" s="366"/>
      <c r="AE205" s="370"/>
      <c r="AF205" s="387"/>
    </row>
    <row r="206" spans="1:32" s="398" customFormat="1" ht="12" customHeight="1" x14ac:dyDescent="0.25">
      <c r="A206" s="366"/>
      <c r="B206" s="366"/>
      <c r="C206" s="366"/>
      <c r="D206" s="366"/>
      <c r="E206" s="366"/>
      <c r="F206" s="598"/>
      <c r="G206" s="366"/>
      <c r="H206" s="415"/>
      <c r="I206" s="366"/>
      <c r="J206" s="366"/>
      <c r="K206" s="366"/>
      <c r="L206" s="366"/>
      <c r="M206" s="598"/>
      <c r="N206" s="598"/>
      <c r="O206" s="598"/>
      <c r="P206" s="598"/>
      <c r="Q206" s="598"/>
      <c r="R206" s="598"/>
      <c r="S206" s="598"/>
      <c r="T206" s="598"/>
      <c r="U206" s="598"/>
      <c r="V206" s="598"/>
      <c r="W206" s="598"/>
      <c r="X206" s="598"/>
      <c r="Y206" s="598"/>
      <c r="Z206" s="598"/>
      <c r="AA206" s="598"/>
      <c r="AB206" s="598"/>
      <c r="AC206" s="606"/>
      <c r="AD206" s="366"/>
      <c r="AE206" s="370"/>
      <c r="AF206" s="387"/>
    </row>
    <row r="207" spans="1:32" s="398" customFormat="1" ht="12" customHeight="1" x14ac:dyDescent="0.25">
      <c r="A207" s="366"/>
      <c r="B207" s="366"/>
      <c r="C207" s="366"/>
      <c r="D207" s="366"/>
      <c r="E207" s="366"/>
      <c r="F207" s="598"/>
      <c r="G207" s="366"/>
      <c r="H207" s="415"/>
      <c r="I207" s="366"/>
      <c r="J207" s="366"/>
      <c r="K207" s="366"/>
      <c r="L207" s="366"/>
      <c r="M207" s="598"/>
      <c r="N207" s="598"/>
      <c r="O207" s="598"/>
      <c r="P207" s="598"/>
      <c r="Q207" s="598"/>
      <c r="R207" s="598"/>
      <c r="S207" s="598"/>
      <c r="T207" s="598"/>
      <c r="U207" s="598"/>
      <c r="V207" s="598"/>
      <c r="W207" s="598"/>
      <c r="X207" s="598"/>
      <c r="Y207" s="598"/>
      <c r="Z207" s="598"/>
      <c r="AA207" s="598"/>
      <c r="AB207" s="598"/>
      <c r="AC207" s="606"/>
      <c r="AD207" s="366"/>
      <c r="AE207" s="370"/>
      <c r="AF207" s="387"/>
    </row>
    <row r="208" spans="1:32" s="398" customFormat="1" ht="12" customHeight="1" x14ac:dyDescent="0.25">
      <c r="A208" s="366"/>
      <c r="B208" s="366"/>
      <c r="C208" s="366"/>
      <c r="D208" s="366"/>
      <c r="E208" s="366"/>
      <c r="F208" s="598"/>
      <c r="G208" s="366"/>
      <c r="H208" s="415"/>
      <c r="I208" s="366"/>
      <c r="J208" s="366"/>
      <c r="K208" s="366"/>
      <c r="L208" s="366"/>
      <c r="M208" s="598"/>
      <c r="N208" s="598"/>
      <c r="O208" s="598"/>
      <c r="P208" s="598"/>
      <c r="Q208" s="598"/>
      <c r="R208" s="598"/>
      <c r="S208" s="598"/>
      <c r="T208" s="598"/>
      <c r="U208" s="598"/>
      <c r="V208" s="598"/>
      <c r="W208" s="598"/>
      <c r="X208" s="598"/>
      <c r="Y208" s="598"/>
      <c r="Z208" s="598"/>
      <c r="AA208" s="598"/>
      <c r="AB208" s="598"/>
      <c r="AC208" s="606"/>
      <c r="AD208" s="366"/>
      <c r="AE208" s="370"/>
      <c r="AF208" s="366"/>
    </row>
    <row r="209" spans="1:32" s="398" customFormat="1" ht="12" customHeight="1" x14ac:dyDescent="0.25">
      <c r="A209" s="366"/>
      <c r="B209" s="366"/>
      <c r="C209" s="366"/>
      <c r="D209" s="366"/>
      <c r="E209" s="366"/>
      <c r="F209" s="598"/>
      <c r="G209" s="366"/>
      <c r="H209" s="415"/>
      <c r="I209" s="366"/>
      <c r="J209" s="366"/>
      <c r="K209" s="366"/>
      <c r="L209" s="366"/>
      <c r="M209" s="598"/>
      <c r="N209" s="598"/>
      <c r="O209" s="598"/>
      <c r="P209" s="598"/>
      <c r="Q209" s="598"/>
      <c r="R209" s="598"/>
      <c r="S209" s="598"/>
      <c r="T209" s="598"/>
      <c r="U209" s="598"/>
      <c r="V209" s="598"/>
      <c r="W209" s="598"/>
      <c r="X209" s="598"/>
      <c r="Y209" s="598"/>
      <c r="Z209" s="598"/>
      <c r="AA209" s="598"/>
      <c r="AB209" s="598"/>
      <c r="AC209" s="606"/>
      <c r="AD209" s="366"/>
      <c r="AE209" s="370"/>
      <c r="AF209" s="366"/>
    </row>
    <row r="210" spans="1:32" s="398" customFormat="1" ht="12" customHeight="1" x14ac:dyDescent="0.25">
      <c r="A210" s="366"/>
      <c r="B210" s="366"/>
      <c r="C210" s="366"/>
      <c r="D210" s="366"/>
      <c r="E210" s="366"/>
      <c r="F210" s="598"/>
      <c r="G210" s="366"/>
      <c r="H210" s="415"/>
      <c r="I210" s="366"/>
      <c r="J210" s="366"/>
      <c r="K210" s="366"/>
      <c r="L210" s="366"/>
      <c r="M210" s="598"/>
      <c r="N210" s="598"/>
      <c r="O210" s="598"/>
      <c r="P210" s="598"/>
      <c r="Q210" s="598"/>
      <c r="R210" s="598"/>
      <c r="S210" s="598"/>
      <c r="T210" s="598"/>
      <c r="U210" s="598"/>
      <c r="V210" s="598"/>
      <c r="W210" s="598"/>
      <c r="X210" s="598"/>
      <c r="Y210" s="598"/>
      <c r="Z210" s="598"/>
      <c r="AA210" s="598"/>
      <c r="AB210" s="598"/>
      <c r="AC210" s="606"/>
      <c r="AD210" s="366"/>
      <c r="AE210" s="370"/>
      <c r="AF210" s="366"/>
    </row>
    <row r="211" spans="1:32" s="398" customFormat="1" ht="12" customHeight="1" x14ac:dyDescent="0.25">
      <c r="A211" s="366"/>
      <c r="B211" s="366"/>
      <c r="C211" s="366"/>
      <c r="D211" s="366"/>
      <c r="E211" s="366"/>
      <c r="F211" s="598"/>
      <c r="G211" s="366"/>
      <c r="H211" s="415"/>
      <c r="I211" s="366"/>
      <c r="J211" s="366"/>
      <c r="K211" s="366"/>
      <c r="L211" s="366"/>
      <c r="M211" s="598"/>
      <c r="N211" s="598"/>
      <c r="O211" s="598"/>
      <c r="P211" s="598"/>
      <c r="Q211" s="598"/>
      <c r="R211" s="598"/>
      <c r="S211" s="598"/>
      <c r="T211" s="598"/>
      <c r="U211" s="598"/>
      <c r="V211" s="598"/>
      <c r="W211" s="598"/>
      <c r="X211" s="598"/>
      <c r="Y211" s="598"/>
      <c r="Z211" s="598"/>
      <c r="AA211" s="598"/>
      <c r="AB211" s="598"/>
      <c r="AC211" s="606"/>
      <c r="AD211" s="366"/>
      <c r="AE211" s="370"/>
      <c r="AF211" s="366"/>
    </row>
    <row r="212" spans="1:32" s="398" customFormat="1" ht="12" customHeight="1" x14ac:dyDescent="0.25">
      <c r="A212" s="366"/>
      <c r="B212" s="366"/>
      <c r="C212" s="366"/>
      <c r="D212" s="366"/>
      <c r="E212" s="366"/>
      <c r="F212" s="598"/>
      <c r="G212" s="366"/>
      <c r="H212" s="415"/>
      <c r="I212" s="366"/>
      <c r="J212" s="366"/>
      <c r="K212" s="366"/>
      <c r="L212" s="366"/>
      <c r="M212" s="598"/>
      <c r="N212" s="598"/>
      <c r="O212" s="598"/>
      <c r="P212" s="598"/>
      <c r="Q212" s="598"/>
      <c r="R212" s="598"/>
      <c r="S212" s="598"/>
      <c r="T212" s="598"/>
      <c r="U212" s="598"/>
      <c r="V212" s="598"/>
      <c r="W212" s="598"/>
      <c r="X212" s="598"/>
      <c r="Y212" s="598"/>
      <c r="Z212" s="598"/>
      <c r="AA212" s="598"/>
      <c r="AB212" s="598"/>
      <c r="AC212" s="606"/>
      <c r="AD212" s="366"/>
      <c r="AE212" s="370"/>
      <c r="AF212" s="366"/>
    </row>
    <row r="213" spans="1:32" s="398" customFormat="1" ht="12" customHeight="1" x14ac:dyDescent="0.25">
      <c r="A213" s="366"/>
      <c r="B213" s="366"/>
      <c r="C213" s="366"/>
      <c r="D213" s="366"/>
      <c r="E213" s="366"/>
      <c r="F213" s="598"/>
      <c r="G213" s="366"/>
      <c r="H213" s="415"/>
      <c r="I213" s="366"/>
      <c r="J213" s="366"/>
      <c r="K213" s="366"/>
      <c r="L213" s="366"/>
      <c r="M213" s="598"/>
      <c r="N213" s="598"/>
      <c r="O213" s="598"/>
      <c r="P213" s="598"/>
      <c r="Q213" s="598"/>
      <c r="R213" s="598"/>
      <c r="S213" s="598"/>
      <c r="T213" s="598"/>
      <c r="U213" s="598"/>
      <c r="V213" s="598"/>
      <c r="W213" s="598"/>
      <c r="X213" s="598"/>
      <c r="Y213" s="598"/>
      <c r="Z213" s="598"/>
      <c r="AA213" s="598"/>
      <c r="AB213" s="598"/>
      <c r="AC213" s="606"/>
      <c r="AD213" s="366"/>
      <c r="AE213" s="370"/>
      <c r="AF213" s="366"/>
    </row>
    <row r="214" spans="1:32" s="398" customFormat="1" ht="12" customHeight="1" x14ac:dyDescent="0.25">
      <c r="A214" s="366"/>
      <c r="B214" s="366"/>
      <c r="C214" s="366"/>
      <c r="D214" s="366"/>
      <c r="E214" s="366"/>
      <c r="F214" s="598"/>
      <c r="G214" s="366"/>
      <c r="H214" s="415"/>
      <c r="I214" s="366"/>
      <c r="J214" s="366"/>
      <c r="K214" s="366"/>
      <c r="L214" s="366"/>
      <c r="M214" s="598"/>
      <c r="N214" s="598"/>
      <c r="O214" s="598"/>
      <c r="P214" s="598"/>
      <c r="Q214" s="598"/>
      <c r="R214" s="598"/>
      <c r="S214" s="598"/>
      <c r="T214" s="598"/>
      <c r="U214" s="598"/>
      <c r="V214" s="598"/>
      <c r="W214" s="598"/>
      <c r="X214" s="598"/>
      <c r="Y214" s="598"/>
      <c r="Z214" s="598"/>
      <c r="AA214" s="598"/>
      <c r="AB214" s="598"/>
      <c r="AC214" s="606"/>
      <c r="AD214" s="366"/>
      <c r="AE214" s="370"/>
      <c r="AF214" s="366"/>
    </row>
    <row r="215" spans="1:32" s="398" customFormat="1" ht="12" customHeight="1" x14ac:dyDescent="0.25">
      <c r="A215" s="366"/>
      <c r="B215" s="366"/>
      <c r="C215" s="366"/>
      <c r="D215" s="366"/>
      <c r="E215" s="366"/>
      <c r="F215" s="598"/>
      <c r="G215" s="366"/>
      <c r="H215" s="415"/>
      <c r="I215" s="366"/>
      <c r="J215" s="366"/>
      <c r="K215" s="366"/>
      <c r="L215" s="366"/>
      <c r="M215" s="598"/>
      <c r="N215" s="598"/>
      <c r="O215" s="598"/>
      <c r="P215" s="598"/>
      <c r="Q215" s="598"/>
      <c r="R215" s="598"/>
      <c r="S215" s="598"/>
      <c r="T215" s="598"/>
      <c r="U215" s="598"/>
      <c r="V215" s="598"/>
      <c r="W215" s="598"/>
      <c r="X215" s="598"/>
      <c r="Y215" s="598"/>
      <c r="Z215" s="598"/>
      <c r="AA215" s="598"/>
      <c r="AB215" s="598"/>
      <c r="AC215" s="606"/>
      <c r="AD215" s="366"/>
      <c r="AE215" s="370"/>
      <c r="AF215" s="366"/>
    </row>
    <row r="216" spans="1:32" s="398" customFormat="1" ht="12" customHeight="1" x14ac:dyDescent="0.25">
      <c r="A216" s="366"/>
      <c r="B216" s="366"/>
      <c r="C216" s="366"/>
      <c r="D216" s="366"/>
      <c r="E216" s="366"/>
      <c r="F216" s="598"/>
      <c r="G216" s="366"/>
      <c r="H216" s="415"/>
      <c r="I216" s="366"/>
      <c r="J216" s="366"/>
      <c r="K216" s="366"/>
      <c r="L216" s="366"/>
      <c r="M216" s="598"/>
      <c r="N216" s="598"/>
      <c r="O216" s="598"/>
      <c r="P216" s="598"/>
      <c r="Q216" s="598"/>
      <c r="R216" s="598"/>
      <c r="S216" s="598"/>
      <c r="T216" s="598"/>
      <c r="U216" s="598"/>
      <c r="V216" s="598"/>
      <c r="W216" s="598"/>
      <c r="X216" s="598"/>
      <c r="Y216" s="598"/>
      <c r="Z216" s="598"/>
      <c r="AA216" s="598"/>
      <c r="AB216" s="598"/>
      <c r="AC216" s="606"/>
      <c r="AD216" s="366"/>
      <c r="AE216" s="370"/>
      <c r="AF216" s="366"/>
    </row>
    <row r="217" spans="1:32" s="398" customFormat="1" ht="12" customHeight="1" x14ac:dyDescent="0.25">
      <c r="A217" s="366"/>
      <c r="B217" s="366"/>
      <c r="C217" s="366"/>
      <c r="D217" s="366"/>
      <c r="E217" s="366"/>
      <c r="F217" s="598"/>
      <c r="G217" s="366"/>
      <c r="H217" s="415"/>
      <c r="I217" s="366"/>
      <c r="J217" s="366"/>
      <c r="K217" s="366"/>
      <c r="L217" s="366"/>
      <c r="M217" s="598"/>
      <c r="N217" s="598"/>
      <c r="O217" s="598"/>
      <c r="P217" s="598"/>
      <c r="Q217" s="598"/>
      <c r="R217" s="598"/>
      <c r="S217" s="598"/>
      <c r="T217" s="598"/>
      <c r="U217" s="598"/>
      <c r="V217" s="598"/>
      <c r="W217" s="598"/>
      <c r="X217" s="598"/>
      <c r="Y217" s="598"/>
      <c r="Z217" s="598"/>
      <c r="AA217" s="598"/>
      <c r="AB217" s="598"/>
      <c r="AC217" s="606"/>
      <c r="AD217" s="366"/>
      <c r="AE217" s="370"/>
      <c r="AF217" s="366"/>
    </row>
    <row r="218" spans="1:32" s="398" customFormat="1" ht="12" customHeight="1" x14ac:dyDescent="0.25">
      <c r="A218" s="366"/>
      <c r="B218" s="366"/>
      <c r="C218" s="366"/>
      <c r="D218" s="366"/>
      <c r="E218" s="366"/>
      <c r="F218" s="598"/>
      <c r="G218" s="366"/>
      <c r="H218" s="415"/>
      <c r="I218" s="366"/>
      <c r="J218" s="366"/>
      <c r="K218" s="366"/>
      <c r="L218" s="366"/>
      <c r="M218" s="598"/>
      <c r="N218" s="598"/>
      <c r="O218" s="598"/>
      <c r="P218" s="598"/>
      <c r="Q218" s="598"/>
      <c r="R218" s="598"/>
      <c r="S218" s="598"/>
      <c r="T218" s="598"/>
      <c r="U218" s="598"/>
      <c r="V218" s="598"/>
      <c r="W218" s="598"/>
      <c r="X218" s="598"/>
      <c r="Y218" s="598"/>
      <c r="Z218" s="598"/>
      <c r="AA218" s="598"/>
      <c r="AB218" s="598"/>
      <c r="AC218" s="606"/>
      <c r="AD218" s="366"/>
      <c r="AE218" s="370"/>
      <c r="AF218" s="366"/>
    </row>
    <row r="219" spans="1:32" s="398" customFormat="1" ht="12" customHeight="1" x14ac:dyDescent="0.25">
      <c r="A219" s="366"/>
      <c r="B219" s="366"/>
      <c r="C219" s="366"/>
      <c r="D219" s="366"/>
      <c r="E219" s="366"/>
      <c r="F219" s="598"/>
      <c r="G219" s="366"/>
      <c r="H219" s="415"/>
      <c r="I219" s="366"/>
      <c r="J219" s="366"/>
      <c r="K219" s="366"/>
      <c r="L219" s="366"/>
      <c r="M219" s="598"/>
      <c r="N219" s="598"/>
      <c r="O219" s="598"/>
      <c r="P219" s="598"/>
      <c r="Q219" s="598"/>
      <c r="R219" s="598"/>
      <c r="S219" s="598"/>
      <c r="T219" s="598"/>
      <c r="U219" s="598"/>
      <c r="V219" s="598"/>
      <c r="W219" s="598"/>
      <c r="X219" s="598"/>
      <c r="Y219" s="598"/>
      <c r="Z219" s="598"/>
      <c r="AA219" s="598"/>
      <c r="AB219" s="598"/>
      <c r="AC219" s="606"/>
      <c r="AD219" s="366"/>
      <c r="AE219" s="370"/>
      <c r="AF219" s="366"/>
    </row>
    <row r="220" spans="1:32" s="398" customFormat="1" ht="12" customHeight="1" x14ac:dyDescent="0.25">
      <c r="A220" s="366"/>
      <c r="B220" s="366"/>
      <c r="C220" s="366"/>
      <c r="D220" s="366"/>
      <c r="E220" s="366"/>
      <c r="F220" s="598"/>
      <c r="G220" s="366"/>
      <c r="H220" s="415"/>
      <c r="I220" s="366"/>
      <c r="J220" s="366"/>
      <c r="K220" s="366"/>
      <c r="L220" s="366"/>
      <c r="M220" s="598"/>
      <c r="N220" s="598"/>
      <c r="O220" s="598"/>
      <c r="P220" s="598"/>
      <c r="Q220" s="598"/>
      <c r="R220" s="598"/>
      <c r="S220" s="598"/>
      <c r="T220" s="598"/>
      <c r="U220" s="598"/>
      <c r="V220" s="598"/>
      <c r="W220" s="598"/>
      <c r="X220" s="598"/>
      <c r="Y220" s="598"/>
      <c r="Z220" s="598"/>
      <c r="AA220" s="598"/>
      <c r="AB220" s="598"/>
      <c r="AC220" s="606"/>
      <c r="AD220" s="366"/>
      <c r="AE220" s="370"/>
      <c r="AF220" s="366"/>
    </row>
    <row r="221" spans="1:32" s="398" customFormat="1" ht="12" customHeight="1" x14ac:dyDescent="0.25">
      <c r="A221" s="366"/>
      <c r="B221" s="366"/>
      <c r="C221" s="366"/>
      <c r="D221" s="366"/>
      <c r="E221" s="366"/>
      <c r="F221" s="598"/>
      <c r="G221" s="366"/>
      <c r="H221" s="415"/>
      <c r="I221" s="366"/>
      <c r="J221" s="366"/>
      <c r="K221" s="366"/>
      <c r="L221" s="366"/>
      <c r="M221" s="598"/>
      <c r="N221" s="598"/>
      <c r="O221" s="598"/>
      <c r="P221" s="598"/>
      <c r="Q221" s="598"/>
      <c r="R221" s="598"/>
      <c r="S221" s="598"/>
      <c r="T221" s="598"/>
      <c r="U221" s="598"/>
      <c r="V221" s="598"/>
      <c r="W221" s="598"/>
      <c r="X221" s="598"/>
      <c r="Y221" s="598"/>
      <c r="Z221" s="598"/>
      <c r="AA221" s="598"/>
      <c r="AB221" s="598"/>
      <c r="AC221" s="606"/>
      <c r="AD221" s="366"/>
      <c r="AE221" s="370"/>
      <c r="AF221" s="366"/>
    </row>
    <row r="222" spans="1:32" s="398" customFormat="1" ht="12" customHeight="1" x14ac:dyDescent="0.25">
      <c r="A222" s="366"/>
      <c r="B222" s="366"/>
      <c r="C222" s="366"/>
      <c r="D222" s="366"/>
      <c r="E222" s="366"/>
      <c r="F222" s="598"/>
      <c r="G222" s="366"/>
      <c r="H222" s="415"/>
      <c r="I222" s="366"/>
      <c r="J222" s="366"/>
      <c r="K222" s="366"/>
      <c r="L222" s="366"/>
      <c r="M222" s="598"/>
      <c r="N222" s="598"/>
      <c r="O222" s="598"/>
      <c r="P222" s="598"/>
      <c r="Q222" s="598"/>
      <c r="R222" s="598"/>
      <c r="S222" s="598"/>
      <c r="T222" s="598"/>
      <c r="U222" s="598"/>
      <c r="V222" s="598"/>
      <c r="W222" s="598"/>
      <c r="X222" s="598"/>
      <c r="Y222" s="598"/>
      <c r="Z222" s="598"/>
      <c r="AA222" s="598"/>
      <c r="AB222" s="598"/>
      <c r="AC222" s="606"/>
      <c r="AD222" s="366"/>
      <c r="AE222" s="370"/>
      <c r="AF222" s="366"/>
    </row>
    <row r="223" spans="1:32" s="398" customFormat="1" ht="12" customHeight="1" x14ac:dyDescent="0.25">
      <c r="A223" s="366"/>
      <c r="B223" s="366"/>
      <c r="C223" s="366"/>
      <c r="D223" s="366"/>
      <c r="E223" s="366"/>
      <c r="F223" s="598"/>
      <c r="G223" s="366"/>
      <c r="H223" s="415"/>
      <c r="I223" s="366"/>
      <c r="J223" s="366"/>
      <c r="K223" s="366"/>
      <c r="L223" s="366"/>
      <c r="M223" s="598"/>
      <c r="N223" s="598"/>
      <c r="O223" s="598"/>
      <c r="P223" s="598"/>
      <c r="Q223" s="598"/>
      <c r="R223" s="598"/>
      <c r="S223" s="598"/>
      <c r="T223" s="598"/>
      <c r="U223" s="598"/>
      <c r="V223" s="598"/>
      <c r="W223" s="598"/>
      <c r="X223" s="598"/>
      <c r="Y223" s="598"/>
      <c r="Z223" s="598"/>
      <c r="AA223" s="598"/>
      <c r="AB223" s="598"/>
      <c r="AC223" s="606"/>
      <c r="AD223" s="366"/>
      <c r="AE223" s="370"/>
      <c r="AF223" s="366"/>
    </row>
    <row r="224" spans="1:32" s="398" customFormat="1" ht="12" customHeight="1" x14ac:dyDescent="0.25">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66"/>
      <c r="AE224" s="370"/>
      <c r="AF224" s="366"/>
    </row>
    <row r="225" spans="1:33" s="349" customFormat="1" x14ac:dyDescent="0.25">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66"/>
      <c r="AE225" s="370"/>
      <c r="AF225" s="366"/>
      <c r="AG225" s="398"/>
    </row>
    <row r="226" spans="1:33" s="349" customFormat="1" x14ac:dyDescent="0.25">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66"/>
      <c r="AE226" s="370"/>
      <c r="AF226" s="366"/>
      <c r="AG226" s="398"/>
    </row>
    <row r="227" spans="1:33" s="349" customFormat="1" x14ac:dyDescent="0.25">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66"/>
      <c r="AE227" s="370"/>
      <c r="AF227" s="366"/>
      <c r="AG227" s="398"/>
    </row>
    <row r="228" spans="1:33" s="349" customFormat="1" x14ac:dyDescent="0.25">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66"/>
      <c r="AG228" s="398"/>
    </row>
    <row r="229" spans="1:33" s="349" customFormat="1" x14ac:dyDescent="0.25">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66"/>
      <c r="AG229" s="398"/>
    </row>
    <row r="230" spans="1:33" s="349" customFormat="1" x14ac:dyDescent="0.25">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66"/>
      <c r="AG230" s="398"/>
    </row>
    <row r="231" spans="1:33" s="349" customFormat="1" x14ac:dyDescent="0.25">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66"/>
      <c r="AG231" s="398"/>
    </row>
    <row r="232" spans="1:33" s="349" customFormat="1" x14ac:dyDescent="0.25">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66"/>
      <c r="AG232" s="398"/>
    </row>
    <row r="233" spans="1:33" s="349" customFormat="1" x14ac:dyDescent="0.25">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66"/>
      <c r="AG233" s="398"/>
    </row>
    <row r="234" spans="1:33" s="349" customFormat="1" x14ac:dyDescent="0.25">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66"/>
      <c r="AG234" s="398"/>
    </row>
    <row r="235" spans="1:33" s="349" customFormat="1" x14ac:dyDescent="0.25">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3" s="349" customFormat="1" x14ac:dyDescent="0.25">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3" s="349" customFormat="1" x14ac:dyDescent="0.25">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3" s="349" customFormat="1" x14ac:dyDescent="0.25">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3" s="349" customFormat="1" x14ac:dyDescent="0.25">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row>
    <row r="240" spans="1:33" s="349" customFormat="1" x14ac:dyDescent="0.25">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row>
    <row r="241" spans="1:34" s="349" customFormat="1" x14ac:dyDescent="0.25">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row>
    <row r="242" spans="1:34" s="349" customFormat="1" x14ac:dyDescent="0.25">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row>
    <row r="243" spans="1:34" s="349" customFormat="1" x14ac:dyDescent="0.25">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row>
    <row r="244" spans="1:34" s="349" customFormat="1" x14ac:dyDescent="0.25">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row>
    <row r="245" spans="1:34" s="349" customFormat="1" x14ac:dyDescent="0.25">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row>
    <row r="246" spans="1:34" s="349" customFormat="1" x14ac:dyDescent="0.25">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row>
    <row r="247" spans="1:34" s="349" customFormat="1" x14ac:dyDescent="0.25">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row>
    <row r="248" spans="1:34" s="349" customFormat="1" x14ac:dyDescent="0.25">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row>
    <row r="249" spans="1:34" s="349" customFormat="1" x14ac:dyDescent="0.25">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4" s="349" customFormat="1" x14ac:dyDescent="0.25">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4" s="349" customFormat="1" x14ac:dyDescent="0.25">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4" s="349" customFormat="1" x14ac:dyDescent="0.25">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c r="AH252" s="393"/>
    </row>
    <row r="253" spans="1:34" s="349" customFormat="1" x14ac:dyDescent="0.25">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c r="AG253" s="399"/>
      <c r="AH253" s="393"/>
    </row>
    <row r="254" spans="1:34" s="349" customFormat="1" x14ac:dyDescent="0.25">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c r="AG254" s="399"/>
      <c r="AH254" s="395"/>
    </row>
    <row r="255" spans="1:34" s="349" customFormat="1" x14ac:dyDescent="0.25">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c r="AG255" s="399"/>
      <c r="AH255" s="393"/>
    </row>
    <row r="256" spans="1:34" s="349" customFormat="1" ht="14.25" customHeight="1" x14ac:dyDescent="0.25">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c r="AG256" s="399"/>
      <c r="AH256" s="392"/>
    </row>
    <row r="257" spans="1:34" s="349" customFormat="1" x14ac:dyDescent="0.25">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c r="AH257" s="392"/>
    </row>
    <row r="258" spans="1:34" s="400" customFormat="1" ht="12" customHeight="1" x14ac:dyDescent="0.25">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c r="AG258" s="349"/>
      <c r="AH258" s="393"/>
    </row>
    <row r="259" spans="1:34" s="349" customFormat="1" x14ac:dyDescent="0.25">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c r="AH259" s="393"/>
    </row>
    <row r="260" spans="1:34" s="349" customFormat="1" ht="17.25" customHeight="1" x14ac:dyDescent="0.25">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c r="AH260" s="393"/>
    </row>
    <row r="261" spans="1:34" s="349" customFormat="1" x14ac:dyDescent="0.25">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c r="AH261" s="384"/>
    </row>
    <row r="262" spans="1:34" s="349" customFormat="1" x14ac:dyDescent="0.25">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c r="AG262" s="392"/>
      <c r="AH262" s="365"/>
    </row>
    <row r="263" spans="1:34" s="349" customFormat="1" x14ac:dyDescent="0.25">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c r="AG263" s="392"/>
      <c r="AH263" s="365"/>
    </row>
    <row r="264" spans="1:34" s="349" customFormat="1" ht="13.5" customHeight="1" x14ac:dyDescent="0.25">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c r="AG264" s="390"/>
      <c r="AH264" s="366"/>
    </row>
    <row r="265" spans="1:34" s="349" customFormat="1" x14ac:dyDescent="0.25">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c r="AG265" s="364"/>
      <c r="AH265" s="366"/>
    </row>
    <row r="266" spans="1:34" s="349" customFormat="1" x14ac:dyDescent="0.25">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c r="AG266" s="364"/>
      <c r="AH266" s="366"/>
    </row>
    <row r="267" spans="1:34" s="349" customFormat="1" x14ac:dyDescent="0.25">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c r="AG267" s="364"/>
      <c r="AH267" s="366"/>
    </row>
    <row r="268" spans="1:34" s="349" customFormat="1" x14ac:dyDescent="0.25">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c r="AG268" s="371"/>
      <c r="AH268" s="373"/>
    </row>
    <row r="269" spans="1:34" s="349" customFormat="1" ht="15.75" customHeight="1" x14ac:dyDescent="0.25">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c r="AG269" s="371"/>
      <c r="AH269" s="377"/>
    </row>
    <row r="270" spans="1:34" s="349" customFormat="1" ht="15.75" customHeight="1" x14ac:dyDescent="0.25">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c r="AG270" s="371"/>
      <c r="AH270" s="366"/>
    </row>
    <row r="271" spans="1:34" s="349" customFormat="1" ht="12.75" customHeight="1" x14ac:dyDescent="0.25">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c r="AG271" s="376"/>
      <c r="AH271" s="378"/>
    </row>
    <row r="272" spans="1:34" s="349" customFormat="1" x14ac:dyDescent="0.25">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c r="AG272" s="377"/>
      <c r="AH272" s="378"/>
    </row>
    <row r="273" spans="1:34" s="349" customFormat="1" x14ac:dyDescent="0.25">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c r="AG273" s="366"/>
      <c r="AH273" s="366"/>
    </row>
    <row r="274" spans="1:34" s="349" customFormat="1" x14ac:dyDescent="0.25">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c r="AG274" s="378"/>
      <c r="AH274" s="379"/>
    </row>
    <row r="275" spans="1:34" s="349" customFormat="1" x14ac:dyDescent="0.25">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c r="AG275" s="378"/>
      <c r="AH275" s="380"/>
    </row>
    <row r="276" spans="1:34" s="349" customFormat="1" x14ac:dyDescent="0.25">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c r="AG276" s="366"/>
      <c r="AH276" s="380"/>
    </row>
    <row r="277" spans="1:34" s="349" customFormat="1" ht="14.25" customHeight="1" x14ac:dyDescent="0.25">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c r="AG277" s="379"/>
      <c r="AH277" s="380"/>
    </row>
    <row r="278" spans="1:34" s="349" customFormat="1" x14ac:dyDescent="0.25">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c r="AG278" s="380"/>
      <c r="AH278" s="380"/>
    </row>
    <row r="279" spans="1:34" s="349" customFormat="1" x14ac:dyDescent="0.25">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G279" s="380"/>
      <c r="AH279" s="380"/>
    </row>
    <row r="280" spans="1:34" s="372" customFormat="1" x14ac:dyDescent="0.25">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80"/>
      <c r="AH280" s="380"/>
    </row>
    <row r="281" spans="1:34" s="372" customFormat="1" ht="12" customHeight="1" x14ac:dyDescent="0.25">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80"/>
    </row>
    <row r="282" spans="1:34" s="372" customFormat="1" x14ac:dyDescent="0.25">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80"/>
    </row>
    <row r="283" spans="1:34" s="373" customFormat="1" ht="11.25" customHeight="1" x14ac:dyDescent="0.25">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80"/>
    </row>
    <row r="284" spans="1:34" s="377" customFormat="1" x14ac:dyDescent="0.25">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G284" s="380"/>
    </row>
    <row r="285" spans="1:34" x14ac:dyDescent="0.25">
      <c r="AG285" s="382"/>
    </row>
    <row r="286" spans="1:34" s="378" customFormat="1" x14ac:dyDescent="0.25">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G286" s="384"/>
    </row>
    <row r="287" spans="1:34" s="378" customFormat="1" x14ac:dyDescent="0.25">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G287" s="384"/>
    </row>
    <row r="288" spans="1:34" x14ac:dyDescent="0.25">
      <c r="AG288" s="384"/>
    </row>
    <row r="289" spans="1:33" x14ac:dyDescent="0.25">
      <c r="AG289" s="384"/>
    </row>
    <row r="290" spans="1:33" s="381" customFormat="1" x14ac:dyDescent="0.25">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86"/>
    </row>
    <row r="291" spans="1:33" s="381" customFormat="1" x14ac:dyDescent="0.25">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72"/>
    </row>
    <row r="292" spans="1:33" s="381" customFormat="1" x14ac:dyDescent="0.25">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72"/>
    </row>
    <row r="293" spans="1:33" s="381" customFormat="1" x14ac:dyDescent="0.25">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73"/>
    </row>
    <row r="294" spans="1:33" s="381" customFormat="1" x14ac:dyDescent="0.25">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77"/>
    </row>
    <row r="295" spans="1:33" s="381" customFormat="1" x14ac:dyDescent="0.25">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66"/>
    </row>
    <row r="296" spans="1:33" s="381" customFormat="1" x14ac:dyDescent="0.25">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78"/>
    </row>
    <row r="297" spans="1:33" s="381" customFormat="1" x14ac:dyDescent="0.25">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78"/>
    </row>
    <row r="299" spans="1:33" s="379" customFormat="1" x14ac:dyDescent="0.25">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66"/>
    </row>
    <row r="300" spans="1:33" s="380" customFormat="1" x14ac:dyDescent="0.25">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81"/>
    </row>
    <row r="301" spans="1:33" s="380" customFormat="1" x14ac:dyDescent="0.25">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81"/>
    </row>
    <row r="302" spans="1:33" s="380" customFormat="1" x14ac:dyDescent="0.25">
      <c r="A302" s="366"/>
      <c r="B302" s="366"/>
      <c r="C302" s="366"/>
      <c r="D302" s="366"/>
      <c r="E302" s="366"/>
      <c r="F302" s="598"/>
      <c r="G302" s="366"/>
      <c r="H302" s="415"/>
      <c r="I302" s="366"/>
      <c r="J302" s="366"/>
      <c r="K302" s="366"/>
      <c r="L302" s="366"/>
      <c r="M302" s="598"/>
      <c r="N302" s="598"/>
      <c r="O302" s="598"/>
      <c r="P302" s="598"/>
      <c r="Q302" s="598"/>
      <c r="R302" s="598"/>
      <c r="S302" s="598"/>
      <c r="T302" s="598"/>
      <c r="U302" s="598"/>
      <c r="V302" s="598"/>
      <c r="W302" s="598"/>
      <c r="X302" s="598"/>
      <c r="Y302" s="598"/>
      <c r="Z302" s="598"/>
      <c r="AA302" s="598"/>
      <c r="AB302" s="598"/>
      <c r="AC302" s="606"/>
      <c r="AD302" s="366"/>
      <c r="AE302" s="370"/>
      <c r="AF302" s="366"/>
      <c r="AG302" s="381"/>
    </row>
    <row r="303" spans="1:33" s="380" customFormat="1" x14ac:dyDescent="0.25">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81"/>
    </row>
    <row r="304" spans="1:33" s="380" customFormat="1" x14ac:dyDescent="0.25">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81"/>
    </row>
    <row r="305" spans="1:33" s="380" customFormat="1" x14ac:dyDescent="0.25">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81"/>
    </row>
    <row r="306" spans="1:33" s="380" customFormat="1" x14ac:dyDescent="0.25">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81"/>
    </row>
    <row r="307" spans="1:33" s="383" customFormat="1" x14ac:dyDescent="0.25">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81"/>
    </row>
    <row r="308" spans="1:33" s="384" customFormat="1" ht="12.75" customHeight="1" x14ac:dyDescent="0.25">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66"/>
    </row>
    <row r="309" spans="1:33" s="384" customFormat="1" ht="12.75" customHeight="1" x14ac:dyDescent="0.25">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79"/>
    </row>
    <row r="310" spans="1:33" s="384" customFormat="1" ht="12.75" customHeight="1" x14ac:dyDescent="0.25">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80"/>
    </row>
    <row r="311" spans="1:33" s="384" customFormat="1" ht="12.75" customHeight="1" x14ac:dyDescent="0.25">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80"/>
    </row>
    <row r="312" spans="1:33" s="384" customFormat="1" ht="12.75" customHeight="1" x14ac:dyDescent="0.25">
      <c r="A312" s="366"/>
      <c r="B312" s="366"/>
      <c r="C312" s="366"/>
      <c r="D312" s="366"/>
      <c r="E312" s="366"/>
      <c r="F312" s="598"/>
      <c r="G312" s="366"/>
      <c r="H312" s="415"/>
      <c r="I312" s="366"/>
      <c r="J312" s="366"/>
      <c r="K312" s="366"/>
      <c r="L312" s="366"/>
      <c r="M312" s="598"/>
      <c r="N312" s="598"/>
      <c r="O312" s="598"/>
      <c r="P312" s="598"/>
      <c r="Q312" s="598"/>
      <c r="R312" s="598"/>
      <c r="S312" s="598"/>
      <c r="T312" s="598"/>
      <c r="U312" s="598"/>
      <c r="V312" s="598"/>
      <c r="W312" s="598"/>
      <c r="X312" s="598"/>
      <c r="Y312" s="598"/>
      <c r="Z312" s="598"/>
      <c r="AA312" s="598"/>
      <c r="AB312" s="598"/>
      <c r="AC312" s="606"/>
      <c r="AD312" s="366"/>
      <c r="AE312" s="370"/>
      <c r="AF312" s="366"/>
      <c r="AG312" s="380"/>
    </row>
    <row r="313" spans="1:33" s="384" customFormat="1" ht="12.75" customHeight="1" x14ac:dyDescent="0.25">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0"/>
    </row>
    <row r="314" spans="1:33" s="384" customFormat="1" ht="12.75" customHeight="1" x14ac:dyDescent="0.25">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0"/>
    </row>
    <row r="315" spans="1:33" s="384" customFormat="1" ht="12.75" customHeight="1" x14ac:dyDescent="0.25">
      <c r="A315" s="366"/>
      <c r="B315" s="366"/>
      <c r="C315" s="366"/>
      <c r="D315" s="366"/>
      <c r="E315" s="366"/>
      <c r="F315" s="598"/>
      <c r="G315" s="366"/>
      <c r="H315" s="415"/>
      <c r="I315" s="366"/>
      <c r="J315" s="366"/>
      <c r="K315" s="366"/>
      <c r="L315" s="366"/>
      <c r="M315" s="598"/>
      <c r="N315" s="598"/>
      <c r="O315" s="598"/>
      <c r="P315" s="598"/>
      <c r="Q315" s="598"/>
      <c r="R315" s="598"/>
      <c r="S315" s="598"/>
      <c r="T315" s="598"/>
      <c r="U315" s="598"/>
      <c r="V315" s="598"/>
      <c r="W315" s="598"/>
      <c r="X315" s="598"/>
      <c r="Y315" s="598"/>
      <c r="Z315" s="598"/>
      <c r="AA315" s="598"/>
      <c r="AB315" s="598"/>
      <c r="AC315" s="606"/>
      <c r="AD315" s="366"/>
      <c r="AE315" s="370"/>
      <c r="AF315" s="366"/>
      <c r="AG315" s="380"/>
    </row>
    <row r="316" spans="1:33" s="384" customFormat="1" ht="12.75" customHeight="1" x14ac:dyDescent="0.25">
      <c r="A316" s="366"/>
      <c r="B316" s="366"/>
      <c r="C316" s="366"/>
      <c r="D316" s="366"/>
      <c r="E316" s="366"/>
      <c r="F316" s="598"/>
      <c r="G316" s="366"/>
      <c r="H316" s="415"/>
      <c r="I316" s="366"/>
      <c r="J316" s="366"/>
      <c r="K316" s="366"/>
      <c r="L316" s="366"/>
      <c r="M316" s="598"/>
      <c r="N316" s="598"/>
      <c r="O316" s="598"/>
      <c r="P316" s="598"/>
      <c r="Q316" s="598"/>
      <c r="R316" s="598"/>
      <c r="S316" s="598"/>
      <c r="T316" s="598"/>
      <c r="U316" s="598"/>
      <c r="V316" s="598"/>
      <c r="W316" s="598"/>
      <c r="X316" s="598"/>
      <c r="Y316" s="598"/>
      <c r="Z316" s="598"/>
      <c r="AA316" s="598"/>
      <c r="AB316" s="598"/>
      <c r="AC316" s="606"/>
      <c r="AD316" s="366"/>
      <c r="AE316" s="370"/>
      <c r="AF316" s="366"/>
      <c r="AG316" s="380"/>
    </row>
    <row r="317" spans="1:33" s="387" customFormat="1" x14ac:dyDescent="0.25">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3"/>
    </row>
    <row r="318" spans="1:33" s="387" customFormat="1" x14ac:dyDescent="0.25">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84"/>
    </row>
    <row r="319" spans="1:33" s="387" customFormat="1" x14ac:dyDescent="0.25">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84"/>
    </row>
    <row r="320" spans="1:33" s="387" customFormat="1" x14ac:dyDescent="0.25">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84"/>
    </row>
    <row r="321" spans="1:33" s="387" customFormat="1" x14ac:dyDescent="0.25">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84"/>
    </row>
    <row r="322" spans="1:33" s="387" customFormat="1" x14ac:dyDescent="0.25">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84"/>
    </row>
    <row r="323" spans="1:33" s="387" customFormat="1" x14ac:dyDescent="0.25">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84"/>
    </row>
    <row r="324" spans="1:33" s="387" customFormat="1" x14ac:dyDescent="0.25">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84"/>
    </row>
    <row r="325" spans="1:33" x14ac:dyDescent="0.25">
      <c r="AG325" s="384"/>
    </row>
    <row r="326" spans="1:33" x14ac:dyDescent="0.25">
      <c r="AG326" s="384"/>
    </row>
    <row r="327" spans="1:33" x14ac:dyDescent="0.25">
      <c r="AG327" s="387"/>
    </row>
    <row r="328" spans="1:33" x14ac:dyDescent="0.25">
      <c r="AG328" s="387"/>
    </row>
    <row r="329" spans="1:33" x14ac:dyDescent="0.25">
      <c r="AG329" s="387"/>
    </row>
    <row r="330" spans="1:33" x14ac:dyDescent="0.25">
      <c r="AG330" s="387"/>
    </row>
    <row r="331" spans="1:33" x14ac:dyDescent="0.25">
      <c r="AG331" s="387"/>
    </row>
    <row r="332" spans="1:33" x14ac:dyDescent="0.25">
      <c r="AG332" s="387"/>
    </row>
    <row r="333" spans="1:33" x14ac:dyDescent="0.25">
      <c r="AG333" s="387"/>
    </row>
    <row r="334" spans="1:33" x14ac:dyDescent="0.25">
      <c r="AG334" s="387"/>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108</xdr:row>
                    <xdr:rowOff>167640</xdr:rowOff>
                  </from>
                  <to>
                    <xdr:col>12</xdr:col>
                    <xdr:colOff>99060</xdr:colOff>
                    <xdr:row>109</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2"/>
      <c r="C1" s="2" t="str">
        <f xml:space="preserve"> "MUST be updated DAILY"</f>
        <v>MUST be updated DAILY</v>
      </c>
    </row>
    <row r="2" spans="1:8" x14ac:dyDescent="0.25">
      <c r="B2" s="223"/>
      <c r="C2" s="2" t="str">
        <f xml:space="preserve"> "MAY be updated DAILY"</f>
        <v>MAY be updated DAILY</v>
      </c>
    </row>
    <row r="3" spans="1:8" x14ac:dyDescent="0.25">
      <c r="B3" s="224"/>
      <c r="C3" s="2" t="str">
        <f xml:space="preserve"> "MUST be updated MONTHLY"</f>
        <v>MUST be updated MONTHLY</v>
      </c>
    </row>
    <row r="5" spans="1:8" x14ac:dyDescent="0.25">
      <c r="A5" s="1" t="s">
        <v>69</v>
      </c>
      <c r="E5" s="1" t="s">
        <v>70</v>
      </c>
    </row>
    <row r="6" spans="1:8" x14ac:dyDescent="0.25">
      <c r="A6" s="2" t="s">
        <v>71</v>
      </c>
      <c r="C6" s="225">
        <v>1.4550000000000001</v>
      </c>
      <c r="E6" s="2" t="s">
        <v>72</v>
      </c>
      <c r="G6" s="225">
        <v>1.5149999999999999</v>
      </c>
    </row>
    <row r="7" spans="1:8" x14ac:dyDescent="0.25">
      <c r="A7" s="2" t="s">
        <v>73</v>
      </c>
      <c r="C7" s="226">
        <f>J49</f>
        <v>2.09</v>
      </c>
      <c r="E7" s="2" t="s">
        <v>74</v>
      </c>
      <c r="G7" s="226">
        <f>K49</f>
        <v>1.96</v>
      </c>
    </row>
    <row r="8" spans="1:8" x14ac:dyDescent="0.25">
      <c r="A8" s="2" t="s">
        <v>75</v>
      </c>
      <c r="C8" s="226">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7" t="s">
        <v>57</v>
      </c>
      <c r="C12" s="228">
        <v>1</v>
      </c>
      <c r="D12" s="228">
        <v>0</v>
      </c>
      <c r="E12" s="32">
        <f ca="1">-INDEX(Economics!$A$34:$D$45,MATCH(B12,Economics!$A$34:$A$45,0),4)/F12</f>
        <v>20434.434808612441</v>
      </c>
      <c r="F12" s="33">
        <f>(D12*$C$6)+(C12*$C$7)</f>
        <v>2.09</v>
      </c>
      <c r="G12" s="32">
        <f ca="1">E12*F12</f>
        <v>42707.96875</v>
      </c>
      <c r="H12" s="33"/>
    </row>
    <row r="13" spans="1:8" x14ac:dyDescent="0.25">
      <c r="B13" s="227" t="s">
        <v>56</v>
      </c>
      <c r="C13" s="228">
        <v>1</v>
      </c>
      <c r="D13" s="228">
        <v>0</v>
      </c>
      <c r="E13" s="32">
        <f ca="1">-INDEX(Economics!$A$34:$D$45,MATCH(Fuel!B13,Economics!$A$34:$A$45,0),4)/Fuel!F13</f>
        <v>8715.0390625</v>
      </c>
      <c r="F13" s="33">
        <f>(D13*$C$6)+(C13*$C$7)</f>
        <v>2.09</v>
      </c>
      <c r="G13" s="32">
        <f ca="1">E13*F13</f>
        <v>18214.431640625</v>
      </c>
      <c r="H13" s="33"/>
    </row>
    <row r="14" spans="1:8" x14ac:dyDescent="0.25">
      <c r="B14" s="227" t="s">
        <v>55</v>
      </c>
      <c r="C14" s="228">
        <v>1</v>
      </c>
      <c r="D14" s="228">
        <v>0</v>
      </c>
      <c r="E14" s="32">
        <f ca="1">-INDEX(Economics!$A$34:$D$45,MATCH(Fuel!B14,Economics!$A$34:$A$45,0),4)/Fuel!F14</f>
        <v>0</v>
      </c>
      <c r="F14" s="33">
        <f>(D14*$C$6)+(C14*$C$7)</f>
        <v>2.09</v>
      </c>
      <c r="G14" s="32">
        <f ca="1">E14*F14</f>
        <v>0</v>
      </c>
      <c r="H14" s="33"/>
    </row>
    <row r="15" spans="1:8" x14ac:dyDescent="0.25">
      <c r="B15" s="229" t="s">
        <v>18</v>
      </c>
      <c r="E15" s="34">
        <f ca="1">SUM(E12:E14)</f>
        <v>29149.473871112441</v>
      </c>
      <c r="F15" s="35"/>
      <c r="G15" s="34">
        <f ca="1">SUM(G12:G14)</f>
        <v>60922.400390625</v>
      </c>
      <c r="H15" s="33"/>
    </row>
    <row r="16" spans="1:8" x14ac:dyDescent="0.25">
      <c r="E16" s="32"/>
      <c r="F16" s="33"/>
      <c r="G16" s="33"/>
      <c r="H16" s="33"/>
    </row>
    <row r="17" spans="1:12" x14ac:dyDescent="0.25">
      <c r="A17" s="2" t="s">
        <v>84</v>
      </c>
      <c r="F17" s="33"/>
      <c r="G17" s="33"/>
      <c r="H17" s="33"/>
    </row>
    <row r="18" spans="1:12" x14ac:dyDescent="0.25">
      <c r="B18" s="2" t="s">
        <v>54</v>
      </c>
      <c r="C18" s="228">
        <v>1</v>
      </c>
      <c r="D18" s="228">
        <v>0</v>
      </c>
      <c r="E18" s="32">
        <f ca="1">-INDEX(Economics!$A$34:$D$45,MATCH(Fuel!B18,Economics!$A$34:$A$45,0),4)/Fuel!F18</f>
        <v>9960.8079559948983</v>
      </c>
      <c r="F18" s="35">
        <f>C18*G7+D18*G6</f>
        <v>1.96</v>
      </c>
      <c r="G18" s="34">
        <f ca="1">F18*E18</f>
        <v>19523.18359375</v>
      </c>
    </row>
    <row r="19" spans="1:12" x14ac:dyDescent="0.25">
      <c r="C19" s="36"/>
      <c r="D19" s="36"/>
      <c r="E19" s="32"/>
      <c r="F19" s="33"/>
      <c r="G19" s="32"/>
    </row>
    <row r="20" spans="1:12" x14ac:dyDescent="0.25">
      <c r="I20" s="230" t="s">
        <v>85</v>
      </c>
      <c r="J20" s="231"/>
      <c r="K20" s="231"/>
      <c r="L20" s="232"/>
    </row>
    <row r="21" spans="1:12" x14ac:dyDescent="0.25">
      <c r="A21" s="2" t="s">
        <v>86</v>
      </c>
      <c r="E21" s="32"/>
      <c r="F21" s="33"/>
      <c r="I21" s="233" t="s">
        <v>87</v>
      </c>
      <c r="J21" s="234" t="s">
        <v>88</v>
      </c>
      <c r="K21" s="234"/>
      <c r="L21" s="235"/>
    </row>
    <row r="22" spans="1:12" x14ac:dyDescent="0.25">
      <c r="B22" s="227" t="s">
        <v>53</v>
      </c>
      <c r="C22" s="228">
        <v>1</v>
      </c>
      <c r="D22" s="228">
        <v>0</v>
      </c>
      <c r="E22" s="32">
        <f ca="1">-INDEX(Economics!$A$34:$D$45,MATCH(Fuel!B22,Economics!$A$34:$A$45,0),4)/Fuel!F22</f>
        <v>42473.860012755104</v>
      </c>
      <c r="F22" s="33">
        <f>IF($I$22=1,C22*$C$8,C22*$G$7)+IF($J$22=1,D22*$C$6,D22*$G$6)</f>
        <v>1.96</v>
      </c>
      <c r="G22" s="32">
        <f t="shared" ref="G22:G29" ca="1" si="0">F22*E22</f>
        <v>83248.765625</v>
      </c>
      <c r="I22" s="236">
        <f>IF(C8&lt;G7,1,0)</f>
        <v>0</v>
      </c>
      <c r="J22" s="236">
        <f>IF(C6&lt;G6,1,0)</f>
        <v>1</v>
      </c>
      <c r="K22" s="237"/>
      <c r="L22" s="238"/>
    </row>
    <row r="23" spans="1:12" x14ac:dyDescent="0.25">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7" t="s">
        <v>52</v>
      </c>
      <c r="C24" s="228">
        <v>1</v>
      </c>
      <c r="D24" s="228">
        <v>0</v>
      </c>
      <c r="E24" s="32">
        <f ca="1">-INDEX(Economics!$A$34:$D$45,MATCH(Fuel!B24,Economics!$A$34:$A$45,0),4)/Fuel!F24</f>
        <v>0</v>
      </c>
      <c r="F24" s="33">
        <f t="shared" si="1"/>
        <v>1.96</v>
      </c>
      <c r="G24" s="32">
        <f t="shared" ca="1" si="0"/>
        <v>0</v>
      </c>
      <c r="I24" s="31"/>
      <c r="J24" s="31"/>
      <c r="K24" s="31"/>
    </row>
    <row r="25" spans="1:12" x14ac:dyDescent="0.25">
      <c r="B25" s="227" t="s">
        <v>48</v>
      </c>
      <c r="C25" s="228">
        <v>1</v>
      </c>
      <c r="D25" s="228">
        <v>0</v>
      </c>
      <c r="E25" s="32">
        <f ca="1">-INDEX(Economics!$A$34:$D$45,MATCH(Fuel!B25,Economics!$A$34:$A$45,0),4)/Fuel!F25</f>
        <v>19579.410475127552</v>
      </c>
      <c r="F25" s="33">
        <f t="shared" si="1"/>
        <v>1.96</v>
      </c>
      <c r="G25" s="32">
        <f t="shared" ca="1" si="0"/>
        <v>38375.64453125</v>
      </c>
      <c r="I25" s="31"/>
      <c r="J25" s="31"/>
      <c r="K25" s="31"/>
    </row>
    <row r="26" spans="1:12" x14ac:dyDescent="0.25">
      <c r="B26" s="227" t="s">
        <v>47</v>
      </c>
      <c r="C26" s="228">
        <v>1</v>
      </c>
      <c r="D26" s="228">
        <v>0</v>
      </c>
      <c r="E26" s="32">
        <f ca="1">-INDEX(Economics!$A$34:$D$45,MATCH(Fuel!B26,Economics!$A$34:$A$45,0),4)/Fuel!F26</f>
        <v>15640.582150829083</v>
      </c>
      <c r="F26" s="33">
        <f t="shared" si="1"/>
        <v>1.96</v>
      </c>
      <c r="G26" s="32">
        <f t="shared" ca="1" si="0"/>
        <v>30655.541015625</v>
      </c>
      <c r="I26" s="31"/>
      <c r="J26" s="31"/>
      <c r="K26" s="31"/>
    </row>
    <row r="27" spans="1:12" x14ac:dyDescent="0.25">
      <c r="B27" s="239" t="s">
        <v>46</v>
      </c>
      <c r="C27" s="228">
        <v>1</v>
      </c>
      <c r="D27" s="228">
        <v>0</v>
      </c>
      <c r="E27" s="32">
        <f ca="1">-INDEX(Economics!$A$34:$D$45,MATCH(Fuel!B27,Economics!$A$34:$A$45,0),4)/Fuel!F27</f>
        <v>11667.32102997449</v>
      </c>
      <c r="F27" s="33">
        <f t="shared" si="1"/>
        <v>1.96</v>
      </c>
      <c r="G27" s="32">
        <f t="shared" ca="1" si="0"/>
        <v>22867.94921875</v>
      </c>
      <c r="I27" s="31"/>
      <c r="J27" s="31"/>
      <c r="K27" s="31"/>
    </row>
    <row r="28" spans="1:12" x14ac:dyDescent="0.25">
      <c r="B28" s="227" t="s">
        <v>49</v>
      </c>
      <c r="C28" s="228">
        <v>1</v>
      </c>
      <c r="D28" s="228">
        <v>0</v>
      </c>
      <c r="E28" s="32">
        <f ca="1">-INDEX(Economics!$A$34:$D$45,MATCH(Fuel!B28,Economics!$A$34:$A$45,0),4)/Fuel!F28</f>
        <v>0</v>
      </c>
      <c r="F28" s="33">
        <f t="shared" si="1"/>
        <v>1.96</v>
      </c>
      <c r="G28" s="32">
        <f t="shared" ca="1" si="0"/>
        <v>0</v>
      </c>
      <c r="I28" s="31"/>
      <c r="J28" s="31"/>
      <c r="K28" s="31"/>
    </row>
    <row r="29" spans="1:12" x14ac:dyDescent="0.25">
      <c r="B29" s="227" t="s">
        <v>50</v>
      </c>
      <c r="C29" s="228">
        <v>1</v>
      </c>
      <c r="D29" s="228">
        <v>0</v>
      </c>
      <c r="E29" s="32">
        <f ca="1">-INDEX(Economics!$A$34:$D$45,MATCH(Fuel!B29,Economics!$A$34:$A$45,0),4)/Fuel!F29</f>
        <v>451.01209368024553</v>
      </c>
      <c r="F29" s="33">
        <f t="shared" si="1"/>
        <v>1.96</v>
      </c>
      <c r="G29" s="32">
        <f t="shared" ca="1" si="0"/>
        <v>883.98370361328125</v>
      </c>
      <c r="I29" s="31"/>
      <c r="J29" s="31"/>
      <c r="K29" s="31"/>
    </row>
    <row r="30" spans="1:12" x14ac:dyDescent="0.25">
      <c r="B30" s="229"/>
      <c r="C30" s="36"/>
      <c r="D30" s="36"/>
      <c r="E30" s="34">
        <f ca="1">SUM(E22:E29)</f>
        <v>89812.185762366484</v>
      </c>
      <c r="F30" s="35"/>
      <c r="G30" s="34">
        <f ca="1">SUM(G22:G29)</f>
        <v>176031.88409423828</v>
      </c>
      <c r="I30" s="31"/>
      <c r="J30" s="31"/>
      <c r="K30" s="31"/>
    </row>
    <row r="31" spans="1:12" x14ac:dyDescent="0.25">
      <c r="B31" s="229"/>
      <c r="I31" s="31"/>
      <c r="J31" s="31"/>
      <c r="K31" s="31"/>
    </row>
    <row r="32" spans="1:12" ht="13.8" thickBot="1" x14ac:dyDescent="0.3">
      <c r="B32" s="229" t="s">
        <v>18</v>
      </c>
      <c r="E32" s="7">
        <f ca="1">E15+E18+E30</f>
        <v>128922.46758947382</v>
      </c>
      <c r="F32" s="8"/>
      <c r="G32" s="7">
        <f ca="1">G15+G18+G30</f>
        <v>256477.46807861328</v>
      </c>
    </row>
    <row r="33" spans="1:11" ht="13.8" thickTop="1" x14ac:dyDescent="0.25"/>
    <row r="34" spans="1:11" x14ac:dyDescent="0.25">
      <c r="A34" s="9" t="s">
        <v>89</v>
      </c>
      <c r="H34" s="4"/>
    </row>
    <row r="35" spans="1:11" ht="27.75" customHeight="1" x14ac:dyDescent="0.25">
      <c r="A35" s="240"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5">
      <c r="A39" s="224" t="s">
        <v>100</v>
      </c>
      <c r="B39" s="229" t="s">
        <v>101</v>
      </c>
      <c r="C39" s="312">
        <v>2.09</v>
      </c>
      <c r="E39" s="242">
        <v>10000</v>
      </c>
      <c r="G39" s="242">
        <v>10000</v>
      </c>
      <c r="H39" s="242">
        <v>0</v>
      </c>
      <c r="J39" s="32">
        <f t="shared" si="2"/>
        <v>627000</v>
      </c>
      <c r="K39" s="32">
        <f t="shared" si="3"/>
        <v>0</v>
      </c>
    </row>
    <row r="40" spans="1:11" x14ac:dyDescent="0.25">
      <c r="A40" s="224" t="s">
        <v>102</v>
      </c>
      <c r="B40" s="229" t="s">
        <v>103</v>
      </c>
      <c r="C40" s="241">
        <v>2.09</v>
      </c>
      <c r="E40" s="242">
        <v>15050</v>
      </c>
      <c r="G40" s="242">
        <v>15050</v>
      </c>
      <c r="H40" s="242">
        <v>0</v>
      </c>
      <c r="J40" s="32">
        <f t="shared" si="2"/>
        <v>943634.99999999988</v>
      </c>
      <c r="K40" s="32">
        <f t="shared" si="3"/>
        <v>0</v>
      </c>
    </row>
    <row r="41" spans="1:11" x14ac:dyDescent="0.25">
      <c r="A41" s="224" t="s">
        <v>64</v>
      </c>
      <c r="B41" s="229" t="s">
        <v>103</v>
      </c>
      <c r="C41" s="241">
        <v>2.09</v>
      </c>
      <c r="E41" s="242">
        <v>10000</v>
      </c>
      <c r="G41" s="242">
        <v>10000</v>
      </c>
      <c r="H41" s="242">
        <v>0</v>
      </c>
      <c r="J41" s="32">
        <f t="shared" si="2"/>
        <v>627000</v>
      </c>
      <c r="K41" s="32">
        <f t="shared" si="3"/>
        <v>0</v>
      </c>
    </row>
    <row r="42" spans="1:11" x14ac:dyDescent="0.25">
      <c r="A42" s="224" t="s">
        <v>104</v>
      </c>
      <c r="B42" s="229" t="s">
        <v>105</v>
      </c>
      <c r="C42" s="241">
        <v>1.96</v>
      </c>
      <c r="E42" s="242">
        <v>56100</v>
      </c>
      <c r="G42" s="243">
        <v>0</v>
      </c>
      <c r="H42" s="243">
        <v>56100</v>
      </c>
      <c r="I42" s="13"/>
      <c r="J42" s="12">
        <f t="shared" si="2"/>
        <v>0</v>
      </c>
      <c r="K42" s="12">
        <f t="shared" si="3"/>
        <v>3298680</v>
      </c>
    </row>
    <row r="43" spans="1:11" ht="15" x14ac:dyDescent="0.4">
      <c r="A43" s="224" t="s">
        <v>106</v>
      </c>
      <c r="B43" s="229" t="s">
        <v>107</v>
      </c>
      <c r="C43" s="241"/>
      <c r="E43" s="242">
        <v>0</v>
      </c>
      <c r="G43" s="244">
        <v>0</v>
      </c>
      <c r="H43" s="24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5"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6">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644887.79999999993</v>
      </c>
      <c r="C3" s="117">
        <f ca="1">6.8*0.75*E3</f>
        <v>158885.4</v>
      </c>
      <c r="D3" s="117">
        <f ca="1">C3+B3</f>
        <v>803773.2</v>
      </c>
      <c r="E3" s="118">
        <f ca="1">SUM(Preschedule!B59:Y59)</f>
        <v>31154</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-350</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-2400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975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365</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-32281.878720000004</v>
      </c>
      <c r="C28" s="120"/>
      <c r="D28" s="120">
        <f ca="1">C28+B28</f>
        <v>-32281.878720000004</v>
      </c>
      <c r="E28" s="114">
        <f>SUM(Preschedule!B56:Y56)</f>
        <v>2469</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-19141.439999999999</v>
      </c>
      <c r="C30" s="120"/>
      <c r="D30" s="120">
        <f>C30+B30</f>
        <v>-19141.439999999999</v>
      </c>
      <c r="E30" s="114">
        <f>SUM(Preschedule!B53:Y53)</f>
        <v>3140</v>
      </c>
      <c r="F30" s="120">
        <f>H30*I30</f>
        <v>6.0960000000000001</v>
      </c>
      <c r="G30" s="79">
        <f>-IF(E30=0,0,D30/E30)</f>
        <v>6.0959999999999992</v>
      </c>
      <c r="H30" s="134">
        <v>10.16</v>
      </c>
      <c r="I30" s="135">
        <v>0.6</v>
      </c>
    </row>
    <row r="31" spans="1:9" ht="12" x14ac:dyDescent="0.25">
      <c r="A31" s="83" t="s">
        <v>44</v>
      </c>
      <c r="B31" s="120">
        <f>-F31*E31</f>
        <v>-19141.439999999999</v>
      </c>
      <c r="C31" s="120"/>
      <c r="D31" s="120">
        <f>C31+B31</f>
        <v>-19141.439999999999</v>
      </c>
      <c r="E31" s="114">
        <f>SUM(Preschedule!B54:Y54)</f>
        <v>3140</v>
      </c>
      <c r="F31" s="120">
        <f>H31*I31</f>
        <v>6.0960000000000001</v>
      </c>
      <c r="G31" s="79">
        <f>-IF(E31=0,0,D31/E31)</f>
        <v>6.0959999999999992</v>
      </c>
      <c r="H31" s="134">
        <v>10.16</v>
      </c>
      <c r="I31" s="135">
        <v>0.6</v>
      </c>
    </row>
    <row r="32" spans="1:9" ht="12" x14ac:dyDescent="0.25">
      <c r="A32" s="83" t="s">
        <v>45</v>
      </c>
      <c r="B32" s="120">
        <f>-F32*E32</f>
        <v>-19123.152000000002</v>
      </c>
      <c r="C32" s="120"/>
      <c r="D32" s="120">
        <f>C32+B32</f>
        <v>-19123.152000000002</v>
      </c>
      <c r="E32" s="114">
        <f>SUM(Preschedule!B55:Y55)</f>
        <v>3137</v>
      </c>
      <c r="F32" s="120">
        <f>H32*I32</f>
        <v>6.0960000000000001</v>
      </c>
      <c r="G32" s="79">
        <f>-IF(E32=0,0,D32/E32)</f>
        <v>6.096000000000001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-22867.94921875</v>
      </c>
      <c r="C34" s="120"/>
      <c r="D34" s="120">
        <f ca="1">IF(ISTEXT(B34),0,C34+B34)</f>
        <v>-22867.94921875</v>
      </c>
      <c r="E34" s="114">
        <f>SUM(Preschedule!B41:Y41)</f>
        <v>1018</v>
      </c>
      <c r="F34" s="120">
        <f ca="1">-IF(OR(ISTEXT(B34),E34=0),0,B34/E34)</f>
        <v>22.463604340618861</v>
      </c>
      <c r="G34" s="79">
        <f t="shared" ref="G34:G45" ca="1" si="6">-IF(E34=0,0,D34/E34)</f>
        <v>22.463604340618861</v>
      </c>
      <c r="H34" s="136"/>
      <c r="I34" s="135">
        <f>INDEX(FuelPriceTable,MATCH(A34,FuelNames,0),5)</f>
        <v>1.96</v>
      </c>
    </row>
    <row r="35" spans="1:9" ht="12" x14ac:dyDescent="0.25">
      <c r="A35" s="83" t="s">
        <v>47</v>
      </c>
      <c r="B35" s="120">
        <f ca="1">Gencost(Preschedule!B42:Y42,OFFSET(HeatRateStart,1,MATCH(A35,HeatRateNames,0)-1,250,1),I35)</f>
        <v>-30655.541015625</v>
      </c>
      <c r="C35" s="120"/>
      <c r="D35" s="120">
        <f t="shared" ref="D35:D45" ca="1" si="7">IF(ISTEXT(B35),0,C35+B35)</f>
        <v>-30655.541015625</v>
      </c>
      <c r="E35" s="114">
        <f>SUM(Preschedule!B42:Y42)</f>
        <v>1500</v>
      </c>
      <c r="F35" s="120">
        <f t="shared" ref="F35:F45" ca="1" si="8">-IF(OR(ISTEXT(B35),E35=0),0,B35/E35)</f>
        <v>20.43702734375</v>
      </c>
      <c r="G35" s="79">
        <f t="shared" ca="1" si="6"/>
        <v>20.43702734375</v>
      </c>
      <c r="H35" s="136"/>
      <c r="I35" s="135">
        <f t="shared" ref="I35:I45" si="9">INDEX(FuelPriceTable,MATCH(A35,FuelNames,0),5)</f>
        <v>1.96</v>
      </c>
    </row>
    <row r="36" spans="1:9" ht="12" x14ac:dyDescent="0.25">
      <c r="A36" s="83" t="s">
        <v>48</v>
      </c>
      <c r="B36" s="120">
        <f ca="1">Gencost(Preschedule!B43:Y43,OFFSET(HeatRateStart,1,MATCH(A36,HeatRateNames,0)-1,250,1),I36)</f>
        <v>-38375.64453125</v>
      </c>
      <c r="C36" s="120"/>
      <c r="D36" s="120">
        <f t="shared" ca="1" si="7"/>
        <v>-38375.64453125</v>
      </c>
      <c r="E36" s="114">
        <f>SUM(Preschedule!B43:Y43)</f>
        <v>1931</v>
      </c>
      <c r="F36" s="120">
        <f t="shared" ca="1" si="8"/>
        <v>19.873456515406524</v>
      </c>
      <c r="G36" s="79">
        <f t="shared" ca="1" si="6"/>
        <v>19.873456515406524</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-883.98370361328125</v>
      </c>
      <c r="C38" s="120"/>
      <c r="D38" s="120">
        <f t="shared" ca="1" si="7"/>
        <v>-883.98370361328125</v>
      </c>
      <c r="E38" s="114">
        <f>SUM(Preschedule!B45:Y45)</f>
        <v>30</v>
      </c>
      <c r="F38" s="120">
        <f t="shared" ca="1" si="8"/>
        <v>29.466123453776042</v>
      </c>
      <c r="G38" s="79">
        <f t="shared" ca="1" si="6"/>
        <v>29.466123453776042</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-83248.765625</v>
      </c>
      <c r="C41" s="120"/>
      <c r="D41" s="120">
        <f t="shared" ca="1" si="7"/>
        <v>-83248.765625</v>
      </c>
      <c r="E41" s="114">
        <f>SUM(Preschedule!B48:Y48)</f>
        <v>4596</v>
      </c>
      <c r="F41" s="120">
        <f t="shared" ca="1" si="8"/>
        <v>18.113308447563099</v>
      </c>
      <c r="G41" s="79">
        <f t="shared" ca="1" si="6"/>
        <v>18.113308447563099</v>
      </c>
      <c r="H41" s="136"/>
      <c r="I41" s="135">
        <v>1.96</v>
      </c>
    </row>
    <row r="42" spans="1:9" ht="12" x14ac:dyDescent="0.25">
      <c r="A42" s="83" t="s">
        <v>54</v>
      </c>
      <c r="B42" s="120">
        <f ca="1">Gencost(Preschedule!B49:Y49,OFFSET(HeatRateStart,1,MATCH(A42,HeatRateNames,0)-1,250,1),I42)</f>
        <v>-19523.18359375</v>
      </c>
      <c r="C42" s="120"/>
      <c r="D42" s="120">
        <f t="shared" ca="1" si="7"/>
        <v>-19523.18359375</v>
      </c>
      <c r="E42" s="114">
        <f>SUM(Preschedule!B49:Y49)</f>
        <v>707</v>
      </c>
      <c r="F42" s="120">
        <f t="shared" ca="1" si="8"/>
        <v>27.614121066124468</v>
      </c>
      <c r="G42" s="79">
        <f t="shared" ca="1" si="6"/>
        <v>27.614121066124468</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-18214.431640625</v>
      </c>
      <c r="C44" s="120"/>
      <c r="D44" s="120">
        <f t="shared" ca="1" si="7"/>
        <v>-18214.431640625</v>
      </c>
      <c r="E44" s="114">
        <f>SUM(Preschedule!B51:Y51)</f>
        <v>814</v>
      </c>
      <c r="F44" s="120">
        <f t="shared" ca="1" si="8"/>
        <v>22.37645164695946</v>
      </c>
      <c r="G44" s="79">
        <f t="shared" ca="1" si="6"/>
        <v>22.37645164695946</v>
      </c>
      <c r="H44" s="136"/>
      <c r="I44" s="135">
        <f t="shared" si="9"/>
        <v>2.09</v>
      </c>
    </row>
    <row r="45" spans="1:9" ht="12.6" thickBot="1" x14ac:dyDescent="0.3">
      <c r="A45" s="83" t="s">
        <v>57</v>
      </c>
      <c r="B45" s="120">
        <f ca="1">Gencost(Preschedule!B52:Y52,OFFSET(HeatRateStart,1,MATCH(A45,HeatRateNames,0)-1,250,1),I45)</f>
        <v>-42707.96875</v>
      </c>
      <c r="C45" s="120"/>
      <c r="D45" s="120">
        <f t="shared" ca="1" si="7"/>
        <v>-42707.96875</v>
      </c>
      <c r="E45" s="114">
        <f>SUM(Preschedule!B52:Y52)</f>
        <v>2010</v>
      </c>
      <c r="F45" s="120">
        <f t="shared" ca="1" si="8"/>
        <v>21.24774564676617</v>
      </c>
      <c r="G45" s="79">
        <f t="shared" ca="1" si="6"/>
        <v>21.24774564676617</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1" t="s">
        <v>248</v>
      </c>
      <c r="B4" s="401" t="s">
        <v>251</v>
      </c>
      <c r="C4" s="402" t="s">
        <v>249</v>
      </c>
      <c r="D4" s="402" t="s">
        <v>250</v>
      </c>
    </row>
    <row r="5" spans="1:4" x14ac:dyDescent="0.25">
      <c r="A5" s="403"/>
      <c r="B5" s="446"/>
      <c r="C5" s="405"/>
      <c r="D5" s="405"/>
    </row>
    <row r="6" spans="1:4" x14ac:dyDescent="0.25">
      <c r="A6" s="403">
        <v>36592</v>
      </c>
      <c r="B6" s="404" t="s">
        <v>283</v>
      </c>
      <c r="C6" s="405" t="s">
        <v>282</v>
      </c>
      <c r="D6" s="405" t="s">
        <v>285</v>
      </c>
    </row>
    <row r="7" spans="1:4" x14ac:dyDescent="0.25">
      <c r="A7" s="406"/>
      <c r="B7" s="404" t="s">
        <v>284</v>
      </c>
      <c r="C7" s="405"/>
      <c r="D7" s="405" t="s">
        <v>286</v>
      </c>
    </row>
    <row r="8" spans="1:4" x14ac:dyDescent="0.25">
      <c r="A8" s="459"/>
      <c r="B8" s="404"/>
      <c r="C8" s="405"/>
      <c r="D8" s="405" t="s">
        <v>287</v>
      </c>
    </row>
    <row r="9" spans="1:4" x14ac:dyDescent="0.25">
      <c r="A9" s="406"/>
      <c r="B9" s="404"/>
      <c r="C9" s="405"/>
      <c r="D9" s="405"/>
    </row>
    <row r="10" spans="1:4" x14ac:dyDescent="0.25">
      <c r="A10" s="403">
        <v>36603</v>
      </c>
      <c r="B10" s="404" t="s">
        <v>288</v>
      </c>
      <c r="C10" s="405" t="s">
        <v>290</v>
      </c>
      <c r="D10" s="405" t="s">
        <v>296</v>
      </c>
    </row>
    <row r="11" spans="1:4" x14ac:dyDescent="0.25">
      <c r="A11" s="406"/>
      <c r="B11" s="404" t="s">
        <v>289</v>
      </c>
      <c r="C11" s="405"/>
      <c r="D11" s="405" t="s">
        <v>293</v>
      </c>
    </row>
    <row r="12" spans="1:4" x14ac:dyDescent="0.25">
      <c r="A12" s="406"/>
      <c r="B12" s="404"/>
      <c r="C12" s="405"/>
      <c r="D12" s="405" t="s">
        <v>291</v>
      </c>
    </row>
    <row r="13" spans="1:4" x14ac:dyDescent="0.25">
      <c r="A13" s="406"/>
      <c r="B13" s="404"/>
      <c r="C13" s="405"/>
      <c r="D13" s="405" t="s">
        <v>292</v>
      </c>
    </row>
    <row r="14" spans="1:4" x14ac:dyDescent="0.25">
      <c r="A14" s="406"/>
      <c r="B14" s="404"/>
      <c r="C14" s="405"/>
      <c r="D14" s="405"/>
    </row>
    <row r="15" spans="1:4" x14ac:dyDescent="0.25">
      <c r="A15" s="403">
        <v>36603</v>
      </c>
      <c r="B15" s="404" t="s">
        <v>294</v>
      </c>
      <c r="C15" s="405" t="s">
        <v>290</v>
      </c>
      <c r="D15" s="405" t="s">
        <v>297</v>
      </c>
    </row>
    <row r="16" spans="1:4" x14ac:dyDescent="0.25">
      <c r="A16" s="406"/>
      <c r="B16" s="404" t="s">
        <v>295</v>
      </c>
      <c r="C16" s="405"/>
      <c r="D16" s="405" t="s">
        <v>298</v>
      </c>
    </row>
    <row r="17" spans="1:4" x14ac:dyDescent="0.25">
      <c r="A17" s="459"/>
      <c r="B17" s="404"/>
      <c r="C17" s="405"/>
      <c r="D17" s="405" t="s">
        <v>300</v>
      </c>
    </row>
    <row r="18" spans="1:4" x14ac:dyDescent="0.25">
      <c r="A18" s="406"/>
      <c r="B18" s="404"/>
      <c r="C18" s="405"/>
      <c r="D18" s="405" t="s">
        <v>301</v>
      </c>
    </row>
    <row r="19" spans="1:4" x14ac:dyDescent="0.25">
      <c r="A19" s="406"/>
      <c r="B19" s="404"/>
      <c r="C19" s="405"/>
      <c r="D19" s="405" t="s">
        <v>299</v>
      </c>
    </row>
    <row r="20" spans="1:4" x14ac:dyDescent="0.25">
      <c r="A20" s="403">
        <v>36644</v>
      </c>
      <c r="B20" s="404" t="s">
        <v>304</v>
      </c>
      <c r="C20" s="405" t="s">
        <v>303</v>
      </c>
      <c r="D20" s="405" t="s">
        <v>302</v>
      </c>
    </row>
    <row r="21" spans="1:4" x14ac:dyDescent="0.25">
      <c r="A21" s="403"/>
      <c r="B21" s="404"/>
      <c r="C21" s="405"/>
      <c r="D21" s="405"/>
    </row>
    <row r="22" spans="1:4" x14ac:dyDescent="0.25">
      <c r="A22" s="403">
        <v>36730</v>
      </c>
      <c r="B22" s="404" t="s">
        <v>308</v>
      </c>
      <c r="C22" s="405" t="s">
        <v>309</v>
      </c>
      <c r="D22" s="405" t="s">
        <v>310</v>
      </c>
    </row>
    <row r="23" spans="1:4" x14ac:dyDescent="0.25">
      <c r="A23" s="406"/>
      <c r="B23" s="404"/>
      <c r="C23" s="405"/>
      <c r="D23" s="405"/>
    </row>
    <row r="24" spans="1:4" x14ac:dyDescent="0.25">
      <c r="A24" s="403">
        <v>36733</v>
      </c>
      <c r="B24" s="404" t="s">
        <v>311</v>
      </c>
      <c r="C24" s="405" t="s">
        <v>312</v>
      </c>
      <c r="D24" s="405" t="s">
        <v>313</v>
      </c>
    </row>
    <row r="25" spans="1:4" x14ac:dyDescent="0.25">
      <c r="A25" s="406"/>
      <c r="B25" s="404"/>
      <c r="C25" s="405"/>
      <c r="D25" s="405"/>
    </row>
    <row r="26" spans="1:4" x14ac:dyDescent="0.25">
      <c r="A26" s="403">
        <v>36733</v>
      </c>
      <c r="B26" s="404" t="s">
        <v>315</v>
      </c>
      <c r="C26" s="405" t="s">
        <v>312</v>
      </c>
      <c r="D26" s="405" t="s">
        <v>314</v>
      </c>
    </row>
    <row r="27" spans="1:4" x14ac:dyDescent="0.25">
      <c r="A27" s="406"/>
      <c r="B27" s="404"/>
      <c r="C27" s="405"/>
      <c r="D27" s="405"/>
    </row>
    <row r="28" spans="1:4" x14ac:dyDescent="0.25">
      <c r="A28" s="403">
        <v>36734</v>
      </c>
      <c r="B28" s="404" t="s">
        <v>317</v>
      </c>
      <c r="C28" s="405" t="s">
        <v>312</v>
      </c>
      <c r="D28" s="405" t="s">
        <v>316</v>
      </c>
    </row>
    <row r="29" spans="1:4" x14ac:dyDescent="0.25">
      <c r="A29" s="406"/>
      <c r="B29" s="404"/>
      <c r="C29" s="405"/>
      <c r="D29" s="405"/>
    </row>
    <row r="30" spans="1:4" x14ac:dyDescent="0.25">
      <c r="A30" s="403">
        <v>36734</v>
      </c>
      <c r="B30" s="404" t="s">
        <v>318</v>
      </c>
      <c r="C30" s="405"/>
      <c r="D30" s="405" t="s">
        <v>319</v>
      </c>
    </row>
    <row r="31" spans="1:4" x14ac:dyDescent="0.25">
      <c r="A31" s="406"/>
      <c r="B31" s="404"/>
      <c r="C31" s="405"/>
      <c r="D31" s="405"/>
    </row>
    <row r="32" spans="1:4" x14ac:dyDescent="0.25">
      <c r="A32" s="403">
        <v>36778</v>
      </c>
      <c r="B32" s="404" t="s">
        <v>322</v>
      </c>
      <c r="C32" s="405" t="s">
        <v>325</v>
      </c>
      <c r="D32" s="405" t="s">
        <v>324</v>
      </c>
    </row>
    <row r="33" spans="1:4" x14ac:dyDescent="0.25">
      <c r="A33" s="406"/>
      <c r="B33" s="404"/>
      <c r="C33" s="405"/>
      <c r="D33" s="405"/>
    </row>
    <row r="34" spans="1:4" x14ac:dyDescent="0.25">
      <c r="A34" s="403">
        <v>36778</v>
      </c>
      <c r="B34" s="404" t="s">
        <v>326</v>
      </c>
      <c r="C34" s="405" t="s">
        <v>323</v>
      </c>
      <c r="D34" s="405" t="s">
        <v>327</v>
      </c>
    </row>
    <row r="35" spans="1:4" x14ac:dyDescent="0.25">
      <c r="A35" s="406"/>
      <c r="B35" s="404"/>
      <c r="C35" s="405"/>
      <c r="D35" s="405"/>
    </row>
    <row r="36" spans="1:4" x14ac:dyDescent="0.25">
      <c r="A36" s="403">
        <v>36779</v>
      </c>
      <c r="B36" s="404" t="s">
        <v>328</v>
      </c>
      <c r="C36" s="405" t="s">
        <v>330</v>
      </c>
      <c r="D36" s="405" t="s">
        <v>329</v>
      </c>
    </row>
    <row r="37" spans="1:4" x14ac:dyDescent="0.25">
      <c r="A37" s="406"/>
      <c r="B37" s="404"/>
      <c r="C37" s="405"/>
      <c r="D37" s="405"/>
    </row>
    <row r="38" spans="1:4" x14ac:dyDescent="0.25">
      <c r="A38" s="403">
        <v>36779</v>
      </c>
      <c r="B38" s="404" t="s">
        <v>331</v>
      </c>
      <c r="C38" s="405" t="s">
        <v>330</v>
      </c>
      <c r="D38" s="405" t="s">
        <v>332</v>
      </c>
    </row>
    <row r="39" spans="1:4" x14ac:dyDescent="0.25">
      <c r="A39" s="406"/>
      <c r="B39" s="404"/>
      <c r="C39" s="405"/>
      <c r="D39" s="405"/>
    </row>
    <row r="40" spans="1:4" x14ac:dyDescent="0.25">
      <c r="A40" s="403">
        <v>36803</v>
      </c>
      <c r="B40" s="404" t="s">
        <v>333</v>
      </c>
      <c r="C40" s="405" t="s">
        <v>334</v>
      </c>
      <c r="D40" s="405" t="s">
        <v>335</v>
      </c>
    </row>
    <row r="41" spans="1:4" x14ac:dyDescent="0.25">
      <c r="A41" s="406"/>
      <c r="B41" s="404"/>
      <c r="C41" s="405"/>
      <c r="D41" s="405"/>
    </row>
    <row r="42" spans="1:4" x14ac:dyDescent="0.25">
      <c r="A42" s="403">
        <v>36839</v>
      </c>
      <c r="B42" s="404" t="s">
        <v>337</v>
      </c>
      <c r="C42" s="405"/>
      <c r="D42" s="405" t="s">
        <v>338</v>
      </c>
    </row>
    <row r="43" spans="1:4" x14ac:dyDescent="0.25">
      <c r="A43" s="406"/>
      <c r="B43" s="404"/>
      <c r="C43" s="405"/>
      <c r="D43" s="405"/>
    </row>
    <row r="44" spans="1:4" x14ac:dyDescent="0.25">
      <c r="A44" s="403">
        <v>36847</v>
      </c>
      <c r="B44" s="404" t="s">
        <v>339</v>
      </c>
      <c r="C44" s="405" t="s">
        <v>340</v>
      </c>
      <c r="D44" s="405" t="s">
        <v>341</v>
      </c>
    </row>
    <row r="45" spans="1:4" x14ac:dyDescent="0.25">
      <c r="A45" s="406"/>
      <c r="B45" s="404"/>
      <c r="C45" s="405"/>
      <c r="D45" s="405"/>
    </row>
    <row r="46" spans="1:4" x14ac:dyDescent="0.25">
      <c r="A46" s="403">
        <v>36886</v>
      </c>
      <c r="B46" s="404" t="s">
        <v>343</v>
      </c>
      <c r="C46" s="405" t="s">
        <v>344</v>
      </c>
      <c r="D46" s="405" t="s">
        <v>345</v>
      </c>
    </row>
    <row r="47" spans="1:4" x14ac:dyDescent="0.25">
      <c r="A47" s="406"/>
      <c r="B47" s="404"/>
      <c r="C47" s="405"/>
      <c r="D47" s="405"/>
    </row>
    <row r="48" spans="1:4" x14ac:dyDescent="0.25">
      <c r="A48" s="406"/>
      <c r="B48" s="404"/>
      <c r="C48" s="405"/>
      <c r="D48" s="405"/>
    </row>
    <row r="49" spans="1:4" x14ac:dyDescent="0.25">
      <c r="A49" s="406"/>
      <c r="B49" s="404"/>
      <c r="C49" s="405"/>
      <c r="D49" s="405"/>
    </row>
    <row r="50" spans="1:4" x14ac:dyDescent="0.25">
      <c r="A50" s="406"/>
      <c r="B50" s="404"/>
      <c r="C50" s="405"/>
      <c r="D50" s="405"/>
    </row>
    <row r="51" spans="1:4" x14ac:dyDescent="0.25">
      <c r="A51" s="406"/>
      <c r="B51" s="404"/>
      <c r="C51" s="405"/>
      <c r="D51" s="405"/>
    </row>
    <row r="52" spans="1:4" x14ac:dyDescent="0.25">
      <c r="A52" s="406"/>
      <c r="B52" s="404"/>
      <c r="C52" s="405"/>
      <c r="D52" s="405"/>
    </row>
    <row r="53" spans="1:4" x14ac:dyDescent="0.25">
      <c r="A53" s="406"/>
      <c r="B53" s="404"/>
      <c r="C53" s="405"/>
      <c r="D53" s="405"/>
    </row>
    <row r="54" spans="1:4" x14ac:dyDescent="0.25">
      <c r="A54" s="406"/>
      <c r="B54" s="404"/>
      <c r="C54" s="405"/>
      <c r="D54" s="405"/>
    </row>
    <row r="55" spans="1:4" x14ac:dyDescent="0.25">
      <c r="A55" s="406"/>
      <c r="B55" s="404"/>
      <c r="C55" s="405"/>
      <c r="D55" s="405"/>
    </row>
    <row r="56" spans="1:4" x14ac:dyDescent="0.25">
      <c r="A56" s="406"/>
      <c r="B56" s="404"/>
      <c r="C56" s="405"/>
      <c r="D56" s="405"/>
    </row>
    <row r="57" spans="1:4" x14ac:dyDescent="0.25">
      <c r="A57" s="406"/>
      <c r="B57" s="404"/>
      <c r="C57" s="405"/>
      <c r="D57" s="405"/>
    </row>
    <row r="58" spans="1:4" x14ac:dyDescent="0.25">
      <c r="A58" s="406"/>
      <c r="B58" s="404"/>
      <c r="C58" s="405"/>
      <c r="D58" s="405"/>
    </row>
    <row r="59" spans="1:4" x14ac:dyDescent="0.25">
      <c r="A59" s="406"/>
      <c r="B59" s="404"/>
      <c r="C59" s="405"/>
      <c r="D59" s="405"/>
    </row>
    <row r="60" spans="1:4" x14ac:dyDescent="0.25">
      <c r="A60" s="406"/>
      <c r="B60" s="404"/>
      <c r="C60" s="405"/>
      <c r="D60" s="405"/>
    </row>
    <row r="61" spans="1:4" x14ac:dyDescent="0.25">
      <c r="A61" s="406"/>
      <c r="B61" s="404"/>
      <c r="C61" s="405"/>
      <c r="D61" s="405"/>
    </row>
    <row r="62" spans="1:4" x14ac:dyDescent="0.25">
      <c r="A62" s="406"/>
      <c r="B62" s="404"/>
      <c r="C62" s="405"/>
      <c r="D62" s="405"/>
    </row>
    <row r="63" spans="1:4" x14ac:dyDescent="0.25">
      <c r="A63" s="406"/>
      <c r="B63" s="404"/>
      <c r="C63" s="405"/>
      <c r="D63" s="405"/>
    </row>
    <row r="64" spans="1:4" x14ac:dyDescent="0.25">
      <c r="A64" s="406"/>
      <c r="B64" s="404"/>
      <c r="C64" s="405"/>
      <c r="D64" s="405"/>
    </row>
    <row r="65" spans="1:4" x14ac:dyDescent="0.25">
      <c r="A65" s="406"/>
      <c r="B65" s="404"/>
      <c r="C65" s="405"/>
      <c r="D65" s="405"/>
    </row>
    <row r="66" spans="1:4" x14ac:dyDescent="0.25">
      <c r="A66" s="406"/>
      <c r="B66" s="404"/>
      <c r="C66" s="405"/>
      <c r="D66" s="405"/>
    </row>
    <row r="67" spans="1:4" x14ac:dyDescent="0.25">
      <c r="A67" s="406"/>
      <c r="B67" s="404"/>
      <c r="C67" s="405"/>
      <c r="D67" s="405"/>
    </row>
    <row r="68" spans="1:4" x14ac:dyDescent="0.25">
      <c r="A68" s="406"/>
      <c r="B68" s="404"/>
      <c r="C68" s="405"/>
      <c r="D68" s="405"/>
    </row>
    <row r="69" spans="1:4" x14ac:dyDescent="0.25">
      <c r="A69" s="406"/>
      <c r="B69" s="404"/>
      <c r="C69" s="405"/>
      <c r="D69" s="405"/>
    </row>
    <row r="70" spans="1:4" x14ac:dyDescent="0.25">
      <c r="A70" s="406"/>
      <c r="B70" s="404"/>
      <c r="C70" s="405"/>
      <c r="D70" s="405"/>
    </row>
    <row r="71" spans="1:4" x14ac:dyDescent="0.25">
      <c r="A71" s="406"/>
      <c r="B71" s="404"/>
      <c r="C71" s="405"/>
      <c r="D71" s="405"/>
    </row>
    <row r="72" spans="1:4" x14ac:dyDescent="0.25">
      <c r="A72" s="406"/>
      <c r="B72" s="404"/>
      <c r="C72" s="405"/>
      <c r="D72" s="405"/>
    </row>
    <row r="73" spans="1:4" x14ac:dyDescent="0.25">
      <c r="A73" s="406"/>
      <c r="B73" s="404"/>
      <c r="C73" s="405"/>
      <c r="D73" s="405"/>
    </row>
    <row r="74" spans="1:4" x14ac:dyDescent="0.25">
      <c r="A74" s="406"/>
      <c r="B74" s="404"/>
      <c r="C74" s="405"/>
      <c r="D74" s="405"/>
    </row>
    <row r="75" spans="1:4" x14ac:dyDescent="0.25">
      <c r="A75" s="406"/>
      <c r="B75" s="404"/>
      <c r="C75" s="405"/>
      <c r="D75" s="405"/>
    </row>
    <row r="76" spans="1:4" x14ac:dyDescent="0.25">
      <c r="A76" s="406"/>
      <c r="B76" s="404"/>
      <c r="C76" s="405"/>
      <c r="D76" s="405"/>
    </row>
    <row r="77" spans="1:4" x14ac:dyDescent="0.25">
      <c r="A77" s="406"/>
      <c r="B77" s="404"/>
      <c r="C77" s="405"/>
      <c r="D77" s="405"/>
    </row>
    <row r="78" spans="1:4" x14ac:dyDescent="0.25">
      <c r="A78" s="406"/>
      <c r="B78" s="404"/>
      <c r="C78" s="405"/>
      <c r="D78" s="405"/>
    </row>
    <row r="79" spans="1:4" x14ac:dyDescent="0.25">
      <c r="A79" s="406"/>
      <c r="B79" s="404"/>
      <c r="C79" s="405"/>
      <c r="D79" s="405"/>
    </row>
    <row r="80" spans="1:4" x14ac:dyDescent="0.25">
      <c r="A80" s="406"/>
      <c r="B80" s="404"/>
      <c r="C80" s="405"/>
      <c r="D80" s="405"/>
    </row>
    <row r="81" spans="1:4" x14ac:dyDescent="0.25">
      <c r="A81" s="406"/>
      <c r="B81" s="404"/>
      <c r="C81" s="405"/>
      <c r="D81" s="405"/>
    </row>
    <row r="82" spans="1:4" x14ac:dyDescent="0.25">
      <c r="A82" s="406"/>
      <c r="B82" s="404"/>
      <c r="C82" s="405"/>
      <c r="D82" s="405"/>
    </row>
    <row r="83" spans="1:4" x14ac:dyDescent="0.25">
      <c r="A83" s="406"/>
      <c r="B83" s="404"/>
      <c r="C83" s="405"/>
      <c r="D83" s="405"/>
    </row>
    <row r="84" spans="1:4" x14ac:dyDescent="0.25">
      <c r="A84" s="406"/>
      <c r="B84" s="404"/>
      <c r="C84" s="405"/>
      <c r="D84" s="405"/>
    </row>
    <row r="85" spans="1:4" x14ac:dyDescent="0.25">
      <c r="A85" s="406"/>
      <c r="B85" s="404"/>
      <c r="C85" s="405"/>
      <c r="D85" s="405"/>
    </row>
    <row r="86" spans="1:4" x14ac:dyDescent="0.25">
      <c r="A86" s="406"/>
      <c r="B86" s="404"/>
      <c r="C86" s="405"/>
      <c r="D86" s="405"/>
    </row>
    <row r="87" spans="1:4" x14ac:dyDescent="0.25">
      <c r="A87" s="406"/>
      <c r="B87" s="404"/>
      <c r="C87" s="405"/>
      <c r="D87" s="405"/>
    </row>
    <row r="88" spans="1:4" x14ac:dyDescent="0.25">
      <c r="A88" s="406"/>
      <c r="B88" s="404"/>
      <c r="C88" s="405"/>
      <c r="D88" s="405"/>
    </row>
    <row r="89" spans="1:4" x14ac:dyDescent="0.25">
      <c r="A89" s="406"/>
      <c r="B89" s="404"/>
      <c r="C89" s="405"/>
      <c r="D89" s="405"/>
    </row>
    <row r="90" spans="1:4" x14ac:dyDescent="0.25">
      <c r="A90" s="406"/>
      <c r="B90" s="404"/>
      <c r="C90" s="405"/>
      <c r="D90" s="405"/>
    </row>
    <row r="91" spans="1:4" x14ac:dyDescent="0.25">
      <c r="A91" s="406"/>
      <c r="B91" s="404"/>
      <c r="C91" s="405"/>
      <c r="D91" s="405"/>
    </row>
    <row r="92" spans="1:4" x14ac:dyDescent="0.25">
      <c r="A92" s="406"/>
      <c r="B92" s="404"/>
      <c r="C92" s="405"/>
      <c r="D92" s="405"/>
    </row>
    <row r="93" spans="1:4" x14ac:dyDescent="0.25">
      <c r="A93" s="406"/>
      <c r="B93" s="404"/>
      <c r="C93" s="405"/>
      <c r="D93" s="405"/>
    </row>
    <row r="94" spans="1:4" x14ac:dyDescent="0.25">
      <c r="A94" s="406"/>
      <c r="B94" s="404"/>
      <c r="C94" s="405"/>
      <c r="D94" s="405"/>
    </row>
    <row r="95" spans="1:4" x14ac:dyDescent="0.25">
      <c r="A95" s="406"/>
      <c r="B95" s="404"/>
      <c r="C95" s="405"/>
      <c r="D95" s="405"/>
    </row>
    <row r="96" spans="1:4" x14ac:dyDescent="0.25">
      <c r="A96" s="406"/>
      <c r="B96" s="404"/>
      <c r="C96" s="405"/>
      <c r="D96" s="405"/>
    </row>
    <row r="97" spans="1:4" x14ac:dyDescent="0.25">
      <c r="A97" s="406"/>
      <c r="B97" s="404"/>
      <c r="C97" s="405"/>
      <c r="D97" s="405"/>
    </row>
    <row r="98" spans="1:4" x14ac:dyDescent="0.25">
      <c r="A98" s="406"/>
      <c r="B98" s="404"/>
      <c r="C98" s="405"/>
      <c r="D98" s="405"/>
    </row>
    <row r="99" spans="1:4" x14ac:dyDescent="0.25">
      <c r="A99" s="406"/>
      <c r="B99" s="404"/>
      <c r="C99" s="405"/>
      <c r="D99" s="405"/>
    </row>
    <row r="100" spans="1:4" x14ac:dyDescent="0.25">
      <c r="A100" s="406"/>
      <c r="B100" s="404"/>
      <c r="C100" s="405"/>
      <c r="D100" s="405"/>
    </row>
    <row r="101" spans="1:4" x14ac:dyDescent="0.25">
      <c r="A101" s="406"/>
      <c r="B101" s="404"/>
      <c r="C101" s="405"/>
      <c r="D101" s="405"/>
    </row>
    <row r="102" spans="1:4" x14ac:dyDescent="0.25">
      <c r="A102" s="406"/>
      <c r="B102" s="404"/>
      <c r="C102" s="405"/>
      <c r="D102" s="405"/>
    </row>
    <row r="103" spans="1:4" x14ac:dyDescent="0.25">
      <c r="A103" s="406"/>
      <c r="B103" s="404"/>
      <c r="C103" s="405"/>
      <c r="D103" s="405"/>
    </row>
    <row r="104" spans="1:4" x14ac:dyDescent="0.25">
      <c r="A104" s="406"/>
      <c r="B104" s="404"/>
      <c r="C104" s="405"/>
      <c r="D104" s="405"/>
    </row>
    <row r="105" spans="1:4" x14ac:dyDescent="0.25">
      <c r="A105" s="406"/>
      <c r="B105" s="404"/>
      <c r="C105" s="405"/>
      <c r="D105" s="405"/>
    </row>
    <row r="106" spans="1:4" x14ac:dyDescent="0.25">
      <c r="A106" s="406"/>
      <c r="B106" s="404"/>
      <c r="C106" s="405"/>
      <c r="D106" s="405"/>
    </row>
    <row r="107" spans="1:4" x14ac:dyDescent="0.25">
      <c r="A107" s="406"/>
      <c r="B107" s="404"/>
      <c r="C107" s="405"/>
      <c r="D107" s="405"/>
    </row>
    <row r="108" spans="1:4" x14ac:dyDescent="0.25">
      <c r="A108" s="406"/>
      <c r="B108" s="404"/>
      <c r="C108" s="405"/>
      <c r="D108" s="405"/>
    </row>
    <row r="109" spans="1:4" x14ac:dyDescent="0.25">
      <c r="A109" s="406"/>
      <c r="B109" s="404"/>
      <c r="C109" s="405"/>
      <c r="D109" s="405"/>
    </row>
    <row r="110" spans="1:4" x14ac:dyDescent="0.25">
      <c r="A110" s="406"/>
      <c r="B110" s="404"/>
      <c r="C110" s="405"/>
      <c r="D110" s="405"/>
    </row>
    <row r="111" spans="1:4" x14ac:dyDescent="0.25">
      <c r="A111" s="406"/>
      <c r="B111" s="404"/>
      <c r="C111" s="405"/>
      <c r="D111" s="405"/>
    </row>
    <row r="112" spans="1:4" x14ac:dyDescent="0.25">
      <c r="A112" s="406"/>
      <c r="B112" s="404"/>
      <c r="C112" s="405"/>
      <c r="D112" s="405"/>
    </row>
    <row r="113" spans="1:4" x14ac:dyDescent="0.25">
      <c r="A113" s="406"/>
      <c r="B113" s="404"/>
      <c r="C113" s="405"/>
      <c r="D113" s="405"/>
    </row>
    <row r="114" spans="1:4" x14ac:dyDescent="0.25">
      <c r="A114" s="406"/>
      <c r="B114" s="404"/>
      <c r="C114" s="405"/>
      <c r="D114" s="405"/>
    </row>
    <row r="115" spans="1:4" x14ac:dyDescent="0.25">
      <c r="A115" s="406"/>
      <c r="B115" s="404"/>
      <c r="C115" s="405"/>
      <c r="D115" s="405"/>
    </row>
    <row r="116" spans="1:4" x14ac:dyDescent="0.25">
      <c r="A116" s="406"/>
      <c r="B116" s="404"/>
      <c r="C116" s="405"/>
      <c r="D116" s="405"/>
    </row>
    <row r="117" spans="1:4" x14ac:dyDescent="0.25">
      <c r="A117" s="406"/>
      <c r="B117" s="404"/>
      <c r="C117" s="405"/>
      <c r="D117" s="405"/>
    </row>
    <row r="118" spans="1:4" x14ac:dyDescent="0.25">
      <c r="A118" s="406"/>
      <c r="B118" s="404"/>
      <c r="C118" s="405"/>
      <c r="D118" s="405"/>
    </row>
    <row r="119" spans="1:4" x14ac:dyDescent="0.25">
      <c r="A119" s="406"/>
      <c r="B119" s="404"/>
      <c r="C119" s="405"/>
      <c r="D119" s="405"/>
    </row>
    <row r="120" spans="1:4" x14ac:dyDescent="0.25">
      <c r="A120" s="406"/>
      <c r="B120" s="404"/>
      <c r="C120" s="405"/>
      <c r="D120" s="405"/>
    </row>
    <row r="121" spans="1:4" x14ac:dyDescent="0.25">
      <c r="A121" s="406"/>
      <c r="B121" s="404"/>
      <c r="C121" s="405"/>
      <c r="D121" s="405"/>
    </row>
    <row r="122" spans="1:4" x14ac:dyDescent="0.25">
      <c r="A122" s="406"/>
      <c r="B122" s="404"/>
      <c r="C122" s="405"/>
      <c r="D122" s="405"/>
    </row>
    <row r="123" spans="1:4" x14ac:dyDescent="0.25">
      <c r="A123" s="406"/>
      <c r="B123" s="404"/>
      <c r="C123" s="405"/>
      <c r="D123" s="405"/>
    </row>
    <row r="124" spans="1:4" x14ac:dyDescent="0.25">
      <c r="A124" s="406"/>
      <c r="B124" s="404"/>
      <c r="C124" s="405"/>
      <c r="D124" s="405"/>
    </row>
    <row r="125" spans="1:4" x14ac:dyDescent="0.25">
      <c r="A125" s="406"/>
      <c r="B125" s="404"/>
      <c r="C125" s="405"/>
      <c r="D125" s="405"/>
    </row>
    <row r="126" spans="1:4" x14ac:dyDescent="0.25">
      <c r="A126" s="406"/>
      <c r="B126" s="404"/>
      <c r="C126" s="405"/>
      <c r="D126" s="405"/>
    </row>
    <row r="127" spans="1:4" x14ac:dyDescent="0.25">
      <c r="A127" s="406"/>
      <c r="B127" s="404"/>
      <c r="C127" s="405"/>
      <c r="D127" s="405"/>
    </row>
    <row r="128" spans="1:4" x14ac:dyDescent="0.25">
      <c r="A128" s="406"/>
      <c r="B128" s="404"/>
      <c r="C128" s="405"/>
      <c r="D128" s="405"/>
    </row>
    <row r="129" spans="1:4" x14ac:dyDescent="0.25">
      <c r="A129" s="406"/>
      <c r="B129" s="404"/>
      <c r="C129" s="405"/>
      <c r="D129" s="405"/>
    </row>
    <row r="130" spans="1:4" x14ac:dyDescent="0.25">
      <c r="A130" s="406"/>
      <c r="B130" s="404"/>
      <c r="C130" s="405"/>
      <c r="D130" s="405"/>
    </row>
    <row r="131" spans="1:4" x14ac:dyDescent="0.25">
      <c r="A131" s="406"/>
      <c r="B131" s="404"/>
      <c r="C131" s="405"/>
      <c r="D131" s="405"/>
    </row>
    <row r="132" spans="1:4" x14ac:dyDescent="0.25">
      <c r="A132" s="406"/>
      <c r="B132" s="404"/>
      <c r="C132" s="405"/>
      <c r="D132" s="405"/>
    </row>
    <row r="133" spans="1:4" x14ac:dyDescent="0.25">
      <c r="A133" s="406"/>
      <c r="B133" s="404"/>
      <c r="C133" s="405"/>
      <c r="D133" s="405"/>
    </row>
    <row r="134" spans="1:4" x14ac:dyDescent="0.25">
      <c r="A134" s="406"/>
      <c r="B134" s="404"/>
      <c r="C134" s="405"/>
      <c r="D134" s="405"/>
    </row>
    <row r="135" spans="1:4" x14ac:dyDescent="0.25">
      <c r="A135" s="406"/>
      <c r="B135" s="404"/>
      <c r="C135" s="405"/>
      <c r="D135" s="405"/>
    </row>
    <row r="136" spans="1:4" x14ac:dyDescent="0.25">
      <c r="A136" s="406"/>
      <c r="B136" s="404"/>
      <c r="C136" s="405"/>
      <c r="D136" s="405"/>
    </row>
    <row r="137" spans="1:4" x14ac:dyDescent="0.25">
      <c r="A137" s="406"/>
      <c r="B137" s="404"/>
      <c r="C137" s="405"/>
      <c r="D137" s="405"/>
    </row>
    <row r="138" spans="1:4" x14ac:dyDescent="0.25">
      <c r="A138" s="406"/>
      <c r="B138" s="404"/>
      <c r="C138" s="405"/>
      <c r="D138" s="405"/>
    </row>
    <row r="139" spans="1:4" x14ac:dyDescent="0.25">
      <c r="A139" s="406"/>
      <c r="B139" s="404"/>
      <c r="C139" s="405"/>
      <c r="D139" s="405"/>
    </row>
    <row r="140" spans="1:4" x14ac:dyDescent="0.25">
      <c r="A140" s="406"/>
      <c r="B140" s="404"/>
      <c r="C140" s="405"/>
      <c r="D140" s="405"/>
    </row>
    <row r="141" spans="1:4" x14ac:dyDescent="0.25">
      <c r="A141" s="406"/>
      <c r="B141" s="404"/>
      <c r="C141" s="405"/>
      <c r="D141" s="405"/>
    </row>
    <row r="142" spans="1:4" x14ac:dyDescent="0.25">
      <c r="A142" s="406"/>
      <c r="B142" s="404"/>
      <c r="C142" s="405"/>
      <c r="D142" s="405"/>
    </row>
    <row r="143" spans="1:4" x14ac:dyDescent="0.25">
      <c r="A143" s="406"/>
      <c r="B143" s="404"/>
      <c r="C143" s="405"/>
      <c r="D143" s="405"/>
    </row>
    <row r="144" spans="1:4" x14ac:dyDescent="0.25">
      <c r="A144" s="406"/>
      <c r="B144" s="404"/>
      <c r="C144" s="405"/>
      <c r="D144" s="405"/>
    </row>
    <row r="145" spans="1:4" x14ac:dyDescent="0.25">
      <c r="A145" s="406"/>
      <c r="B145" s="404"/>
      <c r="C145" s="405"/>
      <c r="D145" s="405"/>
    </row>
    <row r="146" spans="1:4" x14ac:dyDescent="0.25">
      <c r="A146" s="406"/>
      <c r="B146" s="404"/>
      <c r="C146" s="405"/>
      <c r="D146" s="405"/>
    </row>
    <row r="147" spans="1:4" x14ac:dyDescent="0.25">
      <c r="A147" s="406"/>
      <c r="B147" s="404"/>
      <c r="C147" s="405"/>
      <c r="D147" s="405"/>
    </row>
    <row r="148" spans="1:4" x14ac:dyDescent="0.25">
      <c r="A148" s="406"/>
      <c r="B148" s="404"/>
      <c r="C148" s="405"/>
      <c r="D148" s="405"/>
    </row>
    <row r="149" spans="1:4" x14ac:dyDescent="0.25">
      <c r="A149" s="406"/>
      <c r="B149" s="404"/>
      <c r="C149" s="405"/>
      <c r="D149" s="405"/>
    </row>
    <row r="150" spans="1:4" x14ac:dyDescent="0.25">
      <c r="A150" s="406"/>
      <c r="B150" s="404"/>
      <c r="C150" s="405"/>
      <c r="D150" s="405"/>
    </row>
    <row r="151" spans="1:4" x14ac:dyDescent="0.25">
      <c r="A151" s="406"/>
      <c r="B151" s="404"/>
      <c r="C151" s="405"/>
      <c r="D151" s="405"/>
    </row>
    <row r="152" spans="1:4" x14ac:dyDescent="0.25">
      <c r="A152" s="406"/>
      <c r="B152" s="404"/>
      <c r="C152" s="405"/>
      <c r="D152" s="405"/>
    </row>
    <row r="153" spans="1:4" x14ac:dyDescent="0.25">
      <c r="A153" s="406"/>
      <c r="B153" s="404"/>
      <c r="C153" s="405"/>
      <c r="D153" s="405"/>
    </row>
    <row r="154" spans="1:4" x14ac:dyDescent="0.25">
      <c r="A154" s="406"/>
      <c r="B154" s="404"/>
      <c r="C154" s="405"/>
      <c r="D154" s="405"/>
    </row>
    <row r="155" spans="1:4" x14ac:dyDescent="0.25">
      <c r="A155" s="406"/>
      <c r="B155" s="404"/>
      <c r="C155" s="405"/>
      <c r="D155" s="405"/>
    </row>
    <row r="156" spans="1:4" x14ac:dyDescent="0.25">
      <c r="A156" s="406"/>
      <c r="B156" s="404"/>
      <c r="C156" s="405"/>
      <c r="D156" s="405"/>
    </row>
    <row r="157" spans="1:4" x14ac:dyDescent="0.25">
      <c r="A157" s="406"/>
      <c r="B157" s="404"/>
      <c r="C157" s="405"/>
      <c r="D157" s="405"/>
    </row>
    <row r="158" spans="1:4" x14ac:dyDescent="0.25">
      <c r="A158" s="406"/>
      <c r="B158" s="404"/>
      <c r="C158" s="405"/>
      <c r="D158" s="405"/>
    </row>
    <row r="159" spans="1:4" x14ac:dyDescent="0.25">
      <c r="A159" s="406"/>
      <c r="B159" s="404"/>
      <c r="C159" s="405"/>
      <c r="D159" s="405"/>
    </row>
    <row r="160" spans="1:4" x14ac:dyDescent="0.25">
      <c r="A160" s="406"/>
      <c r="B160" s="404"/>
      <c r="C160" s="405"/>
      <c r="D160" s="405"/>
    </row>
    <row r="161" spans="1:4" x14ac:dyDescent="0.25">
      <c r="A161" s="406"/>
      <c r="B161" s="404"/>
      <c r="C161" s="405"/>
      <c r="D161" s="405"/>
    </row>
    <row r="162" spans="1:4" x14ac:dyDescent="0.25">
      <c r="A162" s="406"/>
      <c r="B162" s="404"/>
      <c r="C162" s="405"/>
      <c r="D162" s="405"/>
    </row>
    <row r="163" spans="1:4" x14ac:dyDescent="0.25">
      <c r="A163" s="406"/>
      <c r="B163" s="404"/>
      <c r="C163" s="405"/>
      <c r="D163" s="405"/>
    </row>
    <row r="164" spans="1:4" x14ac:dyDescent="0.25">
      <c r="A164" s="406"/>
      <c r="B164" s="404"/>
      <c r="C164" s="405"/>
      <c r="D164" s="405"/>
    </row>
    <row r="165" spans="1:4" x14ac:dyDescent="0.25">
      <c r="A165" s="406"/>
      <c r="B165" s="404"/>
      <c r="C165" s="405"/>
      <c r="D165" s="405"/>
    </row>
    <row r="166" spans="1:4" x14ac:dyDescent="0.25">
      <c r="A166" s="406"/>
      <c r="B166" s="404"/>
      <c r="C166" s="405"/>
      <c r="D166" s="405"/>
    </row>
    <row r="167" spans="1:4" x14ac:dyDescent="0.25">
      <c r="A167" s="406"/>
      <c r="B167" s="404"/>
      <c r="C167" s="405"/>
      <c r="D167" s="405"/>
    </row>
    <row r="168" spans="1:4" x14ac:dyDescent="0.25">
      <c r="A168" s="406"/>
      <c r="B168" s="404"/>
      <c r="C168" s="405"/>
      <c r="D168" s="405"/>
    </row>
    <row r="169" spans="1:4" x14ac:dyDescent="0.25">
      <c r="A169" s="406"/>
      <c r="B169" s="404"/>
      <c r="C169" s="405"/>
      <c r="D169" s="405"/>
    </row>
    <row r="170" spans="1:4" x14ac:dyDescent="0.25">
      <c r="A170" s="406"/>
      <c r="B170" s="404"/>
      <c r="C170" s="405"/>
      <c r="D170" s="405"/>
    </row>
    <row r="171" spans="1:4" x14ac:dyDescent="0.25">
      <c r="A171" s="406"/>
      <c r="B171" s="404"/>
      <c r="C171" s="405"/>
      <c r="D171" s="405"/>
    </row>
    <row r="172" spans="1:4" x14ac:dyDescent="0.25">
      <c r="A172" s="406"/>
      <c r="B172" s="404"/>
      <c r="C172" s="405"/>
      <c r="D172" s="405"/>
    </row>
    <row r="173" spans="1:4" x14ac:dyDescent="0.25">
      <c r="A173" s="406"/>
      <c r="B173" s="404"/>
      <c r="C173" s="405"/>
      <c r="D173" s="405"/>
    </row>
    <row r="174" spans="1:4" x14ac:dyDescent="0.25">
      <c r="A174" s="406"/>
      <c r="B174" s="404"/>
      <c r="C174" s="405"/>
      <c r="D174" s="405"/>
    </row>
    <row r="175" spans="1:4" x14ac:dyDescent="0.25">
      <c r="A175" s="406"/>
      <c r="B175" s="404"/>
      <c r="C175" s="405"/>
      <c r="D175" s="405"/>
    </row>
    <row r="176" spans="1:4" x14ac:dyDescent="0.25">
      <c r="A176" s="406"/>
      <c r="B176" s="404"/>
      <c r="C176" s="405"/>
      <c r="D176" s="405"/>
    </row>
    <row r="177" spans="1:4" x14ac:dyDescent="0.25">
      <c r="A177" s="406"/>
      <c r="B177" s="404"/>
      <c r="C177" s="405"/>
      <c r="D177" s="405"/>
    </row>
    <row r="178" spans="1:4" x14ac:dyDescent="0.25">
      <c r="A178" s="406"/>
      <c r="B178" s="404"/>
      <c r="C178" s="405"/>
      <c r="D178" s="405"/>
    </row>
    <row r="179" spans="1:4" x14ac:dyDescent="0.25">
      <c r="A179" s="406"/>
      <c r="B179" s="404"/>
      <c r="C179" s="405"/>
      <c r="D179" s="405"/>
    </row>
    <row r="180" spans="1:4" x14ac:dyDescent="0.25">
      <c r="A180" s="406"/>
      <c r="B180" s="404"/>
      <c r="C180" s="405"/>
      <c r="D180" s="405"/>
    </row>
    <row r="181" spans="1:4" x14ac:dyDescent="0.25">
      <c r="A181" s="406"/>
      <c r="B181" s="404"/>
      <c r="C181" s="405"/>
      <c r="D181" s="405"/>
    </row>
    <row r="182" spans="1:4" x14ac:dyDescent="0.25">
      <c r="A182" s="406"/>
      <c r="B182" s="404"/>
      <c r="C182" s="405"/>
      <c r="D182" s="405"/>
    </row>
    <row r="183" spans="1:4" x14ac:dyDescent="0.25">
      <c r="A183" s="406"/>
      <c r="B183" s="404"/>
      <c r="C183" s="405"/>
      <c r="D183" s="405"/>
    </row>
    <row r="184" spans="1:4" x14ac:dyDescent="0.25">
      <c r="A184" s="406"/>
      <c r="B184" s="404"/>
      <c r="C184" s="405"/>
      <c r="D184" s="405"/>
    </row>
    <row r="185" spans="1:4" x14ac:dyDescent="0.25">
      <c r="A185" s="406"/>
      <c r="B185" s="404"/>
      <c r="C185" s="405"/>
      <c r="D185" s="405"/>
    </row>
    <row r="186" spans="1:4" x14ac:dyDescent="0.25">
      <c r="A186" s="406"/>
      <c r="B186" s="404"/>
      <c r="C186" s="405"/>
      <c r="D186" s="405"/>
    </row>
    <row r="187" spans="1:4" x14ac:dyDescent="0.25">
      <c r="A187" s="406"/>
      <c r="B187" s="404"/>
      <c r="C187" s="405"/>
      <c r="D187" s="405"/>
    </row>
    <row r="188" spans="1:4" x14ac:dyDescent="0.25">
      <c r="A188" s="406"/>
      <c r="B188" s="404"/>
      <c r="C188" s="405"/>
      <c r="D188" s="405"/>
    </row>
    <row r="189" spans="1:4" x14ac:dyDescent="0.25">
      <c r="A189" s="406"/>
      <c r="B189" s="404"/>
      <c r="C189" s="405"/>
      <c r="D189" s="405"/>
    </row>
    <row r="190" spans="1:4" x14ac:dyDescent="0.25">
      <c r="A190" s="406"/>
      <c r="B190" s="404"/>
      <c r="C190" s="405"/>
      <c r="D190" s="405"/>
    </row>
    <row r="191" spans="1:4" x14ac:dyDescent="0.25">
      <c r="A191" s="406"/>
      <c r="B191" s="404"/>
      <c r="C191" s="405"/>
      <c r="D191" s="405"/>
    </row>
    <row r="192" spans="1:4" x14ac:dyDescent="0.25">
      <c r="A192" s="406"/>
      <c r="B192" s="404"/>
      <c r="C192" s="405"/>
      <c r="D192" s="405"/>
    </row>
    <row r="193" spans="1:4" x14ac:dyDescent="0.25">
      <c r="A193" s="406"/>
      <c r="B193" s="404"/>
      <c r="C193" s="405"/>
      <c r="D193" s="405"/>
    </row>
    <row r="194" spans="1:4" x14ac:dyDescent="0.25">
      <c r="A194" s="406"/>
      <c r="B194" s="404"/>
      <c r="C194" s="405"/>
      <c r="D194" s="405"/>
    </row>
    <row r="195" spans="1:4" x14ac:dyDescent="0.25">
      <c r="A195" s="406"/>
      <c r="B195" s="404"/>
      <c r="C195" s="405"/>
      <c r="D195" s="405"/>
    </row>
    <row r="196" spans="1:4" x14ac:dyDescent="0.25">
      <c r="A196" s="406"/>
      <c r="B196" s="404"/>
      <c r="C196" s="405"/>
      <c r="D196" s="405"/>
    </row>
    <row r="197" spans="1:4" x14ac:dyDescent="0.25">
      <c r="A197" s="406"/>
      <c r="B197" s="404"/>
      <c r="C197" s="405"/>
      <c r="D197" s="405"/>
    </row>
    <row r="198" spans="1:4" x14ac:dyDescent="0.25">
      <c r="A198" s="406"/>
      <c r="B198" s="404"/>
      <c r="C198" s="405"/>
      <c r="D198" s="405"/>
    </row>
    <row r="199" spans="1:4" x14ac:dyDescent="0.25">
      <c r="A199" s="406"/>
      <c r="B199" s="404"/>
      <c r="C199" s="405"/>
      <c r="D199" s="405"/>
    </row>
    <row r="200" spans="1:4" x14ac:dyDescent="0.25">
      <c r="A200" s="406"/>
      <c r="B200" s="404"/>
      <c r="C200" s="405"/>
      <c r="D200" s="405"/>
    </row>
    <row r="201" spans="1:4" x14ac:dyDescent="0.25">
      <c r="A201" s="406"/>
      <c r="B201" s="404"/>
      <c r="C201" s="405"/>
      <c r="D201" s="405"/>
    </row>
    <row r="202" spans="1:4" x14ac:dyDescent="0.25">
      <c r="A202" s="406"/>
      <c r="B202" s="404"/>
      <c r="C202" s="405"/>
      <c r="D202" s="405"/>
    </row>
    <row r="203" spans="1:4" x14ac:dyDescent="0.25">
      <c r="A203" s="406"/>
      <c r="B203" s="404"/>
      <c r="C203" s="405"/>
      <c r="D203" s="405"/>
    </row>
    <row r="204" spans="1:4" x14ac:dyDescent="0.25">
      <c r="A204" s="406"/>
      <c r="B204" s="404"/>
      <c r="C204" s="405"/>
      <c r="D204" s="405"/>
    </row>
    <row r="205" spans="1:4" x14ac:dyDescent="0.25">
      <c r="A205" s="406"/>
      <c r="B205" s="404"/>
      <c r="C205" s="405"/>
      <c r="D205" s="405"/>
    </row>
    <row r="206" spans="1:4" x14ac:dyDescent="0.25">
      <c r="A206" s="406"/>
      <c r="B206" s="404"/>
      <c r="C206" s="405"/>
      <c r="D206" s="405"/>
    </row>
    <row r="207" spans="1:4" x14ac:dyDescent="0.25">
      <c r="A207" s="406"/>
      <c r="B207" s="404"/>
      <c r="C207" s="405"/>
      <c r="D207" s="405"/>
    </row>
    <row r="208" spans="1:4" x14ac:dyDescent="0.25">
      <c r="A208" s="406"/>
      <c r="B208" s="404"/>
      <c r="C208" s="405"/>
      <c r="D208" s="405"/>
    </row>
    <row r="209" spans="1:4" x14ac:dyDescent="0.25">
      <c r="A209" s="406"/>
      <c r="B209" s="404"/>
      <c r="C209" s="405"/>
      <c r="D209" s="405"/>
    </row>
    <row r="210" spans="1:4" x14ac:dyDescent="0.25">
      <c r="A210" s="406"/>
      <c r="B210" s="404"/>
      <c r="C210" s="405"/>
      <c r="D210" s="405"/>
    </row>
    <row r="211" spans="1:4" x14ac:dyDescent="0.25">
      <c r="A211" s="406"/>
      <c r="B211" s="404"/>
      <c r="C211" s="405"/>
      <c r="D211" s="405"/>
    </row>
    <row r="212" spans="1:4" x14ac:dyDescent="0.25">
      <c r="A212" s="406"/>
      <c r="B212" s="404"/>
      <c r="C212" s="405"/>
      <c r="D212" s="405"/>
    </row>
    <row r="213" spans="1:4" x14ac:dyDescent="0.25">
      <c r="A213" s="406"/>
      <c r="B213" s="404"/>
      <c r="C213" s="405"/>
      <c r="D213" s="405"/>
    </row>
    <row r="214" spans="1:4" x14ac:dyDescent="0.25">
      <c r="A214" s="406"/>
      <c r="B214" s="404"/>
      <c r="C214" s="405"/>
      <c r="D214" s="405"/>
    </row>
    <row r="215" spans="1:4" x14ac:dyDescent="0.25">
      <c r="A215" s="406"/>
      <c r="B215" s="404"/>
      <c r="C215" s="405"/>
      <c r="D215" s="405"/>
    </row>
    <row r="216" spans="1:4" x14ac:dyDescent="0.25">
      <c r="A216" s="406"/>
      <c r="B216" s="404"/>
      <c r="C216" s="405"/>
      <c r="D216" s="405"/>
    </row>
    <row r="217" spans="1:4" x14ac:dyDescent="0.25">
      <c r="A217" s="406"/>
      <c r="B217" s="404"/>
      <c r="C217" s="405"/>
      <c r="D217" s="405"/>
    </row>
    <row r="218" spans="1:4" x14ac:dyDescent="0.25">
      <c r="A218" s="406"/>
      <c r="B218" s="404"/>
      <c r="C218" s="405"/>
      <c r="D218" s="405"/>
    </row>
    <row r="219" spans="1:4" x14ac:dyDescent="0.25">
      <c r="A219" s="406"/>
      <c r="B219" s="404"/>
      <c r="C219" s="405"/>
      <c r="D219" s="405"/>
    </row>
    <row r="220" spans="1:4" x14ac:dyDescent="0.25">
      <c r="A220" s="406"/>
      <c r="B220" s="404"/>
      <c r="C220" s="405"/>
      <c r="D220" s="405"/>
    </row>
    <row r="221" spans="1:4" x14ac:dyDescent="0.25">
      <c r="A221" s="406"/>
      <c r="B221" s="404"/>
      <c r="C221" s="405"/>
      <c r="D221" s="405"/>
    </row>
    <row r="222" spans="1:4" x14ac:dyDescent="0.25">
      <c r="A222" s="406"/>
      <c r="B222" s="404"/>
      <c r="C222" s="405"/>
      <c r="D222" s="405"/>
    </row>
    <row r="223" spans="1:4" x14ac:dyDescent="0.25">
      <c r="A223" s="406"/>
      <c r="B223" s="404"/>
      <c r="C223" s="405"/>
      <c r="D223" s="405"/>
    </row>
    <row r="224" spans="1:4" x14ac:dyDescent="0.25">
      <c r="A224" s="406"/>
      <c r="B224" s="404"/>
      <c r="C224" s="405"/>
      <c r="D224" s="405"/>
    </row>
    <row r="225" spans="1:4" x14ac:dyDescent="0.25">
      <c r="A225" s="406"/>
      <c r="B225" s="404"/>
      <c r="C225" s="405"/>
      <c r="D225" s="405"/>
    </row>
    <row r="226" spans="1:4" x14ac:dyDescent="0.25">
      <c r="A226" s="406"/>
      <c r="B226" s="404"/>
      <c r="C226" s="405"/>
      <c r="D226" s="405"/>
    </row>
    <row r="227" spans="1:4" x14ac:dyDescent="0.25">
      <c r="A227" s="406"/>
      <c r="B227" s="404"/>
      <c r="C227" s="405"/>
      <c r="D227" s="405"/>
    </row>
    <row r="228" spans="1:4" x14ac:dyDescent="0.25">
      <c r="A228" s="406"/>
      <c r="B228" s="404"/>
      <c r="C228" s="405"/>
      <c r="D228" s="405"/>
    </row>
    <row r="229" spans="1:4" x14ac:dyDescent="0.25">
      <c r="A229" s="406"/>
      <c r="B229" s="404"/>
      <c r="C229" s="405"/>
      <c r="D229" s="405"/>
    </row>
    <row r="230" spans="1:4" x14ac:dyDescent="0.25">
      <c r="A230" s="406"/>
      <c r="B230" s="404"/>
      <c r="C230" s="405"/>
      <c r="D230" s="405"/>
    </row>
    <row r="231" spans="1:4" x14ac:dyDescent="0.25">
      <c r="A231" s="406"/>
      <c r="B231" s="404"/>
      <c r="C231" s="405"/>
      <c r="D231" s="405"/>
    </row>
    <row r="232" spans="1:4" x14ac:dyDescent="0.25">
      <c r="A232" s="406"/>
      <c r="B232" s="404"/>
      <c r="C232" s="405"/>
      <c r="D232" s="405"/>
    </row>
    <row r="233" spans="1:4" x14ac:dyDescent="0.25">
      <c r="A233" s="406"/>
      <c r="B233" s="404"/>
      <c r="C233" s="405"/>
      <c r="D233" s="405"/>
    </row>
    <row r="234" spans="1:4" x14ac:dyDescent="0.25">
      <c r="A234" s="406"/>
      <c r="B234" s="404"/>
      <c r="C234" s="405"/>
      <c r="D234" s="405"/>
    </row>
    <row r="235" spans="1:4" x14ac:dyDescent="0.25">
      <c r="A235" s="406"/>
      <c r="B235" s="404"/>
      <c r="C235" s="405"/>
      <c r="D235" s="405"/>
    </row>
    <row r="236" spans="1:4" x14ac:dyDescent="0.25">
      <c r="A236" s="406"/>
      <c r="B236" s="404"/>
      <c r="C236" s="405"/>
      <c r="D236" s="405"/>
    </row>
    <row r="237" spans="1:4" x14ac:dyDescent="0.25">
      <c r="A237" s="406"/>
      <c r="B237" s="404"/>
      <c r="C237" s="405"/>
      <c r="D237" s="405"/>
    </row>
    <row r="238" spans="1:4" x14ac:dyDescent="0.25">
      <c r="A238" s="406"/>
      <c r="B238" s="404"/>
      <c r="C238" s="405"/>
      <c r="D238" s="405"/>
    </row>
    <row r="239" spans="1:4" x14ac:dyDescent="0.25">
      <c r="A239" s="406"/>
      <c r="B239" s="404"/>
      <c r="C239" s="405"/>
      <c r="D239" s="405"/>
    </row>
    <row r="240" spans="1:4" x14ac:dyDescent="0.25">
      <c r="A240" s="406"/>
      <c r="B240" s="404"/>
      <c r="C240" s="405"/>
      <c r="D240" s="405"/>
    </row>
    <row r="241" spans="1:4" x14ac:dyDescent="0.25">
      <c r="A241" s="406"/>
      <c r="B241" s="404"/>
      <c r="C241" s="405"/>
      <c r="D241" s="405"/>
    </row>
    <row r="242" spans="1:4" x14ac:dyDescent="0.25">
      <c r="A242" s="406"/>
      <c r="B242" s="404"/>
      <c r="C242" s="405"/>
      <c r="D242" s="405"/>
    </row>
    <row r="243" spans="1:4" x14ac:dyDescent="0.25">
      <c r="A243" s="406"/>
      <c r="B243" s="404"/>
      <c r="C243" s="405"/>
      <c r="D243" s="405"/>
    </row>
    <row r="244" spans="1:4" x14ac:dyDescent="0.25">
      <c r="A244" s="406"/>
      <c r="B244" s="404"/>
      <c r="C244" s="405"/>
      <c r="D244" s="405"/>
    </row>
    <row r="245" spans="1:4" x14ac:dyDescent="0.25">
      <c r="A245" s="406"/>
      <c r="B245" s="404"/>
      <c r="C245" s="405"/>
      <c r="D245" s="405"/>
    </row>
    <row r="246" spans="1:4" x14ac:dyDescent="0.25">
      <c r="A246" s="406"/>
      <c r="B246" s="404"/>
      <c r="C246" s="405"/>
      <c r="D246" s="405"/>
    </row>
    <row r="247" spans="1:4" x14ac:dyDescent="0.25">
      <c r="A247" s="406"/>
      <c r="B247" s="404"/>
      <c r="C247" s="405"/>
      <c r="D247" s="405"/>
    </row>
    <row r="248" spans="1:4" x14ac:dyDescent="0.25">
      <c r="A248" s="406"/>
      <c r="B248" s="404"/>
      <c r="C248" s="405"/>
      <c r="D248" s="405"/>
    </row>
    <row r="249" spans="1:4" x14ac:dyDescent="0.25">
      <c r="A249" s="406"/>
      <c r="B249" s="404"/>
      <c r="C249" s="405"/>
      <c r="D249" s="405"/>
    </row>
    <row r="250" spans="1:4" x14ac:dyDescent="0.25">
      <c r="A250" s="406"/>
      <c r="B250" s="404"/>
      <c r="C250" s="405"/>
      <c r="D250" s="405"/>
    </row>
    <row r="251" spans="1:4" x14ac:dyDescent="0.25">
      <c r="A251" s="406"/>
      <c r="B251" s="404"/>
      <c r="C251" s="405"/>
      <c r="D251" s="405"/>
    </row>
    <row r="252" spans="1:4" x14ac:dyDescent="0.25">
      <c r="A252" s="406"/>
      <c r="B252" s="404"/>
      <c r="C252" s="405"/>
      <c r="D252" s="405"/>
    </row>
    <row r="253" spans="1:4" x14ac:dyDescent="0.25">
      <c r="A253" s="406"/>
      <c r="B253" s="404"/>
      <c r="C253" s="405"/>
      <c r="D253" s="405"/>
    </row>
    <row r="254" spans="1:4" x14ac:dyDescent="0.25">
      <c r="A254" s="406"/>
      <c r="B254" s="404"/>
      <c r="C254" s="405"/>
      <c r="D254" s="405"/>
    </row>
    <row r="255" spans="1:4" x14ac:dyDescent="0.25">
      <c r="A255" s="406"/>
      <c r="B255" s="404"/>
      <c r="C255" s="405"/>
      <c r="D255" s="405"/>
    </row>
    <row r="256" spans="1:4" x14ac:dyDescent="0.25">
      <c r="A256" s="406"/>
      <c r="B256" s="404"/>
      <c r="C256" s="405"/>
      <c r="D256" s="405"/>
    </row>
    <row r="257" spans="1:4" x14ac:dyDescent="0.25">
      <c r="A257" s="406"/>
      <c r="B257" s="404"/>
      <c r="C257" s="405"/>
      <c r="D257" s="405"/>
    </row>
    <row r="258" spans="1:4" x14ac:dyDescent="0.25">
      <c r="A258" s="406"/>
      <c r="B258" s="404"/>
      <c r="C258" s="405"/>
      <c r="D258" s="405"/>
    </row>
    <row r="259" spans="1:4" x14ac:dyDescent="0.25">
      <c r="A259" s="406"/>
      <c r="B259" s="404"/>
      <c r="C259" s="405"/>
      <c r="D259" s="405"/>
    </row>
    <row r="260" spans="1:4" x14ac:dyDescent="0.25">
      <c r="A260" s="406"/>
      <c r="B260" s="404"/>
      <c r="C260" s="405"/>
      <c r="D260" s="405"/>
    </row>
    <row r="261" spans="1:4" x14ac:dyDescent="0.25">
      <c r="A261" s="406"/>
      <c r="B261" s="404"/>
      <c r="C261" s="405"/>
      <c r="D261" s="405"/>
    </row>
    <row r="262" spans="1:4" x14ac:dyDescent="0.25">
      <c r="A262" s="406"/>
      <c r="B262" s="404"/>
      <c r="C262" s="405"/>
      <c r="D262" s="405"/>
    </row>
    <row r="263" spans="1:4" x14ac:dyDescent="0.25">
      <c r="A263" s="406"/>
      <c r="B263" s="404"/>
      <c r="C263" s="405"/>
      <c r="D263" s="405"/>
    </row>
    <row r="264" spans="1:4" x14ac:dyDescent="0.25">
      <c r="A264" s="406"/>
      <c r="B264" s="404"/>
      <c r="C264" s="405"/>
      <c r="D264" s="405"/>
    </row>
    <row r="265" spans="1:4" x14ac:dyDescent="0.25">
      <c r="A265" s="406"/>
      <c r="B265" s="404"/>
      <c r="C265" s="405"/>
      <c r="D265" s="405"/>
    </row>
    <row r="266" spans="1:4" x14ac:dyDescent="0.25">
      <c r="A266" s="406"/>
      <c r="B266" s="404"/>
      <c r="C266" s="405"/>
      <c r="D266" s="405"/>
    </row>
    <row r="267" spans="1:4" x14ac:dyDescent="0.25">
      <c r="A267" s="406"/>
      <c r="B267" s="404"/>
      <c r="C267" s="405"/>
      <c r="D267" s="405"/>
    </row>
    <row r="268" spans="1:4" x14ac:dyDescent="0.25">
      <c r="A268" s="406"/>
      <c r="B268" s="404"/>
      <c r="C268" s="405"/>
      <c r="D268" s="405"/>
    </row>
    <row r="269" spans="1:4" x14ac:dyDescent="0.25">
      <c r="A269" s="406"/>
      <c r="B269" s="404"/>
      <c r="C269" s="405"/>
      <c r="D269" s="405"/>
    </row>
    <row r="270" spans="1:4" x14ac:dyDescent="0.25">
      <c r="A270" s="406"/>
      <c r="B270" s="404"/>
      <c r="C270" s="405"/>
      <c r="D270" s="405"/>
    </row>
    <row r="271" spans="1:4" x14ac:dyDescent="0.25">
      <c r="A271" s="406"/>
      <c r="B271" s="404"/>
      <c r="C271" s="405"/>
      <c r="D271" s="405"/>
    </row>
    <row r="272" spans="1:4" x14ac:dyDescent="0.25">
      <c r="A272" s="406"/>
      <c r="B272" s="404"/>
      <c r="C272" s="405"/>
      <c r="D272" s="405"/>
    </row>
    <row r="273" spans="1:4" x14ac:dyDescent="0.25">
      <c r="A273" s="406"/>
      <c r="B273" s="404"/>
      <c r="C273" s="405"/>
      <c r="D273" s="405"/>
    </row>
    <row r="274" spans="1:4" x14ac:dyDescent="0.25">
      <c r="A274" s="406"/>
      <c r="B274" s="404"/>
      <c r="C274" s="405"/>
      <c r="D274" s="405"/>
    </row>
    <row r="275" spans="1:4" x14ac:dyDescent="0.25">
      <c r="A275" s="406"/>
      <c r="B275" s="404"/>
      <c r="C275" s="405"/>
      <c r="D275" s="405"/>
    </row>
    <row r="276" spans="1:4" x14ac:dyDescent="0.25">
      <c r="A276" s="406"/>
      <c r="B276" s="404"/>
      <c r="C276" s="405"/>
      <c r="D276" s="405"/>
    </row>
    <row r="277" spans="1:4" x14ac:dyDescent="0.25">
      <c r="A277" s="406"/>
      <c r="B277" s="404"/>
      <c r="C277" s="405"/>
      <c r="D277" s="405"/>
    </row>
    <row r="278" spans="1:4" x14ac:dyDescent="0.25">
      <c r="A278" s="406"/>
      <c r="B278" s="404"/>
      <c r="C278" s="405"/>
      <c r="D278" s="405"/>
    </row>
    <row r="279" spans="1:4" x14ac:dyDescent="0.25">
      <c r="A279" s="406"/>
      <c r="B279" s="404"/>
      <c r="C279" s="405"/>
      <c r="D279" s="405"/>
    </row>
    <row r="280" spans="1:4" x14ac:dyDescent="0.25">
      <c r="A280" s="406"/>
      <c r="B280" s="404"/>
      <c r="C280" s="405"/>
      <c r="D280" s="405"/>
    </row>
    <row r="281" spans="1:4" x14ac:dyDescent="0.25">
      <c r="A281" s="406"/>
      <c r="B281" s="404"/>
      <c r="C281" s="405"/>
      <c r="D281" s="405"/>
    </row>
    <row r="282" spans="1:4" x14ac:dyDescent="0.25">
      <c r="A282" s="406"/>
      <c r="B282" s="404"/>
      <c r="C282" s="405"/>
      <c r="D282" s="405"/>
    </row>
    <row r="283" spans="1:4" x14ac:dyDescent="0.25">
      <c r="A283" s="406"/>
      <c r="B283" s="404"/>
      <c r="C283" s="405"/>
      <c r="D283" s="405"/>
    </row>
    <row r="284" spans="1:4" x14ac:dyDescent="0.25">
      <c r="A284" s="406"/>
      <c r="B284" s="404"/>
      <c r="C284" s="405"/>
      <c r="D284" s="405"/>
    </row>
    <row r="285" spans="1:4" x14ac:dyDescent="0.25">
      <c r="A285" s="406"/>
      <c r="B285" s="404"/>
      <c r="C285" s="405"/>
      <c r="D285" s="405"/>
    </row>
    <row r="286" spans="1:4" x14ac:dyDescent="0.25">
      <c r="A286" s="406"/>
      <c r="B286" s="404"/>
      <c r="C286" s="405"/>
      <c r="D286" s="405"/>
    </row>
    <row r="287" spans="1:4" x14ac:dyDescent="0.25">
      <c r="A287" s="406"/>
      <c r="B287" s="404"/>
      <c r="C287" s="405"/>
      <c r="D287" s="405"/>
    </row>
    <row r="288" spans="1:4" x14ac:dyDescent="0.25">
      <c r="A288" s="406"/>
      <c r="B288" s="404"/>
      <c r="C288" s="405"/>
      <c r="D288" s="405"/>
    </row>
    <row r="289" spans="1:4" x14ac:dyDescent="0.25">
      <c r="A289" s="406"/>
      <c r="B289" s="404"/>
      <c r="C289" s="405"/>
      <c r="D289" s="405"/>
    </row>
    <row r="290" spans="1:4" x14ac:dyDescent="0.25">
      <c r="A290" s="406"/>
      <c r="B290" s="404"/>
      <c r="C290" s="405"/>
      <c r="D290" s="405"/>
    </row>
    <row r="291" spans="1:4" x14ac:dyDescent="0.25">
      <c r="A291" s="406"/>
      <c r="B291" s="404"/>
      <c r="C291" s="405"/>
      <c r="D291" s="405"/>
    </row>
    <row r="292" spans="1:4" x14ac:dyDescent="0.25">
      <c r="A292" s="406"/>
      <c r="B292" s="404"/>
      <c r="C292" s="405"/>
      <c r="D292" s="405"/>
    </row>
    <row r="293" spans="1:4" x14ac:dyDescent="0.25">
      <c r="A293" s="406"/>
      <c r="B293" s="404"/>
      <c r="C293" s="405"/>
      <c r="D293" s="405"/>
    </row>
    <row r="294" spans="1:4" x14ac:dyDescent="0.25">
      <c r="A294" s="406"/>
      <c r="B294" s="404"/>
      <c r="C294" s="405"/>
      <c r="D294" s="405"/>
    </row>
    <row r="295" spans="1:4" x14ac:dyDescent="0.25">
      <c r="A295" s="406"/>
      <c r="B295" s="404"/>
      <c r="C295" s="405"/>
      <c r="D295" s="405"/>
    </row>
    <row r="296" spans="1:4" x14ac:dyDescent="0.25">
      <c r="A296" s="406"/>
      <c r="B296" s="404"/>
      <c r="C296" s="405"/>
      <c r="D296" s="405"/>
    </row>
    <row r="297" spans="1:4" x14ac:dyDescent="0.25">
      <c r="A297" s="406"/>
      <c r="B297" s="404"/>
      <c r="C297" s="405"/>
      <c r="D297" s="405"/>
    </row>
    <row r="298" spans="1:4" x14ac:dyDescent="0.25">
      <c r="A298" s="406"/>
      <c r="B298" s="404"/>
      <c r="C298" s="405"/>
      <c r="D298" s="405"/>
    </row>
    <row r="299" spans="1:4" x14ac:dyDescent="0.25">
      <c r="A299" s="406"/>
      <c r="B299" s="404"/>
      <c r="C299" s="405"/>
      <c r="D299" s="405"/>
    </row>
    <row r="300" spans="1:4" x14ac:dyDescent="0.25">
      <c r="A300" s="406"/>
      <c r="B300" s="404"/>
      <c r="C300" s="405"/>
      <c r="D300" s="405"/>
    </row>
    <row r="301" spans="1:4" x14ac:dyDescent="0.25">
      <c r="A301" s="406"/>
      <c r="B301" s="404"/>
      <c r="C301" s="405"/>
      <c r="D301" s="405"/>
    </row>
    <row r="302" spans="1:4" x14ac:dyDescent="0.25">
      <c r="A302" s="406"/>
      <c r="B302" s="404"/>
      <c r="C302" s="405"/>
      <c r="D302" s="405"/>
    </row>
    <row r="303" spans="1:4" x14ac:dyDescent="0.25">
      <c r="A303" s="406"/>
      <c r="B303" s="404"/>
      <c r="C303" s="405"/>
      <c r="D303" s="405"/>
    </row>
    <row r="304" spans="1:4" x14ac:dyDescent="0.25">
      <c r="A304" s="406"/>
      <c r="B304" s="404"/>
      <c r="C304" s="405"/>
      <c r="D304" s="405"/>
    </row>
    <row r="305" spans="1:4" x14ac:dyDescent="0.25">
      <c r="A305" s="406"/>
      <c r="B305" s="404"/>
      <c r="C305" s="405"/>
      <c r="D305" s="405"/>
    </row>
    <row r="306" spans="1:4" x14ac:dyDescent="0.25">
      <c r="A306" s="406"/>
      <c r="B306" s="404"/>
      <c r="C306" s="405"/>
      <c r="D306" s="405"/>
    </row>
    <row r="307" spans="1:4" x14ac:dyDescent="0.25">
      <c r="A307" s="406"/>
      <c r="B307" s="404"/>
      <c r="C307" s="405"/>
      <c r="D307" s="405"/>
    </row>
    <row r="308" spans="1:4" x14ac:dyDescent="0.25">
      <c r="A308" s="406"/>
      <c r="B308" s="404"/>
      <c r="C308" s="405"/>
      <c r="D308" s="405"/>
    </row>
    <row r="309" spans="1:4" x14ac:dyDescent="0.25">
      <c r="A309" s="406"/>
      <c r="B309" s="404"/>
      <c r="C309" s="405"/>
      <c r="D309" s="405"/>
    </row>
    <row r="310" spans="1:4" x14ac:dyDescent="0.25">
      <c r="A310" s="406"/>
      <c r="B310" s="404"/>
      <c r="C310" s="405"/>
      <c r="D310" s="405"/>
    </row>
    <row r="311" spans="1:4" x14ac:dyDescent="0.25">
      <c r="A311" s="406"/>
      <c r="B311" s="404"/>
      <c r="C311" s="405"/>
      <c r="D311" s="405"/>
    </row>
    <row r="312" spans="1:4" x14ac:dyDescent="0.25">
      <c r="A312" s="406"/>
      <c r="B312" s="404"/>
      <c r="C312" s="405"/>
      <c r="D312" s="405"/>
    </row>
    <row r="313" spans="1:4" x14ac:dyDescent="0.25">
      <c r="A313" s="406"/>
      <c r="B313" s="404"/>
      <c r="C313" s="405"/>
      <c r="D313" s="405"/>
    </row>
    <row r="314" spans="1:4" x14ac:dyDescent="0.25">
      <c r="A314" s="406"/>
      <c r="B314" s="404"/>
      <c r="C314" s="405"/>
      <c r="D314" s="405"/>
    </row>
    <row r="315" spans="1:4" x14ac:dyDescent="0.25">
      <c r="A315" s="406"/>
      <c r="B315" s="404"/>
      <c r="C315" s="405"/>
      <c r="D315" s="405"/>
    </row>
    <row r="316" spans="1:4" x14ac:dyDescent="0.25">
      <c r="A316" s="406"/>
      <c r="B316" s="404"/>
      <c r="C316" s="405"/>
      <c r="D316" s="405"/>
    </row>
    <row r="317" spans="1:4" x14ac:dyDescent="0.25">
      <c r="A317" s="406"/>
      <c r="B317" s="404"/>
      <c r="C317" s="405"/>
      <c r="D317" s="405"/>
    </row>
    <row r="318" spans="1:4" x14ac:dyDescent="0.25">
      <c r="A318" s="406"/>
      <c r="B318" s="404"/>
      <c r="C318" s="405"/>
      <c r="D318" s="405"/>
    </row>
    <row r="319" spans="1:4" x14ac:dyDescent="0.25">
      <c r="A319" s="406"/>
      <c r="B319" s="404"/>
      <c r="C319" s="405"/>
      <c r="D319" s="405"/>
    </row>
    <row r="320" spans="1:4" x14ac:dyDescent="0.25">
      <c r="A320" s="406"/>
      <c r="B320" s="404"/>
      <c r="C320" s="405"/>
      <c r="D320" s="405"/>
    </row>
    <row r="321" spans="1:4" x14ac:dyDescent="0.25">
      <c r="A321" s="406"/>
      <c r="B321" s="404"/>
      <c r="C321" s="405"/>
      <c r="D321" s="405"/>
    </row>
    <row r="322" spans="1:4" x14ac:dyDescent="0.25">
      <c r="A322" s="406"/>
      <c r="B322" s="404"/>
      <c r="C322" s="405"/>
      <c r="D322" s="405"/>
    </row>
    <row r="323" spans="1:4" x14ac:dyDescent="0.25">
      <c r="A323" s="406"/>
      <c r="B323" s="404"/>
      <c r="C323" s="405"/>
      <c r="D323" s="405"/>
    </row>
    <row r="324" spans="1:4" x14ac:dyDescent="0.25">
      <c r="A324" s="406"/>
      <c r="B324" s="404"/>
      <c r="C324" s="405"/>
      <c r="D324" s="405"/>
    </row>
    <row r="325" spans="1:4" x14ac:dyDescent="0.25">
      <c r="A325" s="406"/>
      <c r="B325" s="404"/>
      <c r="C325" s="405"/>
      <c r="D325" s="405"/>
    </row>
    <row r="326" spans="1:4" x14ac:dyDescent="0.25">
      <c r="A326" s="406"/>
      <c r="B326" s="404"/>
      <c r="C326" s="405"/>
      <c r="D326" s="405"/>
    </row>
    <row r="327" spans="1:4" x14ac:dyDescent="0.25">
      <c r="A327" s="406"/>
      <c r="B327" s="404"/>
      <c r="C327" s="405"/>
      <c r="D327" s="405"/>
    </row>
    <row r="328" spans="1:4" x14ac:dyDescent="0.25">
      <c r="A328" s="406"/>
      <c r="B328" s="404"/>
      <c r="C328" s="405"/>
      <c r="D328" s="405"/>
    </row>
    <row r="329" spans="1:4" x14ac:dyDescent="0.25">
      <c r="A329" s="406"/>
      <c r="B329" s="404"/>
      <c r="C329" s="405"/>
      <c r="D329" s="405"/>
    </row>
    <row r="330" spans="1:4" x14ac:dyDescent="0.25">
      <c r="A330" s="406"/>
      <c r="B330" s="404"/>
      <c r="C330" s="405"/>
      <c r="D330" s="405"/>
    </row>
    <row r="331" spans="1:4" x14ac:dyDescent="0.25">
      <c r="A331" s="406"/>
      <c r="B331" s="404"/>
      <c r="C331" s="405"/>
      <c r="D331" s="405"/>
    </row>
    <row r="332" spans="1:4" x14ac:dyDescent="0.25">
      <c r="A332" s="406"/>
      <c r="B332" s="404"/>
      <c r="C332" s="405"/>
      <c r="D332" s="405"/>
    </row>
    <row r="333" spans="1:4" x14ac:dyDescent="0.25">
      <c r="A333" s="406"/>
      <c r="B333" s="404"/>
      <c r="C333" s="405"/>
      <c r="D333" s="405"/>
    </row>
    <row r="334" spans="1:4" x14ac:dyDescent="0.25">
      <c r="A334" s="406"/>
      <c r="B334" s="404"/>
      <c r="C334" s="405"/>
      <c r="D334" s="405"/>
    </row>
    <row r="335" spans="1:4" x14ac:dyDescent="0.25">
      <c r="A335" s="406"/>
      <c r="B335" s="404"/>
      <c r="C335" s="405"/>
      <c r="D335" s="405"/>
    </row>
    <row r="336" spans="1:4" x14ac:dyDescent="0.25">
      <c r="A336" s="406"/>
      <c r="B336" s="404"/>
      <c r="C336" s="405"/>
      <c r="D336" s="405"/>
    </row>
    <row r="337" spans="1:4" x14ac:dyDescent="0.25">
      <c r="A337" s="406"/>
      <c r="B337" s="404"/>
      <c r="C337" s="405"/>
      <c r="D337" s="405"/>
    </row>
    <row r="338" spans="1:4" x14ac:dyDescent="0.25">
      <c r="A338" s="406"/>
      <c r="B338" s="404"/>
      <c r="C338" s="405"/>
      <c r="D338" s="405"/>
    </row>
    <row r="339" spans="1:4" x14ac:dyDescent="0.25">
      <c r="A339" s="406"/>
      <c r="B339" s="404"/>
      <c r="C339" s="405"/>
      <c r="D339" s="405"/>
    </row>
    <row r="340" spans="1:4" x14ac:dyDescent="0.25">
      <c r="A340" s="406"/>
      <c r="B340" s="404"/>
      <c r="C340" s="405"/>
      <c r="D340" s="405"/>
    </row>
    <row r="341" spans="1:4" x14ac:dyDescent="0.25">
      <c r="A341" s="406"/>
      <c r="B341" s="404"/>
      <c r="C341" s="405"/>
      <c r="D341" s="405"/>
    </row>
    <row r="342" spans="1:4" x14ac:dyDescent="0.25">
      <c r="A342" s="406"/>
      <c r="B342" s="404"/>
      <c r="C342" s="405"/>
      <c r="D342" s="405"/>
    </row>
    <row r="343" spans="1:4" x14ac:dyDescent="0.25">
      <c r="A343" s="406"/>
      <c r="B343" s="404"/>
      <c r="C343" s="405"/>
      <c r="D343" s="405"/>
    </row>
    <row r="344" spans="1:4" x14ac:dyDescent="0.25">
      <c r="A344" s="406"/>
      <c r="B344" s="404"/>
      <c r="C344" s="405"/>
      <c r="D344" s="405"/>
    </row>
    <row r="345" spans="1:4" x14ac:dyDescent="0.25">
      <c r="A345" s="406"/>
      <c r="B345" s="404"/>
      <c r="C345" s="405"/>
      <c r="D345" s="405"/>
    </row>
    <row r="346" spans="1:4" x14ac:dyDescent="0.25">
      <c r="A346" s="406"/>
      <c r="B346" s="404"/>
      <c r="C346" s="405"/>
      <c r="D346" s="405"/>
    </row>
    <row r="347" spans="1:4" x14ac:dyDescent="0.25">
      <c r="A347" s="406"/>
      <c r="B347" s="404"/>
      <c r="C347" s="405"/>
      <c r="D347" s="405"/>
    </row>
    <row r="348" spans="1:4" x14ac:dyDescent="0.25">
      <c r="A348" s="406"/>
      <c r="B348" s="404"/>
      <c r="C348" s="405"/>
      <c r="D348" s="405"/>
    </row>
    <row r="349" spans="1:4" x14ac:dyDescent="0.25">
      <c r="A349" s="406"/>
      <c r="B349" s="404"/>
      <c r="C349" s="405"/>
      <c r="D349" s="405"/>
    </row>
    <row r="350" spans="1:4" x14ac:dyDescent="0.25">
      <c r="A350" s="406"/>
      <c r="B350" s="404"/>
      <c r="C350" s="405"/>
      <c r="D350" s="405"/>
    </row>
    <row r="351" spans="1:4" x14ac:dyDescent="0.25">
      <c r="A351" s="406"/>
      <c r="B351" s="404"/>
      <c r="C351" s="405"/>
      <c r="D351" s="405"/>
    </row>
    <row r="352" spans="1:4" x14ac:dyDescent="0.25">
      <c r="A352" s="406"/>
      <c r="B352" s="404"/>
      <c r="C352" s="405"/>
      <c r="D352" s="405"/>
    </row>
    <row r="353" spans="1:4" x14ac:dyDescent="0.25">
      <c r="A353" s="406"/>
      <c r="B353" s="404"/>
      <c r="C353" s="405"/>
      <c r="D353" s="405"/>
    </row>
    <row r="354" spans="1:4" x14ac:dyDescent="0.25">
      <c r="A354" s="406"/>
      <c r="B354" s="404"/>
      <c r="C354" s="405"/>
      <c r="D354" s="405"/>
    </row>
    <row r="355" spans="1:4" x14ac:dyDescent="0.25">
      <c r="A355" s="406"/>
      <c r="B355" s="404"/>
      <c r="C355" s="405"/>
      <c r="D355" s="405"/>
    </row>
    <row r="356" spans="1:4" x14ac:dyDescent="0.25">
      <c r="A356" s="406"/>
      <c r="B356" s="404"/>
      <c r="C356" s="405"/>
      <c r="D356" s="405"/>
    </row>
    <row r="357" spans="1:4" x14ac:dyDescent="0.25">
      <c r="A357" s="406"/>
      <c r="B357" s="404"/>
      <c r="C357" s="405"/>
      <c r="D357" s="405"/>
    </row>
    <row r="358" spans="1:4" x14ac:dyDescent="0.25">
      <c r="A358" s="406"/>
      <c r="B358" s="404"/>
      <c r="C358" s="405"/>
      <c r="D358" s="405"/>
    </row>
    <row r="359" spans="1:4" x14ac:dyDescent="0.25">
      <c r="A359" s="406"/>
      <c r="B359" s="404"/>
      <c r="C359" s="405"/>
      <c r="D359" s="405"/>
    </row>
    <row r="360" spans="1:4" x14ac:dyDescent="0.25">
      <c r="A360" s="406"/>
      <c r="B360" s="404"/>
      <c r="C360" s="405"/>
      <c r="D360" s="405"/>
    </row>
    <row r="361" spans="1:4" x14ac:dyDescent="0.25">
      <c r="A361" s="406"/>
      <c r="B361" s="404"/>
      <c r="C361" s="405"/>
      <c r="D361" s="405"/>
    </row>
    <row r="362" spans="1:4" x14ac:dyDescent="0.25">
      <c r="A362" s="406"/>
      <c r="B362" s="404"/>
      <c r="C362" s="405"/>
      <c r="D362" s="405"/>
    </row>
    <row r="363" spans="1:4" x14ac:dyDescent="0.25">
      <c r="A363" s="406"/>
      <c r="B363" s="404"/>
      <c r="C363" s="405"/>
      <c r="D363" s="405"/>
    </row>
    <row r="364" spans="1:4" x14ac:dyDescent="0.25">
      <c r="A364" s="406"/>
      <c r="B364" s="404"/>
      <c r="C364" s="405"/>
      <c r="D364" s="405"/>
    </row>
    <row r="365" spans="1:4" x14ac:dyDescent="0.25">
      <c r="A365" s="406"/>
      <c r="B365" s="404"/>
      <c r="C365" s="405"/>
      <c r="D365" s="405"/>
    </row>
    <row r="366" spans="1:4" x14ac:dyDescent="0.25">
      <c r="A366" s="406"/>
      <c r="B366" s="404"/>
      <c r="C366" s="405"/>
      <c r="D366" s="405"/>
    </row>
    <row r="367" spans="1:4" x14ac:dyDescent="0.25">
      <c r="A367" s="406"/>
      <c r="B367" s="404"/>
      <c r="C367" s="405"/>
      <c r="D367" s="405"/>
    </row>
    <row r="368" spans="1:4" x14ac:dyDescent="0.25">
      <c r="A368" s="406"/>
      <c r="B368" s="404"/>
      <c r="C368" s="405"/>
      <c r="D368" s="405"/>
    </row>
    <row r="369" spans="1:4" x14ac:dyDescent="0.25">
      <c r="A369" s="406"/>
      <c r="B369" s="404"/>
      <c r="C369" s="405"/>
      <c r="D369" s="405"/>
    </row>
    <row r="370" spans="1:4" x14ac:dyDescent="0.25">
      <c r="A370" s="406"/>
      <c r="B370" s="404"/>
      <c r="C370" s="405"/>
      <c r="D370" s="405"/>
    </row>
    <row r="371" spans="1:4" x14ac:dyDescent="0.25">
      <c r="A371" s="406"/>
      <c r="B371" s="404"/>
      <c r="C371" s="405"/>
      <c r="D371" s="405"/>
    </row>
    <row r="372" spans="1:4" x14ac:dyDescent="0.25">
      <c r="A372" s="406"/>
      <c r="B372" s="404"/>
      <c r="C372" s="405"/>
      <c r="D372" s="405"/>
    </row>
    <row r="373" spans="1:4" x14ac:dyDescent="0.25">
      <c r="A373" s="406"/>
      <c r="B373" s="404"/>
      <c r="C373" s="405"/>
      <c r="D373" s="405"/>
    </row>
    <row r="374" spans="1:4" x14ac:dyDescent="0.25">
      <c r="A374" s="406"/>
      <c r="B374" s="404"/>
      <c r="C374" s="405"/>
      <c r="D374" s="405"/>
    </row>
    <row r="375" spans="1:4" x14ac:dyDescent="0.25">
      <c r="A375" s="406"/>
      <c r="B375" s="404"/>
      <c r="C375" s="405"/>
      <c r="D375" s="405"/>
    </row>
    <row r="376" spans="1:4" x14ac:dyDescent="0.25">
      <c r="A376" s="406"/>
      <c r="B376" s="404"/>
      <c r="C376" s="405"/>
      <c r="D376" s="405"/>
    </row>
    <row r="377" spans="1:4" x14ac:dyDescent="0.25">
      <c r="A377" s="406"/>
      <c r="B377" s="404"/>
      <c r="C377" s="405"/>
      <c r="D377" s="405"/>
    </row>
    <row r="378" spans="1:4" x14ac:dyDescent="0.25">
      <c r="A378" s="406"/>
      <c r="B378" s="404"/>
      <c r="C378" s="405"/>
      <c r="D378" s="405"/>
    </row>
    <row r="379" spans="1:4" x14ac:dyDescent="0.25">
      <c r="A379" s="406"/>
      <c r="B379" s="404"/>
      <c r="C379" s="405"/>
      <c r="D379" s="405"/>
    </row>
    <row r="380" spans="1:4" x14ac:dyDescent="0.25">
      <c r="A380" s="406"/>
      <c r="B380" s="404"/>
      <c r="C380" s="405"/>
      <c r="D380" s="405"/>
    </row>
    <row r="381" spans="1:4" x14ac:dyDescent="0.25">
      <c r="A381" s="405"/>
      <c r="B381" s="404"/>
      <c r="C381" s="405"/>
      <c r="D381" s="405"/>
    </row>
    <row r="382" spans="1:4" x14ac:dyDescent="0.25">
      <c r="A382" s="405"/>
      <c r="B382" s="404"/>
      <c r="C382" s="405"/>
      <c r="D382" s="405"/>
    </row>
    <row r="383" spans="1:4" x14ac:dyDescent="0.25">
      <c r="A383" s="405"/>
      <c r="B383" s="404"/>
      <c r="C383" s="405"/>
      <c r="D383" s="405"/>
    </row>
    <row r="384" spans="1:4" x14ac:dyDescent="0.25">
      <c r="A384" s="405"/>
      <c r="B384" s="404"/>
      <c r="C384" s="405"/>
      <c r="D384" s="405"/>
    </row>
    <row r="385" spans="1:4" x14ac:dyDescent="0.25">
      <c r="A385" s="405"/>
      <c r="B385" s="404"/>
      <c r="C385" s="405"/>
      <c r="D385" s="405"/>
    </row>
    <row r="386" spans="1:4" x14ac:dyDescent="0.25">
      <c r="A386" s="405"/>
      <c r="B386" s="404"/>
      <c r="C386" s="405"/>
      <c r="D386" s="405"/>
    </row>
    <row r="387" spans="1:4" x14ac:dyDescent="0.25">
      <c r="A387" s="405"/>
      <c r="B387" s="404"/>
      <c r="C387" s="405"/>
      <c r="D387" s="405"/>
    </row>
    <row r="388" spans="1:4" x14ac:dyDescent="0.25">
      <c r="A388" s="405"/>
      <c r="B388" s="404"/>
      <c r="C388" s="405"/>
      <c r="D388" s="405"/>
    </row>
    <row r="389" spans="1:4" x14ac:dyDescent="0.25">
      <c r="A389" s="405"/>
      <c r="B389" s="404"/>
      <c r="C389" s="405"/>
      <c r="D389" s="405"/>
    </row>
    <row r="390" spans="1:4" x14ac:dyDescent="0.25">
      <c r="A390" s="405"/>
      <c r="B390" s="404"/>
      <c r="C390" s="405"/>
      <c r="D390" s="405"/>
    </row>
    <row r="391" spans="1:4" x14ac:dyDescent="0.25">
      <c r="A391" s="405"/>
      <c r="B391" s="404"/>
      <c r="C391" s="405"/>
      <c r="D391" s="405"/>
    </row>
    <row r="392" spans="1:4" x14ac:dyDescent="0.25">
      <c r="A392" s="405"/>
      <c r="B392" s="404"/>
      <c r="C392" s="405"/>
      <c r="D392" s="405"/>
    </row>
    <row r="393" spans="1:4" x14ac:dyDescent="0.25">
      <c r="A393" s="405"/>
      <c r="B393" s="404"/>
      <c r="C393" s="405"/>
      <c r="D393" s="405"/>
    </row>
    <row r="394" spans="1:4" x14ac:dyDescent="0.25">
      <c r="A394" s="405"/>
      <c r="B394" s="404"/>
      <c r="C394" s="405"/>
      <c r="D394" s="405"/>
    </row>
    <row r="395" spans="1:4" x14ac:dyDescent="0.25">
      <c r="A395" s="405"/>
      <c r="B395" s="404"/>
      <c r="C395" s="405"/>
      <c r="D395" s="405"/>
    </row>
    <row r="396" spans="1:4" x14ac:dyDescent="0.25">
      <c r="A396" s="405"/>
      <c r="B396" s="404"/>
      <c r="C396" s="405"/>
      <c r="D396" s="405"/>
    </row>
    <row r="397" spans="1:4" x14ac:dyDescent="0.25">
      <c r="A397" s="405"/>
      <c r="B397" s="404"/>
      <c r="C397" s="405"/>
      <c r="D397" s="405"/>
    </row>
    <row r="398" spans="1:4" x14ac:dyDescent="0.25">
      <c r="A398" s="405"/>
      <c r="B398" s="404"/>
      <c r="C398" s="405"/>
      <c r="D398" s="405"/>
    </row>
    <row r="399" spans="1:4" x14ac:dyDescent="0.25">
      <c r="A399" s="405"/>
      <c r="B399" s="404"/>
      <c r="C399" s="405"/>
      <c r="D399" s="405"/>
    </row>
    <row r="400" spans="1:4" x14ac:dyDescent="0.25">
      <c r="A400" s="405"/>
      <c r="B400" s="404"/>
      <c r="C400" s="405"/>
      <c r="D400" s="405"/>
    </row>
    <row r="401" spans="1:4" x14ac:dyDescent="0.25">
      <c r="A401" s="405"/>
      <c r="B401" s="404"/>
      <c r="C401" s="405"/>
      <c r="D401" s="405"/>
    </row>
    <row r="402" spans="1:4" x14ac:dyDescent="0.25">
      <c r="A402" s="405"/>
      <c r="B402" s="404"/>
      <c r="C402" s="405"/>
      <c r="D402" s="405"/>
    </row>
    <row r="403" spans="1:4" x14ac:dyDescent="0.25">
      <c r="A403" s="405"/>
      <c r="B403" s="404"/>
      <c r="C403" s="405"/>
      <c r="D403" s="405"/>
    </row>
    <row r="404" spans="1:4" x14ac:dyDescent="0.25">
      <c r="A404" s="405"/>
      <c r="B404" s="404"/>
      <c r="C404" s="405"/>
      <c r="D404" s="405"/>
    </row>
    <row r="405" spans="1:4" x14ac:dyDescent="0.25">
      <c r="A405" s="405"/>
      <c r="B405" s="404"/>
      <c r="C405" s="405"/>
      <c r="D405" s="405"/>
    </row>
    <row r="406" spans="1:4" x14ac:dyDescent="0.25">
      <c r="A406" s="405"/>
      <c r="B406" s="404"/>
      <c r="C406" s="405"/>
      <c r="D406" s="405"/>
    </row>
    <row r="407" spans="1:4" x14ac:dyDescent="0.25">
      <c r="A407" s="405"/>
      <c r="B407" s="404"/>
      <c r="C407" s="405"/>
      <c r="D407" s="405"/>
    </row>
    <row r="408" spans="1:4" x14ac:dyDescent="0.25">
      <c r="A408" s="405"/>
      <c r="B408" s="404"/>
      <c r="C408" s="405"/>
      <c r="D408" s="405"/>
    </row>
    <row r="409" spans="1:4" x14ac:dyDescent="0.25">
      <c r="A409" s="405"/>
      <c r="B409" s="404"/>
      <c r="C409" s="405"/>
      <c r="D409" s="405"/>
    </row>
    <row r="410" spans="1:4" x14ac:dyDescent="0.25">
      <c r="A410" s="405"/>
      <c r="B410" s="404"/>
      <c r="C410" s="405"/>
      <c r="D410" s="405"/>
    </row>
    <row r="411" spans="1:4" x14ac:dyDescent="0.25">
      <c r="A411" s="405"/>
      <c r="B411" s="404"/>
      <c r="C411" s="405"/>
      <c r="D411" s="405"/>
    </row>
    <row r="412" spans="1:4" x14ac:dyDescent="0.25">
      <c r="A412" s="405"/>
      <c r="B412" s="404"/>
      <c r="C412" s="405"/>
      <c r="D412" s="405"/>
    </row>
    <row r="413" spans="1:4" x14ac:dyDescent="0.25">
      <c r="A413" s="405"/>
      <c r="B413" s="404"/>
      <c r="C413" s="405"/>
      <c r="D413" s="405"/>
    </row>
    <row r="414" spans="1:4" x14ac:dyDescent="0.25">
      <c r="A414" s="405"/>
      <c r="B414" s="404"/>
      <c r="C414" s="405"/>
      <c r="D414" s="405"/>
    </row>
    <row r="415" spans="1:4" x14ac:dyDescent="0.25">
      <c r="A415" s="405"/>
      <c r="B415" s="404"/>
      <c r="C415" s="405"/>
      <c r="D415" s="405"/>
    </row>
    <row r="416" spans="1:4" x14ac:dyDescent="0.25">
      <c r="A416" s="405"/>
      <c r="B416" s="404"/>
      <c r="C416" s="405"/>
      <c r="D416" s="405"/>
    </row>
    <row r="417" spans="1:4" x14ac:dyDescent="0.25">
      <c r="A417" s="405"/>
      <c r="B417" s="404"/>
      <c r="C417" s="405"/>
      <c r="D417" s="405"/>
    </row>
    <row r="418" spans="1:4" x14ac:dyDescent="0.25">
      <c r="A418" s="405"/>
      <c r="B418" s="404"/>
      <c r="C418" s="405"/>
      <c r="D418" s="405"/>
    </row>
    <row r="419" spans="1:4" x14ac:dyDescent="0.25">
      <c r="A419" s="405"/>
      <c r="B419" s="404"/>
      <c r="C419" s="405"/>
      <c r="D419" s="405"/>
    </row>
    <row r="420" spans="1:4" x14ac:dyDescent="0.25">
      <c r="A420" s="405"/>
      <c r="B420" s="404"/>
      <c r="C420" s="405"/>
      <c r="D420" s="405"/>
    </row>
    <row r="421" spans="1:4" x14ac:dyDescent="0.25">
      <c r="A421" s="405"/>
      <c r="B421" s="404"/>
      <c r="C421" s="405"/>
      <c r="D421" s="405"/>
    </row>
    <row r="422" spans="1:4" x14ac:dyDescent="0.25">
      <c r="A422" s="405"/>
      <c r="B422" s="404"/>
      <c r="C422" s="405"/>
      <c r="D422" s="405"/>
    </row>
    <row r="423" spans="1:4" x14ac:dyDescent="0.25">
      <c r="A423" s="405"/>
      <c r="B423" s="404"/>
      <c r="C423" s="405"/>
      <c r="D423" s="405"/>
    </row>
    <row r="424" spans="1:4" x14ac:dyDescent="0.25">
      <c r="A424" s="405"/>
      <c r="B424" s="404"/>
      <c r="C424" s="405"/>
      <c r="D424" s="405"/>
    </row>
    <row r="425" spans="1:4" x14ac:dyDescent="0.25">
      <c r="A425" s="405"/>
      <c r="B425" s="404"/>
      <c r="C425" s="405"/>
      <c r="D425" s="405"/>
    </row>
    <row r="426" spans="1:4" x14ac:dyDescent="0.25">
      <c r="A426" s="405"/>
      <c r="B426" s="404"/>
      <c r="C426" s="405"/>
      <c r="D426" s="405"/>
    </row>
    <row r="427" spans="1:4" x14ac:dyDescent="0.25">
      <c r="A427" s="405"/>
      <c r="B427" s="404"/>
      <c r="C427" s="405"/>
      <c r="D427" s="405"/>
    </row>
    <row r="428" spans="1:4" x14ac:dyDescent="0.25">
      <c r="A428" s="405"/>
      <c r="B428" s="404"/>
      <c r="C428" s="405"/>
      <c r="D428" s="405"/>
    </row>
    <row r="429" spans="1:4" x14ac:dyDescent="0.25">
      <c r="A429" s="405"/>
      <c r="B429" s="404"/>
      <c r="C429" s="405"/>
      <c r="D429" s="405"/>
    </row>
    <row r="430" spans="1:4" x14ac:dyDescent="0.25">
      <c r="A430" s="405"/>
      <c r="B430" s="404"/>
      <c r="C430" s="405"/>
      <c r="D430" s="405"/>
    </row>
    <row r="431" spans="1:4" x14ac:dyDescent="0.25">
      <c r="A431" s="405"/>
      <c r="B431" s="404"/>
      <c r="C431" s="405"/>
      <c r="D431" s="405"/>
    </row>
    <row r="432" spans="1:4" x14ac:dyDescent="0.25">
      <c r="A432" s="405"/>
      <c r="B432" s="404"/>
      <c r="C432" s="405"/>
      <c r="D432" s="405"/>
    </row>
    <row r="433" spans="1:4" x14ac:dyDescent="0.25">
      <c r="A433" s="405"/>
      <c r="B433" s="404"/>
      <c r="C433" s="405"/>
      <c r="D433" s="405"/>
    </row>
    <row r="434" spans="1:4" x14ac:dyDescent="0.25">
      <c r="A434" s="405"/>
      <c r="B434" s="404"/>
      <c r="C434" s="405"/>
      <c r="D434" s="405"/>
    </row>
    <row r="435" spans="1:4" x14ac:dyDescent="0.25">
      <c r="A435" s="405"/>
      <c r="B435" s="404"/>
      <c r="C435" s="405"/>
      <c r="D435" s="405"/>
    </row>
    <row r="436" spans="1:4" x14ac:dyDescent="0.25">
      <c r="A436" s="405"/>
      <c r="B436" s="404"/>
      <c r="C436" s="405"/>
      <c r="D436" s="405"/>
    </row>
    <row r="437" spans="1:4" x14ac:dyDescent="0.25">
      <c r="A437" s="405"/>
      <c r="B437" s="404"/>
      <c r="C437" s="405"/>
      <c r="D437" s="405"/>
    </row>
    <row r="438" spans="1:4" x14ac:dyDescent="0.25">
      <c r="A438" s="405"/>
      <c r="B438" s="404"/>
      <c r="C438" s="405"/>
      <c r="D438" s="405"/>
    </row>
    <row r="439" spans="1:4" x14ac:dyDescent="0.25">
      <c r="A439" s="405"/>
      <c r="B439" s="404"/>
      <c r="C439" s="405"/>
      <c r="D439" s="405"/>
    </row>
    <row r="440" spans="1:4" x14ac:dyDescent="0.25">
      <c r="A440" s="405"/>
      <c r="B440" s="404"/>
      <c r="C440" s="405"/>
      <c r="D440" s="405"/>
    </row>
    <row r="441" spans="1:4" x14ac:dyDescent="0.25">
      <c r="A441" s="405"/>
      <c r="B441" s="404"/>
      <c r="C441" s="405"/>
      <c r="D441" s="405"/>
    </row>
    <row r="442" spans="1:4" x14ac:dyDescent="0.25">
      <c r="A442" s="405"/>
      <c r="B442" s="404"/>
      <c r="C442" s="405"/>
      <c r="D442" s="405"/>
    </row>
    <row r="443" spans="1:4" x14ac:dyDescent="0.25">
      <c r="A443" s="405"/>
      <c r="B443" s="404"/>
      <c r="C443" s="405"/>
      <c r="D443" s="405"/>
    </row>
    <row r="444" spans="1:4" x14ac:dyDescent="0.25">
      <c r="A444" s="405"/>
      <c r="B444" s="404"/>
      <c r="C444" s="405"/>
      <c r="D444" s="405"/>
    </row>
    <row r="445" spans="1:4" x14ac:dyDescent="0.25">
      <c r="A445" s="405"/>
      <c r="B445" s="404"/>
      <c r="C445" s="405"/>
      <c r="D445" s="405"/>
    </row>
    <row r="446" spans="1:4" x14ac:dyDescent="0.25">
      <c r="A446" s="405"/>
      <c r="B446" s="404"/>
      <c r="C446" s="405"/>
      <c r="D446" s="405"/>
    </row>
    <row r="447" spans="1:4" x14ac:dyDescent="0.25">
      <c r="A447" s="405"/>
      <c r="B447" s="404"/>
      <c r="C447" s="405"/>
      <c r="D447" s="405"/>
    </row>
    <row r="448" spans="1:4" x14ac:dyDescent="0.25">
      <c r="A448" s="405"/>
      <c r="B448" s="404"/>
      <c r="C448" s="405"/>
      <c r="D448" s="405"/>
    </row>
    <row r="449" spans="1:4" x14ac:dyDescent="0.25">
      <c r="A449" s="405"/>
      <c r="B449" s="404"/>
      <c r="C449" s="405"/>
      <c r="D449" s="405"/>
    </row>
    <row r="450" spans="1:4" x14ac:dyDescent="0.25">
      <c r="A450" s="405"/>
      <c r="B450" s="404"/>
      <c r="C450" s="405"/>
      <c r="D450" s="405"/>
    </row>
    <row r="451" spans="1:4" x14ac:dyDescent="0.25">
      <c r="A451" s="405"/>
      <c r="B451" s="404"/>
      <c r="C451" s="405"/>
      <c r="D451" s="405"/>
    </row>
    <row r="452" spans="1:4" x14ac:dyDescent="0.25">
      <c r="A452" s="405"/>
      <c r="B452" s="404"/>
      <c r="C452" s="405"/>
      <c r="D452" s="405"/>
    </row>
    <row r="453" spans="1:4" x14ac:dyDescent="0.25">
      <c r="A453" s="405"/>
      <c r="B453" s="404"/>
      <c r="C453" s="405"/>
      <c r="D453" s="405"/>
    </row>
    <row r="454" spans="1:4" x14ac:dyDescent="0.25">
      <c r="A454" s="405"/>
      <c r="B454" s="404"/>
      <c r="C454" s="405"/>
      <c r="D454" s="405"/>
    </row>
    <row r="455" spans="1:4" x14ac:dyDescent="0.25">
      <c r="A455" s="405"/>
      <c r="B455" s="404"/>
      <c r="C455" s="405"/>
      <c r="D455" s="405"/>
    </row>
    <row r="456" spans="1:4" x14ac:dyDescent="0.25">
      <c r="A456" s="405"/>
      <c r="B456" s="404"/>
      <c r="C456" s="405"/>
      <c r="D456" s="405"/>
    </row>
    <row r="457" spans="1:4" x14ac:dyDescent="0.25">
      <c r="A457" s="405"/>
      <c r="B457" s="404"/>
      <c r="C457" s="405"/>
      <c r="D457" s="405"/>
    </row>
    <row r="458" spans="1:4" x14ac:dyDescent="0.25">
      <c r="A458" s="405"/>
      <c r="B458" s="404"/>
      <c r="C458" s="405"/>
      <c r="D458" s="405"/>
    </row>
    <row r="459" spans="1:4" x14ac:dyDescent="0.25">
      <c r="A459" s="405"/>
      <c r="B459" s="404"/>
      <c r="C459" s="405"/>
      <c r="D459" s="405"/>
    </row>
    <row r="460" spans="1:4" x14ac:dyDescent="0.25">
      <c r="A460" s="405"/>
      <c r="B460" s="404"/>
      <c r="C460" s="405"/>
      <c r="D460" s="405"/>
    </row>
    <row r="461" spans="1:4" x14ac:dyDescent="0.25">
      <c r="A461" s="405"/>
      <c r="B461" s="404"/>
      <c r="C461" s="405"/>
      <c r="D461" s="405"/>
    </row>
    <row r="462" spans="1:4" x14ac:dyDescent="0.25">
      <c r="A462" s="405"/>
      <c r="B462" s="404"/>
      <c r="C462" s="405"/>
      <c r="D462" s="405"/>
    </row>
    <row r="463" spans="1:4" x14ac:dyDescent="0.25">
      <c r="A463" s="405"/>
      <c r="B463" s="404"/>
      <c r="C463" s="405"/>
      <c r="D463" s="405"/>
    </row>
    <row r="464" spans="1:4" x14ac:dyDescent="0.25">
      <c r="A464" s="405"/>
      <c r="B464" s="404"/>
      <c r="C464" s="405"/>
      <c r="D464" s="405"/>
    </row>
    <row r="465" spans="1:4" x14ac:dyDescent="0.25">
      <c r="A465" s="405"/>
      <c r="B465" s="404"/>
      <c r="C465" s="405"/>
      <c r="D465" s="405"/>
    </row>
    <row r="466" spans="1:4" x14ac:dyDescent="0.25">
      <c r="A466" s="405"/>
      <c r="B466" s="404"/>
      <c r="C466" s="405"/>
      <c r="D466" s="405"/>
    </row>
    <row r="467" spans="1:4" x14ac:dyDescent="0.25">
      <c r="A467" s="405"/>
      <c r="B467" s="404"/>
      <c r="C467" s="405"/>
      <c r="D467" s="405"/>
    </row>
    <row r="468" spans="1:4" x14ac:dyDescent="0.25">
      <c r="A468" s="405"/>
      <c r="B468" s="404"/>
      <c r="C468" s="405"/>
      <c r="D468" s="405"/>
    </row>
    <row r="469" spans="1:4" x14ac:dyDescent="0.25">
      <c r="A469" s="405"/>
      <c r="B469" s="404"/>
      <c r="C469" s="405"/>
      <c r="D469" s="405"/>
    </row>
    <row r="470" spans="1:4" x14ac:dyDescent="0.25">
      <c r="A470" s="405"/>
      <c r="B470" s="404"/>
      <c r="C470" s="405"/>
      <c r="D470" s="405"/>
    </row>
    <row r="471" spans="1:4" x14ac:dyDescent="0.25">
      <c r="A471" s="405"/>
      <c r="B471" s="404"/>
      <c r="C471" s="405"/>
      <c r="D471" s="405"/>
    </row>
    <row r="472" spans="1:4" x14ac:dyDescent="0.25">
      <c r="A472" s="405"/>
      <c r="B472" s="404"/>
      <c r="C472" s="405"/>
      <c r="D472" s="405"/>
    </row>
    <row r="473" spans="1:4" x14ac:dyDescent="0.25">
      <c r="A473" s="405"/>
      <c r="B473" s="404"/>
      <c r="C473" s="405"/>
      <c r="D473" s="405"/>
    </row>
    <row r="474" spans="1:4" x14ac:dyDescent="0.25">
      <c r="A474" s="405"/>
      <c r="B474" s="404"/>
      <c r="C474" s="405"/>
      <c r="D474" s="405"/>
    </row>
    <row r="475" spans="1:4" x14ac:dyDescent="0.25">
      <c r="A475" s="405"/>
      <c r="B475" s="404"/>
      <c r="C475" s="405"/>
      <c r="D475" s="405"/>
    </row>
    <row r="476" spans="1:4" x14ac:dyDescent="0.25">
      <c r="A476" s="405"/>
      <c r="B476" s="404"/>
      <c r="C476" s="405"/>
      <c r="D476" s="405"/>
    </row>
    <row r="477" spans="1:4" x14ac:dyDescent="0.25">
      <c r="A477" s="405"/>
      <c r="B477" s="404"/>
      <c r="C477" s="405"/>
      <c r="D477" s="405"/>
    </row>
    <row r="478" spans="1:4" x14ac:dyDescent="0.25">
      <c r="A478" s="405"/>
      <c r="B478" s="404"/>
      <c r="C478" s="405"/>
      <c r="D478" s="405"/>
    </row>
    <row r="479" spans="1:4" x14ac:dyDescent="0.25">
      <c r="A479" s="405"/>
      <c r="B479" s="404"/>
      <c r="C479" s="405"/>
      <c r="D479" s="405"/>
    </row>
    <row r="480" spans="1:4" x14ac:dyDescent="0.25">
      <c r="A480" s="405"/>
      <c r="B480" s="404"/>
      <c r="C480" s="405"/>
      <c r="D480" s="405"/>
    </row>
    <row r="481" spans="1:4" x14ac:dyDescent="0.25">
      <c r="A481" s="405"/>
      <c r="B481" s="404"/>
      <c r="C481" s="405"/>
      <c r="D481" s="405"/>
    </row>
    <row r="482" spans="1:4" x14ac:dyDescent="0.25">
      <c r="A482" s="405"/>
      <c r="B482" s="404"/>
      <c r="C482" s="405"/>
      <c r="D482" s="405"/>
    </row>
    <row r="483" spans="1:4" x14ac:dyDescent="0.25">
      <c r="A483" s="405"/>
      <c r="B483" s="404"/>
      <c r="C483" s="405"/>
      <c r="D483" s="405"/>
    </row>
    <row r="484" spans="1:4" x14ac:dyDescent="0.25">
      <c r="A484" s="405"/>
      <c r="B484" s="404"/>
      <c r="C484" s="405"/>
      <c r="D484" s="405"/>
    </row>
    <row r="485" spans="1:4" x14ac:dyDescent="0.25">
      <c r="A485" s="405"/>
      <c r="B485" s="404"/>
      <c r="C485" s="405"/>
      <c r="D485" s="405"/>
    </row>
    <row r="486" spans="1:4" x14ac:dyDescent="0.25">
      <c r="A486" s="405"/>
      <c r="B486" s="404"/>
      <c r="C486" s="405"/>
      <c r="D486" s="405"/>
    </row>
    <row r="487" spans="1:4" x14ac:dyDescent="0.25">
      <c r="A487" s="405"/>
      <c r="B487" s="404"/>
      <c r="C487" s="405"/>
      <c r="D487" s="405"/>
    </row>
    <row r="488" spans="1:4" x14ac:dyDescent="0.25">
      <c r="A488" s="405"/>
      <c r="B488" s="404"/>
      <c r="C488" s="405"/>
      <c r="D488" s="405"/>
    </row>
    <row r="489" spans="1:4" x14ac:dyDescent="0.25">
      <c r="A489" s="405"/>
      <c r="B489" s="404"/>
      <c r="C489" s="405"/>
      <c r="D489" s="405"/>
    </row>
    <row r="490" spans="1:4" x14ac:dyDescent="0.25">
      <c r="A490" s="405"/>
      <c r="B490" s="404"/>
      <c r="C490" s="405"/>
      <c r="D490" s="405"/>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2" t="s">
        <v>271</v>
      </c>
      <c r="D2" s="413"/>
      <c r="E2" s="414"/>
      <c r="F2" s="413"/>
    </row>
    <row r="4" spans="3:6" x14ac:dyDescent="0.25">
      <c r="C4" s="415" t="s">
        <v>269</v>
      </c>
      <c r="E4" s="416">
        <v>36244</v>
      </c>
    </row>
    <row r="5" spans="3:6" x14ac:dyDescent="0.25">
      <c r="C5" s="415" t="s">
        <v>270</v>
      </c>
      <c r="E5" s="416">
        <v>36244</v>
      </c>
    </row>
    <row r="17" spans="5:5" x14ac:dyDescent="0.25">
      <c r="E17" s="417"/>
    </row>
    <row r="18" spans="5:5" x14ac:dyDescent="0.25">
      <c r="E18" s="41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7">
        <v>37117.886111111111</v>
      </c>
    </row>
    <row r="32" spans="2:2" x14ac:dyDescent="0.25">
      <c r="B32" t="s">
        <v>380</v>
      </c>
    </row>
    <row r="33" spans="2:2" x14ac:dyDescent="0.25">
      <c r="B33" t="s">
        <v>387</v>
      </c>
    </row>
    <row r="34" spans="2:2" x14ac:dyDescent="0.25">
      <c r="B34" t="s">
        <v>388</v>
      </c>
    </row>
    <row r="35" spans="2:2" x14ac:dyDescent="0.25">
      <c r="B35" t="s">
        <v>361</v>
      </c>
    </row>
    <row r="36" spans="2:2" x14ac:dyDescent="0.25">
      <c r="B36" t="s">
        <v>363</v>
      </c>
    </row>
    <row r="37" spans="2:2" x14ac:dyDescent="0.25">
      <c r="B37" t="s">
        <v>372</v>
      </c>
    </row>
    <row r="38" spans="2:2" x14ac:dyDescent="0.25">
      <c r="B38" t="s">
        <v>364</v>
      </c>
    </row>
    <row r="39" spans="2:2" x14ac:dyDescent="0.25">
      <c r="B39" t="s">
        <v>384</v>
      </c>
    </row>
    <row r="40" spans="2:2" x14ac:dyDescent="0.25">
      <c r="B40" t="s">
        <v>389</v>
      </c>
    </row>
    <row r="41" spans="2:2" x14ac:dyDescent="0.25">
      <c r="B41" t="s">
        <v>385</v>
      </c>
    </row>
    <row r="42" spans="2:2" x14ac:dyDescent="0.25">
      <c r="B42" t="s">
        <v>373</v>
      </c>
    </row>
    <row r="43" spans="2:2" x14ac:dyDescent="0.25">
      <c r="B43" t="s">
        <v>379</v>
      </c>
    </row>
    <row r="44" spans="2:2" x14ac:dyDescent="0.25">
      <c r="B44" t="s">
        <v>382</v>
      </c>
    </row>
    <row r="45" spans="2:2" x14ac:dyDescent="0.25">
      <c r="B45" t="s">
        <v>383</v>
      </c>
    </row>
    <row r="46" spans="2:2" x14ac:dyDescent="0.25">
      <c r="B46" t="s">
        <v>386</v>
      </c>
    </row>
    <row r="47" spans="2:2" x14ac:dyDescent="0.25">
      <c r="B47" t="s">
        <v>390</v>
      </c>
    </row>
    <row r="48" spans="2:2" x14ac:dyDescent="0.25">
      <c r="B48" t="s">
        <v>391</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8" thickBot="1" x14ac:dyDescent="0.3"/>
    <row r="9" spans="1:24" x14ac:dyDescent="0.25">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2001-05-11T08:10:05Z</cp:lastPrinted>
  <dcterms:created xsi:type="dcterms:W3CDTF">1998-02-07T06:53:21Z</dcterms:created>
  <dcterms:modified xsi:type="dcterms:W3CDTF">2023-09-10T11:00:38Z</dcterms:modified>
</cp:coreProperties>
</file>