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7" i="2"/>
  <c r="AE77" i="2"/>
  <c r="AF77" i="2"/>
  <c r="AD78" i="2"/>
  <c r="AE78" i="2"/>
  <c r="AF78" i="2"/>
  <c r="AD79" i="2"/>
  <c r="AE79" i="2"/>
  <c r="AF79" i="2"/>
  <c r="AD80" i="2"/>
  <c r="AE80" i="2"/>
  <c r="AF80" i="2"/>
  <c r="AD81" i="2"/>
  <c r="AE81" i="2"/>
  <c r="AF81" i="2"/>
  <c r="AD82" i="2"/>
  <c r="AE82" i="2"/>
  <c r="AF82" i="2"/>
  <c r="AD84" i="2"/>
  <c r="AE84" i="2"/>
  <c r="AF84" i="2"/>
  <c r="AD85" i="2"/>
  <c r="AE85" i="2"/>
  <c r="AF85" i="2"/>
  <c r="AD87" i="2"/>
  <c r="AE87" i="2"/>
  <c r="AD88" i="2"/>
  <c r="AE88" i="2"/>
  <c r="AD90" i="2"/>
  <c r="AE90" i="2"/>
  <c r="AF90" i="2"/>
  <c r="AD91" i="2"/>
  <c r="AE91" i="2"/>
  <c r="AF91" i="2"/>
  <c r="AD92" i="2"/>
  <c r="AE92" i="2"/>
  <c r="AF92" i="2"/>
  <c r="AD93" i="2"/>
  <c r="AE93" i="2"/>
  <c r="AF93" i="2"/>
  <c r="AD101" i="2"/>
  <c r="AE101" i="2"/>
  <c r="AD102" i="2"/>
  <c r="AE102" i="2"/>
  <c r="AD106" i="2"/>
  <c r="AE106"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C15" authorId="0" shapeId="0">
      <text>
        <r>
          <rPr>
            <sz val="10"/>
            <color indexed="81"/>
            <rFont val="Tahoma"/>
            <family val="2"/>
          </rPr>
          <t>NOTE TO SELF.
The CALPX lines are hidden.  They are rows 14-61.</t>
        </r>
      </text>
    </comment>
    <comment ref="A68" authorId="1" shapeId="0">
      <text>
        <r>
          <rPr>
            <sz val="10"/>
            <color indexed="81"/>
            <rFont val="Tahoma"/>
            <family val="2"/>
          </rPr>
          <t>Anderson:  Schedule from HE8-23 taken to zero by SPS.  Resupplied by them.</t>
        </r>
      </text>
    </comment>
    <comment ref="A69" authorId="1" shapeId="0">
      <text>
        <r>
          <rPr>
            <sz val="10"/>
            <color indexed="81"/>
            <rFont val="Tahoma"/>
            <family val="2"/>
          </rPr>
          <t>Anderson:  Schedule from HE8-23 taken to zero by SPS.  Resupplied by them.</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<sst xmlns="http://schemas.openxmlformats.org/spreadsheetml/2006/main" count="761" uniqueCount="401">
  <si>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</si>
  <si>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</si>
  <si>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</si>
  <si>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</si>
  <si>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</si>
  <si>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</si>
  <si>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</si>
  <si>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</si>
  <si>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</si>
  <si>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</si>
  <si>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</si>
  <si>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</si>
  <si>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</si>
  <si>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</si>
  <si>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</si>
  <si>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</si>
  <si>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</si>
  <si>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</si>
  <si>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</si>
  <si>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</si>
  <si>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</si>
  <si>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</si>
  <si>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</si>
  <si>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</si>
  <si>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</si>
  <si>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</si>
  <si>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</si>
  <si>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</si>
  <si>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</si>
  <si>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</si>
  <si>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</si>
  <si>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</si>
  <si>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</si>
  <si>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</si>
  <si>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</si>
  <si>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</si>
  <si>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</si>
  <si>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</si>
  <si>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</si>
  <si>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</si>
  <si>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</si>
  <si>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</si>
  <si>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</si>
  <si>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</si>
  <si>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</si>
  <si>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</si>
  <si>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</si>
  <si>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</si>
  <si>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</si>
  <si>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</si>
  <si>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</si>
  <si>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</si>
  <si>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</si>
  <si>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</si>
  <si>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</si>
  <si>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</si>
  <si>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</si>
  <si>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</si>
  <si>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</si>
  <si>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</si>
  <si>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</si>
  <si>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</si>
  <si>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</si>
  <si>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</si>
  <si>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</si>
  <si>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</si>
  <si>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</si>
  <si>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</si>
  <si>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</si>
  <si>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</si>
  <si>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</si>
  <si>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</si>
  <si>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</si>
  <si>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</si>
  <si>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</si>
  <si>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</si>
  <si>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</si>
  <si>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</si>
  <si>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</si>
  <si>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</si>
  <si>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</si>
  <si>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</si>
  <si>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</si>
  <si>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</si>
  <si>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</si>
  <si>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</si>
  <si>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</si>
  <si>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</si>
  <si>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</si>
  <si>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</si>
  <si>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</si>
  <si>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</si>
  <si>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</si>
  <si>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</si>
  <si>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</si>
  <si>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</si>
  <si>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</si>
  <si>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</si>
  <si>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</si>
  <si>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</si>
  <si>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</si>
  <si>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</si>
  <si>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</si>
  <si>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</si>
  <si>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</si>
  <si>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</si>
  <si>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</si>
  <si>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</si>
  <si>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</si>
  <si>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</si>
  <si>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</si>
  <si>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</si>
  <si>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</si>
  <si>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</si>
  <si>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</si>
  <si>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</si>
  <si>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</si>
  <si>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</si>
  <si>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</si>
  <si>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</si>
  <si>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</si>
  <si>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</si>
  <si>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</si>
  <si>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</si>
  <si>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</si>
  <si>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</si>
  <si>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</si>
  <si>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</si>
  <si>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</si>
  <si>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</si>
  <si>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</si>
  <si>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</si>
  <si>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</si>
  <si>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</si>
  <si>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</si>
  <si>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</si>
  <si>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</si>
  <si>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</si>
  <si>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</si>
  <si>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</si>
  <si>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</si>
  <si>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</si>
  <si>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</si>
  <si>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</si>
  <si>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</si>
  <si>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</si>
  <si>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</si>
  <si>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</si>
  <si>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</si>
  <si>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</si>
  <si>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</si>
  <si>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</si>
  <si>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</si>
  <si>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</si>
  <si>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</si>
  <si>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</si>
  <si>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</si>
  <si>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</si>
  <si>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</si>
  <si>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</si>
  <si>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</si>
  <si>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</si>
  <si>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</si>
  <si>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</si>
  <si>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</si>
  <si>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</si>
  <si>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</si>
  <si>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</si>
  <si>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</si>
  <si>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</si>
  <si>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</si>
  <si>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</si>
  <si>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</si>
  <si>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</si>
  <si>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</si>
  <si>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</si>
  <si>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</si>
  <si>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</si>
  <si>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</si>
  <si>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</si>
  <si>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</si>
  <si>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</si>
  <si>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</si>
  <si>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</si>
  <si>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</si>
  <si>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</si>
  <si>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</si>
  <si>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</si>
  <si>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</si>
  <si>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</si>
  <si>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</si>
  <si>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</si>
  <si>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</si>
  <si>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</si>
  <si>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</si>
  <si>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</si>
  <si>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</si>
  <si>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</si>
  <si>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</si>
  <si>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</si>
  <si>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</si>
  <si>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</si>
  <si>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</si>
  <si>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</si>
  <si>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</si>
  <si>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</si>
  <si>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</si>
  <si>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</si>
  <si>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</si>
  <si>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</si>
  <si>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</si>
  <si>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</si>
  <si>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</si>
  <si>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</si>
  <si>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</si>
  <si>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</si>
  <si>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</si>
  <si>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</si>
  <si>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</si>
  <si>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</si>
  <si>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</si>
  <si>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</si>
  <si>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</si>
  <si>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</si>
  <si>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</si>
  <si>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</si>
  <si>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</si>
  <si>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</si>
  <si>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</si>
  <si>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</si>
  <si>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</si>
  <si>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</si>
  <si>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</si>
  <si>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</si>
  <si>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</si>
  <si>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</si>
  <si>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</si>
  <si>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</si>
  <si>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</si>
  <si>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</si>
  <si>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</si>
  <si>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</si>
  <si>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</si>
  <si>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</si>
  <si>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</si>
  <si>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</si>
  <si>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</si>
  <si>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</si>
  <si>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</si>
  <si>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</si>
  <si>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</si>
  <si>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</si>
  <si>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</si>
  <si>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</si>
  <si>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</si>
  <si>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</si>
  <si>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</si>
  <si>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</si>
  <si>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</si>
  <si>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</si>
  <si>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</si>
  <si>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</si>
  <si>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</si>
  <si>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</si>
  <si>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</si>
  <si>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</si>
  <si>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</si>
  <si>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</si>
  <si>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</si>
  <si>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</si>
  <si>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</si>
  <si>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</si>
  <si>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</si>
  <si>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</si>
  <si>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</si>
  <si>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</si>
  <si>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</si>
  <si>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</si>
  <si>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</si>
  <si>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</si>
  <si>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</si>
  <si>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</si>
  <si>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</si>
  <si>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</si>
  <si>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</si>
  <si>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</si>
  <si>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</si>
  <si>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</si>
  <si>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</si>
  <si>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</si>
  <si>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</si>
  <si>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</si>
  <si>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</si>
  <si>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</si>
  <si>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</si>
  <si>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</si>
  <si>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</si>
  <si>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</si>
  <si>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</si>
  <si>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</si>
  <si>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</si>
  <si>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</si>
  <si>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</si>
  <si>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</si>
  <si>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</si>
  <si>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</si>
  <si>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</si>
  <si>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</si>
  <si>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</si>
  <si>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</si>
  <si>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</si>
  <si>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</si>
  <si>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</si>
  <si>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</si>
  <si>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</si>
  <si>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</si>
  <si>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</si>
  <si>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</si>
  <si>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</si>
  <si>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</si>
  <si>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</si>
  <si>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</si>
  <si>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</si>
  <si>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</si>
  <si>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</si>
  <si>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</si>
  <si>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</si>
  <si>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</si>
  <si>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</si>
  <si>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</si>
  <si>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</si>
  <si>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</si>
  <si>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</si>
  <si>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</si>
  <si>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</si>
  <si>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</si>
  <si>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</si>
  <si>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</si>
  <si>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</si>
  <si>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</si>
  <si>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</si>
  <si>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</si>
  <si>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</si>
  <si>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</si>
  <si>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</si>
  <si>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</si>
  <si>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</si>
  <si>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</si>
  <si>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</si>
  <si>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</si>
  <si>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</si>
  <si>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</si>
  <si>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</si>
  <si>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</si>
  <si>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</si>
  <si>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</si>
  <si>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</si>
  <si>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</si>
  <si>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</si>
  <si>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</si>
  <si>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</si>
  <si>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</si>
  <si>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</si>
  <si>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</si>
  <si>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</si>
  <si>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</si>
  <si>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</si>
  <si>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</si>
  <si>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</si>
  <si>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</si>
  <si>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</si>
  <si>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</si>
  <si>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</si>
  <si>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</si>
  <si>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</si>
  <si>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</si>
  <si>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</si>
  <si>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</si>
  <si>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</si>
  <si>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</si>
  <si>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</si>
  <si>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</si>
  <si>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ISO</t>
  </si>
  <si>
    <t>NEWMAN 1 ,UNAV,  0  , 75  , 39  , 83  ,  0  ,1</t>
  </si>
  <si>
    <t>RIOGRAN 8,UNAV,  0  ,120  , 36  ,151  ,  0  ,1</t>
  </si>
  <si>
    <t>Econ</t>
  </si>
  <si>
    <t>PNM     ,FIRM    ,FC,  ,  30,  30</t>
  </si>
  <si>
    <t>NEWMN/GT2,MANL, 20  , 60  , 18  , 60  ,  0  ,1</t>
  </si>
  <si>
    <t>NEWMAN 4 ,UNAV,  0  ,215  , 86  ,214  ,  0  ,1</t>
  </si>
  <si>
    <t>APS     ,FIRM    ,FC,  ,  25,  25</t>
  </si>
  <si>
    <t>APS     ,FIRM    ,PV,  ,  50,  50</t>
  </si>
  <si>
    <t>IID     ,FIRM    ,PV,  ,  75,  75</t>
  </si>
  <si>
    <t>LDWP    ,FIRM    ,PV,  ,  25,  25</t>
  </si>
  <si>
    <t>PGT     ,LOSS    ,LC,  ,  -2,  -1</t>
  </si>
  <si>
    <t>NEWMN/GT1,MANL, 20  , 60  , 18  , 60  ,  0  ,1</t>
  </si>
  <si>
    <t>NEWMAN 2 ,ECON, 35  , 70  , 34  , 83  , 35  ,1</t>
  </si>
  <si>
    <t>NEWMAN 3 ,ECON, 64  ,100  , 35  ,103  , 36  ,1</t>
  </si>
  <si>
    <t xml:space="preserve">NEWMAN   ,, 139 ,  290,  105, 306 ,  71 , </t>
  </si>
  <si>
    <t>PALOVERDE,MANL,607  ,600  ,600  ,600  ,  0  ,1</t>
  </si>
  <si>
    <t>LAMBDA, 24.93,  620,  620,  153,    1,    0, 9548,21</t>
  </si>
  <si>
    <t>PNM     ,ECON    ,FC,  ,  20,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</si>
</sst>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45"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xf numFmtId="0" fontId="4" fillId="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96</xdr:row>
      <xdr:rowOff>76200</xdr:rowOff>
    </xdr:from>
    <xdr:to>
      <xdr:col>22</xdr:col>
      <xdr:colOff>129540</xdr:colOff>
      <xdr:row>107</xdr:row>
      <xdr:rowOff>0</xdr:rowOff>
    </xdr:to>
    <xdr:sp macro="" textlink="">
      <xdr:nvSpPr>
        <xdr:cNvPr id="2303" name="Text Box 255"/>
        <xdr:cNvSpPr txBox="1">
          <a:spLocks noChangeArrowheads="1"/>
        </xdr:cNvSpPr>
      </xdr:nvSpPr>
      <xdr:spPr bwMode="auto">
        <a:xfrm>
          <a:off x="175260" y="815340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ENRON / EPE DISPATCHERS - SPS is to provide us with 100 MW for the heavy load hours at PV.  If they fail to do such, we need to cut 100 MW from the following sales:</a:t>
          </a:r>
        </a:p>
        <a:p>
          <a:pPr algn="l" rtl="0">
            <a:lnSpc>
              <a:spcPts val="1300"/>
            </a:lnSpc>
            <a:defRPr sz="1000"/>
          </a:pPr>
          <a:endParaRPr lang="en-US" sz="1400" b="0" i="0" u="none" strike="noStrike" baseline="0">
            <a:solidFill>
              <a:srgbClr val="000000"/>
            </a:solidFill>
            <a:latin typeface="Arial"/>
            <a:cs typeface="Arial"/>
          </a:endParaRPr>
        </a:p>
        <a:p>
          <a:pPr algn="l" rtl="0">
            <a:lnSpc>
              <a:spcPts val="1300"/>
            </a:lnSpc>
            <a:defRPr sz="1000"/>
          </a:pPr>
          <a:r>
            <a:rPr lang="en-US" sz="1400" b="0" i="0" u="none" strike="noStrike" baseline="0">
              <a:solidFill>
                <a:srgbClr val="000000"/>
              </a:solidFill>
              <a:latin typeface="Arial"/>
              <a:cs typeface="Arial"/>
            </a:rPr>
            <a:t>MIR TAG# 12846   -   IDA TAG# B573E00   -   CORAL TAG# 6924   -   PSCO TAG# 43749</a:t>
          </a:r>
        </a:p>
        <a:p>
          <a:pPr algn="l" rtl="0">
            <a:lnSpc>
              <a:spcPts val="1300"/>
            </a:lnSpc>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Call me if there is a problem.  Also, Steamer is scheduled to come on HE10-23.</a:t>
          </a:r>
        </a:p>
        <a:p>
          <a:pPr algn="l" rtl="0">
            <a:defRPr sz="1000"/>
          </a:pPr>
          <a:r>
            <a:rPr lang="en-US" sz="1400" b="0" i="0" u="none" strike="noStrike" baseline="0">
              <a:solidFill>
                <a:srgbClr val="000000"/>
              </a:solidFill>
              <a:latin typeface="Arial"/>
              <a:cs typeface="Arial"/>
            </a:rPr>
            <a:t>915-204-1201 Steve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112</xdr:row>
      <xdr:rowOff>0</xdr:rowOff>
    </xdr:from>
    <xdr:to>
      <xdr:col>22</xdr:col>
      <xdr:colOff>68580</xdr:colOff>
      <xdr:row>118</xdr:row>
      <xdr:rowOff>45720</xdr:rowOff>
    </xdr:to>
    <xdr:sp macro="" textlink="">
      <xdr:nvSpPr>
        <xdr:cNvPr id="10463" name="Text Box 1247"/>
        <xdr:cNvSpPr txBox="1">
          <a:spLocks noChangeArrowheads="1"/>
        </xdr:cNvSpPr>
      </xdr:nvSpPr>
      <xdr:spPr bwMode="auto">
        <a:xfrm>
          <a:off x="213360" y="1091946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10" sqref="C10"/>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37276</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4" t="s">
        <v>294</v>
      </c>
      <c r="B4" s="518">
        <v>588</v>
      </c>
      <c r="C4" s="518">
        <v>570</v>
      </c>
      <c r="D4" s="518">
        <v>559</v>
      </c>
      <c r="E4" s="518">
        <v>552</v>
      </c>
      <c r="F4" s="518">
        <v>556</v>
      </c>
      <c r="G4" s="518">
        <v>571</v>
      </c>
      <c r="H4" s="518">
        <v>599</v>
      </c>
      <c r="I4" s="518">
        <v>600</v>
      </c>
      <c r="J4" s="518">
        <v>611</v>
      </c>
      <c r="K4" s="518">
        <v>632</v>
      </c>
      <c r="L4" s="518">
        <v>640</v>
      </c>
      <c r="M4" s="518">
        <v>640</v>
      </c>
      <c r="N4" s="518">
        <v>635</v>
      </c>
      <c r="O4" s="518">
        <v>627</v>
      </c>
      <c r="P4" s="518">
        <v>615</v>
      </c>
      <c r="Q4" s="518">
        <v>609</v>
      </c>
      <c r="R4" s="518">
        <v>608</v>
      </c>
      <c r="S4" s="518">
        <v>676</v>
      </c>
      <c r="T4" s="518">
        <v>746</v>
      </c>
      <c r="U4" s="518">
        <v>745</v>
      </c>
      <c r="V4" s="518">
        <v>733</v>
      </c>
      <c r="W4" s="518">
        <v>714</v>
      </c>
      <c r="X4" s="519">
        <v>662</v>
      </c>
      <c r="Y4" s="519">
        <v>624</v>
      </c>
      <c r="Z4" s="354"/>
      <c r="AA4" s="354"/>
      <c r="AB4" s="354"/>
      <c r="AC4" s="354"/>
      <c r="AD4" s="354"/>
    </row>
    <row r="5" spans="1:213" s="161" customFormat="1" ht="12.6" thickBot="1" x14ac:dyDescent="0.3">
      <c r="A5" s="706" t="s">
        <v>64</v>
      </c>
      <c r="B5" s="707">
        <f>Deals!F4</f>
        <v>60</v>
      </c>
      <c r="C5" s="707">
        <f>Deals!G4</f>
        <v>55</v>
      </c>
      <c r="D5" s="707">
        <f>Deals!H4</f>
        <v>55</v>
      </c>
      <c r="E5" s="707">
        <f>Deals!I4</f>
        <v>55</v>
      </c>
      <c r="F5" s="707">
        <f>Deals!J4</f>
        <v>55</v>
      </c>
      <c r="G5" s="707">
        <f>Deals!K4</f>
        <v>55</v>
      </c>
      <c r="H5" s="707">
        <f>Deals!L4</f>
        <v>60</v>
      </c>
      <c r="I5" s="707">
        <f>Deals!M4</f>
        <v>65</v>
      </c>
      <c r="J5" s="707">
        <f>Deals!N4</f>
        <v>70</v>
      </c>
      <c r="K5" s="707">
        <f>Deals!O4</f>
        <v>70</v>
      </c>
      <c r="L5" s="707">
        <f>Deals!P4</f>
        <v>70</v>
      </c>
      <c r="M5" s="707">
        <f>Deals!Q4</f>
        <v>65</v>
      </c>
      <c r="N5" s="707">
        <f>Deals!R4</f>
        <v>65</v>
      </c>
      <c r="O5" s="707">
        <f>Deals!S4</f>
        <v>65</v>
      </c>
      <c r="P5" s="707">
        <f>Deals!T4</f>
        <v>65</v>
      </c>
      <c r="Q5" s="707">
        <f>Deals!U4</f>
        <v>65</v>
      </c>
      <c r="R5" s="707">
        <f>Deals!V4</f>
        <v>65</v>
      </c>
      <c r="S5" s="707">
        <f>Deals!W4</f>
        <v>65</v>
      </c>
      <c r="T5" s="707">
        <f>Deals!X4</f>
        <v>65</v>
      </c>
      <c r="U5" s="707">
        <f>Deals!Y4</f>
        <v>75</v>
      </c>
      <c r="V5" s="707">
        <f>Deals!Z4</f>
        <v>75</v>
      </c>
      <c r="W5" s="707">
        <f>Deals!AA4</f>
        <v>70</v>
      </c>
      <c r="X5" s="707">
        <f>Deals!AB4</f>
        <v>65</v>
      </c>
      <c r="Y5" s="708">
        <f>Deals!AC4</f>
        <v>60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-130</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-100</v>
      </c>
      <c r="Y18" s="486">
        <f>Deals!AC7</f>
        <v>-100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75</v>
      </c>
      <c r="C22" s="418">
        <f>Deals!G3</f>
        <v>75</v>
      </c>
      <c r="D22" s="418">
        <f>Deals!H3</f>
        <v>75</v>
      </c>
      <c r="E22" s="418">
        <f>Deals!I3</f>
        <v>75</v>
      </c>
      <c r="F22" s="418">
        <f>Deals!J3</f>
        <v>75</v>
      </c>
      <c r="G22" s="418">
        <f>Deals!K3</f>
        <v>75</v>
      </c>
      <c r="H22" s="418">
        <f>Deals!L3</f>
        <v>75</v>
      </c>
      <c r="I22" s="418">
        <f>Deals!M3</f>
        <v>90</v>
      </c>
      <c r="J22" s="418">
        <f>Deals!N3</f>
        <v>100</v>
      </c>
      <c r="K22" s="418">
        <f>Deals!O3</f>
        <v>100</v>
      </c>
      <c r="L22" s="418">
        <f>Deals!P3</f>
        <v>100</v>
      </c>
      <c r="M22" s="418">
        <f>Deals!Q3</f>
        <v>100</v>
      </c>
      <c r="N22" s="418">
        <f>Deals!R3</f>
        <v>80</v>
      </c>
      <c r="O22" s="418">
        <f>Deals!S3</f>
        <v>80</v>
      </c>
      <c r="P22" s="418">
        <f>Deals!T3</f>
        <v>80</v>
      </c>
      <c r="Q22" s="418">
        <f>Deals!U3</f>
        <v>80</v>
      </c>
      <c r="R22" s="418">
        <f>Deals!V3</f>
        <v>70</v>
      </c>
      <c r="S22" s="418">
        <f>Deals!W3</f>
        <v>70</v>
      </c>
      <c r="T22" s="418">
        <f>Deals!X3</f>
        <v>100</v>
      </c>
      <c r="U22" s="418">
        <f>Deals!Y3</f>
        <v>110</v>
      </c>
      <c r="V22" s="418">
        <f>Deals!Z3</f>
        <v>110</v>
      </c>
      <c r="W22" s="418">
        <f>Deals!AA3</f>
        <v>110</v>
      </c>
      <c r="X22" s="418">
        <f>Deals!AB3</f>
        <v>110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55</v>
      </c>
      <c r="C25" s="658">
        <f t="array" aca="1" ref="C25" ca="1">SUM(IF((DelPoint= "4C")*(DType = "pre")*(OFFSET(DelPoint,0,C3+2)&gt;0),OFFSET(DelPoint,0,C3+2),0))</f>
        <v>55</v>
      </c>
      <c r="D25" s="658">
        <f t="array" aca="1" ref="D25" ca="1">SUM(IF((DelPoint= "4C")*(DType = "pre")*(OFFSET(DelPoint,0,D3+2)&gt;0),OFFSET(DelPoint,0,D3+2),0))</f>
        <v>55</v>
      </c>
      <c r="E25" s="658">
        <f t="array" aca="1" ref="E25" ca="1">SUM(IF((DelPoint= "4C")*(DType = "pre")*(OFFSET(DelPoint,0,E3+2)&gt;0),OFFSET(DelPoint,0,E3+2),0))</f>
        <v>55</v>
      </c>
      <c r="F25" s="658">
        <f t="array" aca="1" ref="F25" ca="1">SUM(IF((DelPoint= "4C")*(DType = "pre")*(OFFSET(DelPoint,0,F3+2)&gt;0),OFFSET(DelPoint,0,F3+2),0))</f>
        <v>55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55</v>
      </c>
      <c r="J25" s="658">
        <f t="array" aca="1" ref="J25" ca="1">SUM(IF((DelPoint= "4C")*(DType = "pre")*(OFFSET(DelPoint,0,J3+2)&gt;0),OFFSET(DelPoint,0,J3+2),0))</f>
        <v>55</v>
      </c>
      <c r="K25" s="658">
        <f t="array" aca="1" ref="K25" ca="1">SUM(IF((DelPoint= "4C")*(DType = "pre")*(OFFSET(DelPoint,0,K3+2)&gt;0),OFFSET(DelPoint,0,K3+2),0))</f>
        <v>55</v>
      </c>
      <c r="L25" s="658">
        <f t="array" aca="1" ref="L25" ca="1">SUM(IF((DelPoint= "4C")*(DType = "pre")*(OFFSET(DelPoint,0,L3+2)&gt;0),OFFSET(DelPoint,0,L3+2),0))</f>
        <v>55</v>
      </c>
      <c r="M25" s="658">
        <f t="array" aca="1" ref="M25" ca="1">SUM(IF((DelPoint= "4C")*(DType = "pre")*(OFFSET(DelPoint,0,M3+2)&gt;0),OFFSET(DelPoint,0,M3+2),0))</f>
        <v>55</v>
      </c>
      <c r="N25" s="658">
        <f t="array" aca="1" ref="N25" ca="1">SUM(IF((DelPoint= "4C")*(DType = "pre")*(OFFSET(DelPoint,0,N3+2)&gt;0),OFFSET(DelPoint,0,N3+2),0))</f>
        <v>55</v>
      </c>
      <c r="O25" s="658">
        <f t="array" aca="1" ref="O25" ca="1">SUM(IF((DelPoint= "4C")*(DType = "pre")*(OFFSET(DelPoint,0,O3+2)&gt;0),OFFSET(DelPoint,0,O3+2),0))</f>
        <v>55</v>
      </c>
      <c r="P25" s="658">
        <f t="array" aca="1" ref="P25" ca="1">SUM(IF((DelPoint= "4C")*(DType = "pre")*(OFFSET(DelPoint,0,P3+2)&gt;0),OFFSET(DelPoint,0,P3+2),0))</f>
        <v>55</v>
      </c>
      <c r="Q25" s="658">
        <f t="array" aca="1" ref="Q25" ca="1">SUM(IF((DelPoint= "4C")*(DType = "pre")*(OFFSET(DelPoint,0,Q3+2)&gt;0),OFFSET(DelPoint,0,Q3+2),0))</f>
        <v>55</v>
      </c>
      <c r="R25" s="658">
        <f t="array" aca="1" ref="R25" ca="1">SUM(IF((DelPoint= "4C")*(DType = "pre")*(OFFSET(DelPoint,0,R3+2)&gt;0),OFFSET(DelPoint,0,R3+2),0))</f>
        <v>55</v>
      </c>
      <c r="S25" s="658">
        <f t="array" aca="1" ref="S25" ca="1">SUM(IF((DelPoint= "4C")*(DType = "pre")*(OFFSET(DelPoint,0,S3+2)&gt;0),OFFSET(DelPoint,0,S3+2),0))</f>
        <v>55</v>
      </c>
      <c r="T25" s="658">
        <f t="array" aca="1" ref="T25" ca="1">SUM(IF((DelPoint= "4C")*(DType = "pre")*(OFFSET(DelPoint,0,T3+2)&gt;0),OFFSET(DelPoint,0,T3+2),0))</f>
        <v>55</v>
      </c>
      <c r="U25" s="658">
        <f t="array" aca="1" ref="U25" ca="1">SUM(IF((DelPoint= "4C")*(DType = "pre")*(OFFSET(DelPoint,0,U3+2)&gt;0),OFFSET(DelPoint,0,U3+2),0))</f>
        <v>55</v>
      </c>
      <c r="V25" s="658">
        <f t="array" aca="1" ref="V25" ca="1">SUM(IF((DelPoint= "4C")*(DType = "pre")*(OFFSET(DelPoint,0,V3+2)&gt;0),OFFSET(DelPoint,0,V3+2),0))</f>
        <v>55</v>
      </c>
      <c r="W25" s="658">
        <f t="array" aca="1" ref="W25" ca="1">SUM(IF((DelPoint= "4C")*(DType = "pre")*(OFFSET(DelPoint,0,W3+2)&gt;0),OFFSET(DelPoint,0,W3+2),0))</f>
        <v>55</v>
      </c>
      <c r="X25" s="658">
        <f t="array" aca="1" ref="X25" ca="1">SUM(IF((DelPoint= "4C")*(DType = "pre")*(OFFSET(DelPoint,0,X3+2)&gt;0),OFFSET(DelPoint,0,X3+2),0))</f>
        <v>55</v>
      </c>
      <c r="Y25" s="669">
        <f t="array" aca="1" ref="Y25" ca="1">SUM(IF((DelPoint= "4C")*(DType = "pre")*(OFFSET(DelPoint,0,Y3+2)&gt;0),OFFSET(DelPoint,0,Y3+2),0))</f>
        <v>55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25</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25</v>
      </c>
      <c r="G28" s="205">
        <f t="array" aca="1" ref="G28" ca="1">SUM(IF((DelPoint= "4C")*IF((DType = "firm")+(DType = "econ")&gt;0,1,0)*(OFFSET(DelPoint,0,G3+2)&gt;0),OFFSET(DelPoint,0,G3+2),0))</f>
        <v>25</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100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25</v>
      </c>
      <c r="O32" s="582">
        <f t="array" aca="1" ref="O32" ca="1">SUM(IF((DelPoint= "PV")*IF((DType = "firm")+(DType = "econ")&gt;0,1,0)*(OFFSET(DelPoint,0,O3+2)&gt;0),OFFSET(DelPoint,0,O3+2),0))</f>
        <v>50</v>
      </c>
      <c r="P32" s="582">
        <f t="array" aca="1" ref="P32" ca="1">SUM(IF((DelPoint= "PV")*IF((DType = "firm")+(DType = "econ")&gt;0,1,0)*(OFFSET(DelPoint,0,P3+2)&gt;0),OFFSET(DelPoint,0,P3+2),0))</f>
        <v>50</v>
      </c>
      <c r="Q32" s="582">
        <f t="array" aca="1" ref="Q32" ca="1">SUM(IF((DelPoint= "PV")*IF((DType = "firm")+(DType = "econ")&gt;0,1,0)*(OFFSET(DelPoint,0,Q3+2)&gt;0),OFFSET(DelPoint,0,Q3+2),0))</f>
        <v>50</v>
      </c>
      <c r="R32" s="582">
        <f t="array" aca="1" ref="R32" ca="1">SUM(IF((DelPoint= "PV")*IF((DType = "firm")+(DType = "econ")&gt;0,1,0)*(OFFSET(DelPoint,0,R3+2)&gt;0),OFFSET(DelPoint,0,R3+2),0))</f>
        <v>25</v>
      </c>
      <c r="S32" s="582">
        <f t="array" aca="1" ref="S32" ca="1">SUM(IF((DelPoint= "PV")*IF((DType = "firm")+(DType = "econ")&gt;0,1,0)*(OFFSET(DelPoint,0,S3+2)&gt;0),OFFSET(DelPoint,0,S3+2),0))</f>
        <v>55</v>
      </c>
      <c r="T32" s="582">
        <f t="array" aca="1" ref="T32" ca="1">SUM(IF((DelPoint= "PV")*IF((DType = "firm")+(DType = "econ")&gt;0,1,0)*(OFFSET(DelPoint,0,T3+2)&gt;0),OFFSET(DelPoint,0,T3+2),0))</f>
        <v>55</v>
      </c>
      <c r="U32" s="582">
        <f t="array" aca="1" ref="U32" ca="1">SUM(IF((DelPoint= "PV")*IF((DType = "firm")+(DType = "econ")&gt;0,1,0)*(OFFSET(DelPoint,0,U3+2)&gt;0),OFFSET(DelPoint,0,U3+2),0))</f>
        <v>55</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903</v>
      </c>
      <c r="C38" s="674">
        <f t="shared" ca="1" si="4"/>
        <v>880</v>
      </c>
      <c r="D38" s="674">
        <f t="shared" ca="1" si="4"/>
        <v>869</v>
      </c>
      <c r="E38" s="674">
        <f t="shared" ca="1" si="4"/>
        <v>862</v>
      </c>
      <c r="F38" s="674">
        <f t="shared" ca="1" si="4"/>
        <v>866</v>
      </c>
      <c r="G38" s="674">
        <f t="shared" ca="1" si="4"/>
        <v>881</v>
      </c>
      <c r="H38" s="674">
        <f t="shared" ca="1" si="4"/>
        <v>889</v>
      </c>
      <c r="I38" s="674">
        <f t="shared" ca="1" si="4"/>
        <v>860</v>
      </c>
      <c r="J38" s="674">
        <f t="shared" ca="1" si="4"/>
        <v>886</v>
      </c>
      <c r="K38" s="674">
        <f t="shared" ca="1" si="4"/>
        <v>907</v>
      </c>
      <c r="L38" s="674">
        <f t="shared" ca="1" si="4"/>
        <v>915</v>
      </c>
      <c r="M38" s="674">
        <f t="shared" ca="1" si="4"/>
        <v>910</v>
      </c>
      <c r="N38" s="674">
        <f t="shared" ca="1" si="4"/>
        <v>910</v>
      </c>
      <c r="O38" s="674">
        <f t="shared" ca="1" si="4"/>
        <v>927</v>
      </c>
      <c r="P38" s="674">
        <f t="shared" ca="1" si="4"/>
        <v>915</v>
      </c>
      <c r="Q38" s="674">
        <f t="shared" ca="1" si="4"/>
        <v>909</v>
      </c>
      <c r="R38" s="674">
        <f t="shared" ca="1" si="4"/>
        <v>873</v>
      </c>
      <c r="S38" s="674">
        <f t="shared" ca="1" si="4"/>
        <v>971</v>
      </c>
      <c r="T38" s="674">
        <f t="shared" ca="1" si="4"/>
        <v>1071</v>
      </c>
      <c r="U38" s="674">
        <f t="shared" ca="1" si="4"/>
        <v>1090</v>
      </c>
      <c r="V38" s="674">
        <f t="shared" ca="1" si="4"/>
        <v>1023</v>
      </c>
      <c r="W38" s="674">
        <f t="shared" ca="1" si="4"/>
        <v>999</v>
      </c>
      <c r="X38" s="674">
        <f t="shared" ca="1" si="4"/>
        <v>942</v>
      </c>
      <c r="Y38" s="675">
        <f t="shared" ca="1" si="4"/>
        <v>939</v>
      </c>
      <c r="Z38" s="348"/>
      <c r="AA38" s="162"/>
    </row>
    <row r="39" spans="1:33" s="161" customFormat="1" ht="16.2"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37</v>
      </c>
      <c r="C42" s="592">
        <v>34</v>
      </c>
      <c r="D42" s="592">
        <v>35</v>
      </c>
      <c r="E42" s="593">
        <v>35</v>
      </c>
      <c r="F42" s="592">
        <v>35</v>
      </c>
      <c r="G42" s="592">
        <v>34</v>
      </c>
      <c r="H42" s="592">
        <v>34</v>
      </c>
      <c r="I42" s="592">
        <v>34</v>
      </c>
      <c r="J42" s="592">
        <v>34</v>
      </c>
      <c r="K42" s="592">
        <v>34</v>
      </c>
      <c r="L42" s="592">
        <v>34</v>
      </c>
      <c r="M42" s="592">
        <v>35</v>
      </c>
      <c r="N42" s="592">
        <v>35</v>
      </c>
      <c r="O42" s="592">
        <v>36</v>
      </c>
      <c r="P42" s="592">
        <v>34</v>
      </c>
      <c r="Q42" s="592">
        <v>34</v>
      </c>
      <c r="R42" s="592">
        <v>31</v>
      </c>
      <c r="S42" s="592">
        <v>32</v>
      </c>
      <c r="T42" s="592">
        <v>34</v>
      </c>
      <c r="U42" s="592">
        <v>34</v>
      </c>
      <c r="V42" s="592">
        <v>38</v>
      </c>
      <c r="W42" s="592">
        <v>38</v>
      </c>
      <c r="X42" s="592">
        <v>38</v>
      </c>
      <c r="Y42" s="592">
        <v>42</v>
      </c>
      <c r="Z42" s="350">
        <v>78</v>
      </c>
      <c r="AA42" s="210">
        <f ca="1">-Economics!D35/Economics!I35</f>
        <v>9132.5105628188776</v>
      </c>
    </row>
    <row r="43" spans="1:33" s="161" customFormat="1" ht="12.75" customHeight="1" x14ac:dyDescent="0.2">
      <c r="A43" s="591" t="s">
        <v>131</v>
      </c>
      <c r="B43" s="595">
        <v>43</v>
      </c>
      <c r="C43" s="595">
        <v>65</v>
      </c>
      <c r="D43" s="595">
        <v>58</v>
      </c>
      <c r="E43" s="596">
        <v>50</v>
      </c>
      <c r="F43" s="595">
        <v>53</v>
      </c>
      <c r="G43" s="595">
        <v>70</v>
      </c>
      <c r="H43" s="595">
        <v>37</v>
      </c>
      <c r="I43" s="595">
        <v>46</v>
      </c>
      <c r="J43" s="595">
        <v>68</v>
      </c>
      <c r="K43" s="595">
        <v>90</v>
      </c>
      <c r="L43" s="595">
        <v>37</v>
      </c>
      <c r="M43" s="595">
        <v>38</v>
      </c>
      <c r="N43" s="595">
        <v>38</v>
      </c>
      <c r="O43" s="595">
        <v>38</v>
      </c>
      <c r="P43" s="595">
        <v>38</v>
      </c>
      <c r="Q43" s="595">
        <v>37</v>
      </c>
      <c r="R43" s="595">
        <v>36</v>
      </c>
      <c r="S43" s="595">
        <v>36</v>
      </c>
      <c r="T43" s="595">
        <v>36</v>
      </c>
      <c r="U43" s="595">
        <v>36</v>
      </c>
      <c r="V43" s="595">
        <v>36</v>
      </c>
      <c r="W43" s="595">
        <v>36</v>
      </c>
      <c r="X43" s="595">
        <v>36</v>
      </c>
      <c r="Y43" s="595">
        <v>48</v>
      </c>
      <c r="Z43" s="352">
        <v>103</v>
      </c>
      <c r="AA43" s="211">
        <f ca="1">-Economics!D36/Economics!I36</f>
        <v>11745.454998405612</v>
      </c>
    </row>
    <row r="44" spans="1:33" s="161" customFormat="1" ht="12.75" customHeight="1" x14ac:dyDescent="0.2">
      <c r="A44" s="590" t="s">
        <v>49</v>
      </c>
      <c r="B44" s="592">
        <v>21</v>
      </c>
      <c r="C44" s="592">
        <v>21</v>
      </c>
      <c r="D44" s="592">
        <v>21</v>
      </c>
      <c r="E44" s="592">
        <v>20</v>
      </c>
      <c r="F44" s="592">
        <v>21</v>
      </c>
      <c r="G44" s="592">
        <v>21</v>
      </c>
      <c r="H44" s="592">
        <v>20</v>
      </c>
      <c r="I44" s="592">
        <v>20</v>
      </c>
      <c r="J44" s="592">
        <v>20</v>
      </c>
      <c r="K44" s="592">
        <v>20</v>
      </c>
      <c r="L44" s="592"/>
      <c r="M44" s="592"/>
      <c r="N44" s="592"/>
      <c r="O44" s="592"/>
      <c r="P44" s="592"/>
      <c r="Q44" s="592"/>
      <c r="R44" s="592"/>
      <c r="S44" s="592"/>
      <c r="T44" s="592"/>
      <c r="U44" s="592"/>
      <c r="V44" s="592">
        <v>0</v>
      </c>
      <c r="W44" s="592">
        <v>0</v>
      </c>
      <c r="X44" s="592">
        <v>0</v>
      </c>
      <c r="Y44" s="594">
        <v>25</v>
      </c>
      <c r="Z44" s="350">
        <v>40</v>
      </c>
      <c r="AA44" s="210">
        <f ca="1">-Economics!D37/Economics!I37</f>
        <v>3912.0304029815052</v>
      </c>
    </row>
    <row r="45" spans="1:33" s="161" customFormat="1" ht="12.75" customHeight="1" x14ac:dyDescent="0.2">
      <c r="A45" s="590" t="s">
        <v>50</v>
      </c>
      <c r="B45" s="592">
        <v>20</v>
      </c>
      <c r="C45" s="592">
        <v>20</v>
      </c>
      <c r="D45" s="592">
        <v>20</v>
      </c>
      <c r="E45" s="592">
        <v>20</v>
      </c>
      <c r="F45" s="592">
        <v>20</v>
      </c>
      <c r="G45" s="592">
        <v>20</v>
      </c>
      <c r="H45" s="592">
        <v>20</v>
      </c>
      <c r="I45" s="592">
        <v>20</v>
      </c>
      <c r="J45" s="592">
        <v>20</v>
      </c>
      <c r="K45" s="592">
        <v>20</v>
      </c>
      <c r="L45" s="592"/>
      <c r="M45" s="592"/>
      <c r="N45" s="592"/>
      <c r="O45" s="592"/>
      <c r="P45" s="592"/>
      <c r="Q45" s="592"/>
      <c r="R45" s="592"/>
      <c r="S45" s="592"/>
      <c r="T45" s="592"/>
      <c r="U45" s="592"/>
      <c r="V45" s="592">
        <v>0</v>
      </c>
      <c r="W45" s="592">
        <v>0</v>
      </c>
      <c r="X45" s="592">
        <v>0</v>
      </c>
      <c r="Y45" s="594">
        <v>25</v>
      </c>
      <c r="Z45" s="350">
        <v>40</v>
      </c>
      <c r="AA45" s="210">
        <f ca="1">-Economics!D38/Economics!I38</f>
        <v>3860.4771205357142</v>
      </c>
    </row>
    <row r="46" spans="1:33" s="161" customFormat="1" ht="12.75" customHeight="1" x14ac:dyDescent="0.25">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c r="H48" s="595"/>
      <c r="I48" s="595"/>
      <c r="J48" s="595"/>
      <c r="K48" s="595"/>
      <c r="L48" s="595">
        <v>107</v>
      </c>
      <c r="M48" s="595">
        <v>101</v>
      </c>
      <c r="N48" s="595">
        <v>127</v>
      </c>
      <c r="O48" s="595">
        <v>139</v>
      </c>
      <c r="P48" s="595">
        <v>130</v>
      </c>
      <c r="Q48" s="595">
        <v>120</v>
      </c>
      <c r="R48" s="595">
        <v>94</v>
      </c>
      <c r="S48" s="595">
        <v>126</v>
      </c>
      <c r="T48" s="595">
        <v>215</v>
      </c>
      <c r="U48" s="595">
        <v>215</v>
      </c>
      <c r="V48" s="595">
        <v>160</v>
      </c>
      <c r="W48" s="595">
        <v>120</v>
      </c>
      <c r="X48" s="595">
        <v>120</v>
      </c>
      <c r="Y48" s="595"/>
      <c r="Z48" s="352">
        <v>212</v>
      </c>
      <c r="AA48" s="211">
        <f ca="1">-Economics!D41/Economics!I41</f>
        <v>17597.472895408162</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202</v>
      </c>
      <c r="I54" s="592">
        <v>202</v>
      </c>
      <c r="J54" s="592">
        <v>202</v>
      </c>
      <c r="K54" s="592">
        <v>202</v>
      </c>
      <c r="L54" s="592">
        <v>202</v>
      </c>
      <c r="M54" s="592">
        <v>202</v>
      </c>
      <c r="N54" s="592">
        <v>202</v>
      </c>
      <c r="O54" s="592">
        <v>202</v>
      </c>
      <c r="P54" s="592">
        <v>202</v>
      </c>
      <c r="Q54" s="592">
        <v>202</v>
      </c>
      <c r="R54" s="592">
        <v>202</v>
      </c>
      <c r="S54" s="592">
        <v>202</v>
      </c>
      <c r="T54" s="592">
        <v>202</v>
      </c>
      <c r="U54" s="592">
        <v>202</v>
      </c>
      <c r="V54" s="592">
        <v>202</v>
      </c>
      <c r="W54" s="592">
        <v>202</v>
      </c>
      <c r="X54" s="592">
        <v>202</v>
      </c>
      <c r="Y54" s="592">
        <v>202</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202</v>
      </c>
      <c r="N55" s="592">
        <v>202</v>
      </c>
      <c r="O55" s="592">
        <v>202</v>
      </c>
      <c r="P55" s="592">
        <v>202</v>
      </c>
      <c r="Q55" s="592">
        <v>202</v>
      </c>
      <c r="R55" s="592">
        <v>202</v>
      </c>
      <c r="S55" s="592">
        <v>202</v>
      </c>
      <c r="T55" s="592">
        <v>202</v>
      </c>
      <c r="U55" s="592">
        <v>202</v>
      </c>
      <c r="V55" s="592">
        <v>202</v>
      </c>
      <c r="W55" s="592">
        <v>202</v>
      </c>
      <c r="X55" s="592">
        <v>202</v>
      </c>
      <c r="Y55" s="592">
        <v>202</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27</v>
      </c>
      <c r="O56" s="592">
        <v>27</v>
      </c>
      <c r="P56" s="592">
        <v>27</v>
      </c>
      <c r="Q56" s="592">
        <v>27</v>
      </c>
      <c r="R56" s="592">
        <v>27</v>
      </c>
      <c r="S56" s="592">
        <v>48</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6" t="s">
        <v>10</v>
      </c>
      <c r="B58" s="697">
        <f ca="1">B59-B38</f>
        <v>5</v>
      </c>
      <c r="C58" s="697">
        <f t="shared" ref="C58:I58" ca="1" si="5">C59-C38</f>
        <v>-3</v>
      </c>
      <c r="D58" s="697">
        <f t="shared" ca="1" si="5"/>
        <v>2</v>
      </c>
      <c r="E58" s="697">
        <f t="shared" ca="1" si="5"/>
        <v>0</v>
      </c>
      <c r="F58" s="697">
        <f t="shared" ca="1" si="5"/>
        <v>0</v>
      </c>
      <c r="G58" s="697">
        <f ca="1">G59-G38</f>
        <v>2</v>
      </c>
      <c r="H58" s="697">
        <f t="shared" ca="1" si="5"/>
        <v>9</v>
      </c>
      <c r="I58" s="697">
        <f t="shared" ca="1" si="5"/>
        <v>-3</v>
      </c>
      <c r="J58" s="697">
        <f t="shared" ref="J58:Y58" ca="1" si="6">J59-J38</f>
        <v>-7</v>
      </c>
      <c r="K58" s="697">
        <f t="shared" ca="1" si="6"/>
        <v>-6</v>
      </c>
      <c r="L58" s="697">
        <f t="shared" ca="1" si="6"/>
        <v>0</v>
      </c>
      <c r="M58" s="697">
        <f t="shared" ca="1" si="6"/>
        <v>1</v>
      </c>
      <c r="N58" s="697">
        <f t="shared" ca="1" si="6"/>
        <v>2</v>
      </c>
      <c r="O58" s="697">
        <f t="shared" ca="1" si="6"/>
        <v>-2</v>
      </c>
      <c r="P58" s="697">
        <f t="shared" ca="1" si="6"/>
        <v>-1</v>
      </c>
      <c r="Q58" s="697">
        <f t="shared" ca="1" si="6"/>
        <v>-6</v>
      </c>
      <c r="R58" s="697">
        <f t="shared" ca="1" si="6"/>
        <v>0</v>
      </c>
      <c r="S58" s="697">
        <f t="shared" ca="1" si="6"/>
        <v>9</v>
      </c>
      <c r="T58" s="697">
        <f t="shared" ca="1" si="6"/>
        <v>4</v>
      </c>
      <c r="U58" s="697">
        <f t="shared" ca="1" si="6"/>
        <v>-15</v>
      </c>
      <c r="V58" s="697">
        <f t="shared" ca="1" si="6"/>
        <v>1</v>
      </c>
      <c r="W58" s="697">
        <f t="shared" ca="1" si="6"/>
        <v>-68</v>
      </c>
      <c r="X58" s="697">
        <f t="shared" ca="1" si="6"/>
        <v>9</v>
      </c>
      <c r="Y58" s="698">
        <f t="shared" ca="1" si="6"/>
        <v>-42</v>
      </c>
      <c r="Z58" s="351">
        <f ca="1">SUM(Z41:Z55)+Z41+Z42+Z43+Z48+Z49+Z50+Z51+Z52</f>
        <v>2416</v>
      </c>
      <c r="AA58" s="209">
        <f ca="1">SUM(AA41:AA55)</f>
        <v>46247.945980149874</v>
      </c>
    </row>
    <row r="59" spans="1:27" s="161" customFormat="1" ht="12" x14ac:dyDescent="0.2">
      <c r="A59" s="548">
        <v>0</v>
      </c>
      <c r="B59" s="549">
        <f t="shared" ref="B59:I59" ca="1" si="7">SUM(B41:B57)-SUM(B7:B20)</f>
        <v>908</v>
      </c>
      <c r="C59" s="549">
        <f t="shared" ca="1" si="7"/>
        <v>877</v>
      </c>
      <c r="D59" s="549">
        <f t="shared" ca="1" si="7"/>
        <v>871</v>
      </c>
      <c r="E59" s="549">
        <f t="shared" ca="1" si="7"/>
        <v>862</v>
      </c>
      <c r="F59" s="549">
        <f t="shared" ca="1" si="7"/>
        <v>866</v>
      </c>
      <c r="G59" s="549">
        <f t="shared" ca="1" si="7"/>
        <v>883</v>
      </c>
      <c r="H59" s="549">
        <f t="shared" ca="1" si="7"/>
        <v>898</v>
      </c>
      <c r="I59" s="549">
        <f t="shared" ca="1" si="7"/>
        <v>857</v>
      </c>
      <c r="J59" s="549">
        <f t="shared" ref="J59:Y59" ca="1" si="8">SUM(J41:J57)-SUM(J7:J20)</f>
        <v>879</v>
      </c>
      <c r="K59" s="549">
        <f t="shared" ca="1" si="8"/>
        <v>901</v>
      </c>
      <c r="L59" s="549">
        <f t="shared" ca="1" si="8"/>
        <v>915</v>
      </c>
      <c r="M59" s="549">
        <f t="shared" ca="1" si="8"/>
        <v>911</v>
      </c>
      <c r="N59" s="549">
        <f t="shared" ca="1" si="8"/>
        <v>912</v>
      </c>
      <c r="O59" s="549">
        <f t="shared" ca="1" si="8"/>
        <v>925</v>
      </c>
      <c r="P59" s="549">
        <f t="shared" ca="1" si="8"/>
        <v>914</v>
      </c>
      <c r="Q59" s="549">
        <f t="shared" ca="1" si="8"/>
        <v>903</v>
      </c>
      <c r="R59" s="549">
        <f t="shared" ca="1" si="8"/>
        <v>873</v>
      </c>
      <c r="S59" s="549">
        <f t="shared" ca="1" si="8"/>
        <v>980</v>
      </c>
      <c r="T59" s="549">
        <f t="shared" ca="1" si="8"/>
        <v>1075</v>
      </c>
      <c r="U59" s="549">
        <f ca="1">SUM(U41:U57)-SUM(U7:U20)</f>
        <v>1075</v>
      </c>
      <c r="V59" s="549">
        <f t="shared" ca="1" si="8"/>
        <v>1024</v>
      </c>
      <c r="W59" s="549">
        <f t="shared" ca="1" si="8"/>
        <v>931</v>
      </c>
      <c r="X59" s="549">
        <f t="shared" ca="1" si="8"/>
        <v>951</v>
      </c>
      <c r="Y59" s="549">
        <f t="shared" ca="1" si="8"/>
        <v>897</v>
      </c>
      <c r="Z59" s="213">
        <f ca="1">SUM(Economics!D28:D45)</f>
        <v>-190528.06084109374</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130</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100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430</v>
      </c>
      <c r="C62" s="169">
        <f t="shared" ca="1" si="10"/>
        <v>430</v>
      </c>
      <c r="D62" s="169">
        <f t="shared" ca="1" si="10"/>
        <v>430</v>
      </c>
      <c r="E62" s="169">
        <f t="shared" ca="1" si="10"/>
        <v>430</v>
      </c>
      <c r="F62" s="169">
        <f t="shared" ca="1" si="10"/>
        <v>430</v>
      </c>
      <c r="G62" s="169">
        <f t="shared" ca="1" si="10"/>
        <v>431</v>
      </c>
      <c r="H62" s="169">
        <f t="shared" ca="1" si="10"/>
        <v>430</v>
      </c>
      <c r="I62" s="169">
        <f t="shared" ca="1" si="10"/>
        <v>465</v>
      </c>
      <c r="J62" s="169">
        <f t="shared" ca="1" si="10"/>
        <v>455</v>
      </c>
      <c r="K62" s="169">
        <f t="shared" ca="1" si="10"/>
        <v>455</v>
      </c>
      <c r="L62" s="169">
        <f t="shared" ca="1" si="10"/>
        <v>455</v>
      </c>
      <c r="M62" s="169">
        <f t="shared" ca="1" si="10"/>
        <v>455</v>
      </c>
      <c r="N62" s="169">
        <f t="shared" ca="1" si="10"/>
        <v>450</v>
      </c>
      <c r="O62" s="169">
        <f t="shared" ca="1" si="10"/>
        <v>425</v>
      </c>
      <c r="P62" s="169">
        <f t="shared" ca="1" si="10"/>
        <v>425</v>
      </c>
      <c r="Q62" s="169">
        <f t="shared" ca="1" si="10"/>
        <v>425</v>
      </c>
      <c r="R62" s="169">
        <f t="shared" ca="1" si="10"/>
        <v>460</v>
      </c>
      <c r="S62" s="169">
        <f t="shared" ca="1" si="10"/>
        <v>430</v>
      </c>
      <c r="T62" s="169">
        <f t="shared" ca="1" si="10"/>
        <v>400</v>
      </c>
      <c r="U62" s="169">
        <f t="shared" ca="1" si="10"/>
        <v>390</v>
      </c>
      <c r="V62" s="169">
        <f t="shared" ca="1" si="10"/>
        <v>445</v>
      </c>
      <c r="W62" s="169">
        <f t="shared" ca="1" si="10"/>
        <v>445</v>
      </c>
      <c r="X62" s="169">
        <f t="shared" ca="1" si="10"/>
        <v>445</v>
      </c>
      <c r="Y62" s="170">
        <f t="shared" ca="1" si="10"/>
        <v>405</v>
      </c>
      <c r="Z62" s="191"/>
      <c r="AA62" s="162"/>
    </row>
    <row r="63" spans="1:27" s="161" customFormat="1" ht="12" x14ac:dyDescent="0.2">
      <c r="A63" s="193" t="s">
        <v>140</v>
      </c>
      <c r="B63" s="169">
        <f t="shared" ref="B63:L63" ca="1" si="11">-SUM(B8:B10,B25:B28) + SUM(B56:B57)</f>
        <v>-28</v>
      </c>
      <c r="C63" s="169">
        <f t="shared" ca="1" si="11"/>
        <v>-78</v>
      </c>
      <c r="D63" s="169">
        <f t="shared" ca="1" si="11"/>
        <v>-78</v>
      </c>
      <c r="E63" s="169">
        <f t="shared" ca="1" si="11"/>
        <v>-78</v>
      </c>
      <c r="F63" s="169">
        <f t="shared" ca="1" si="11"/>
        <v>-78</v>
      </c>
      <c r="G63" s="169">
        <f t="shared" ca="1" si="11"/>
        <v>-78</v>
      </c>
      <c r="H63" s="169">
        <f t="shared" ca="1" si="11"/>
        <v>-3</v>
      </c>
      <c r="I63" s="169">
        <f t="shared" ca="1" si="11"/>
        <v>-3</v>
      </c>
      <c r="J63" s="169">
        <f t="shared" ca="1" si="11"/>
        <v>-3</v>
      </c>
      <c r="K63" s="169">
        <f t="shared" ca="1" si="11"/>
        <v>-3</v>
      </c>
      <c r="L63" s="169">
        <f t="shared" ca="1" si="11"/>
        <v>-3</v>
      </c>
      <c r="M63" s="169">
        <f ca="1">-SUM(M8:M10,M25:M28) + SUM(M57:M57)</f>
        <v>-55</v>
      </c>
      <c r="N63" s="169">
        <f t="shared" ref="N63:Y63" ca="1" si="12">-SUM(N8:N10,N25:N28) + SUM(N56:N57)</f>
        <v>-28</v>
      </c>
      <c r="O63" s="169">
        <f t="shared" ca="1" si="12"/>
        <v>-28</v>
      </c>
      <c r="P63" s="169">
        <f t="shared" ca="1" si="12"/>
        <v>-28</v>
      </c>
      <c r="Q63" s="169">
        <f t="shared" ca="1" si="12"/>
        <v>-28</v>
      </c>
      <c r="R63" s="169">
        <f t="shared" ca="1" si="12"/>
        <v>-28</v>
      </c>
      <c r="S63" s="169">
        <f t="shared" ca="1" si="12"/>
        <v>-7</v>
      </c>
      <c r="T63" s="169">
        <f t="shared" ca="1" si="12"/>
        <v>-3</v>
      </c>
      <c r="U63" s="169">
        <f t="shared" ca="1" si="12"/>
        <v>-3</v>
      </c>
      <c r="V63" s="169">
        <f t="shared" ca="1" si="12"/>
        <v>-3</v>
      </c>
      <c r="W63" s="169">
        <f t="shared" ca="1" si="12"/>
        <v>-3</v>
      </c>
      <c r="X63" s="169">
        <f t="shared" ca="1" si="12"/>
        <v>-3</v>
      </c>
      <c r="Y63" s="170">
        <f t="shared" ca="1" si="12"/>
        <v>-3</v>
      </c>
      <c r="Z63" s="191"/>
      <c r="AA63" s="162"/>
    </row>
    <row r="64" spans="1:27" s="161" customFormat="1" ht="12" x14ac:dyDescent="0.2">
      <c r="A64" s="193" t="s">
        <v>141</v>
      </c>
      <c r="B64" s="169">
        <f ca="1">IF(B62+B63&gt;645,"err",B62+B63)</f>
        <v>402</v>
      </c>
      <c r="C64" s="169">
        <f t="shared" ref="C64:Y64" ca="1" si="13">IF(C62+C63&gt;645,"err",C62+C63)</f>
        <v>352</v>
      </c>
      <c r="D64" s="169">
        <f t="shared" ca="1" si="13"/>
        <v>352</v>
      </c>
      <c r="E64" s="169">
        <f t="shared" ca="1" si="13"/>
        <v>352</v>
      </c>
      <c r="F64" s="169">
        <f t="shared" ca="1" si="13"/>
        <v>352</v>
      </c>
      <c r="G64" s="169">
        <f t="shared" ca="1" si="13"/>
        <v>353</v>
      </c>
      <c r="H64" s="169">
        <f t="shared" ca="1" si="13"/>
        <v>427</v>
      </c>
      <c r="I64" s="169">
        <f t="shared" ca="1" si="13"/>
        <v>462</v>
      </c>
      <c r="J64" s="169">
        <f t="shared" ca="1" si="13"/>
        <v>452</v>
      </c>
      <c r="K64" s="169">
        <f t="shared" ca="1" si="13"/>
        <v>452</v>
      </c>
      <c r="L64" s="169">
        <f t="shared" ca="1" si="13"/>
        <v>452</v>
      </c>
      <c r="M64" s="169">
        <f t="shared" ca="1" si="13"/>
        <v>400</v>
      </c>
      <c r="N64" s="169">
        <f t="shared" ca="1" si="13"/>
        <v>422</v>
      </c>
      <c r="O64" s="169">
        <f t="shared" ca="1" si="13"/>
        <v>397</v>
      </c>
      <c r="P64" s="169">
        <f t="shared" ca="1" si="13"/>
        <v>397</v>
      </c>
      <c r="Q64" s="169">
        <f t="shared" ca="1" si="13"/>
        <v>397</v>
      </c>
      <c r="R64" s="169">
        <f t="shared" ca="1" si="13"/>
        <v>432</v>
      </c>
      <c r="S64" s="169">
        <f t="shared" ca="1" si="13"/>
        <v>423</v>
      </c>
      <c r="T64" s="169">
        <f t="shared" ca="1" si="13"/>
        <v>397</v>
      </c>
      <c r="U64" s="169">
        <f t="shared" ca="1" si="13"/>
        <v>387</v>
      </c>
      <c r="V64" s="169">
        <f t="shared" ca="1" si="13"/>
        <v>442</v>
      </c>
      <c r="W64" s="169">
        <f t="shared" ca="1" si="13"/>
        <v>442</v>
      </c>
      <c r="X64" s="169">
        <f t="shared" ca="1" si="13"/>
        <v>442</v>
      </c>
      <c r="Y64" s="170">
        <f t="shared" ca="1" si="13"/>
        <v>402</v>
      </c>
      <c r="Z64" s="192"/>
      <c r="AA64" s="162"/>
    </row>
    <row r="65" spans="1:27" s="161" customFormat="1" ht="12" x14ac:dyDescent="0.2">
      <c r="A65" s="193" t="s">
        <v>18</v>
      </c>
      <c r="B65" s="169">
        <f ca="1">SUM(B61:B63)</f>
        <v>532</v>
      </c>
      <c r="C65" s="169">
        <f t="shared" ref="C65:Y65" ca="1" si="14">SUM(C61:C63)</f>
        <v>482</v>
      </c>
      <c r="D65" s="169">
        <f t="shared" ca="1" si="14"/>
        <v>482</v>
      </c>
      <c r="E65" s="169">
        <f t="shared" ca="1" si="14"/>
        <v>482</v>
      </c>
      <c r="F65" s="169">
        <f t="shared" ca="1" si="14"/>
        <v>482</v>
      </c>
      <c r="G65" s="169">
        <f t="shared" ca="1" si="14"/>
        <v>483</v>
      </c>
      <c r="H65" s="169">
        <f t="shared" ca="1" si="14"/>
        <v>557</v>
      </c>
      <c r="I65" s="169">
        <f t="shared" ca="1" si="14"/>
        <v>542</v>
      </c>
      <c r="J65" s="169">
        <f t="shared" ca="1" si="14"/>
        <v>532</v>
      </c>
      <c r="K65" s="169">
        <f t="shared" ca="1" si="14"/>
        <v>532</v>
      </c>
      <c r="L65" s="169">
        <f t="shared" ca="1" si="14"/>
        <v>532</v>
      </c>
      <c r="M65" s="169">
        <f t="shared" ca="1" si="14"/>
        <v>480</v>
      </c>
      <c r="N65" s="169">
        <f t="shared" ca="1" si="14"/>
        <v>502</v>
      </c>
      <c r="O65" s="169">
        <f t="shared" ca="1" si="14"/>
        <v>477</v>
      </c>
      <c r="P65" s="169">
        <f t="shared" ca="1" si="14"/>
        <v>477</v>
      </c>
      <c r="Q65" s="169">
        <f t="shared" ca="1" si="14"/>
        <v>477</v>
      </c>
      <c r="R65" s="169">
        <f t="shared" ca="1" si="14"/>
        <v>512</v>
      </c>
      <c r="S65" s="169">
        <f t="shared" ca="1" si="14"/>
        <v>556</v>
      </c>
      <c r="T65" s="169">
        <f t="shared" ca="1" si="14"/>
        <v>530</v>
      </c>
      <c r="U65" s="169">
        <f t="shared" ca="1" si="14"/>
        <v>520</v>
      </c>
      <c r="V65" s="169">
        <f t="shared" ca="1" si="14"/>
        <v>575</v>
      </c>
      <c r="W65" s="169">
        <f t="shared" ca="1" si="14"/>
        <v>522</v>
      </c>
      <c r="X65" s="169">
        <f t="shared" ca="1" si="14"/>
        <v>542</v>
      </c>
      <c r="Y65" s="170">
        <f t="shared" ca="1" si="14"/>
        <v>502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129</v>
      </c>
      <c r="C67" s="169">
        <f t="array" ref="C67">SUM(IF(C$41:C$55 = 0,0,$Z$41:$Z$55-C$41:C$55))-INDEX(Balancing!$R$4:$R$27,C$3)</f>
        <v>110</v>
      </c>
      <c r="D67" s="169">
        <f t="array" ref="D67">SUM(IF(D$41:D$55 = 0,0,$Z$41:$Z$55-D$41:D$55))-INDEX(Balancing!$R$4:$R$27,D$3)</f>
        <v>116</v>
      </c>
      <c r="E67" s="169">
        <f t="array" ref="E67">SUM(IF(E$41:E$55 = 0,0,$Z$41:$Z$55-E$41:E$55))-INDEX(Balancing!$R$4:$R$27,E$3)</f>
        <v>125</v>
      </c>
      <c r="F67" s="169">
        <f t="array" ref="F67">SUM(IF(F$41:F$55 = 0,0,$Z$41:$Z$55-F$41:F$55))-INDEX(Balancing!$R$4:$R$27,F$3)</f>
        <v>121</v>
      </c>
      <c r="G67" s="169">
        <f t="array" ref="G67">SUM(IF(G$41:G$55 = 0,0,$Z$41:$Z$55-G$41:G$55))-INDEX(Balancing!$R$4:$R$27,G$3)</f>
        <v>104</v>
      </c>
      <c r="H67" s="169">
        <f t="array" ref="H67">SUM(IF(H$41:H$55 = 0,0,$Z$41:$Z$55-H$41:H$55))-INDEX(Balancing!$R$4:$R$27,H$3)</f>
        <v>139</v>
      </c>
      <c r="I67" s="169">
        <f t="array" ref="I67">SUM(IF(I$41:I$55 = 0,0,$Z$41:$Z$55-I$41:I$55))-INDEX(Balancing!$R$4:$R$27,I$3)</f>
        <v>130</v>
      </c>
      <c r="J67" s="169">
        <f t="array" ref="J67">SUM(IF(J$41:J$55 = 0,0,$Z$41:$Z$55-J$41:J$55))-INDEX(Balancing!$R$4:$R$27,J$3)</f>
        <v>108</v>
      </c>
      <c r="K67" s="169">
        <f t="array" ref="K67">SUM(IF(K$41:K$55 = 0,0,$Z$41:$Z$55-K$41:K$55))-INDEX(Balancing!$R$4:$R$27,K$3)</f>
        <v>86</v>
      </c>
      <c r="L67" s="169">
        <f t="array" ref="L67">SUM(IF(L$41:L$55 = 0,0,$Z$41:$Z$55-L$41:L$55))-INDEX(Balancing!$R$4:$R$27,L$3)</f>
        <v>204</v>
      </c>
      <c r="M67" s="169">
        <f t="array" ref="M67">SUM(IF(M$41:M$55 = 0,0,$Z$41:$Z$55-M$41:M$55))-INDEX(Balancing!$R$4:$R$27,M$3)</f>
        <v>208</v>
      </c>
      <c r="N67" s="169">
        <v>179</v>
      </c>
      <c r="O67" s="169">
        <f t="array" ref="O67">SUM(IF(O$41:O$55 = 0,0,$Z$41:$Z$55-O$41:O$55))-INDEX(Balancing!$R$4:$R$27,O$3)</f>
        <v>169</v>
      </c>
      <c r="P67" s="169">
        <f t="array" ref="P67">SUM(IF(P$41:P$55 = 0,0,$Z$41:$Z$55-P$41:P$55))-INDEX(Balancing!$R$4:$R$27,P$3)</f>
        <v>180</v>
      </c>
      <c r="Q67" s="169">
        <f t="array" ref="Q67">SUM(IF(Q$41:Q$55 = 0,0,$Z$41:$Z$55-Q$41:Q$55))-INDEX(Balancing!$R$4:$R$27,Q$3)</f>
        <v>191</v>
      </c>
      <c r="R67" s="169">
        <f t="array" ref="R67">SUM(IF(R$41:R$55 = 0,0,$Z$41:$Z$55-R$41:R$55))-INDEX(Balancing!$R$4:$R$27,R$3)</f>
        <v>221</v>
      </c>
      <c r="S67" s="169">
        <f t="array" ref="S67">SUM(IF(S$41:S$55 = 0,0,$Z$41:$Z$55-S$41:S$55))-INDEX(Balancing!$R$4:$R$27,S$3)</f>
        <v>188</v>
      </c>
      <c r="T67" s="169">
        <f t="array" ref="T67">SUM(IF(T$41:T$55 = 0,0,$Z$41:$Z$55-T$41:T$55))-INDEX(Balancing!$R$4:$R$27,T$3)</f>
        <v>97</v>
      </c>
      <c r="U67" s="169">
        <f t="array" ref="U67">SUM(IF(U$41:U$55 = 0,0,$Z$41:$Z$55-U$41:U$55))-INDEX(Balancing!$R$4:$R$27,U$3)</f>
        <v>97</v>
      </c>
      <c r="V67" s="169">
        <f t="array" ref="V67">SUM(IF(V$41:V$55 = 0,0,$Z$41:$Z$55-V$41:V$55))-INDEX(Balancing!$R$4:$R$27,V$3)</f>
        <v>148</v>
      </c>
      <c r="W67" s="169">
        <f t="array" ref="W67">SUM(IF(W$41:W$55 = 0,0,$Z$41:$Z$55-W$41:W$55))-INDEX(Balancing!$R$4:$R$27,W$3)</f>
        <v>188</v>
      </c>
      <c r="X67" s="169">
        <f t="array" ref="X67">SUM(IF(X$41:X$55 = 0,0,$Z$41:$Z$55-X$41:X$55))-INDEX(Balancing!$R$4:$R$27,X$3)</f>
        <v>188</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41</v>
      </c>
      <c r="C69" s="171">
        <f t="shared" si="15"/>
        <v>40</v>
      </c>
      <c r="D69" s="171">
        <f t="shared" si="15"/>
        <v>39</v>
      </c>
      <c r="E69" s="171">
        <f t="shared" si="15"/>
        <v>39</v>
      </c>
      <c r="F69" s="171">
        <f t="shared" si="15"/>
        <v>39</v>
      </c>
      <c r="G69" s="171">
        <f t="shared" si="15"/>
        <v>40</v>
      </c>
      <c r="H69" s="171">
        <f t="shared" ref="H69:X69" si="16">IF(H67&lt;0.07*I4,"err",ROUND(I4*0.07,0))</f>
        <v>42</v>
      </c>
      <c r="I69" s="171">
        <f t="shared" si="16"/>
        <v>43</v>
      </c>
      <c r="J69" s="171">
        <f t="shared" si="16"/>
        <v>44</v>
      </c>
      <c r="K69" s="171">
        <f t="shared" si="16"/>
        <v>45</v>
      </c>
      <c r="L69" s="171">
        <f t="shared" si="16"/>
        <v>45</v>
      </c>
      <c r="M69" s="171">
        <f t="shared" si="16"/>
        <v>44</v>
      </c>
      <c r="N69" s="171">
        <f t="shared" si="16"/>
        <v>44</v>
      </c>
      <c r="O69" s="171">
        <f t="shared" si="16"/>
        <v>43</v>
      </c>
      <c r="P69" s="171">
        <f t="shared" si="16"/>
        <v>43</v>
      </c>
      <c r="Q69" s="171">
        <f t="shared" si="16"/>
        <v>43</v>
      </c>
      <c r="R69" s="171">
        <f t="shared" si="16"/>
        <v>47</v>
      </c>
      <c r="S69" s="171">
        <f t="shared" si="16"/>
        <v>52</v>
      </c>
      <c r="T69" s="171">
        <f t="shared" si="16"/>
        <v>52</v>
      </c>
      <c r="U69" s="171">
        <f t="shared" si="16"/>
        <v>51</v>
      </c>
      <c r="V69" s="171">
        <f t="shared" si="16"/>
        <v>50</v>
      </c>
      <c r="W69" s="171">
        <f t="shared" si="16"/>
        <v>46</v>
      </c>
      <c r="X69" s="171">
        <f t="shared" si="16"/>
        <v>44</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230</v>
      </c>
      <c r="C78" s="462">
        <f t="shared" ca="1" si="17"/>
        <v>230</v>
      </c>
      <c r="D78" s="462">
        <f t="shared" ca="1" si="17"/>
        <v>230</v>
      </c>
      <c r="E78" s="462">
        <f ca="1">(E22+E25+E29)</f>
        <v>230</v>
      </c>
      <c r="F78" s="462">
        <f t="shared" ca="1" si="17"/>
        <v>230</v>
      </c>
      <c r="G78" s="462">
        <f ca="1">(G22+G25+G29)</f>
        <v>230</v>
      </c>
      <c r="H78" s="462">
        <f ca="1">(H22+H25+H29)</f>
        <v>230</v>
      </c>
      <c r="I78" s="462">
        <f ca="1">(I22+I25+I29)</f>
        <v>195</v>
      </c>
      <c r="J78" s="462">
        <f ca="1">(J22+J25+J29)</f>
        <v>205</v>
      </c>
      <c r="K78" s="462">
        <f t="shared" ca="1" si="17"/>
        <v>205</v>
      </c>
      <c r="L78" s="462">
        <f t="shared" ca="1" si="17"/>
        <v>205</v>
      </c>
      <c r="M78" s="462">
        <f t="shared" ca="1" si="17"/>
        <v>205</v>
      </c>
      <c r="N78" s="462">
        <f t="shared" ca="1" si="17"/>
        <v>185</v>
      </c>
      <c r="O78" s="462">
        <f t="shared" ca="1" si="17"/>
        <v>185</v>
      </c>
      <c r="P78" s="462">
        <f t="shared" ca="1" si="17"/>
        <v>185</v>
      </c>
      <c r="Q78" s="462">
        <f t="shared" ca="1" si="17"/>
        <v>185</v>
      </c>
      <c r="R78" s="462">
        <f t="shared" ca="1" si="17"/>
        <v>175</v>
      </c>
      <c r="S78" s="462">
        <f t="shared" ca="1" si="17"/>
        <v>175</v>
      </c>
      <c r="T78" s="462">
        <f t="shared" ca="1" si="17"/>
        <v>205</v>
      </c>
      <c r="U78" s="462">
        <f t="shared" ca="1" si="17"/>
        <v>215</v>
      </c>
      <c r="V78" s="462">
        <f t="shared" ca="1" si="17"/>
        <v>215</v>
      </c>
      <c r="W78" s="462">
        <f t="shared" ca="1" si="17"/>
        <v>215</v>
      </c>
      <c r="X78" s="462">
        <f t="shared" ca="1" si="17"/>
        <v>215</v>
      </c>
      <c r="Y78" s="462">
        <f t="shared" ca="1" si="17"/>
        <v>255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5035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193749.55355889877</v>
      </c>
    </row>
    <row r="87" spans="1:27" x14ac:dyDescent="0.25">
      <c r="X87" s="223"/>
      <c r="Y87" s="224" t="s">
        <v>163</v>
      </c>
      <c r="Z87" s="255">
        <f ca="1">SUM(Z90,Z93,Z96,Z99,Z102,Z107,Z112,Z117,Z122,Z127,Z132,Z137,Z142,Z147,Z152,Z157,Z162)</f>
        <v>250872.03942265268</v>
      </c>
    </row>
    <row r="88" spans="1:27" ht="13.8" thickBot="1" x14ac:dyDescent="0.3">
      <c r="A88" s="173" t="s">
        <v>164</v>
      </c>
      <c r="X88" s="225"/>
      <c r="Y88" s="226" t="s">
        <v>165</v>
      </c>
      <c r="Z88" s="256">
        <f ca="1">Z86-Z87</f>
        <v>-57122.485863753915</v>
      </c>
    </row>
    <row r="89" spans="1:27" x14ac:dyDescent="0.25">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27</v>
      </c>
      <c r="O89" s="228">
        <f t="shared" si="18"/>
        <v>27</v>
      </c>
      <c r="P89" s="228">
        <f t="shared" si="18"/>
        <v>27</v>
      </c>
      <c r="Q89" s="228">
        <f t="shared" si="18"/>
        <v>27</v>
      </c>
      <c r="R89" s="228">
        <f t="shared" si="18"/>
        <v>27</v>
      </c>
      <c r="S89" s="228">
        <f t="shared" si="18"/>
        <v>48</v>
      </c>
      <c r="T89" s="228">
        <f t="shared" si="18"/>
        <v>52</v>
      </c>
      <c r="U89" s="228">
        <f t="shared" si="18"/>
        <v>52</v>
      </c>
      <c r="V89" s="228">
        <f t="shared" si="18"/>
        <v>52</v>
      </c>
      <c r="W89" s="228">
        <f t="shared" si="18"/>
        <v>52</v>
      </c>
      <c r="X89" s="228">
        <f t="shared" si="18"/>
        <v>52</v>
      </c>
      <c r="Y89" s="228">
        <f t="shared" si="18"/>
        <v>52</v>
      </c>
      <c r="Z89" s="257">
        <f t="array" ref="Z89">SUM(B89:Y89*Economics!F$28)</f>
        <v>10682.176960000003</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76</v>
      </c>
      <c r="O91" s="206">
        <f t="shared" si="19"/>
        <v>76</v>
      </c>
      <c r="P91" s="206">
        <f t="shared" si="19"/>
        <v>76</v>
      </c>
      <c r="Q91" s="206">
        <f t="shared" si="19"/>
        <v>76</v>
      </c>
      <c r="R91" s="206">
        <f t="shared" si="19"/>
        <v>76</v>
      </c>
      <c r="S91" s="206">
        <f t="shared" si="19"/>
        <v>55</v>
      </c>
      <c r="T91" s="206">
        <f t="shared" si="19"/>
        <v>51</v>
      </c>
      <c r="U91" s="206">
        <f t="shared" si="19"/>
        <v>51</v>
      </c>
      <c r="V91" s="206">
        <f t="shared" si="19"/>
        <v>0</v>
      </c>
      <c r="W91" s="206">
        <f t="shared" si="19"/>
        <v>0</v>
      </c>
      <c r="X91" s="206">
        <f t="shared" si="19"/>
        <v>0</v>
      </c>
      <c r="Y91" s="206">
        <f t="shared" si="19"/>
        <v>0</v>
      </c>
      <c r="Z91" s="260">
        <f>Z89-Z90</f>
        <v>-10355.304959999992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5">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202</v>
      </c>
      <c r="Q98" s="181">
        <f t="shared" si="24"/>
        <v>202</v>
      </c>
      <c r="R98" s="181">
        <f t="shared" si="24"/>
        <v>202</v>
      </c>
      <c r="S98" s="181">
        <f t="shared" si="24"/>
        <v>202</v>
      </c>
      <c r="T98" s="181">
        <f t="shared" si="24"/>
        <v>202</v>
      </c>
      <c r="U98" s="181">
        <f t="shared" si="24"/>
        <v>202</v>
      </c>
      <c r="V98" s="181">
        <f t="shared" si="24"/>
        <v>202</v>
      </c>
      <c r="W98" s="181">
        <f t="shared" si="24"/>
        <v>202</v>
      </c>
      <c r="X98" s="181">
        <f t="shared" si="24"/>
        <v>202</v>
      </c>
      <c r="Y98" s="181">
        <f t="shared" si="24"/>
        <v>202</v>
      </c>
      <c r="Z98" s="259">
        <f t="array" ref="Z98">SUM(B98:Y98*Economics!F$31)</f>
        <v>29553.407999999999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-7</v>
      </c>
      <c r="Q100" s="206">
        <f t="shared" si="25"/>
        <v>-7</v>
      </c>
      <c r="R100" s="206">
        <f t="shared" si="25"/>
        <v>-7</v>
      </c>
      <c r="S100" s="206">
        <f t="shared" si="25"/>
        <v>-7</v>
      </c>
      <c r="T100" s="206">
        <f t="shared" si="25"/>
        <v>-7</v>
      </c>
      <c r="U100" s="206">
        <f t="shared" si="25"/>
        <v>-7</v>
      </c>
      <c r="V100" s="206">
        <f t="shared" si="25"/>
        <v>-7</v>
      </c>
      <c r="W100" s="206">
        <f t="shared" si="25"/>
        <v>-7</v>
      </c>
      <c r="X100" s="206">
        <f t="shared" si="25"/>
        <v>-7</v>
      </c>
      <c r="Y100" s="206">
        <f t="shared" si="25"/>
        <v>-7</v>
      </c>
      <c r="Z100" s="260">
        <f>Z98-Z99</f>
        <v>1048.5119999999915</v>
      </c>
    </row>
    <row r="101" spans="1:29" x14ac:dyDescent="0.25">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202</v>
      </c>
      <c r="Q101" s="181">
        <f t="shared" si="26"/>
        <v>202</v>
      </c>
      <c r="R101" s="181">
        <f t="shared" si="26"/>
        <v>202</v>
      </c>
      <c r="S101" s="181">
        <f t="shared" si="26"/>
        <v>202</v>
      </c>
      <c r="T101" s="181">
        <f t="shared" si="26"/>
        <v>202</v>
      </c>
      <c r="U101" s="181">
        <f t="shared" si="26"/>
        <v>202</v>
      </c>
      <c r="V101" s="181">
        <f t="shared" si="26"/>
        <v>202</v>
      </c>
      <c r="W101" s="181">
        <f t="shared" si="26"/>
        <v>202</v>
      </c>
      <c r="X101" s="181">
        <f t="shared" si="26"/>
        <v>202</v>
      </c>
      <c r="Y101" s="181">
        <f t="shared" si="26"/>
        <v>202</v>
      </c>
      <c r="Z101" s="259">
        <f t="array" ref="Z101">SUM(B101:Y101*Economics!F$32)</f>
        <v>29553.407999999999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-2</v>
      </c>
      <c r="Q103" s="206">
        <f t="shared" si="27"/>
        <v>-2</v>
      </c>
      <c r="R103" s="206">
        <f t="shared" si="27"/>
        <v>-2</v>
      </c>
      <c r="S103" s="206">
        <f t="shared" si="27"/>
        <v>-2</v>
      </c>
      <c r="T103" s="206">
        <f t="shared" si="27"/>
        <v>-2</v>
      </c>
      <c r="U103" s="206">
        <f t="shared" si="27"/>
        <v>-2</v>
      </c>
      <c r="V103" s="206">
        <f t="shared" si="27"/>
        <v>-2</v>
      </c>
      <c r="W103" s="206">
        <f t="shared" si="27"/>
        <v>-2</v>
      </c>
      <c r="X103" s="206">
        <f t="shared" si="27"/>
        <v>-2</v>
      </c>
      <c r="Y103" s="206">
        <f t="shared" si="27"/>
        <v>-2</v>
      </c>
      <c r="Z103" s="260">
        <f>Z101-Z102</f>
        <v>292.60799999998926</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37</v>
      </c>
      <c r="C109" s="181">
        <f t="shared" ref="C109:Y109" si="32">C42</f>
        <v>34</v>
      </c>
      <c r="D109" s="181">
        <f t="shared" si="32"/>
        <v>35</v>
      </c>
      <c r="E109" s="181">
        <f>E42</f>
        <v>35</v>
      </c>
      <c r="F109" s="181">
        <f t="shared" si="32"/>
        <v>35</v>
      </c>
      <c r="G109" s="181">
        <f t="shared" si="32"/>
        <v>34</v>
      </c>
      <c r="H109" s="181">
        <f t="shared" si="32"/>
        <v>34</v>
      </c>
      <c r="I109" s="181">
        <f>I42</f>
        <v>34</v>
      </c>
      <c r="J109" s="181">
        <f t="shared" si="32"/>
        <v>34</v>
      </c>
      <c r="K109" s="181">
        <f t="shared" si="32"/>
        <v>34</v>
      </c>
      <c r="L109" s="181">
        <f t="shared" si="32"/>
        <v>34</v>
      </c>
      <c r="M109" s="181">
        <f t="shared" si="32"/>
        <v>35</v>
      </c>
      <c r="N109" s="181">
        <f t="shared" si="32"/>
        <v>35</v>
      </c>
      <c r="O109" s="181">
        <f t="shared" si="32"/>
        <v>36</v>
      </c>
      <c r="P109" s="181">
        <f t="shared" si="32"/>
        <v>34</v>
      </c>
      <c r="Q109" s="181">
        <f t="shared" si="32"/>
        <v>34</v>
      </c>
      <c r="R109" s="181">
        <f t="shared" si="32"/>
        <v>31</v>
      </c>
      <c r="S109" s="181">
        <f t="shared" si="32"/>
        <v>32</v>
      </c>
      <c r="T109" s="181">
        <f t="shared" si="32"/>
        <v>34</v>
      </c>
      <c r="U109" s="181">
        <f t="shared" si="32"/>
        <v>34</v>
      </c>
      <c r="V109" s="181">
        <f t="shared" si="32"/>
        <v>38</v>
      </c>
      <c r="W109" s="181">
        <f t="shared" si="32"/>
        <v>38</v>
      </c>
      <c r="X109" s="181">
        <f t="shared" si="32"/>
        <v>38</v>
      </c>
      <c r="Y109" s="181">
        <f t="shared" si="32"/>
        <v>42</v>
      </c>
      <c r="Z109" s="219">
        <f>SUM(B109:Y109)</f>
        <v>841</v>
      </c>
      <c r="AA109" s="318" t="s">
        <v>170</v>
      </c>
    </row>
    <row r="110" spans="1:29" x14ac:dyDescent="0.25">
      <c r="A110" s="185">
        <f>Economics!$I35</f>
        <v>1.96</v>
      </c>
      <c r="B110" s="189">
        <f t="shared" ref="B110:Y110" ca="1" si="33">IndGencost(B109,OFFSET(HeatRateStart,1,MATCH($A109,HeatRateNames,0)-1,250,1),$A110)</f>
        <v>21.160356411838535</v>
      </c>
      <c r="C110" s="189">
        <f t="shared" ca="1" si="33"/>
        <v>21.354015945019448</v>
      </c>
      <c r="D110" s="189">
        <f t="shared" ca="1" si="33"/>
        <v>21.285180414267952</v>
      </c>
      <c r="E110" s="189">
        <f ca="1">IndGencost(E109,OFFSET(HeatRateStart,1,MATCH($A109,HeatRateNames,0)-1,250,1),$A110)</f>
        <v>21.285180414267952</v>
      </c>
      <c r="F110" s="189">
        <f t="shared" ca="1" si="33"/>
        <v>21.285180414267952</v>
      </c>
      <c r="G110" s="189">
        <f t="shared" ca="1" si="33"/>
        <v>21.354015945019448</v>
      </c>
      <c r="H110" s="189">
        <f t="shared" ca="1" si="33"/>
        <v>21.354015945019448</v>
      </c>
      <c r="I110" s="189">
        <f t="shared" ca="1" si="33"/>
        <v>21.354015945019448</v>
      </c>
      <c r="J110" s="189">
        <f t="shared" ca="1" si="33"/>
        <v>21.354015945019448</v>
      </c>
      <c r="K110" s="189">
        <f t="shared" ca="1" si="33"/>
        <v>21.354015945019448</v>
      </c>
      <c r="L110" s="189">
        <f t="shared" ca="1" si="33"/>
        <v>21.354015945019448</v>
      </c>
      <c r="M110" s="189">
        <f t="shared" ca="1" si="33"/>
        <v>21.285180414267952</v>
      </c>
      <c r="N110" s="189">
        <f t="shared" ca="1" si="33"/>
        <v>21.285180414267952</v>
      </c>
      <c r="O110" s="189">
        <f t="shared" ca="1" si="33"/>
        <v>21.220746190791662</v>
      </c>
      <c r="P110" s="189">
        <f t="shared" ca="1" si="33"/>
        <v>21.354015945019448</v>
      </c>
      <c r="Q110" s="189">
        <f t="shared" ca="1" si="33"/>
        <v>21.354015945019448</v>
      </c>
      <c r="R110" s="189">
        <f t="shared" ca="1" si="33"/>
        <v>21.59118971054631</v>
      </c>
      <c r="S110" s="189">
        <f t="shared" ca="1" si="33"/>
        <v>21.506541418576244</v>
      </c>
      <c r="T110" s="189">
        <f t="shared" ca="1" si="33"/>
        <v>21.354015945019448</v>
      </c>
      <c r="U110" s="189">
        <f t="shared" ca="1" si="33"/>
        <v>21.354015945019448</v>
      </c>
      <c r="V110" s="189">
        <f t="shared" ca="1" si="33"/>
        <v>21.103691779156737</v>
      </c>
      <c r="W110" s="189">
        <f t="shared" ca="1" si="33"/>
        <v>21.103691779156737</v>
      </c>
      <c r="X110" s="189">
        <f t="shared" ca="1" si="33"/>
        <v>21.103691779156737</v>
      </c>
      <c r="Y110" s="189">
        <f t="shared" ca="1" si="33"/>
        <v>20.908963073612398</v>
      </c>
      <c r="Z110" s="259">
        <f t="array" aca="1" ref="Z110" ca="1">SUM(B109:Y109*B110:Y110)</f>
        <v>17899.722104377655</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0.23717376552686176</v>
      </c>
      <c r="D113" s="188">
        <f t="shared" ca="1" si="35"/>
        <v>0.30600929627835782</v>
      </c>
      <c r="E113" s="188">
        <f t="shared" ca="1" si="35"/>
        <v>0.30600929627835782</v>
      </c>
      <c r="F113" s="188">
        <f t="shared" ca="1" si="35"/>
        <v>0.30600929627835782</v>
      </c>
      <c r="G113" s="188">
        <f t="shared" ca="1" si="35"/>
        <v>0.23717376552686176</v>
      </c>
      <c r="H113" s="188">
        <f t="shared" ca="1" si="35"/>
        <v>0.23717376552686176</v>
      </c>
      <c r="I113" s="188">
        <f t="shared" ca="1" si="35"/>
        <v>0.23717376552686176</v>
      </c>
      <c r="J113" s="188">
        <f t="shared" ca="1" si="35"/>
        <v>0.23717376552686176</v>
      </c>
      <c r="K113" s="188">
        <f t="shared" ca="1" si="35"/>
        <v>0.23717376552686176</v>
      </c>
      <c r="L113" s="188">
        <f t="shared" ca="1" si="35"/>
        <v>0.23717376552686176</v>
      </c>
      <c r="M113" s="188">
        <f t="shared" ca="1" si="35"/>
        <v>0.30600929627835782</v>
      </c>
      <c r="N113" s="188">
        <f t="shared" ca="1" si="35"/>
        <v>0.30600929627835782</v>
      </c>
      <c r="O113" s="188">
        <f t="shared" ca="1" si="35"/>
        <v>0.37044351975464807</v>
      </c>
      <c r="P113" s="188">
        <f t="shared" ca="1" si="35"/>
        <v>0.23717376552686176</v>
      </c>
      <c r="Q113" s="188">
        <f t="shared" ca="1" si="35"/>
        <v>0.23717376552686176</v>
      </c>
      <c r="R113" s="188">
        <f t="shared" ca="1" si="35"/>
        <v>0</v>
      </c>
      <c r="S113" s="188">
        <f t="shared" ca="1" si="35"/>
        <v>8.4648291970065515E-2</v>
      </c>
      <c r="T113" s="188">
        <f t="shared" ca="1" si="35"/>
        <v>0.23717376552686176</v>
      </c>
      <c r="U113" s="188">
        <f t="shared" ca="1" si="35"/>
        <v>0.23717376552686176</v>
      </c>
      <c r="V113" s="188">
        <f t="shared" ca="1" si="35"/>
        <v>0.48749793138957287</v>
      </c>
      <c r="W113" s="188">
        <f t="shared" ca="1" si="35"/>
        <v>0.48749793138957287</v>
      </c>
      <c r="X113" s="188">
        <f t="shared" ca="1" si="35"/>
        <v>0.48749793138957287</v>
      </c>
      <c r="Y113" s="188">
        <f t="shared" ca="1" si="35"/>
        <v>0.68222663693391183</v>
      </c>
      <c r="Z113" s="260">
        <f ca="1">Z110-Z112</f>
        <v>1835.8769597311912</v>
      </c>
      <c r="AC113" s="174"/>
    </row>
    <row r="114" spans="1:29" x14ac:dyDescent="0.25">
      <c r="A114" s="183" t="str">
        <f>Economics!A36</f>
        <v>Newman 3</v>
      </c>
      <c r="B114" s="181">
        <f t="shared" ref="B114:Y114" si="36">B43</f>
        <v>43</v>
      </c>
      <c r="C114" s="181">
        <f t="shared" si="36"/>
        <v>65</v>
      </c>
      <c r="D114" s="181">
        <f t="shared" si="36"/>
        <v>58</v>
      </c>
      <c r="E114" s="181">
        <f>E43</f>
        <v>50</v>
      </c>
      <c r="F114" s="181">
        <f t="shared" si="36"/>
        <v>53</v>
      </c>
      <c r="G114" s="181">
        <f t="shared" si="36"/>
        <v>70</v>
      </c>
      <c r="H114" s="181">
        <f t="shared" si="36"/>
        <v>37</v>
      </c>
      <c r="I114" s="181">
        <f t="shared" si="36"/>
        <v>46</v>
      </c>
      <c r="J114" s="181">
        <f t="shared" si="36"/>
        <v>68</v>
      </c>
      <c r="K114" s="181">
        <f t="shared" si="36"/>
        <v>90</v>
      </c>
      <c r="L114" s="181">
        <f t="shared" si="36"/>
        <v>37</v>
      </c>
      <c r="M114" s="181">
        <f t="shared" si="36"/>
        <v>38</v>
      </c>
      <c r="N114" s="181">
        <f t="shared" si="36"/>
        <v>38</v>
      </c>
      <c r="O114" s="181">
        <f t="shared" si="36"/>
        <v>38</v>
      </c>
      <c r="P114" s="181">
        <f t="shared" si="36"/>
        <v>38</v>
      </c>
      <c r="Q114" s="181">
        <f t="shared" si="36"/>
        <v>37</v>
      </c>
      <c r="R114" s="181">
        <f t="shared" si="36"/>
        <v>36</v>
      </c>
      <c r="S114" s="181">
        <f t="shared" si="36"/>
        <v>36</v>
      </c>
      <c r="T114" s="181">
        <f t="shared" si="36"/>
        <v>36</v>
      </c>
      <c r="U114" s="181">
        <f t="shared" si="36"/>
        <v>36</v>
      </c>
      <c r="V114" s="181">
        <f t="shared" si="36"/>
        <v>36</v>
      </c>
      <c r="W114" s="181">
        <f t="shared" si="36"/>
        <v>36</v>
      </c>
      <c r="X114" s="181">
        <f t="shared" si="36"/>
        <v>36</v>
      </c>
      <c r="Y114" s="181">
        <f t="shared" si="36"/>
        <v>48</v>
      </c>
      <c r="Z114" s="219">
        <f>SUM(B114:Y114)</f>
        <v>1106</v>
      </c>
      <c r="AA114" s="318" t="s">
        <v>172</v>
      </c>
    </row>
    <row r="115" spans="1:29" x14ac:dyDescent="0.25">
      <c r="A115" s="185">
        <f>Economics!$I36</f>
        <v>1.96</v>
      </c>
      <c r="B115" s="189">
        <f t="shared" ref="B115:Y115" ca="1" si="37">IndGencost(B114,OFFSET(HeatRateStart,1,MATCH($A114,HeatRateNames,0)-1,250,1),$A115)</f>
        <v>20.933119477183322</v>
      </c>
      <c r="C115" s="189">
        <f t="shared" ca="1" si="37"/>
        <v>19.940588080406187</v>
      </c>
      <c r="D115" s="189">
        <f t="shared" ca="1" si="37"/>
        <v>20.128592115895497</v>
      </c>
      <c r="E115" s="189">
        <f ca="1">IndGencost(E114,OFFSET(HeatRateStart,1,MATCH($A114,HeatRateNames,0)-1,250,1),$A115)</f>
        <v>20.469064398384099</v>
      </c>
      <c r="F115" s="189">
        <f t="shared" ca="1" si="37"/>
        <v>20.322130961562106</v>
      </c>
      <c r="G115" s="189">
        <f t="shared" ca="1" si="37"/>
        <v>19.851160386357989</v>
      </c>
      <c r="H115" s="189">
        <f t="shared" ca="1" si="37"/>
        <v>21.524349608112029</v>
      </c>
      <c r="I115" s="189">
        <f t="shared" ca="1" si="37"/>
        <v>20.710297794383504</v>
      </c>
      <c r="J115" s="189">
        <f t="shared" ca="1" si="37"/>
        <v>19.883105092862071</v>
      </c>
      <c r="K115" s="189">
        <f t="shared" ca="1" si="37"/>
        <v>19.734369272973801</v>
      </c>
      <c r="L115" s="189">
        <f t="shared" ca="1" si="37"/>
        <v>21.524349608112029</v>
      </c>
      <c r="M115" s="189">
        <f t="shared" ca="1" si="37"/>
        <v>21.409493048266363</v>
      </c>
      <c r="N115" s="189">
        <f t="shared" ca="1" si="37"/>
        <v>21.409493048266363</v>
      </c>
      <c r="O115" s="189">
        <f t="shared" ca="1" si="37"/>
        <v>21.409493048266363</v>
      </c>
      <c r="P115" s="189">
        <f t="shared" ca="1" si="37"/>
        <v>21.409493048266363</v>
      </c>
      <c r="Q115" s="189">
        <f t="shared" ca="1" si="37"/>
        <v>21.524349608112029</v>
      </c>
      <c r="R115" s="189">
        <f t="shared" ca="1" si="37"/>
        <v>21.647002643532225</v>
      </c>
      <c r="S115" s="189">
        <f t="shared" ca="1" si="37"/>
        <v>21.647002643532225</v>
      </c>
      <c r="T115" s="189">
        <f t="shared" ca="1" si="37"/>
        <v>21.647002643532225</v>
      </c>
      <c r="U115" s="189">
        <f t="shared" ca="1" si="37"/>
        <v>21.647002643532225</v>
      </c>
      <c r="V115" s="189">
        <f t="shared" ca="1" si="37"/>
        <v>21.647002643532225</v>
      </c>
      <c r="W115" s="189">
        <f t="shared" ca="1" si="37"/>
        <v>21.647002643532225</v>
      </c>
      <c r="X115" s="189">
        <f t="shared" ca="1" si="37"/>
        <v>21.647002643532225</v>
      </c>
      <c r="Y115" s="189">
        <f t="shared" ca="1" si="37"/>
        <v>20.582532067259152</v>
      </c>
      <c r="Z115" s="259">
        <f t="array" aca="1" ref="Z115" ca="1">SUM(B114:Y114*B115:Y115)</f>
        <v>23021.098128053658</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-20.933119477183322</v>
      </c>
      <c r="C118" s="188">
        <f t="shared" ca="1" si="39"/>
        <v>-19.940588080406187</v>
      </c>
      <c r="D118" s="188">
        <f t="shared" ca="1" si="39"/>
        <v>-20.128592115895497</v>
      </c>
      <c r="E118" s="188">
        <f t="shared" ca="1" si="39"/>
        <v>-20.469064398384099</v>
      </c>
      <c r="F118" s="188">
        <f t="shared" ca="1" si="39"/>
        <v>-20.322130961562106</v>
      </c>
      <c r="G118" s="188">
        <f t="shared" ca="1" si="39"/>
        <v>-19.851160386357989</v>
      </c>
      <c r="H118" s="188">
        <f t="shared" ca="1" si="39"/>
        <v>-21.524349608112029</v>
      </c>
      <c r="I118" s="188">
        <f t="shared" ca="1" si="39"/>
        <v>-20.710297794383504</v>
      </c>
      <c r="J118" s="188">
        <f t="shared" ca="1" si="39"/>
        <v>-19.883105092862071</v>
      </c>
      <c r="K118" s="188">
        <f t="shared" ca="1" si="39"/>
        <v>-19.734369272973801</v>
      </c>
      <c r="L118" s="188">
        <f t="shared" ca="1" si="39"/>
        <v>-21.524349608112029</v>
      </c>
      <c r="M118" s="188">
        <f t="shared" ca="1" si="39"/>
        <v>-21.409493048266363</v>
      </c>
      <c r="N118" s="188">
        <f t="shared" ca="1" si="39"/>
        <v>-21.409493048266363</v>
      </c>
      <c r="O118" s="188">
        <f t="shared" ca="1" si="39"/>
        <v>-21.409493048266363</v>
      </c>
      <c r="P118" s="188">
        <f t="shared" ca="1" si="39"/>
        <v>-21.409493048266363</v>
      </c>
      <c r="Q118" s="188">
        <f t="shared" ca="1" si="39"/>
        <v>-21.524349608112029</v>
      </c>
      <c r="R118" s="188">
        <f t="shared" ca="1" si="39"/>
        <v>-21.647002643532225</v>
      </c>
      <c r="S118" s="188">
        <f t="shared" ca="1" si="39"/>
        <v>-21.647002643532225</v>
      </c>
      <c r="T118" s="188">
        <f t="shared" ca="1" si="39"/>
        <v>-21.647002643532225</v>
      </c>
      <c r="U118" s="188">
        <f t="shared" ca="1" si="39"/>
        <v>-21.647002643532225</v>
      </c>
      <c r="V118" s="188">
        <f t="shared" ca="1" si="39"/>
        <v>-21.647002643532225</v>
      </c>
      <c r="W118" s="188">
        <f t="shared" ca="1" si="39"/>
        <v>-21.647002643532225</v>
      </c>
      <c r="X118" s="188">
        <f t="shared" ca="1" si="39"/>
        <v>-21.647002643532225</v>
      </c>
      <c r="Y118" s="188">
        <f t="shared" ca="1" si="39"/>
        <v>-20.582532067259152</v>
      </c>
      <c r="Z118" s="260">
        <f ca="1">Z115-Z117</f>
        <v>23021.098128053658</v>
      </c>
    </row>
    <row r="119" spans="1:29" x14ac:dyDescent="0.25">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20</v>
      </c>
      <c r="J119" s="181">
        <f t="shared" si="40"/>
        <v>20</v>
      </c>
      <c r="K119" s="181">
        <f t="shared" si="40"/>
        <v>20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25</v>
      </c>
      <c r="Z119" s="219">
        <f>SUM(B119:Y119)</f>
        <v>230</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33.930736660385129</v>
      </c>
      <c r="I120" s="189">
        <f t="shared" ca="1" si="41"/>
        <v>33.930736660385129</v>
      </c>
      <c r="J120" s="189">
        <f t="shared" ca="1" si="41"/>
        <v>33.930736660385129</v>
      </c>
      <c r="K120" s="189">
        <f t="shared" ca="1" si="41"/>
        <v>33.930736660385129</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31.215519207539558</v>
      </c>
      <c r="Z120" s="259">
        <f t="array" aca="1" ref="Z120" ca="1">SUM(B119:Y119*B120:Y120)</f>
        <v>7667.5795568321137</v>
      </c>
      <c r="AA120" s="318" t="s">
        <v>167</v>
      </c>
    </row>
    <row r="121" spans="1:29" x14ac:dyDescent="0.25">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20</v>
      </c>
      <c r="J121" s="186">
        <f t="shared" si="42"/>
        <v>20</v>
      </c>
      <c r="K121" s="186">
        <f t="shared" si="42"/>
        <v>20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25</v>
      </c>
      <c r="Z121" s="220">
        <f>SUM(B121:Y121)</f>
        <v>230</v>
      </c>
    </row>
    <row r="122" spans="1:29" x14ac:dyDescent="0.25">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33.930736660385129</v>
      </c>
      <c r="I122" s="190">
        <f t="shared" ca="1" si="43"/>
        <v>33.930736660385129</v>
      </c>
      <c r="J122" s="190">
        <f t="shared" ca="1" si="43"/>
        <v>33.930736660385129</v>
      </c>
      <c r="K122" s="190">
        <f t="shared" ca="1" si="43"/>
        <v>33.930736660385129</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31.215519207539558</v>
      </c>
      <c r="Z122" s="258">
        <f t="array" aca="1" ref="Z122" ca="1">SUM(B121:Y121*B122:Y122)</f>
        <v>7667.5795568321137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25</v>
      </c>
      <c r="Z124" s="219">
        <f>SUM(B124:Y124)</f>
        <v>225</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31.215519207539558</v>
      </c>
      <c r="Z125" s="259">
        <f t="array" aca="1" ref="Z125" ca="1">SUM(B124:Y124*B125:Y125)</f>
        <v>7566.5353122655142</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25</v>
      </c>
      <c r="Z126" s="220">
        <f>SUM(B126:Y126)</f>
        <v>225</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31.215519207539558</v>
      </c>
      <c r="Z127" s="258">
        <f t="array" aca="1" ref="Z127" ca="1">SUM(B126:Y126*B127:Y127)</f>
        <v>7566.5353122655142</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107</v>
      </c>
      <c r="M139" s="181">
        <f t="shared" si="59"/>
        <v>101</v>
      </c>
      <c r="N139" s="181">
        <f t="shared" si="59"/>
        <v>127</v>
      </c>
      <c r="O139" s="181">
        <f t="shared" si="59"/>
        <v>139</v>
      </c>
      <c r="P139" s="181">
        <f t="shared" si="59"/>
        <v>130</v>
      </c>
      <c r="Q139" s="181">
        <f t="shared" si="59"/>
        <v>120</v>
      </c>
      <c r="R139" s="181">
        <f t="shared" si="59"/>
        <v>94</v>
      </c>
      <c r="S139" s="181">
        <f t="shared" si="59"/>
        <v>126</v>
      </c>
      <c r="T139" s="181">
        <f t="shared" si="59"/>
        <v>215</v>
      </c>
      <c r="U139" s="181">
        <f t="shared" si="59"/>
        <v>215</v>
      </c>
      <c r="V139" s="181">
        <f t="shared" si="59"/>
        <v>160</v>
      </c>
      <c r="W139" s="181">
        <f t="shared" si="59"/>
        <v>120</v>
      </c>
      <c r="X139" s="181">
        <f t="shared" si="59"/>
        <v>120</v>
      </c>
      <c r="Y139" s="181">
        <f t="shared" si="59"/>
        <v>0</v>
      </c>
      <c r="Z139" s="219">
        <f>SUM(B139:Y139)</f>
        <v>1774</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20.725188572957755</v>
      </c>
      <c r="M140" s="189">
        <f t="shared" ca="1" si="60"/>
        <v>21.147979955696663</v>
      </c>
      <c r="N140" s="189">
        <f t="shared" ca="1" si="60"/>
        <v>19.663016247782799</v>
      </c>
      <c r="O140" s="189">
        <f t="shared" ca="1" si="60"/>
        <v>19.211977082076</v>
      </c>
      <c r="P140" s="189">
        <f t="shared" ca="1" si="60"/>
        <v>19.539476861830234</v>
      </c>
      <c r="Q140" s="189">
        <f t="shared" ca="1" si="60"/>
        <v>19.983646868936539</v>
      </c>
      <c r="R140" s="189">
        <f t="shared" ca="1" si="60"/>
        <v>21.723311196667513</v>
      </c>
      <c r="S140" s="189">
        <f t="shared" ca="1" si="60"/>
        <v>19.705957787531947</v>
      </c>
      <c r="T140" s="189">
        <f t="shared" ca="1" si="60"/>
        <v>17.969902273697038</v>
      </c>
      <c r="U140" s="189">
        <f t="shared" ca="1" si="60"/>
        <v>17.969902273697038</v>
      </c>
      <c r="V140" s="189">
        <f t="shared" ca="1" si="60"/>
        <v>18.647458002930641</v>
      </c>
      <c r="W140" s="189">
        <f t="shared" ca="1" si="60"/>
        <v>19.983646868936539</v>
      </c>
      <c r="X140" s="189">
        <f t="shared" ca="1" si="60"/>
        <v>19.983646868936539</v>
      </c>
      <c r="Y140" s="189">
        <f t="shared" ca="1" si="60"/>
        <v>0</v>
      </c>
      <c r="Z140" s="259">
        <f t="array" aca="1" ref="Z140" ca="1">SUM(B139:Y139*B140:Y140)</f>
        <v>34491.04708743831</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-0.48115312112725661</v>
      </c>
      <c r="M143" s="188">
        <f t="shared" ca="1" si="62"/>
        <v>-0.90394450386616398</v>
      </c>
      <c r="N143" s="188">
        <f t="shared" ca="1" si="62"/>
        <v>0.58101920404769913</v>
      </c>
      <c r="O143" s="188">
        <f t="shared" ca="1" si="62"/>
        <v>1.0320583697544983</v>
      </c>
      <c r="P143" s="188">
        <f t="shared" ca="1" si="62"/>
        <v>0.70455859000026422</v>
      </c>
      <c r="Q143" s="188">
        <f t="shared" ca="1" si="62"/>
        <v>0.26038858289395961</v>
      </c>
      <c r="R143" s="188">
        <f t="shared" ca="1" si="62"/>
        <v>-1.4792757448370146</v>
      </c>
      <c r="S143" s="188">
        <f t="shared" ca="1" si="62"/>
        <v>0.53807766429855164</v>
      </c>
      <c r="T143" s="188">
        <f t="shared" ca="1" si="62"/>
        <v>0.26159876032712859</v>
      </c>
      <c r="U143" s="188">
        <f t="shared" ca="1" si="62"/>
        <v>0.26159876032712859</v>
      </c>
      <c r="V143" s="188">
        <f t="shared" ca="1" si="62"/>
        <v>-0.19369464024041605</v>
      </c>
      <c r="W143" s="188">
        <f t="shared" ca="1" si="62"/>
        <v>-1.4381399161719628</v>
      </c>
      <c r="X143" s="188">
        <f t="shared" ca="1" si="62"/>
        <v>-0.95853151348323351</v>
      </c>
      <c r="Y143" s="188">
        <f t="shared" ca="1" si="62"/>
        <v>19.025115355453305</v>
      </c>
      <c r="Z143" s="260">
        <f ca="1">Z140-Z142</f>
        <v>-27223.016409586518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809</v>
      </c>
      <c r="C164" s="303">
        <f t="shared" si="80"/>
        <v>747</v>
      </c>
      <c r="D164" s="303">
        <f t="shared" si="80"/>
        <v>741</v>
      </c>
      <c r="E164" s="303">
        <f t="shared" si="80"/>
        <v>732</v>
      </c>
      <c r="F164" s="303">
        <f t="shared" si="80"/>
        <v>736</v>
      </c>
      <c r="G164" s="303">
        <f t="shared" si="80"/>
        <v>753</v>
      </c>
      <c r="H164" s="303">
        <f t="shared" si="80"/>
        <v>768</v>
      </c>
      <c r="I164" s="303">
        <f t="shared" si="80"/>
        <v>777</v>
      </c>
      <c r="J164" s="303">
        <f t="shared" si="80"/>
        <v>799</v>
      </c>
      <c r="K164" s="303">
        <f t="shared" si="80"/>
        <v>821</v>
      </c>
      <c r="L164" s="303">
        <f t="shared" si="80"/>
        <v>835</v>
      </c>
      <c r="M164" s="303">
        <f t="shared" si="80"/>
        <v>779</v>
      </c>
      <c r="N164" s="303">
        <f t="shared" si="80"/>
        <v>832</v>
      </c>
      <c r="O164" s="303">
        <f t="shared" si="80"/>
        <v>845</v>
      </c>
      <c r="P164" s="303">
        <f t="shared" si="80"/>
        <v>834</v>
      </c>
      <c r="Q164" s="303">
        <f t="shared" si="80"/>
        <v>823</v>
      </c>
      <c r="R164" s="303">
        <f t="shared" si="80"/>
        <v>793</v>
      </c>
      <c r="S164" s="303">
        <f t="shared" si="80"/>
        <v>881</v>
      </c>
      <c r="T164" s="303">
        <f t="shared" si="80"/>
        <v>976</v>
      </c>
      <c r="U164" s="303">
        <f t="shared" si="80"/>
        <v>976</v>
      </c>
      <c r="V164" s="303">
        <f t="shared" si="80"/>
        <v>925</v>
      </c>
      <c r="W164" s="303">
        <f t="shared" si="80"/>
        <v>851</v>
      </c>
      <c r="X164" s="303">
        <f t="shared" si="80"/>
        <v>851</v>
      </c>
      <c r="Y164" s="304">
        <f t="shared" si="80"/>
        <v>797</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919</v>
      </c>
      <c r="J165" s="306">
        <f t="shared" si="81"/>
        <v>919</v>
      </c>
      <c r="K165" s="306">
        <f t="shared" si="81"/>
        <v>919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959</v>
      </c>
      <c r="Z165" s="271"/>
      <c r="AA165" s="174">
        <f ca="1">Z163+Z158+Z153+Z148+Z143+Z138+Z133+Z128+Z123+Z118+Z113+Z108+Z103+Z100+Z97+Z94+Z91</f>
        <v>-57122.485863753936</v>
      </c>
    </row>
    <row r="166" spans="1:27" x14ac:dyDescent="0.25">
      <c r="A166" s="330" t="s">
        <v>184</v>
      </c>
      <c r="B166" s="331">
        <f t="shared" ref="B166:Y166" si="82">B165-B164</f>
        <v>211</v>
      </c>
      <c r="C166" s="331">
        <f t="shared" si="82"/>
        <v>172</v>
      </c>
      <c r="D166" s="331">
        <f t="shared" si="82"/>
        <v>148</v>
      </c>
      <c r="E166" s="331">
        <f t="shared" si="82"/>
        <v>156</v>
      </c>
      <c r="F166" s="331">
        <f t="shared" si="82"/>
        <v>163</v>
      </c>
      <c r="G166" s="331">
        <f t="shared" si="82"/>
        <v>156</v>
      </c>
      <c r="H166" s="331">
        <f t="shared" si="82"/>
        <v>166</v>
      </c>
      <c r="I166" s="331">
        <f t="shared" si="82"/>
        <v>142</v>
      </c>
      <c r="J166" s="331">
        <f t="shared" si="82"/>
        <v>120</v>
      </c>
      <c r="K166" s="331">
        <f t="shared" si="82"/>
        <v>98</v>
      </c>
      <c r="L166" s="331">
        <f t="shared" si="82"/>
        <v>95</v>
      </c>
      <c r="M166" s="331">
        <f t="shared" si="82"/>
        <v>151</v>
      </c>
      <c r="N166" s="331">
        <f t="shared" si="82"/>
        <v>98</v>
      </c>
      <c r="O166" s="331">
        <f t="shared" si="82"/>
        <v>85</v>
      </c>
      <c r="P166" s="331">
        <f t="shared" si="82"/>
        <v>96</v>
      </c>
      <c r="Q166" s="331">
        <f t="shared" si="82"/>
        <v>107</v>
      </c>
      <c r="R166" s="331">
        <f t="shared" si="82"/>
        <v>137</v>
      </c>
      <c r="S166" s="331">
        <f t="shared" si="82"/>
        <v>49</v>
      </c>
      <c r="T166" s="331">
        <f t="shared" si="82"/>
        <v>53</v>
      </c>
      <c r="U166" s="331">
        <f t="shared" si="82"/>
        <v>78</v>
      </c>
      <c r="V166" s="331">
        <f t="shared" si="82"/>
        <v>43</v>
      </c>
      <c r="W166" s="331">
        <f t="shared" si="82"/>
        <v>87</v>
      </c>
      <c r="X166" s="331">
        <f t="shared" si="82"/>
        <v>58</v>
      </c>
      <c r="Y166" s="332">
        <f t="shared" si="82"/>
        <v>162</v>
      </c>
      <c r="Z166" s="336">
        <f>SUM(B166:Y166)</f>
        <v>2831</v>
      </c>
    </row>
    <row r="167" spans="1:27" s="325" customFormat="1" ht="32.25" customHeight="1" thickBot="1" x14ac:dyDescent="0.3">
      <c r="A167" s="333" t="s">
        <v>185</v>
      </c>
      <c r="B167" s="334">
        <f t="shared" ref="B167:Y167" ca="1" si="83">B58</f>
        <v>5</v>
      </c>
      <c r="C167" s="334">
        <f t="shared" ca="1" si="83"/>
        <v>-3</v>
      </c>
      <c r="D167" s="334">
        <f t="shared" ca="1" si="83"/>
        <v>2</v>
      </c>
      <c r="E167" s="334">
        <f ca="1">E58</f>
        <v>0</v>
      </c>
      <c r="F167" s="334">
        <f t="shared" ca="1" si="83"/>
        <v>0</v>
      </c>
      <c r="G167" s="334">
        <f t="shared" ca="1" si="83"/>
        <v>2</v>
      </c>
      <c r="H167" s="334">
        <f t="shared" ca="1" si="83"/>
        <v>9</v>
      </c>
      <c r="I167" s="334">
        <f t="shared" ca="1" si="83"/>
        <v>-3</v>
      </c>
      <c r="J167" s="334">
        <f t="shared" ca="1" si="83"/>
        <v>-7</v>
      </c>
      <c r="K167" s="334">
        <f t="shared" ca="1" si="83"/>
        <v>-6</v>
      </c>
      <c r="L167" s="334">
        <f t="shared" ca="1" si="83"/>
        <v>0</v>
      </c>
      <c r="M167" s="334">
        <f t="shared" ca="1" si="83"/>
        <v>1</v>
      </c>
      <c r="N167" s="334">
        <f t="shared" ca="1" si="83"/>
        <v>2</v>
      </c>
      <c r="O167" s="334">
        <f t="shared" ca="1" si="83"/>
        <v>-2</v>
      </c>
      <c r="P167" s="334">
        <f t="shared" ca="1" si="83"/>
        <v>-1</v>
      </c>
      <c r="Q167" s="334">
        <f t="shared" ca="1" si="83"/>
        <v>-6</v>
      </c>
      <c r="R167" s="334">
        <f t="shared" ca="1" si="83"/>
        <v>0</v>
      </c>
      <c r="S167" s="334">
        <f t="shared" ca="1" si="83"/>
        <v>9</v>
      </c>
      <c r="T167" s="334">
        <f t="shared" ca="1" si="83"/>
        <v>4</v>
      </c>
      <c r="U167" s="334">
        <f t="shared" ca="1" si="83"/>
        <v>-15</v>
      </c>
      <c r="V167" s="334">
        <f t="shared" ca="1" si="83"/>
        <v>1</v>
      </c>
      <c r="W167" s="334">
        <f t="shared" ca="1" si="83"/>
        <v>-68</v>
      </c>
      <c r="X167" s="334">
        <f t="shared" ca="1" si="83"/>
        <v>9</v>
      </c>
      <c r="Y167" s="335">
        <f t="shared" ca="1" si="83"/>
        <v>-42</v>
      </c>
      <c r="Z167" s="323">
        <f ca="1">SUM(B167:Y167)</f>
        <v>-109</v>
      </c>
      <c r="AA167" s="324"/>
    </row>
    <row r="168" spans="1:27" ht="13.8" hidden="1" thickBot="1" x14ac:dyDescent="0.3">
      <c r="A168" s="326" t="s">
        <v>186</v>
      </c>
      <c r="B168" s="327">
        <f t="shared" ref="B168:Y168" ca="1" si="84">B167+B166</f>
        <v>216</v>
      </c>
      <c r="C168" s="327">
        <f t="shared" ca="1" si="84"/>
        <v>169</v>
      </c>
      <c r="D168" s="327">
        <f t="shared" ca="1" si="84"/>
        <v>150</v>
      </c>
      <c r="E168" s="327">
        <f t="shared" ca="1" si="84"/>
        <v>156</v>
      </c>
      <c r="F168" s="327">
        <f t="shared" ca="1" si="84"/>
        <v>163</v>
      </c>
      <c r="G168" s="327">
        <f t="shared" ca="1" si="84"/>
        <v>158</v>
      </c>
      <c r="H168" s="327">
        <f t="shared" ca="1" si="84"/>
        <v>175</v>
      </c>
      <c r="I168" s="327">
        <f t="shared" ca="1" si="84"/>
        <v>139</v>
      </c>
      <c r="J168" s="327">
        <f t="shared" ca="1" si="84"/>
        <v>113</v>
      </c>
      <c r="K168" s="327">
        <f t="shared" ca="1" si="84"/>
        <v>92</v>
      </c>
      <c r="L168" s="327">
        <f t="shared" ca="1" si="84"/>
        <v>95</v>
      </c>
      <c r="M168" s="327">
        <f t="shared" ca="1" si="84"/>
        <v>152</v>
      </c>
      <c r="N168" s="327">
        <f t="shared" ca="1" si="84"/>
        <v>100</v>
      </c>
      <c r="O168" s="327">
        <f t="shared" ca="1" si="84"/>
        <v>83</v>
      </c>
      <c r="P168" s="327">
        <f t="shared" ca="1" si="84"/>
        <v>95</v>
      </c>
      <c r="Q168" s="327">
        <f t="shared" ca="1" si="84"/>
        <v>101</v>
      </c>
      <c r="R168" s="327">
        <f t="shared" ca="1" si="84"/>
        <v>137</v>
      </c>
      <c r="S168" s="327">
        <f t="shared" ca="1" si="84"/>
        <v>58</v>
      </c>
      <c r="T168" s="327">
        <f t="shared" ca="1" si="84"/>
        <v>57</v>
      </c>
      <c r="U168" s="327">
        <f t="shared" ca="1" si="84"/>
        <v>63</v>
      </c>
      <c r="V168" s="327">
        <f t="shared" ca="1" si="84"/>
        <v>44</v>
      </c>
      <c r="W168" s="327">
        <f t="shared" ca="1" si="84"/>
        <v>19</v>
      </c>
      <c r="X168" s="327">
        <f t="shared" ca="1" si="84"/>
        <v>67</v>
      </c>
      <c r="Y168" s="327">
        <f t="shared" ca="1" si="84"/>
        <v>120</v>
      </c>
      <c r="Z168" s="328">
        <f ca="1">SUM(B168:Y168)</f>
        <v>2722</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2722</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252</v>
      </c>
      <c r="C171" s="338">
        <f t="shared" si="85"/>
        <v>244</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255</v>
      </c>
      <c r="G171" s="338">
        <f t="shared" si="85"/>
        <v>238</v>
      </c>
      <c r="H171" s="338">
        <f t="shared" si="85"/>
        <v>222</v>
      </c>
      <c r="I171" s="338">
        <f t="shared" si="85"/>
        <v>213</v>
      </c>
      <c r="J171" s="338">
        <f t="shared" si="85"/>
        <v>191</v>
      </c>
      <c r="K171" s="338">
        <f t="shared" si="85"/>
        <v>169</v>
      </c>
      <c r="L171" s="338">
        <f t="shared" si="85"/>
        <v>222</v>
      </c>
      <c r="M171" s="338">
        <f t="shared" si="85"/>
        <v>169</v>
      </c>
      <c r="N171" s="338">
        <f t="shared" si="85"/>
        <v>243</v>
      </c>
      <c r="O171" s="338">
        <f t="shared" si="85"/>
        <v>230</v>
      </c>
      <c r="P171" s="338">
        <f t="shared" si="85"/>
        <v>241</v>
      </c>
      <c r="Q171" s="338">
        <f t="shared" si="85"/>
        <v>247</v>
      </c>
      <c r="R171" s="338">
        <f t="shared" si="85"/>
        <v>250</v>
      </c>
      <c r="S171" s="338">
        <f t="shared" si="85"/>
        <v>263</v>
      </c>
      <c r="T171" s="338">
        <f t="shared" si="85"/>
        <v>168</v>
      </c>
      <c r="U171" s="338">
        <f t="shared" si="85"/>
        <v>168</v>
      </c>
      <c r="V171" s="338">
        <f t="shared" si="85"/>
        <v>219</v>
      </c>
      <c r="W171" s="338">
        <f t="shared" si="85"/>
        <v>218</v>
      </c>
      <c r="X171" s="338">
        <f t="shared" si="85"/>
        <v>218</v>
      </c>
      <c r="Y171" s="339">
        <f t="shared" si="85"/>
        <v>203</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199</v>
      </c>
      <c r="J172" s="341">
        <f t="shared" si="86"/>
        <v>199</v>
      </c>
      <c r="K172" s="341">
        <f t="shared" si="86"/>
        <v>199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159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-57122.485863753915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zoomScale="60" zoomScaleNormal="65" workbookViewId="0">
      <selection activeCell="F74" sqref="F74"/>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75</v>
      </c>
      <c r="G3" s="660">
        <v>75</v>
      </c>
      <c r="H3" s="660">
        <v>75</v>
      </c>
      <c r="I3" s="660">
        <v>75</v>
      </c>
      <c r="J3" s="660">
        <v>75</v>
      </c>
      <c r="K3" s="660">
        <v>75</v>
      </c>
      <c r="L3" s="660">
        <v>75</v>
      </c>
      <c r="M3" s="660">
        <v>90</v>
      </c>
      <c r="N3" s="660">
        <v>100</v>
      </c>
      <c r="O3" s="660">
        <v>100</v>
      </c>
      <c r="P3" s="660">
        <v>100</v>
      </c>
      <c r="Q3" s="660">
        <v>100</v>
      </c>
      <c r="R3" s="660">
        <v>80</v>
      </c>
      <c r="S3" s="660">
        <v>80</v>
      </c>
      <c r="T3" s="660">
        <v>80</v>
      </c>
      <c r="U3" s="660">
        <v>80</v>
      </c>
      <c r="V3" s="660">
        <v>70</v>
      </c>
      <c r="W3" s="660">
        <v>70</v>
      </c>
      <c r="X3" s="660">
        <v>100</v>
      </c>
      <c r="Y3" s="714">
        <v>110</v>
      </c>
      <c r="Z3" s="714">
        <v>110</v>
      </c>
      <c r="AA3" s="714">
        <v>110</v>
      </c>
      <c r="AB3" s="714">
        <v>110</v>
      </c>
      <c r="AC3" s="714">
        <v>100</v>
      </c>
      <c r="AD3" s="601">
        <f>SUM(F3:AC3)</f>
        <v>2115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65</v>
      </c>
      <c r="R4" s="598">
        <v>65</v>
      </c>
      <c r="S4" s="598">
        <v>65</v>
      </c>
      <c r="T4" s="598">
        <v>65</v>
      </c>
      <c r="U4" s="598">
        <v>65</v>
      </c>
      <c r="V4" s="598">
        <v>65</v>
      </c>
      <c r="W4" s="598">
        <v>65</v>
      </c>
      <c r="X4" s="598">
        <v>65</v>
      </c>
      <c r="Y4" s="715">
        <v>75</v>
      </c>
      <c r="Z4" s="715">
        <v>75</v>
      </c>
      <c r="AA4" s="715">
        <v>70</v>
      </c>
      <c r="AB4" s="715">
        <v>65</v>
      </c>
      <c r="AC4" s="715">
        <v>60</v>
      </c>
      <c r="AD4" s="565">
        <f>SUM(F4:AC4)</f>
        <v>1535</v>
      </c>
      <c r="AE4" s="566">
        <f>AD4*D4</f>
        <v>0</v>
      </c>
      <c r="AF4" s="526"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v>-130</v>
      </c>
      <c r="G7" s="676">
        <v>-130</v>
      </c>
      <c r="H7" s="676">
        <v>-130</v>
      </c>
      <c r="I7" s="676">
        <v>-130</v>
      </c>
      <c r="J7" s="676">
        <v>-130</v>
      </c>
      <c r="K7" s="676">
        <v>-130</v>
      </c>
      <c r="L7" s="676">
        <v>-130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-100</v>
      </c>
      <c r="AC7" s="676">
        <v>-100</v>
      </c>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5">
      <c r="A67" s="585" t="s">
        <v>224</v>
      </c>
      <c r="B67" s="584" t="s">
        <v>240</v>
      </c>
      <c r="C67" s="584" t="s">
        <v>151</v>
      </c>
      <c r="D67" s="655"/>
      <c r="E67" s="654"/>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63">
        <f t="shared" si="9"/>
        <v>1200</v>
      </c>
      <c r="AE67" s="649">
        <f t="shared" si="10"/>
        <v>0</v>
      </c>
      <c r="AF67" s="650" t="str">
        <f t="shared" si="11"/>
        <v>sell</v>
      </c>
    </row>
    <row r="68" spans="1:32" s="356" customFormat="1" ht="12.75" customHeight="1" x14ac:dyDescent="0.25">
      <c r="A68" s="585" t="s">
        <v>67</v>
      </c>
      <c r="B68" s="587" t="s">
        <v>240</v>
      </c>
      <c r="C68" s="584" t="s">
        <v>151</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 t="shared" si="9"/>
        <v>200</v>
      </c>
      <c r="AE68" s="649">
        <f t="shared" si="10"/>
        <v>0</v>
      </c>
      <c r="AF68" s="650" t="str">
        <f t="shared" si="11"/>
        <v>sell</v>
      </c>
    </row>
    <row r="69" spans="1:32" s="356" customFormat="1" ht="12.75" customHeight="1" x14ac:dyDescent="0.25">
      <c r="A69" s="585" t="s">
        <v>382</v>
      </c>
      <c r="B69" s="587" t="s">
        <v>240</v>
      </c>
      <c r="C69" s="584" t="s">
        <v>151</v>
      </c>
      <c r="D69" s="655"/>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200</v>
      </c>
      <c r="AE69" s="649">
        <f t="shared" si="10"/>
        <v>0</v>
      </c>
      <c r="AF69" s="650" t="str">
        <f t="shared" si="11"/>
        <v>sell</v>
      </c>
    </row>
    <row r="70" spans="1:32" s="356" customFormat="1" ht="12.75" customHeight="1" x14ac:dyDescent="0.25">
      <c r="A70" s="585" t="s">
        <v>224</v>
      </c>
      <c r="B70" s="587" t="s">
        <v>240</v>
      </c>
      <c r="C70" s="584" t="s">
        <v>268</v>
      </c>
      <c r="D70" s="655">
        <v>22.25</v>
      </c>
      <c r="E70" s="654"/>
      <c r="F70" s="475">
        <v>25</v>
      </c>
      <c r="G70" s="475">
        <v>25</v>
      </c>
      <c r="H70" s="475">
        <v>25</v>
      </c>
      <c r="I70" s="475">
        <v>25</v>
      </c>
      <c r="J70" s="475">
        <v>25</v>
      </c>
      <c r="K70" s="475">
        <v>25</v>
      </c>
      <c r="L70" s="475">
        <v>25</v>
      </c>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v>25</v>
      </c>
      <c r="AD70" s="563">
        <f t="shared" si="9"/>
        <v>600</v>
      </c>
      <c r="AE70" s="649">
        <f t="shared" si="10"/>
        <v>13350</v>
      </c>
      <c r="AF70" s="650" t="str">
        <f t="shared" si="11"/>
        <v>sell</v>
      </c>
    </row>
    <row r="71" spans="1:32" s="356" customFormat="1" ht="12.75" customHeight="1" x14ac:dyDescent="0.25">
      <c r="A71" s="585" t="s">
        <v>63</v>
      </c>
      <c r="B71" s="587" t="s">
        <v>240</v>
      </c>
      <c r="C71" s="584" t="s">
        <v>268</v>
      </c>
      <c r="D71" s="655"/>
      <c r="E71" s="654"/>
      <c r="F71" s="475">
        <v>30</v>
      </c>
      <c r="G71" s="475">
        <v>30</v>
      </c>
      <c r="H71" s="475">
        <v>30</v>
      </c>
      <c r="I71" s="475">
        <v>30</v>
      </c>
      <c r="J71" s="475">
        <v>30</v>
      </c>
      <c r="K71" s="475">
        <v>30</v>
      </c>
      <c r="L71" s="475">
        <v>30</v>
      </c>
      <c r="M71" s="475">
        <v>30</v>
      </c>
      <c r="N71" s="475">
        <v>30</v>
      </c>
      <c r="O71" s="475">
        <v>30</v>
      </c>
      <c r="P71" s="475">
        <v>30</v>
      </c>
      <c r="Q71" s="475">
        <v>30</v>
      </c>
      <c r="R71" s="475">
        <v>30</v>
      </c>
      <c r="S71" s="475">
        <v>30</v>
      </c>
      <c r="T71" s="475">
        <v>30</v>
      </c>
      <c r="U71" s="475">
        <v>30</v>
      </c>
      <c r="V71" s="475">
        <v>30</v>
      </c>
      <c r="W71" s="475">
        <v>30</v>
      </c>
      <c r="X71" s="475">
        <v>30</v>
      </c>
      <c r="Y71" s="475">
        <v>30</v>
      </c>
      <c r="Z71" s="475">
        <v>30</v>
      </c>
      <c r="AA71" s="475">
        <v>30</v>
      </c>
      <c r="AB71" s="475">
        <v>30</v>
      </c>
      <c r="AC71" s="475">
        <v>30</v>
      </c>
      <c r="AD71" s="563">
        <f>SUM(E71:AC71)</f>
        <v>720</v>
      </c>
      <c r="AE71" s="649">
        <f>AD71*D71</f>
        <v>0</v>
      </c>
      <c r="AF71" s="650" t="str">
        <f>IF(AD71&lt;0,"buy","sell")</f>
        <v>sell</v>
      </c>
    </row>
    <row r="72" spans="1:32" s="356" customFormat="1" ht="12.75" customHeight="1" x14ac:dyDescent="0.25">
      <c r="A72" s="585"/>
      <c r="B72" s="584"/>
      <c r="C72" s="584"/>
      <c r="D72" s="655"/>
      <c r="E72" s="654"/>
      <c r="F72" s="475"/>
      <c r="G72" s="475"/>
      <c r="H72" s="475"/>
      <c r="I72" s="475"/>
      <c r="J72" s="475"/>
      <c r="K72" s="475"/>
      <c r="L72" s="475"/>
      <c r="M72" s="475"/>
      <c r="N72" s="475"/>
      <c r="O72" s="475"/>
      <c r="P72" s="475"/>
      <c r="Q72" s="475"/>
      <c r="R72" s="475"/>
      <c r="S72" s="688"/>
      <c r="T72" s="688"/>
      <c r="U72" s="688"/>
      <c r="V72" s="688"/>
      <c r="W72" s="688"/>
      <c r="X72" s="688"/>
      <c r="Y72" s="688"/>
      <c r="Z72" s="688"/>
      <c r="AA72" s="688"/>
      <c r="AB72" s="688"/>
      <c r="AC72" s="475"/>
      <c r="AD72" s="563">
        <f t="shared" si="9"/>
        <v>0</v>
      </c>
      <c r="AE72" s="649">
        <f t="shared" si="10"/>
        <v>0</v>
      </c>
      <c r="AF72" s="650" t="str">
        <f t="shared" si="11"/>
        <v>sell</v>
      </c>
    </row>
    <row r="73" spans="1:32" s="356" customFormat="1" ht="13.8" x14ac:dyDescent="0.25">
      <c r="A73" s="692" t="s">
        <v>361</v>
      </c>
      <c r="B73" s="643"/>
      <c r="C73" s="578"/>
      <c r="D73" s="643"/>
      <c r="E73" s="363"/>
      <c r="F73" s="624"/>
      <c r="G73" s="624"/>
      <c r="H73" s="624"/>
      <c r="I73" s="624"/>
      <c r="J73" s="624"/>
      <c r="K73" s="624"/>
      <c r="L73" s="624"/>
      <c r="M73" s="624"/>
      <c r="N73" s="624"/>
      <c r="O73" s="624"/>
      <c r="P73" s="624"/>
      <c r="Q73" s="624"/>
      <c r="R73" s="624"/>
      <c r="S73" s="687"/>
      <c r="T73" s="624"/>
      <c r="U73" s="624"/>
      <c r="V73" s="624"/>
      <c r="W73" s="624"/>
      <c r="X73" s="624"/>
      <c r="Y73" s="624"/>
      <c r="Z73" s="624"/>
      <c r="AA73" s="624"/>
      <c r="AB73" s="624"/>
      <c r="AC73" s="624"/>
      <c r="AD73" s="643"/>
      <c r="AE73" s="646"/>
      <c r="AF73" s="646"/>
    </row>
    <row r="74" spans="1:32" s="356" customFormat="1" x14ac:dyDescent="0.25">
      <c r="A74" s="586"/>
      <c r="B74" s="589"/>
      <c r="C74" s="589"/>
      <c r="D74" s="717"/>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 t="shared" ref="AD74:AD82" si="12">SUM(E74:AC74)</f>
        <v>0</v>
      </c>
      <c r="AE74" s="649">
        <f t="shared" ref="AE74:AE82" si="13">AD74*D74</f>
        <v>0</v>
      </c>
      <c r="AF74" s="650" t="str">
        <f t="shared" ref="AF74:AF82" si="14">IF(AD74&lt;0,"buy","sell")</f>
        <v>sell</v>
      </c>
    </row>
    <row r="75" spans="1:32" s="356" customFormat="1" x14ac:dyDescent="0.25">
      <c r="A75" s="586" t="s">
        <v>63</v>
      </c>
      <c r="B75" s="589" t="s">
        <v>385</v>
      </c>
      <c r="C75" s="589" t="s">
        <v>268</v>
      </c>
      <c r="D75" s="588">
        <v>15</v>
      </c>
      <c r="E75" s="583"/>
      <c r="F75" s="656">
        <v>25</v>
      </c>
      <c r="G75" s="716"/>
      <c r="H75" s="716"/>
      <c r="I75" s="716"/>
      <c r="J75" s="716"/>
      <c r="K75" s="716"/>
      <c r="L75" s="716"/>
      <c r="M75" s="716"/>
      <c r="N75" s="656"/>
      <c r="O75" s="656"/>
      <c r="P75" s="656"/>
      <c r="Q75" s="656"/>
      <c r="R75" s="656"/>
      <c r="S75" s="689"/>
      <c r="T75" s="656"/>
      <c r="U75" s="656"/>
      <c r="V75" s="656"/>
      <c r="W75" s="656"/>
      <c r="X75" s="656"/>
      <c r="Y75" s="656"/>
      <c r="Z75" s="656"/>
      <c r="AA75" s="656"/>
      <c r="AB75" s="656"/>
      <c r="AC75" s="656"/>
      <c r="AD75" s="563">
        <f t="shared" si="12"/>
        <v>25</v>
      </c>
      <c r="AE75" s="649">
        <f t="shared" si="13"/>
        <v>375</v>
      </c>
      <c r="AF75" s="650" t="str">
        <f t="shared" si="14"/>
        <v>sell</v>
      </c>
    </row>
    <row r="76" spans="1:32" s="356" customFormat="1" x14ac:dyDescent="0.25">
      <c r="A76" s="586" t="s">
        <v>63</v>
      </c>
      <c r="B76" s="589" t="s">
        <v>385</v>
      </c>
      <c r="C76" s="589" t="s">
        <v>268</v>
      </c>
      <c r="D76" s="588">
        <v>12</v>
      </c>
      <c r="E76" s="583"/>
      <c r="F76" s="656"/>
      <c r="G76" s="656">
        <v>25</v>
      </c>
      <c r="H76" s="656">
        <v>25</v>
      </c>
      <c r="I76" s="656">
        <v>25</v>
      </c>
      <c r="J76" s="656">
        <v>25</v>
      </c>
      <c r="K76" s="656">
        <v>25</v>
      </c>
      <c r="L76" s="716"/>
      <c r="M76" s="716"/>
      <c r="N76" s="656"/>
      <c r="O76" s="656"/>
      <c r="P76" s="656"/>
      <c r="Q76" s="656"/>
      <c r="R76" s="656"/>
      <c r="S76" s="689"/>
      <c r="T76" s="656"/>
      <c r="U76" s="656"/>
      <c r="V76" s="656"/>
      <c r="W76" s="656"/>
      <c r="X76" s="656"/>
      <c r="Y76" s="656"/>
      <c r="Z76" s="656"/>
      <c r="AA76" s="656"/>
      <c r="AB76" s="656"/>
      <c r="AC76" s="656"/>
      <c r="AD76" s="563">
        <f t="shared" si="12"/>
        <v>125</v>
      </c>
      <c r="AE76" s="649">
        <f t="shared" si="13"/>
        <v>1500</v>
      </c>
      <c r="AF76" s="650" t="str">
        <f t="shared" si="14"/>
        <v>sell</v>
      </c>
    </row>
    <row r="77" spans="1:32" s="356" customFormat="1" x14ac:dyDescent="0.25">
      <c r="A77" s="586" t="s">
        <v>65</v>
      </c>
      <c r="B77" s="589" t="s">
        <v>385</v>
      </c>
      <c r="C77" s="589" t="s">
        <v>151</v>
      </c>
      <c r="D77" s="588">
        <v>11</v>
      </c>
      <c r="E77" s="583"/>
      <c r="F77" s="656"/>
      <c r="G77" s="656"/>
      <c r="H77" s="656"/>
      <c r="I77" s="656"/>
      <c r="J77" s="656"/>
      <c r="K77" s="656"/>
      <c r="L77" s="716"/>
      <c r="M77" s="716"/>
      <c r="N77" s="656"/>
      <c r="O77" s="656"/>
      <c r="P77" s="656"/>
      <c r="Q77" s="656"/>
      <c r="R77" s="656">
        <v>25</v>
      </c>
      <c r="S77" s="689"/>
      <c r="T77" s="656"/>
      <c r="U77" s="656"/>
      <c r="V77" s="656"/>
      <c r="W77" s="656"/>
      <c r="X77" s="656"/>
      <c r="Y77" s="656"/>
      <c r="Z77" s="656"/>
      <c r="AA77" s="656"/>
      <c r="AB77" s="656"/>
      <c r="AC77" s="656"/>
      <c r="AD77" s="563">
        <f t="shared" si="12"/>
        <v>25</v>
      </c>
      <c r="AE77" s="649">
        <f t="shared" si="13"/>
        <v>275</v>
      </c>
      <c r="AF77" s="650" t="str">
        <f t="shared" si="14"/>
        <v>sell</v>
      </c>
    </row>
    <row r="78" spans="1:32" s="356" customFormat="1" x14ac:dyDescent="0.25">
      <c r="A78" s="586" t="s">
        <v>65</v>
      </c>
      <c r="B78" s="589" t="s">
        <v>385</v>
      </c>
      <c r="C78" s="589" t="s">
        <v>151</v>
      </c>
      <c r="D78" s="588">
        <v>10</v>
      </c>
      <c r="E78" s="583"/>
      <c r="F78" s="656"/>
      <c r="G78" s="656"/>
      <c r="H78" s="656"/>
      <c r="I78" s="656"/>
      <c r="J78" s="656"/>
      <c r="K78" s="656"/>
      <c r="L78" s="716"/>
      <c r="M78" s="716"/>
      <c r="N78" s="656"/>
      <c r="O78" s="656"/>
      <c r="P78" s="656"/>
      <c r="Q78" s="656"/>
      <c r="R78" s="656"/>
      <c r="S78" s="689">
        <v>50</v>
      </c>
      <c r="T78" s="689">
        <v>50</v>
      </c>
      <c r="U78" s="689">
        <v>50</v>
      </c>
      <c r="V78" s="656"/>
      <c r="W78" s="656"/>
      <c r="X78" s="656"/>
      <c r="Y78" s="656"/>
      <c r="Z78" s="656"/>
      <c r="AA78" s="656"/>
      <c r="AB78" s="656"/>
      <c r="AC78" s="656"/>
      <c r="AD78" s="563">
        <f t="shared" si="12"/>
        <v>150</v>
      </c>
      <c r="AE78" s="649">
        <f t="shared" si="13"/>
        <v>1500</v>
      </c>
      <c r="AF78" s="650" t="str">
        <f t="shared" si="14"/>
        <v>sell</v>
      </c>
    </row>
    <row r="79" spans="1:32" s="356" customFormat="1" x14ac:dyDescent="0.25">
      <c r="A79" s="586" t="s">
        <v>65</v>
      </c>
      <c r="B79" s="589" t="s">
        <v>385</v>
      </c>
      <c r="C79" s="589" t="s">
        <v>151</v>
      </c>
      <c r="D79" s="588">
        <v>12</v>
      </c>
      <c r="E79" s="583"/>
      <c r="F79" s="656"/>
      <c r="G79" s="656"/>
      <c r="H79" s="656"/>
      <c r="I79" s="656"/>
      <c r="J79" s="656"/>
      <c r="K79" s="656"/>
      <c r="L79" s="716"/>
      <c r="M79" s="716"/>
      <c r="N79" s="656"/>
      <c r="O79" s="656"/>
      <c r="P79" s="656"/>
      <c r="Q79" s="656"/>
      <c r="R79" s="656"/>
      <c r="S79" s="689"/>
      <c r="T79" s="689"/>
      <c r="U79" s="689"/>
      <c r="V79" s="656">
        <v>25</v>
      </c>
      <c r="W79" s="656"/>
      <c r="X79" s="656"/>
      <c r="Y79" s="656"/>
      <c r="Z79" s="656"/>
      <c r="AA79" s="656"/>
      <c r="AB79" s="656"/>
      <c r="AC79" s="656"/>
      <c r="AD79" s="563">
        <f t="shared" si="12"/>
        <v>25</v>
      </c>
      <c r="AE79" s="649">
        <f t="shared" si="13"/>
        <v>300</v>
      </c>
      <c r="AF79" s="650" t="str">
        <f t="shared" si="14"/>
        <v>sell</v>
      </c>
    </row>
    <row r="80" spans="1:32" s="356" customFormat="1" x14ac:dyDescent="0.25">
      <c r="A80" s="586" t="s">
        <v>65</v>
      </c>
      <c r="B80" s="589" t="s">
        <v>385</v>
      </c>
      <c r="C80" s="589" t="s">
        <v>151</v>
      </c>
      <c r="D80" s="588">
        <v>15</v>
      </c>
      <c r="E80" s="583"/>
      <c r="F80" s="656"/>
      <c r="G80" s="656"/>
      <c r="H80" s="656"/>
      <c r="I80" s="656"/>
      <c r="J80" s="656"/>
      <c r="K80" s="656"/>
      <c r="L80" s="716"/>
      <c r="M80" s="716"/>
      <c r="N80" s="656"/>
      <c r="O80" s="656"/>
      <c r="P80" s="656"/>
      <c r="Q80" s="656"/>
      <c r="R80" s="656"/>
      <c r="S80" s="689"/>
      <c r="T80" s="689"/>
      <c r="U80" s="689"/>
      <c r="V80" s="656"/>
      <c r="W80" s="656">
        <v>55</v>
      </c>
      <c r="X80" s="656"/>
      <c r="Y80" s="656"/>
      <c r="Z80" s="656"/>
      <c r="AA80" s="656"/>
      <c r="AB80" s="656"/>
      <c r="AC80" s="656"/>
      <c r="AD80" s="563">
        <f t="shared" si="12"/>
        <v>55</v>
      </c>
      <c r="AE80" s="649">
        <f t="shared" si="13"/>
        <v>825</v>
      </c>
      <c r="AF80" s="650" t="str">
        <f t="shared" si="14"/>
        <v>sell</v>
      </c>
    </row>
    <row r="81" spans="1:33" s="356" customFormat="1" x14ac:dyDescent="0.25">
      <c r="A81" s="586" t="s">
        <v>65</v>
      </c>
      <c r="B81" s="589" t="s">
        <v>385</v>
      </c>
      <c r="C81" s="589" t="s">
        <v>151</v>
      </c>
      <c r="D81" s="588">
        <v>21</v>
      </c>
      <c r="E81" s="583"/>
      <c r="F81" s="656"/>
      <c r="G81" s="656"/>
      <c r="H81" s="656"/>
      <c r="I81" s="656"/>
      <c r="J81" s="656"/>
      <c r="K81" s="656"/>
      <c r="L81" s="716"/>
      <c r="M81" s="716"/>
      <c r="N81" s="656"/>
      <c r="O81" s="656"/>
      <c r="P81" s="656"/>
      <c r="Q81" s="656"/>
      <c r="R81" s="656"/>
      <c r="S81" s="689"/>
      <c r="T81" s="689"/>
      <c r="U81" s="689"/>
      <c r="V81" s="656"/>
      <c r="W81" s="656"/>
      <c r="X81" s="656">
        <v>55</v>
      </c>
      <c r="Y81" s="656">
        <v>55</v>
      </c>
      <c r="Z81" s="656"/>
      <c r="AA81" s="656"/>
      <c r="AB81" s="656"/>
      <c r="AC81" s="656"/>
      <c r="AD81" s="563">
        <f t="shared" si="12"/>
        <v>110</v>
      </c>
      <c r="AE81" s="649">
        <f t="shared" si="13"/>
        <v>2310</v>
      </c>
      <c r="AF81" s="650" t="str">
        <f t="shared" si="14"/>
        <v>sell</v>
      </c>
    </row>
    <row r="82" spans="1:33" s="356" customFormat="1" x14ac:dyDescent="0.25">
      <c r="A82" s="586"/>
      <c r="B82" s="589"/>
      <c r="C82" s="589"/>
      <c r="D82" s="588"/>
      <c r="E82" s="583"/>
      <c r="F82" s="656"/>
      <c r="G82" s="656"/>
      <c r="H82" s="656"/>
      <c r="I82" s="656"/>
      <c r="J82" s="656"/>
      <c r="K82" s="656"/>
      <c r="L82" s="656"/>
      <c r="M82" s="656"/>
      <c r="N82" s="656"/>
      <c r="O82" s="656"/>
      <c r="P82" s="656"/>
      <c r="Q82" s="656"/>
      <c r="R82" s="656"/>
      <c r="S82" s="689"/>
      <c r="T82" s="656"/>
      <c r="U82" s="656"/>
      <c r="V82" s="656"/>
      <c r="W82" s="656"/>
      <c r="X82" s="656"/>
      <c r="Y82" s="656"/>
      <c r="Z82" s="656"/>
      <c r="AA82" s="656"/>
      <c r="AB82" s="656"/>
      <c r="AC82" s="656"/>
      <c r="AD82" s="563">
        <f t="shared" si="12"/>
        <v>0</v>
      </c>
      <c r="AE82" s="649">
        <f t="shared" si="13"/>
        <v>0</v>
      </c>
      <c r="AF82" s="650" t="str">
        <f t="shared" si="14"/>
        <v>sell</v>
      </c>
    </row>
    <row r="83" spans="1:33" s="356" customFormat="1" ht="13.8" x14ac:dyDescent="0.25">
      <c r="A83" s="692" t="s">
        <v>358</v>
      </c>
      <c r="B83" s="643"/>
      <c r="C83" s="578"/>
      <c r="D83" s="643"/>
      <c r="E83" s="363"/>
      <c r="F83" s="624"/>
      <c r="G83" s="624"/>
      <c r="H83" s="624"/>
      <c r="I83" s="624"/>
      <c r="J83" s="624"/>
      <c r="K83" s="624"/>
      <c r="L83" s="624"/>
      <c r="M83" s="624"/>
      <c r="N83" s="624"/>
      <c r="O83" s="624"/>
      <c r="P83" s="624"/>
      <c r="Q83" s="624"/>
      <c r="R83" s="624"/>
      <c r="S83" s="624"/>
      <c r="T83" s="624"/>
      <c r="U83" s="624"/>
      <c r="V83" s="624"/>
      <c r="W83" s="624"/>
      <c r="X83" s="624"/>
      <c r="Y83" s="624"/>
      <c r="Z83" s="624"/>
      <c r="AA83" s="624"/>
      <c r="AB83" s="624"/>
      <c r="AC83" s="624"/>
      <c r="AD83" s="643"/>
      <c r="AE83" s="646"/>
      <c r="AF83" s="646"/>
    </row>
    <row r="84" spans="1:33" s="356" customFormat="1" ht="12.75" customHeight="1" x14ac:dyDescent="0.25">
      <c r="A84" s="585"/>
      <c r="B84" s="587"/>
      <c r="C84" s="587"/>
      <c r="D84" s="655"/>
      <c r="E84" s="654"/>
      <c r="F84" s="475"/>
      <c r="G84" s="475"/>
      <c r="H84" s="475"/>
      <c r="I84" s="475"/>
      <c r="J84" s="475"/>
      <c r="K84" s="475"/>
      <c r="L84" s="475"/>
      <c r="M84" s="475"/>
      <c r="N84" s="475"/>
      <c r="O84" s="475"/>
      <c r="P84" s="475"/>
      <c r="Q84" s="475"/>
      <c r="R84" s="475"/>
      <c r="S84" s="688"/>
      <c r="T84" s="475"/>
      <c r="U84" s="475"/>
      <c r="V84" s="475"/>
      <c r="W84" s="475"/>
      <c r="X84" s="475"/>
      <c r="Y84" s="475"/>
      <c r="Z84" s="475"/>
      <c r="AA84" s="475"/>
      <c r="AB84" s="475"/>
      <c r="AC84" s="475"/>
      <c r="AD84" s="563">
        <f>SUM(E84:AC84)</f>
        <v>0</v>
      </c>
      <c r="AE84" s="649">
        <f>AD84*D84</f>
        <v>0</v>
      </c>
      <c r="AF84" s="650" t="str">
        <f>IF(AD84&lt;0,"buy","sell")</f>
        <v>sell</v>
      </c>
    </row>
    <row r="85" spans="1:33" s="356" customFormat="1" x14ac:dyDescent="0.25">
      <c r="A85" s="585" t="s">
        <v>169</v>
      </c>
      <c r="B85" s="587"/>
      <c r="C85" s="587"/>
      <c r="D85" s="655"/>
      <c r="E85" s="654"/>
      <c r="F85" s="475"/>
      <c r="G85" s="475"/>
      <c r="H85" s="475"/>
      <c r="I85" s="475"/>
      <c r="J85" s="475"/>
      <c r="K85" s="475"/>
      <c r="L85" s="475"/>
      <c r="M85" s="475"/>
      <c r="N85" s="475"/>
      <c r="O85" s="475"/>
      <c r="P85" s="475"/>
      <c r="Q85" s="475"/>
      <c r="R85" s="475"/>
      <c r="S85" s="688"/>
      <c r="T85" s="475"/>
      <c r="U85" s="475"/>
      <c r="V85" s="475"/>
      <c r="W85" s="475"/>
      <c r="X85" s="475"/>
      <c r="Y85" s="475"/>
      <c r="Z85" s="475"/>
      <c r="AA85" s="475"/>
      <c r="AB85" s="475"/>
      <c r="AC85" s="475"/>
      <c r="AD85" s="563">
        <f>SUM(E85:AC85)</f>
        <v>0</v>
      </c>
      <c r="AE85" s="649">
        <f>AD85*D85</f>
        <v>0</v>
      </c>
      <c r="AF85" s="650" t="str">
        <f>IF(AD85&lt;0,"buy","sell")</f>
        <v>sell</v>
      </c>
    </row>
    <row r="86" spans="1:33" s="356" customFormat="1" ht="13.8" x14ac:dyDescent="0.25">
      <c r="A86" s="693" t="s">
        <v>359</v>
      </c>
      <c r="B86" s="537"/>
      <c r="C86" s="537"/>
      <c r="D86" s="537"/>
      <c r="E86" s="579"/>
      <c r="F86" s="537"/>
      <c r="G86" s="537"/>
      <c r="H86" s="537"/>
      <c r="I86" s="537"/>
      <c r="J86" s="537"/>
      <c r="K86" s="537"/>
      <c r="L86" s="537"/>
      <c r="M86" s="537"/>
      <c r="N86" s="537"/>
      <c r="O86" s="537"/>
      <c r="P86" s="537"/>
      <c r="Q86" s="537"/>
      <c r="R86" s="537"/>
      <c r="S86" s="690"/>
      <c r="T86" s="537"/>
      <c r="U86" s="537"/>
      <c r="V86" s="537"/>
      <c r="W86" s="537"/>
      <c r="X86" s="537"/>
      <c r="Y86" s="537"/>
      <c r="Z86" s="537"/>
      <c r="AA86" s="537"/>
      <c r="AB86" s="537"/>
      <c r="AC86" s="537"/>
      <c r="AD86" s="537"/>
      <c r="AE86" s="537"/>
      <c r="AF86" s="537"/>
      <c r="AG86" s="466"/>
    </row>
    <row r="87" spans="1:33" s="356" customFormat="1" x14ac:dyDescent="0.25">
      <c r="A87" s="682"/>
      <c r="B87" s="589"/>
      <c r="C87" s="683"/>
      <c r="D87" s="588"/>
      <c r="E87" s="684"/>
      <c r="F87" s="656"/>
      <c r="G87" s="685"/>
      <c r="H87" s="685"/>
      <c r="I87" s="685"/>
      <c r="J87" s="685"/>
      <c r="K87" s="685"/>
      <c r="L87" s="685"/>
      <c r="M87" s="685"/>
      <c r="N87" s="685"/>
      <c r="O87" s="685"/>
      <c r="P87" s="685"/>
      <c r="Q87" s="685"/>
      <c r="R87" s="685"/>
      <c r="S87" s="691"/>
      <c r="T87" s="685"/>
      <c r="U87" s="685"/>
      <c r="V87" s="685"/>
      <c r="W87" s="685"/>
      <c r="X87" s="685"/>
      <c r="Y87" s="685"/>
      <c r="Z87" s="685"/>
      <c r="AA87" s="685"/>
      <c r="AB87" s="685"/>
      <c r="AC87" s="685"/>
      <c r="AD87" s="563">
        <f>SUM(AA87:AC87)</f>
        <v>0</v>
      </c>
      <c r="AE87" s="649">
        <f>AD87*D87</f>
        <v>0</v>
      </c>
      <c r="AF87" s="650"/>
    </row>
    <row r="88" spans="1:33" s="356" customFormat="1" x14ac:dyDescent="0.25">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3.8" x14ac:dyDescent="0.25">
      <c r="A89" s="693"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5">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5">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5">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5">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5">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5">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7.399999999999999" x14ac:dyDescent="0.3">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5">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7.399999999999999" x14ac:dyDescent="0.3">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7.399999999999999" x14ac:dyDescent="0.3">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5">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5">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SUM(AD16:AD66)+SUM(AD73:AD83)</f>
        <v>515</v>
      </c>
      <c r="AE101" s="473">
        <f>SUM(AE16:AE66)+SUM(AE73:AE83)</f>
        <v>7085</v>
      </c>
      <c r="AF101" s="531"/>
    </row>
    <row r="102" spans="1:33" s="356" customFormat="1" x14ac:dyDescent="0.25">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SUM(AD83:AD85)+SUM(AD86:AD89)</f>
        <v>0</v>
      </c>
      <c r="AE102" s="473">
        <f>SUM(AE83:AE85)+SUM(AE86:AE89)</f>
        <v>0</v>
      </c>
      <c r="AF102" s="531"/>
    </row>
    <row r="103" spans="1:33" s="356" customFormat="1" x14ac:dyDescent="0.25">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5">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5">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5">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5">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5">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5">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7.399999999999999" x14ac:dyDescent="0.3">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5">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5">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5">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6" x14ac:dyDescent="0.3">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5">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5">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5">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5">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5">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8" thickBot="1" x14ac:dyDescent="0.3">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5">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5">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5">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5">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5">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7.399999999999999" x14ac:dyDescent="0.3">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5">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7.399999999999999" x14ac:dyDescent="0.3">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7.399999999999999" x14ac:dyDescent="0.3">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8" thickBot="1" x14ac:dyDescent="0.3">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5">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5">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5">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5">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5">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5">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5">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5">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5">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5">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5">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5">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5">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5">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5">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5">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5">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5">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5">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5">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5">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5">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5">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5">
      <c r="AG277" s="386"/>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5">
      <c r="AG280" s="388"/>
    </row>
    <row r="281" spans="1:33" x14ac:dyDescent="0.25">
      <c r="AG281" s="388"/>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5">
      <c r="AG317" s="388"/>
    </row>
    <row r="318" spans="1:33" x14ac:dyDescent="0.25">
      <c r="AG318" s="388"/>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row r="326" spans="33:33" x14ac:dyDescent="0.25">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17597.472895408162</v>
      </c>
      <c r="F22" s="33">
        <f>IF($I$22=1,C22*$C$8,C22*$G$7)+IF($J$22=1,D22*$C$6,D22*$G$6)</f>
        <v>1.96</v>
      </c>
      <c r="G22" s="32">
        <f t="shared" ref="G22:G29" ca="1" si="0">F22*E22</f>
        <v>34491.046875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11745.454998405612</v>
      </c>
      <c r="F25" s="33">
        <f t="shared" si="1"/>
        <v>1.96</v>
      </c>
      <c r="G25" s="32">
        <f t="shared" ca="1" si="0"/>
        <v>23021.091796875</v>
      </c>
      <c r="I25" s="31"/>
      <c r="J25" s="31"/>
      <c r="K25" s="31"/>
    </row>
    <row r="26" spans="1:12" x14ac:dyDescent="0.25">
      <c r="B26" s="234" t="s">
        <v>47</v>
      </c>
      <c r="C26" s="235">
        <v>1</v>
      </c>
      <c r="D26" s="235">
        <v>0</v>
      </c>
      <c r="E26" s="32">
        <f ca="1">-INDEX(Economics!$A$34:$D$45,MATCH(Fuel!B26,Economics!$A$34:$A$45,0),4)/Fuel!F26</f>
        <v>9132.5105628188776</v>
      </c>
      <c r="F26" s="33">
        <f t="shared" si="1"/>
        <v>1.96</v>
      </c>
      <c r="G26" s="32">
        <f t="shared" ca="1" si="0"/>
        <v>17899.720703125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3912.0304029815052</v>
      </c>
      <c r="F28" s="33">
        <f t="shared" si="1"/>
        <v>1.96</v>
      </c>
      <c r="G28" s="32">
        <f t="shared" ca="1" si="0"/>
        <v>7667.57958984375</v>
      </c>
      <c r="I28" s="31"/>
      <c r="J28" s="31"/>
      <c r="K28" s="31"/>
    </row>
    <row r="29" spans="1:12" x14ac:dyDescent="0.25">
      <c r="B29" s="234" t="s">
        <v>50</v>
      </c>
      <c r="C29" s="235">
        <v>1</v>
      </c>
      <c r="D29" s="235">
        <v>0</v>
      </c>
      <c r="E29" s="32">
        <f ca="1">-INDEX(Economics!$A$34:$D$45,MATCH(Fuel!B29,Economics!$A$34:$A$45,0),4)/Fuel!F29</f>
        <v>3860.4771205357142</v>
      </c>
      <c r="F29" s="33">
        <f t="shared" si="1"/>
        <v>1.96</v>
      </c>
      <c r="G29" s="32">
        <f t="shared" ca="1" si="0"/>
        <v>7566.53515625</v>
      </c>
      <c r="I29" s="31"/>
      <c r="J29" s="31"/>
      <c r="K29" s="31"/>
    </row>
    <row r="30" spans="1:12" x14ac:dyDescent="0.25">
      <c r="B30" s="236"/>
      <c r="C30" s="36"/>
      <c r="D30" s="36"/>
      <c r="E30" s="34">
        <f ca="1">SUM(E22:E29)</f>
        <v>46247.945980149867</v>
      </c>
      <c r="F30" s="35"/>
      <c r="G30" s="34">
        <f ca="1">SUM(G22:G29)</f>
        <v>90645.97412109375</v>
      </c>
      <c r="I30" s="31"/>
      <c r="J30" s="31"/>
      <c r="K30" s="31"/>
    </row>
    <row r="31" spans="1:12" x14ac:dyDescent="0.25">
      <c r="B31" s="236"/>
      <c r="I31" s="31"/>
      <c r="J31" s="31"/>
      <c r="K31" s="31"/>
    </row>
    <row r="32" spans="1:12" ht="13.8" thickBot="1" x14ac:dyDescent="0.3">
      <c r="B32" s="236" t="s">
        <v>18</v>
      </c>
      <c r="E32" s="7">
        <f ca="1">E15+E18+E30</f>
        <v>46247.945980149867</v>
      </c>
      <c r="F32" s="8"/>
      <c r="G32" s="7">
        <f ca="1">G15+G18+G30</f>
        <v>90645.97412109375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457221.6</v>
      </c>
      <c r="C3" s="117">
        <f ca="1">6.8*0.75*E3</f>
        <v>112648.79999999999</v>
      </c>
      <c r="D3" s="117">
        <f ca="1">C3+B3</f>
        <v>569870.39999999991</v>
      </c>
      <c r="E3" s="118">
        <f ca="1">SUM(Preschedule!B59:Y59)</f>
        <v>22088</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-2522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1600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-11362.070720000002</v>
      </c>
      <c r="C28" s="120"/>
      <c r="D28" s="120">
        <f ca="1">C28+B28</f>
        <v>-11362.070720000002</v>
      </c>
      <c r="E28" s="114">
        <f>SUM(Preschedule!B56:Y56)</f>
        <v>869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ht="12" x14ac:dyDescent="0.25">
      <c r="A31" s="83" t="s">
        <v>44</v>
      </c>
      <c r="B31" s="120">
        <f>-F31*E31</f>
        <v>-29553.407999999999</v>
      </c>
      <c r="C31" s="120"/>
      <c r="D31" s="120">
        <f>C31+B31</f>
        <v>-29553.407999999999</v>
      </c>
      <c r="E31" s="114">
        <f>SUM(Preschedule!B54:Y54)</f>
        <v>4848</v>
      </c>
      <c r="F31" s="120">
        <f>H31*I31</f>
        <v>6.0960000000000001</v>
      </c>
      <c r="G31" s="79">
        <f>-IF(E31=0,0,D31/E31)</f>
        <v>6.0960000000000001</v>
      </c>
      <c r="H31" s="134">
        <v>10.16</v>
      </c>
      <c r="I31" s="135">
        <v>0.6</v>
      </c>
    </row>
    <row r="32" spans="1:9" ht="12" x14ac:dyDescent="0.25">
      <c r="A32" s="83" t="s">
        <v>45</v>
      </c>
      <c r="B32" s="120">
        <f>-F32*E32</f>
        <v>-29553.407999999999</v>
      </c>
      <c r="C32" s="120"/>
      <c r="D32" s="120">
        <f>C32+B32</f>
        <v>-29553.407999999999</v>
      </c>
      <c r="E32" s="114">
        <f>SUM(Preschedule!B55:Y55)</f>
        <v>4848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-17899.720703125</v>
      </c>
      <c r="C35" s="120"/>
      <c r="D35" s="120">
        <f t="shared" ref="D35:D45" ca="1" si="7">IF(ISTEXT(B35),0,C35+B35)</f>
        <v>-17899.720703125</v>
      </c>
      <c r="E35" s="114">
        <f>SUM(Preschedule!B42:Y42)</f>
        <v>841</v>
      </c>
      <c r="F35" s="120">
        <f t="shared" ref="F35:F45" ca="1" si="8">-IF(OR(ISTEXT(B35),E35=0),0,B35/E35)</f>
        <v>21.283853392538646</v>
      </c>
      <c r="G35" s="79">
        <f t="shared" ca="1" si="6"/>
        <v>21.283853392538646</v>
      </c>
      <c r="H35" s="136"/>
      <c r="I35" s="135">
        <v>1.96</v>
      </c>
    </row>
    <row r="36" spans="1:9" ht="12" x14ac:dyDescent="0.25">
      <c r="A36" s="83" t="s">
        <v>48</v>
      </c>
      <c r="B36" s="120">
        <f ca="1">Gencost(Preschedule!B43:Y43,OFFSET(HeatRateStart,1,MATCH(A36,HeatRateNames,0)-1,250,1),I36)</f>
        <v>-23021.091796875</v>
      </c>
      <c r="C36" s="120"/>
      <c r="D36" s="120">
        <f t="shared" ca="1" si="7"/>
        <v>-23021.091796875</v>
      </c>
      <c r="E36" s="114">
        <f>SUM(Preschedule!B43:Y43)</f>
        <v>1106</v>
      </c>
      <c r="F36" s="120">
        <f t="shared" ca="1" si="8"/>
        <v>20.814730376921339</v>
      </c>
      <c r="G36" s="79">
        <f t="shared" ca="1" si="6"/>
        <v>20.814730376921339</v>
      </c>
      <c r="H36" s="136"/>
      <c r="I36" s="135">
        <f>INDEX(FuelPriceTable,MATCH(A36,FuelNames,0),5)</f>
        <v>1.96</v>
      </c>
    </row>
    <row r="37" spans="1:9" ht="12" x14ac:dyDescent="0.25">
      <c r="A37" s="83" t="s">
        <v>49</v>
      </c>
      <c r="B37" s="120">
        <f ca="1">Gencost(Preschedule!B44:Y44,OFFSET(HeatRateStart,1,MATCH(A37,HeatRateNames,0)-1,250,1),I37)</f>
        <v>-7667.57958984375</v>
      </c>
      <c r="C37" s="120"/>
      <c r="D37" s="120">
        <f t="shared" ca="1" si="7"/>
        <v>-7667.57958984375</v>
      </c>
      <c r="E37" s="114">
        <f>SUM(Preschedule!B44:Y44)</f>
        <v>230</v>
      </c>
      <c r="F37" s="120">
        <f t="shared" ca="1" si="8"/>
        <v>33.337302564538042</v>
      </c>
      <c r="G37" s="79">
        <f t="shared" ca="1" si="6"/>
        <v>33.337302564538042</v>
      </c>
      <c r="H37" s="136"/>
      <c r="I37" s="135">
        <f t="shared" ref="I37:I45" si="9">INDEX(FuelPriceTable,MATCH(A37,FuelNames,0),5)</f>
        <v>1.96</v>
      </c>
    </row>
    <row r="38" spans="1:9" ht="12" x14ac:dyDescent="0.25">
      <c r="A38" s="83" t="s">
        <v>50</v>
      </c>
      <c r="B38" s="120">
        <f ca="1">Gencost(Preschedule!B45:Y45,OFFSET(HeatRateStart,1,MATCH(A38,HeatRateNames,0)-1,250,1),I38)</f>
        <v>-7566.53515625</v>
      </c>
      <c r="C38" s="120"/>
      <c r="D38" s="120">
        <f t="shared" ca="1" si="7"/>
        <v>-7566.53515625</v>
      </c>
      <c r="E38" s="114">
        <f>SUM(Preschedule!B45:Y45)</f>
        <v>225</v>
      </c>
      <c r="F38" s="120">
        <f t="shared" ca="1" si="8"/>
        <v>33.629045138888891</v>
      </c>
      <c r="G38" s="79">
        <f t="shared" ca="1" si="6"/>
        <v>33.629045138888891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-34491.046875</v>
      </c>
      <c r="C41" s="120"/>
      <c r="D41" s="120">
        <f t="shared" ca="1" si="7"/>
        <v>-34491.046875</v>
      </c>
      <c r="E41" s="114">
        <f>SUM(Preschedule!B48:Y48)</f>
        <v>1774</v>
      </c>
      <c r="F41" s="120">
        <f t="shared" ca="1" si="8"/>
        <v>19.442529241826382</v>
      </c>
      <c r="G41" s="79">
        <f t="shared" ca="1" si="6"/>
        <v>19.442529241826382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37296.956944444442</v>
      </c>
    </row>
    <row r="2" spans="2:2" x14ac:dyDescent="0.25">
      <c r="B2" t="s">
        <v>383</v>
      </c>
    </row>
    <row r="3" spans="2:2" x14ac:dyDescent="0.25">
      <c r="B3" t="s">
        <v>395</v>
      </c>
    </row>
    <row r="4" spans="2:2" x14ac:dyDescent="0.25">
      <c r="B4" t="s">
        <v>396</v>
      </c>
    </row>
    <row r="5" spans="2:2" x14ac:dyDescent="0.25">
      <c r="B5" t="s">
        <v>394</v>
      </c>
    </row>
    <row r="6" spans="2:2" x14ac:dyDescent="0.25">
      <c r="B6" t="s">
        <v>387</v>
      </c>
    </row>
    <row r="7" spans="2:2" x14ac:dyDescent="0.25">
      <c r="B7" t="s">
        <v>350</v>
      </c>
    </row>
    <row r="8" spans="2:2" x14ac:dyDescent="0.25">
      <c r="B8" t="s">
        <v>352</v>
      </c>
    </row>
    <row r="9" spans="2:2" x14ac:dyDescent="0.25">
      <c r="B9" t="s">
        <v>388</v>
      </c>
    </row>
    <row r="10" spans="2:2" x14ac:dyDescent="0.25">
      <c r="B10" t="s">
        <v>397</v>
      </c>
    </row>
    <row r="11" spans="2:2" x14ac:dyDescent="0.25">
      <c r="B11" t="s">
        <v>353</v>
      </c>
    </row>
    <row r="12" spans="2:2" x14ac:dyDescent="0.25">
      <c r="B12" t="s">
        <v>355</v>
      </c>
    </row>
    <row r="13" spans="2:2" x14ac:dyDescent="0.25">
      <c r="B13" t="s">
        <v>354</v>
      </c>
    </row>
    <row r="14" spans="2:2" x14ac:dyDescent="0.25">
      <c r="B14" t="s">
        <v>384</v>
      </c>
    </row>
    <row r="15" spans="2:2" x14ac:dyDescent="0.25">
      <c r="B15" t="s">
        <v>356</v>
      </c>
    </row>
    <row r="16" spans="2:2" x14ac:dyDescent="0.25">
      <c r="B16" t="s">
        <v>398</v>
      </c>
    </row>
    <row r="17" spans="2:2" x14ac:dyDescent="0.25">
      <c r="B17" t="s">
        <v>381</v>
      </c>
    </row>
    <row r="18" spans="2:2" x14ac:dyDescent="0.25">
      <c r="B18" t="s">
        <v>399</v>
      </c>
    </row>
    <row r="19" spans="2:2" x14ac:dyDescent="0.25">
      <c r="B19" t="s">
        <v>389</v>
      </c>
    </row>
    <row r="20" spans="2:2" x14ac:dyDescent="0.25">
      <c r="B20" t="s">
        <v>390</v>
      </c>
    </row>
    <row r="21" spans="2:2" x14ac:dyDescent="0.25">
      <c r="B21" t="s">
        <v>391</v>
      </c>
    </row>
    <row r="22" spans="2:2" x14ac:dyDescent="0.25">
      <c r="B22" t="s">
        <v>392</v>
      </c>
    </row>
    <row r="23" spans="2:2" x14ac:dyDescent="0.25">
      <c r="B23" t="s">
        <v>393</v>
      </c>
    </row>
    <row r="24" spans="2:2" x14ac:dyDescent="0.25">
      <c r="B24" t="s">
        <v>400</v>
      </c>
    </row>
    <row r="25" spans="2:2" x14ac:dyDescent="0.25">
      <c r="B25" t="s">
        <v>386</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2023-09-10T11:00:49Z</dcterms:modified>
</cp:coreProperties>
</file>