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52" windowHeight="9612"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Deals!$D$105</definedName>
    <definedName name="CISOEndDate">Deals!$D$106</definedName>
    <definedName name="cRows">COUNTA(#REF!)</definedName>
    <definedName name="CurrDate">[1]Top!#REF!</definedName>
    <definedName name="DataAll">Deals!$A$2:$AF$243</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9">Top!$E$5</definedName>
    <definedName name="EndofDPoint">Deals!$C$104</definedName>
    <definedName name="EndofDType">Deals!$B$104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8" i="6"/>
  <c r="AE98" i="6"/>
  <c r="AF98" i="6"/>
  <c r="AD99" i="6"/>
  <c r="AE99" i="6"/>
  <c r="AF99" i="6"/>
  <c r="AD100" i="6"/>
  <c r="AE100" i="6"/>
  <c r="AF100" i="6"/>
  <c r="AD101" i="6"/>
  <c r="AE101" i="6"/>
  <c r="AF101" i="6"/>
  <c r="AD102" i="6"/>
  <c r="AE102" i="6"/>
  <c r="AF102" i="6"/>
  <c r="F109" i="6"/>
  <c r="G109" i="6"/>
  <c r="F110" i="6"/>
  <c r="G110" i="6"/>
  <c r="AD110" i="6"/>
  <c r="AE110" i="6"/>
  <c r="F111" i="6"/>
  <c r="G111" i="6"/>
  <c r="AD111" i="6"/>
  <c r="AE111" i="6"/>
  <c r="F112" i="6"/>
  <c r="G112" i="6"/>
  <c r="F113" i="6"/>
  <c r="G113" i="6"/>
  <c r="F114" i="6"/>
  <c r="G114" i="6"/>
  <c r="F115" i="6"/>
  <c r="G115" i="6"/>
  <c r="AD115" i="6"/>
  <c r="AE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<sst xmlns="http://schemas.openxmlformats.org/spreadsheetml/2006/main" count="776" uniqueCount="389">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</sst>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104</xdr:row>
          <xdr:rowOff>167640</xdr:rowOff>
        </xdr:from>
        <xdr:to>
          <xdr:col>12</xdr:col>
          <xdr:colOff>99060</xdr:colOff>
          <xdr:row>105</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106</xdr:row>
      <xdr:rowOff>60960</xdr:rowOff>
    </xdr:from>
    <xdr:to>
      <xdr:col>23</xdr:col>
      <xdr:colOff>114300</xdr:colOff>
      <xdr:row>121</xdr:row>
      <xdr:rowOff>22860</xdr:rowOff>
    </xdr:to>
    <xdr:sp macro="" textlink="">
      <xdr:nvSpPr>
        <xdr:cNvPr id="2303" name="Text Box 255"/>
        <xdr:cNvSpPr txBox="1">
          <a:spLocks noChangeArrowheads="1"/>
        </xdr:cNvSpPr>
      </xdr:nvSpPr>
      <xdr:spPr bwMode="auto">
        <a:xfrm>
          <a:off x="5455920" y="9639300"/>
          <a:ext cx="722376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5"/>
  <sheetViews>
    <sheetView showGridLines="0" tabSelected="1" topLeftCell="B15" zoomScale="60" zoomScaleNormal="65" workbookViewId="0">
      <selection activeCell="B94" sqref="B94"/>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9"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3" width="6.1093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5">
      <c r="A3" s="653" t="s">
        <v>62</v>
      </c>
      <c r="B3" s="659" t="s">
        <v>61</v>
      </c>
      <c r="C3" s="660" t="s">
        <v>151</v>
      </c>
      <c r="D3" s="660"/>
      <c r="E3" s="656"/>
      <c r="F3" s="711">
        <v>90</v>
      </c>
      <c r="G3" s="711">
        <v>70</v>
      </c>
      <c r="H3" s="711">
        <v>70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2512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5">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5">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5">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5">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5">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5">
      <c r="A10" s="655" t="s">
        <v>366</v>
      </c>
      <c r="B10" s="663"/>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5">
      <c r="A11" s="655" t="s">
        <v>366</v>
      </c>
      <c r="B11" s="710"/>
      <c r="C11" s="663" t="s">
        <v>151</v>
      </c>
      <c r="D11" s="663"/>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f t="shared" si="0"/>
        <v>0</v>
      </c>
      <c r="AF11" s="695" t="str">
        <f t="shared" si="1"/>
        <v>sell</v>
      </c>
    </row>
    <row r="12" spans="1:75" s="404" customFormat="1" x14ac:dyDescent="0.25">
      <c r="A12" s="655" t="s">
        <v>372</v>
      </c>
      <c r="B12" s="710"/>
      <c r="C12" s="663" t="s">
        <v>151</v>
      </c>
      <c r="D12" s="663"/>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f t="shared" si="0"/>
        <v>0</v>
      </c>
      <c r="AF12" s="695" t="str">
        <f t="shared" si="1"/>
        <v>sell</v>
      </c>
    </row>
    <row r="13" spans="1:75" s="404" customFormat="1" x14ac:dyDescent="0.25">
      <c r="A13" s="655" t="s">
        <v>366</v>
      </c>
      <c r="B13" s="710"/>
      <c r="C13" s="663" t="s">
        <v>151</v>
      </c>
      <c r="D13" s="663"/>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f t="shared" si="0"/>
        <v>0</v>
      </c>
      <c r="AF13" s="695" t="str">
        <f t="shared" si="1"/>
        <v>sell</v>
      </c>
    </row>
    <row r="14" spans="1:75" s="404" customFormat="1" x14ac:dyDescent="0.25">
      <c r="A14" s="655" t="s">
        <v>379</v>
      </c>
      <c r="B14" s="710"/>
      <c r="C14" s="663" t="s">
        <v>151</v>
      </c>
      <c r="D14" s="663"/>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f t="shared" si="0"/>
        <v>0</v>
      </c>
      <c r="AF14" s="695" t="str">
        <f t="shared" si="1"/>
        <v>sell</v>
      </c>
    </row>
    <row r="15" spans="1:75" s="404" customFormat="1" x14ac:dyDescent="0.25">
      <c r="A15" s="655" t="s">
        <v>372</v>
      </c>
      <c r="B15" s="710"/>
      <c r="C15" s="663" t="s">
        <v>151</v>
      </c>
      <c r="D15" s="663"/>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f t="shared" si="0"/>
        <v>0</v>
      </c>
      <c r="AF15" s="695" t="str">
        <f t="shared" si="1"/>
        <v>sell</v>
      </c>
    </row>
    <row r="16" spans="1:75" s="404" customFormat="1" x14ac:dyDescent="0.25">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5">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26</v>
      </c>
      <c r="AD17" s="598">
        <f>SUM(E17:AC17)</f>
        <v>326</v>
      </c>
      <c r="AE17" s="694">
        <f t="shared" si="0"/>
        <v>0</v>
      </c>
      <c r="AF17" s="695" t="str">
        <f t="shared" si="1"/>
        <v>sell</v>
      </c>
    </row>
    <row r="18" spans="1:32" s="356" customFormat="1" x14ac:dyDescent="0.25">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5">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5">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5">
      <c r="A21" s="617" t="s">
        <v>277</v>
      </c>
      <c r="B21" s="478" t="s">
        <v>240</v>
      </c>
      <c r="C21" s="478" t="s">
        <v>151</v>
      </c>
      <c r="D21" s="479">
        <f>F109</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3" si="3">SUM(F21:AC21)</f>
        <v>0</v>
      </c>
      <c r="AE21" s="699">
        <f t="shared" ref="AE21:AE69" si="4">AD21*D21</f>
        <v>0</v>
      </c>
      <c r="AF21" s="700" t="str">
        <f>IF(AD21&lt;0,"buy","sell")</f>
        <v>sell</v>
      </c>
    </row>
    <row r="22" spans="1:32" s="356" customFormat="1" hidden="1" x14ac:dyDescent="0.25">
      <c r="A22" s="617" t="s">
        <v>277</v>
      </c>
      <c r="B22" s="478" t="s">
        <v>240</v>
      </c>
      <c r="C22" s="478" t="s">
        <v>151</v>
      </c>
      <c r="D22" s="479">
        <f>F110</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5">
      <c r="A23" s="617" t="s">
        <v>277</v>
      </c>
      <c r="B23" s="478" t="s">
        <v>240</v>
      </c>
      <c r="C23" s="478" t="s">
        <v>151</v>
      </c>
      <c r="D23" s="479">
        <f>F111</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5">
      <c r="A24" s="617" t="s">
        <v>277</v>
      </c>
      <c r="B24" s="478" t="s">
        <v>240</v>
      </c>
      <c r="C24" s="478" t="s">
        <v>151</v>
      </c>
      <c r="D24" s="479">
        <f>F112</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5">
      <c r="A25" s="617" t="s">
        <v>277</v>
      </c>
      <c r="B25" s="478" t="s">
        <v>240</v>
      </c>
      <c r="C25" s="478" t="s">
        <v>151</v>
      </c>
      <c r="D25" s="479">
        <f t="shared" ref="D25:D44" si="6">F113</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5">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5">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5">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5">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5">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5">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5">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5">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5">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5">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5">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5">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5">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5">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5">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5">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5">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5">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5">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5">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5">
      <c r="A46" s="617" t="s">
        <v>277</v>
      </c>
      <c r="B46" s="478" t="s">
        <v>240</v>
      </c>
      <c r="C46" s="478" t="s">
        <v>278</v>
      </c>
      <c r="D46" s="479">
        <f t="shared" ref="D46:D68" si="7">F139</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5">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5">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5">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5">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5">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5">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5">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5">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5">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5">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5">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5">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5">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5">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5">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5">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5">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5">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5">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5">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5">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5">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5">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5">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5">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5">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5">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5">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5">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5">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5">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5">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5">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5">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2" s="614" customFormat="1" ht="12.75" customHeight="1" x14ac:dyDescent="0.25">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2" s="614" customFormat="1" ht="12.75" customHeight="1" x14ac:dyDescent="0.25">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2" s="614" customFormat="1" ht="12.75" customHeight="1" x14ac:dyDescent="0.25">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2" s="356" customFormat="1" ht="12.75" customHeight="1" x14ac:dyDescent="0.25">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2" si="12">SUM(E84:AC84)</f>
        <v>0</v>
      </c>
      <c r="AE84" s="701">
        <f t="shared" ref="AE84:AE96" si="13">AD84*D84</f>
        <v>0</v>
      </c>
      <c r="AF84" s="702" t="str">
        <f t="shared" ref="AF84:AF96" si="14">IF(AD84&lt;0,"buy","sell")</f>
        <v>sell</v>
      </c>
    </row>
    <row r="85" spans="1:32" s="356" customFormat="1" ht="12.75" customHeight="1" x14ac:dyDescent="0.25">
      <c r="A85" s="623"/>
      <c r="B85" s="629"/>
      <c r="C85" s="629"/>
      <c r="D85" s="627"/>
      <c r="E85" s="619"/>
      <c r="F85" s="709"/>
      <c r="G85" s="709"/>
      <c r="H85" s="709"/>
      <c r="I85" s="709"/>
      <c r="J85" s="709"/>
      <c r="K85" s="709"/>
      <c r="L85" s="709"/>
      <c r="M85" s="709"/>
      <c r="N85" s="709"/>
      <c r="O85" s="709"/>
      <c r="P85" s="709"/>
      <c r="Q85" s="709"/>
      <c r="R85" s="709"/>
      <c r="S85" s="709"/>
      <c r="T85" s="709"/>
      <c r="U85" s="709"/>
      <c r="V85" s="709"/>
      <c r="W85" s="709"/>
      <c r="X85" s="709"/>
      <c r="Y85" s="709"/>
      <c r="Z85" s="709"/>
      <c r="AA85" s="709"/>
      <c r="AB85" s="709"/>
      <c r="AC85" s="709"/>
      <c r="AD85" s="594">
        <f>SUM(E85:AC85)</f>
        <v>0</v>
      </c>
      <c r="AE85" s="701">
        <f>AD85*D85</f>
        <v>0</v>
      </c>
      <c r="AF85" s="702" t="str">
        <f>IF(AD85&lt;0,"buy","sell")</f>
        <v>sell</v>
      </c>
    </row>
    <row r="86" spans="1:32" s="356" customFormat="1" ht="12.75" customHeight="1" x14ac:dyDescent="0.25">
      <c r="A86" s="623" t="s">
        <v>224</v>
      </c>
      <c r="B86" s="629" t="s">
        <v>374</v>
      </c>
      <c r="C86" s="629" t="s">
        <v>278</v>
      </c>
      <c r="D86" s="627">
        <v>5</v>
      </c>
      <c r="E86" s="619"/>
      <c r="F86" s="709"/>
      <c r="G86" s="709">
        <v>50</v>
      </c>
      <c r="H86" s="709">
        <v>50</v>
      </c>
      <c r="I86" s="709">
        <v>50</v>
      </c>
      <c r="J86" s="709">
        <v>50</v>
      </c>
      <c r="K86" s="709">
        <v>50</v>
      </c>
      <c r="L86" s="709">
        <v>50</v>
      </c>
      <c r="M86" s="709">
        <v>25</v>
      </c>
      <c r="N86" s="709">
        <v>50</v>
      </c>
      <c r="O86" s="709">
        <v>25</v>
      </c>
      <c r="P86" s="709"/>
      <c r="Q86" s="709"/>
      <c r="R86" s="709"/>
      <c r="S86" s="709"/>
      <c r="T86" s="709"/>
      <c r="U86" s="709"/>
      <c r="V86" s="709"/>
      <c r="W86" s="709"/>
      <c r="X86" s="709"/>
      <c r="Y86" s="709"/>
      <c r="Z86" s="709"/>
      <c r="AA86" s="709"/>
      <c r="AB86" s="709"/>
      <c r="AC86" s="709"/>
      <c r="AD86" s="594">
        <f t="shared" si="12"/>
        <v>400</v>
      </c>
      <c r="AE86" s="701">
        <f t="shared" si="13"/>
        <v>2000</v>
      </c>
      <c r="AF86" s="702" t="str">
        <f t="shared" si="14"/>
        <v>sell</v>
      </c>
    </row>
    <row r="87" spans="1:32" s="356" customFormat="1" ht="12.75" customHeight="1" x14ac:dyDescent="0.25">
      <c r="A87" s="623" t="s">
        <v>224</v>
      </c>
      <c r="B87" s="629" t="s">
        <v>378</v>
      </c>
      <c r="C87" s="629" t="s">
        <v>278</v>
      </c>
      <c r="D87" s="627">
        <v>4</v>
      </c>
      <c r="E87" s="619"/>
      <c r="F87" s="709"/>
      <c r="G87" s="709"/>
      <c r="H87" s="709"/>
      <c r="I87" s="709"/>
      <c r="J87" s="709"/>
      <c r="K87" s="709"/>
      <c r="L87" s="709"/>
      <c r="M87" s="709"/>
      <c r="N87" s="709"/>
      <c r="O87" s="709"/>
      <c r="P87" s="709"/>
      <c r="Q87" s="709"/>
      <c r="R87" s="709"/>
      <c r="S87" s="709"/>
      <c r="T87" s="709"/>
      <c r="U87" s="709"/>
      <c r="V87" s="709"/>
      <c r="W87" s="709"/>
      <c r="X87" s="709"/>
      <c r="Y87" s="709"/>
      <c r="Z87" s="709"/>
      <c r="AA87" s="709"/>
      <c r="AB87" s="709">
        <v>25</v>
      </c>
      <c r="AC87" s="709"/>
      <c r="AD87" s="594">
        <f>SUM(E87:AC87)</f>
        <v>25</v>
      </c>
      <c r="AE87" s="701">
        <f t="shared" si="13"/>
        <v>100</v>
      </c>
      <c r="AF87" s="702" t="str">
        <f t="shared" si="14"/>
        <v>sell</v>
      </c>
    </row>
    <row r="88" spans="1:32" s="356" customFormat="1" ht="9.75" customHeight="1" x14ac:dyDescent="0.25">
      <c r="A88" s="623" t="s">
        <v>366</v>
      </c>
      <c r="B88" s="629" t="s">
        <v>378</v>
      </c>
      <c r="C88" s="629" t="s">
        <v>278</v>
      </c>
      <c r="D88" s="627">
        <v>11.75</v>
      </c>
      <c r="E88" s="619"/>
      <c r="F88" s="709">
        <v>50</v>
      </c>
      <c r="G88" s="709"/>
      <c r="H88" s="709"/>
      <c r="I88" s="709"/>
      <c r="J88" s="709"/>
      <c r="K88" s="709"/>
      <c r="L88" s="709"/>
      <c r="M88" s="709"/>
      <c r="N88" s="709"/>
      <c r="O88" s="709"/>
      <c r="P88" s="709"/>
      <c r="Q88" s="709"/>
      <c r="R88" s="709"/>
      <c r="S88" s="709"/>
      <c r="T88" s="709"/>
      <c r="U88" s="709"/>
      <c r="V88" s="709"/>
      <c r="W88" s="709"/>
      <c r="X88" s="709"/>
      <c r="Y88" s="709"/>
      <c r="Z88" s="709"/>
      <c r="AA88" s="709"/>
      <c r="AB88" s="709"/>
      <c r="AC88" s="709"/>
      <c r="AD88" s="594">
        <f t="shared" si="12"/>
        <v>50</v>
      </c>
      <c r="AE88" s="701">
        <f t="shared" si="13"/>
        <v>587.5</v>
      </c>
      <c r="AF88" s="702" t="str">
        <f t="shared" si="14"/>
        <v>sell</v>
      </c>
    </row>
    <row r="89" spans="1:32" s="356" customFormat="1" ht="12.75" customHeight="1" x14ac:dyDescent="0.25">
      <c r="A89" s="623" t="s">
        <v>373</v>
      </c>
      <c r="B89" s="629" t="s">
        <v>374</v>
      </c>
      <c r="C89" s="629" t="s">
        <v>278</v>
      </c>
      <c r="D89" s="627">
        <v>15</v>
      </c>
      <c r="E89" s="619"/>
      <c r="F89" s="709"/>
      <c r="G89" s="709"/>
      <c r="H89" s="709"/>
      <c r="I89" s="709"/>
      <c r="J89" s="709"/>
      <c r="K89" s="709"/>
      <c r="L89" s="709"/>
      <c r="M89" s="709">
        <v>75</v>
      </c>
      <c r="N89" s="709"/>
      <c r="O89" s="709"/>
      <c r="P89" s="709"/>
      <c r="Q89" s="709"/>
      <c r="R89" s="709"/>
      <c r="S89" s="709"/>
      <c r="T89" s="709"/>
      <c r="U89" s="709"/>
      <c r="V89" s="709"/>
      <c r="W89" s="709"/>
      <c r="X89" s="709"/>
      <c r="Y89" s="709"/>
      <c r="Z89" s="709"/>
      <c r="AA89" s="709"/>
      <c r="AB89" s="709"/>
      <c r="AC89" s="709"/>
      <c r="AD89" s="594">
        <f t="shared" si="12"/>
        <v>75</v>
      </c>
      <c r="AE89" s="701">
        <f t="shared" si="13"/>
        <v>1125</v>
      </c>
      <c r="AF89" s="702" t="str">
        <f t="shared" si="14"/>
        <v>sell</v>
      </c>
    </row>
    <row r="90" spans="1:32" s="356" customFormat="1" ht="12.75" customHeight="1" x14ac:dyDescent="0.25">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2" s="356" customFormat="1" ht="12.75" customHeight="1" x14ac:dyDescent="0.25">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2" s="356" customFormat="1" ht="12.75" customHeight="1" x14ac:dyDescent="0.25">
      <c r="A92" s="623"/>
      <c r="B92" s="629"/>
      <c r="C92" s="629"/>
      <c r="D92" s="627"/>
      <c r="E92" s="61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09"/>
      <c r="AD92" s="594">
        <f t="shared" si="12"/>
        <v>0</v>
      </c>
      <c r="AE92" s="701">
        <f t="shared" si="13"/>
        <v>0</v>
      </c>
      <c r="AF92" s="702" t="str">
        <f t="shared" si="14"/>
        <v>sell</v>
      </c>
    </row>
    <row r="93" spans="1:32" s="356" customFormat="1" ht="12.75" customHeight="1" x14ac:dyDescent="0.25">
      <c r="A93" s="622"/>
      <c r="B93" s="624"/>
      <c r="C93" s="624"/>
      <c r="D93" s="707"/>
      <c r="E93" s="706"/>
      <c r="F93" s="482"/>
      <c r="G93" s="482"/>
      <c r="H93" s="482"/>
      <c r="I93" s="482"/>
      <c r="J93" s="482"/>
      <c r="K93" s="482"/>
      <c r="L93" s="482"/>
      <c r="M93" s="482"/>
      <c r="N93" s="482"/>
      <c r="O93" s="482"/>
      <c r="P93" s="482"/>
      <c r="Q93" s="482"/>
      <c r="R93" s="482"/>
      <c r="S93" s="482"/>
      <c r="T93" s="482"/>
      <c r="U93" s="482"/>
      <c r="V93" s="482"/>
      <c r="W93" s="482"/>
      <c r="X93" s="482"/>
      <c r="Y93" s="482"/>
      <c r="Z93" s="482"/>
      <c r="AA93" s="482"/>
      <c r="AB93" s="482"/>
      <c r="AC93" s="482"/>
      <c r="AD93" s="594">
        <f t="shared" si="3"/>
        <v>0</v>
      </c>
      <c r="AE93" s="701">
        <f t="shared" si="13"/>
        <v>0</v>
      </c>
      <c r="AF93" s="702" t="str">
        <f t="shared" si="14"/>
        <v>sell</v>
      </c>
    </row>
    <row r="94" spans="1:32" s="356" customFormat="1" ht="12.75" customHeight="1" x14ac:dyDescent="0.25">
      <c r="A94" s="622" t="s">
        <v>224</v>
      </c>
      <c r="B94" s="621" t="s">
        <v>240</v>
      </c>
      <c r="C94" s="621" t="s">
        <v>151</v>
      </c>
      <c r="D94" s="707">
        <v>10</v>
      </c>
      <c r="E94" s="706"/>
      <c r="F94" s="718">
        <v>-50</v>
      </c>
      <c r="G94" s="482"/>
      <c r="H94" s="482"/>
      <c r="I94" s="482"/>
      <c r="J94" s="482"/>
      <c r="K94" s="482"/>
      <c r="L94" s="482"/>
      <c r="M94" s="482"/>
      <c r="N94" s="482"/>
      <c r="O94" s="482"/>
      <c r="P94" s="482"/>
      <c r="Q94" s="482"/>
      <c r="R94" s="482"/>
      <c r="S94" s="482"/>
      <c r="T94" s="482"/>
      <c r="U94" s="482"/>
      <c r="V94" s="482"/>
      <c r="W94" s="482"/>
      <c r="X94" s="482"/>
      <c r="Y94" s="482"/>
      <c r="Z94" s="482"/>
      <c r="AA94" s="482"/>
      <c r="AB94" s="482"/>
      <c r="AC94" s="712"/>
      <c r="AD94" s="594">
        <f>SUM(F94:AC94)</f>
        <v>-50</v>
      </c>
      <c r="AE94" s="701">
        <f t="shared" si="13"/>
        <v>-500</v>
      </c>
      <c r="AF94" s="702" t="str">
        <f t="shared" si="14"/>
        <v>buy</v>
      </c>
    </row>
    <row r="95" spans="1:32" s="356" customFormat="1" ht="12.75" customHeight="1" x14ac:dyDescent="0.25">
      <c r="A95" s="622" t="s">
        <v>63</v>
      </c>
      <c r="B95" s="621" t="s">
        <v>240</v>
      </c>
      <c r="C95" s="621" t="s">
        <v>278</v>
      </c>
      <c r="D95" s="707">
        <v>17.5</v>
      </c>
      <c r="E95" s="706"/>
      <c r="F95" s="717">
        <v>-25</v>
      </c>
      <c r="G95" s="717">
        <v>-25</v>
      </c>
      <c r="H95" s="717">
        <v>-25</v>
      </c>
      <c r="I95" s="717">
        <v>-25</v>
      </c>
      <c r="J95" s="717">
        <v>-25</v>
      </c>
      <c r="K95" s="717">
        <v>-25</v>
      </c>
      <c r="L95" s="717">
        <v>-25</v>
      </c>
      <c r="M95" s="482"/>
      <c r="N95" s="482"/>
      <c r="O95" s="482"/>
      <c r="P95" s="482"/>
      <c r="Q95" s="482"/>
      <c r="R95" s="482"/>
      <c r="S95" s="482"/>
      <c r="T95" s="482"/>
      <c r="U95" s="482"/>
      <c r="V95" s="482"/>
      <c r="W95" s="482"/>
      <c r="X95" s="482"/>
      <c r="Y95" s="482"/>
      <c r="Z95" s="482"/>
      <c r="AA95" s="482"/>
      <c r="AB95" s="482"/>
      <c r="AC95" s="482">
        <v>-25</v>
      </c>
      <c r="AD95" s="594">
        <f>SUM(F95:AC95)</f>
        <v>-200</v>
      </c>
      <c r="AE95" s="701">
        <f t="shared" si="13"/>
        <v>-3500</v>
      </c>
      <c r="AF95" s="702" t="str">
        <f t="shared" si="14"/>
        <v>buy</v>
      </c>
    </row>
    <row r="96" spans="1:32" s="356" customFormat="1" ht="12.75" customHeight="1" x14ac:dyDescent="0.25">
      <c r="A96" s="622"/>
      <c r="B96" s="624"/>
      <c r="C96" s="624"/>
      <c r="D96" s="707"/>
      <c r="E96" s="706"/>
      <c r="F96" s="708"/>
      <c r="G96" s="482"/>
      <c r="H96" s="482"/>
      <c r="I96" s="482"/>
      <c r="J96" s="482"/>
      <c r="K96" s="482"/>
      <c r="L96" s="482"/>
      <c r="M96" s="482"/>
      <c r="N96" s="482"/>
      <c r="O96" s="482"/>
      <c r="P96" s="482"/>
      <c r="Q96" s="482"/>
      <c r="R96" s="482"/>
      <c r="S96" s="482"/>
      <c r="T96" s="482"/>
      <c r="U96" s="482"/>
      <c r="V96" s="482"/>
      <c r="W96" s="482"/>
      <c r="X96" s="482"/>
      <c r="Y96" s="482"/>
      <c r="Z96" s="482"/>
      <c r="AA96" s="482"/>
      <c r="AB96" s="482"/>
      <c r="AC96" s="482"/>
      <c r="AD96" s="594">
        <f>SUM(F96:AC96)</f>
        <v>0</v>
      </c>
      <c r="AE96" s="701">
        <f t="shared" si="13"/>
        <v>0</v>
      </c>
      <c r="AF96" s="702" t="str">
        <f t="shared" si="14"/>
        <v>sell</v>
      </c>
    </row>
    <row r="97" spans="1:33" s="356" customFormat="1" ht="14.25" customHeight="1" x14ac:dyDescent="0.25">
      <c r="A97" s="582"/>
      <c r="B97" s="550"/>
      <c r="C97" s="550"/>
      <c r="D97" s="550"/>
      <c r="E97" s="615"/>
      <c r="F97" s="550"/>
      <c r="G97" s="550"/>
      <c r="H97" s="550"/>
      <c r="I97" s="550"/>
      <c r="J97" s="550"/>
      <c r="K97" s="550"/>
      <c r="L97" s="550"/>
      <c r="M97" s="550"/>
      <c r="N97" s="550"/>
      <c r="O97" s="550"/>
      <c r="P97" s="550"/>
      <c r="Q97" s="550"/>
      <c r="R97" s="550"/>
      <c r="S97" s="550"/>
      <c r="T97" s="550"/>
      <c r="U97" s="550"/>
      <c r="V97" s="550"/>
      <c r="W97" s="550"/>
      <c r="X97" s="550"/>
      <c r="Y97" s="550"/>
      <c r="Z97" s="550"/>
      <c r="AA97" s="550"/>
      <c r="AB97" s="550"/>
      <c r="AC97" s="550"/>
      <c r="AD97" s="550"/>
      <c r="AE97" s="550"/>
      <c r="AF97" s="550"/>
      <c r="AG97" s="473"/>
    </row>
    <row r="98" spans="1:33" s="356" customFormat="1" x14ac:dyDescent="0.25">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SUM(E98:AC98)</f>
        <v>0</v>
      </c>
      <c r="AE98" s="701">
        <f>AD98*D98</f>
        <v>0</v>
      </c>
      <c r="AF98" s="702" t="str">
        <f>IF(AD98&lt;0,"buy","sell")</f>
        <v>sell</v>
      </c>
    </row>
    <row r="99" spans="1:33" s="356" customFormat="1" x14ac:dyDescent="0.25">
      <c r="A99" s="633"/>
      <c r="B99" s="575"/>
      <c r="C99" s="575"/>
      <c r="D99" s="634"/>
      <c r="E99" s="576"/>
      <c r="F99" s="577"/>
      <c r="G99" s="578"/>
      <c r="H99" s="578"/>
      <c r="I99" s="578"/>
      <c r="J99" s="578"/>
      <c r="K99" s="578"/>
      <c r="L99" s="578"/>
      <c r="M99" s="578"/>
      <c r="N99" s="578"/>
      <c r="O99" s="578"/>
      <c r="P99" s="578"/>
      <c r="Q99" s="578"/>
      <c r="R99" s="578"/>
      <c r="S99" s="578"/>
      <c r="T99" s="578"/>
      <c r="U99" s="578"/>
      <c r="V99" s="578"/>
      <c r="W99" s="578"/>
      <c r="X99" s="578"/>
      <c r="Y99" s="578"/>
      <c r="Z99" s="578"/>
      <c r="AA99" s="578"/>
      <c r="AB99" s="578"/>
      <c r="AC99" s="578"/>
      <c r="AD99" s="594">
        <f>SUM(AA99:AC99)</f>
        <v>0</v>
      </c>
      <c r="AE99" s="701">
        <f>AD99*D99</f>
        <v>0</v>
      </c>
      <c r="AF99" s="702" t="str">
        <f>IF(AD99&lt;0,"buy","sell")</f>
        <v>sell</v>
      </c>
    </row>
    <row r="100" spans="1:33" s="356" customFormat="1" ht="13.8" thickBot="1" x14ac:dyDescent="0.3">
      <c r="A100" s="484"/>
      <c r="B100" s="485"/>
      <c r="C100" s="485"/>
      <c r="D100" s="486"/>
      <c r="E100" s="486"/>
      <c r="F100" s="487"/>
      <c r="G100" s="487"/>
      <c r="H100" s="487"/>
      <c r="I100" s="487"/>
      <c r="J100" s="487"/>
      <c r="K100" s="487"/>
      <c r="L100" s="487"/>
      <c r="M100" s="487"/>
      <c r="N100" s="487"/>
      <c r="O100" s="487"/>
      <c r="P100" s="487"/>
      <c r="Q100" s="487"/>
      <c r="R100" s="487"/>
      <c r="S100" s="487"/>
      <c r="T100" s="487"/>
      <c r="U100" s="487"/>
      <c r="V100" s="487"/>
      <c r="W100" s="487"/>
      <c r="X100" s="487"/>
      <c r="Y100" s="487"/>
      <c r="Z100" s="487"/>
      <c r="AA100" s="487"/>
      <c r="AB100" s="487"/>
      <c r="AC100" s="488"/>
      <c r="AD100" s="594">
        <f>SUM(F106:AC106)</f>
        <v>0</v>
      </c>
      <c r="AE100" s="701">
        <f>AD100*D100</f>
        <v>0</v>
      </c>
      <c r="AF100" s="702" t="str">
        <f>IF(AD100&lt;0,"buy","sell")</f>
        <v>sell</v>
      </c>
    </row>
    <row r="101" spans="1:33" s="356" customFormat="1" x14ac:dyDescent="0.25">
      <c r="A101" s="556"/>
      <c r="B101" s="672"/>
      <c r="C101" s="672"/>
      <c r="D101" s="557"/>
      <c r="E101" s="557"/>
      <c r="F101" s="558"/>
      <c r="G101" s="559"/>
      <c r="H101" s="558"/>
      <c r="I101" s="558"/>
      <c r="J101" s="558"/>
      <c r="K101" s="558"/>
      <c r="L101" s="558"/>
      <c r="M101" s="558"/>
      <c r="N101" s="558"/>
      <c r="O101" s="558"/>
      <c r="P101" s="558"/>
      <c r="Q101" s="558"/>
      <c r="R101" s="558"/>
      <c r="S101" s="558"/>
      <c r="T101" s="558"/>
      <c r="U101" s="559"/>
      <c r="V101" s="558"/>
      <c r="W101" s="558"/>
      <c r="X101" s="558"/>
      <c r="Y101" s="558"/>
      <c r="Z101" s="558"/>
      <c r="AA101" s="558"/>
      <c r="AB101" s="558"/>
      <c r="AC101" s="560"/>
      <c r="AD101" s="594">
        <f>SUM(E101:AC101)</f>
        <v>0</v>
      </c>
      <c r="AE101" s="701">
        <f>AD101*D101</f>
        <v>0</v>
      </c>
      <c r="AF101" s="702" t="str">
        <f>IF(AD101&lt;0,"buy","sell")</f>
        <v>sell</v>
      </c>
    </row>
    <row r="102" spans="1:33" s="356" customFormat="1" x14ac:dyDescent="0.25">
      <c r="A102" s="556"/>
      <c r="B102" s="564"/>
      <c r="C102" s="564"/>
      <c r="D102" s="557"/>
      <c r="E102" s="557"/>
      <c r="F102" s="558"/>
      <c r="G102" s="559"/>
      <c r="H102" s="558"/>
      <c r="I102" s="558"/>
      <c r="J102" s="558"/>
      <c r="K102" s="558"/>
      <c r="L102" s="558"/>
      <c r="M102" s="558"/>
      <c r="N102" s="558"/>
      <c r="O102" s="558"/>
      <c r="P102" s="558"/>
      <c r="Q102" s="558"/>
      <c r="R102" s="558"/>
      <c r="S102" s="558"/>
      <c r="T102" s="558"/>
      <c r="U102" s="561"/>
      <c r="V102" s="558"/>
      <c r="W102" s="558"/>
      <c r="X102" s="558"/>
      <c r="Y102" s="558"/>
      <c r="Z102" s="558"/>
      <c r="AA102" s="558"/>
      <c r="AB102" s="558"/>
      <c r="AC102" s="560"/>
      <c r="AD102" s="583">
        <f>SUM(F107:AC107)</f>
        <v>0</v>
      </c>
      <c r="AE102" s="584">
        <f>AD102*D102</f>
        <v>0</v>
      </c>
      <c r="AF102" s="538" t="str">
        <f>IF(AD102&lt;0,"buy","sell")</f>
        <v>sell</v>
      </c>
    </row>
    <row r="103" spans="1:33" s="356" customFormat="1" x14ac:dyDescent="0.25">
      <c r="A103" s="562" t="s">
        <v>206</v>
      </c>
      <c r="B103" s="492"/>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c r="AE103" s="492"/>
      <c r="AF103" s="492"/>
    </row>
    <row r="104" spans="1:33" s="356" customFormat="1" x14ac:dyDescent="0.25">
      <c r="B104" s="364"/>
      <c r="C104" s="364"/>
      <c r="D104" s="365"/>
      <c r="E104" s="365"/>
      <c r="F104" s="364"/>
      <c r="G104" s="366"/>
      <c r="H104" s="366"/>
      <c r="I104" s="366"/>
      <c r="J104" s="366"/>
      <c r="K104" s="366"/>
      <c r="L104" s="366"/>
      <c r="M104" s="366"/>
      <c r="N104" s="366"/>
      <c r="O104" s="366"/>
      <c r="P104" s="366"/>
      <c r="Q104" s="366"/>
      <c r="R104" s="366"/>
      <c r="S104" s="366"/>
      <c r="T104" s="366"/>
      <c r="U104" s="366"/>
      <c r="V104" s="366"/>
      <c r="W104" s="366"/>
      <c r="X104" s="366"/>
      <c r="Y104" s="366"/>
      <c r="Z104" s="446"/>
      <c r="AA104" s="446"/>
      <c r="AB104" s="446"/>
      <c r="AC104" s="541"/>
      <c r="AD104" s="464"/>
      <c r="AE104" s="465"/>
      <c r="AF104" s="446"/>
    </row>
    <row r="105" spans="1:33" s="356" customFormat="1" ht="17.399999999999999" x14ac:dyDescent="0.3">
      <c r="A105" s="431" t="s">
        <v>241</v>
      </c>
      <c r="B105" s="432"/>
      <c r="C105" s="551"/>
      <c r="D105" s="433"/>
      <c r="E105" s="433"/>
      <c r="F105" s="434"/>
      <c r="G105" s="435"/>
      <c r="H105" s="370"/>
      <c r="I105" s="370"/>
      <c r="J105" s="370"/>
      <c r="K105" s="371"/>
      <c r="L105" s="370"/>
      <c r="M105" s="370"/>
      <c r="N105" s="370"/>
      <c r="O105" s="370"/>
      <c r="P105" s="370"/>
      <c r="Q105" s="370"/>
      <c r="R105" s="370"/>
      <c r="S105" s="370" t="s">
        <v>15</v>
      </c>
      <c r="T105" s="370"/>
      <c r="U105" s="370"/>
      <c r="V105" s="370"/>
      <c r="W105" s="370"/>
      <c r="X105" s="370"/>
      <c r="Y105" s="370"/>
      <c r="Z105" s="372"/>
      <c r="AA105" s="372"/>
      <c r="AB105" s="372"/>
      <c r="AC105" s="542"/>
      <c r="AD105" s="464"/>
      <c r="AE105" s="465"/>
      <c r="AF105" s="372"/>
    </row>
    <row r="106" spans="1:33" s="356" customFormat="1" ht="13.8" thickBot="1" x14ac:dyDescent="0.3">
      <c r="A106" s="436"/>
      <c r="B106" s="437"/>
      <c r="C106" s="437"/>
      <c r="D106" s="433"/>
      <c r="E106" s="433"/>
      <c r="F106" s="435"/>
      <c r="G106" s="435"/>
      <c r="H106" s="370"/>
      <c r="I106" s="370"/>
      <c r="J106" s="370"/>
      <c r="K106" s="373"/>
      <c r="L106" s="373"/>
      <c r="M106" s="370"/>
      <c r="N106" s="370"/>
      <c r="O106" s="370"/>
      <c r="P106" s="370"/>
      <c r="Q106" s="370"/>
      <c r="R106" s="370"/>
      <c r="S106" s="370"/>
      <c r="T106" s="370"/>
      <c r="U106" s="370"/>
      <c r="V106" s="370"/>
      <c r="W106" s="370"/>
      <c r="X106" s="370"/>
      <c r="Y106" s="370"/>
      <c r="Z106" s="372"/>
      <c r="AA106" s="372"/>
      <c r="AB106" s="372"/>
      <c r="AC106" s="542"/>
      <c r="AD106" s="464"/>
      <c r="AE106" s="465"/>
      <c r="AF106" s="372"/>
    </row>
    <row r="107" spans="1:33" s="356" customFormat="1" ht="18" thickBot="1" x14ac:dyDescent="0.35">
      <c r="A107" s="438" t="s">
        <v>7</v>
      </c>
      <c r="B107" s="439"/>
      <c r="C107" s="439" t="s">
        <v>265</v>
      </c>
      <c r="D107" s="440" t="s">
        <v>9</v>
      </c>
      <c r="E107" s="439"/>
      <c r="F107" s="442" t="s">
        <v>271</v>
      </c>
      <c r="G107" s="443"/>
      <c r="H107" s="370"/>
      <c r="I107" s="370"/>
      <c r="J107" s="370"/>
      <c r="K107" s="373"/>
      <c r="L107" s="371"/>
      <c r="M107" s="370"/>
      <c r="N107" s="370"/>
      <c r="O107" s="370"/>
      <c r="P107" s="370"/>
      <c r="Q107" s="370"/>
      <c r="R107" s="370"/>
      <c r="S107" s="370"/>
      <c r="T107" s="370"/>
      <c r="U107" s="370"/>
      <c r="V107" s="370"/>
      <c r="W107" s="370"/>
      <c r="X107" s="370"/>
      <c r="Y107" s="370"/>
      <c r="AA107" s="372"/>
      <c r="AB107" s="372"/>
      <c r="AC107" s="542"/>
      <c r="AD107" s="464"/>
      <c r="AE107" s="465"/>
      <c r="AF107" s="372"/>
    </row>
    <row r="108" spans="1:33" s="356" customFormat="1" ht="17.399999999999999" x14ac:dyDescent="0.3">
      <c r="A108" s="444" t="s">
        <v>243</v>
      </c>
      <c r="B108" s="445" t="s">
        <v>244</v>
      </c>
      <c r="C108" s="445"/>
      <c r="D108" s="580"/>
      <c r="E108" s="445"/>
      <c r="F108" s="441" t="s">
        <v>318</v>
      </c>
      <c r="G108" s="435" t="s">
        <v>319</v>
      </c>
      <c r="H108" s="370"/>
      <c r="I108" s="370"/>
      <c r="J108" s="370"/>
      <c r="K108" s="373"/>
      <c r="L108" s="371"/>
      <c r="M108" s="370"/>
      <c r="N108" s="370"/>
      <c r="O108" s="370"/>
      <c r="P108" s="370"/>
      <c r="Q108" s="370"/>
      <c r="R108" s="370"/>
      <c r="S108" s="370"/>
      <c r="T108" s="370"/>
      <c r="U108" s="370"/>
      <c r="V108" s="370"/>
      <c r="W108" s="370"/>
      <c r="X108" s="370"/>
      <c r="Y108" s="370"/>
      <c r="Z108" s="372" t="s">
        <v>207</v>
      </c>
      <c r="AA108" s="372"/>
      <c r="AB108" s="372"/>
      <c r="AC108" s="543"/>
      <c r="AD108" s="460"/>
      <c r="AE108" s="461"/>
      <c r="AF108" s="372"/>
    </row>
    <row r="109" spans="1:33" x14ac:dyDescent="0.25">
      <c r="A109" s="437">
        <v>24</v>
      </c>
      <c r="B109" s="437">
        <v>1</v>
      </c>
      <c r="C109" s="446">
        <v>1</v>
      </c>
      <c r="D109" s="585"/>
      <c r="E109" s="540"/>
      <c r="F109" s="592">
        <f>D109-0.25</f>
        <v>-0.25</v>
      </c>
      <c r="G109" s="563">
        <f>D109+0.56</f>
        <v>0.56000000000000005</v>
      </c>
      <c r="K109" s="373"/>
      <c r="M109" s="370"/>
      <c r="N109" s="370"/>
      <c r="Z109" s="372"/>
      <c r="AA109" s="544"/>
      <c r="AB109" s="544"/>
      <c r="AC109" s="543"/>
      <c r="AD109" s="402"/>
      <c r="AE109" s="402"/>
      <c r="AF109" s="544"/>
      <c r="AG109" s="356"/>
    </row>
    <row r="110" spans="1:33" s="356" customFormat="1" x14ac:dyDescent="0.25">
      <c r="A110" s="435">
        <v>1</v>
      </c>
      <c r="B110" s="435">
        <v>2</v>
      </c>
      <c r="C110" s="446">
        <v>1</v>
      </c>
      <c r="D110" s="585"/>
      <c r="E110" s="497"/>
      <c r="F110" s="592">
        <f t="shared" ref="F110:F133" si="15">D110-0.25</f>
        <v>-0.25</v>
      </c>
      <c r="G110" s="563">
        <f t="shared" ref="G110:G133" si="16">D110+0.56</f>
        <v>0.56000000000000005</v>
      </c>
      <c r="H110" s="370"/>
      <c r="I110" s="370"/>
      <c r="J110" s="370"/>
      <c r="K110" s="373"/>
      <c r="L110" s="370"/>
      <c r="M110" s="370"/>
      <c r="N110" s="370"/>
      <c r="O110" s="370"/>
      <c r="P110" s="370"/>
      <c r="Q110" s="370"/>
      <c r="R110" s="370"/>
      <c r="S110" s="370"/>
      <c r="T110" s="370"/>
      <c r="U110" s="370"/>
      <c r="V110" s="370"/>
      <c r="W110" s="370"/>
      <c r="X110" s="370"/>
      <c r="Y110" s="370"/>
      <c r="Z110" s="544" t="s">
        <v>266</v>
      </c>
      <c r="AA110" s="544"/>
      <c r="AB110" s="544"/>
      <c r="AC110" s="543"/>
      <c r="AD110" s="480">
        <f>SUM(AD20:AD93)</f>
        <v>2150</v>
      </c>
      <c r="AE110" s="480">
        <f>SUM(AE20:AE93)</f>
        <v>41222.5</v>
      </c>
      <c r="AF110" s="544"/>
    </row>
    <row r="111" spans="1:33" s="356" customFormat="1" x14ac:dyDescent="0.25">
      <c r="A111" s="437">
        <v>2</v>
      </c>
      <c r="B111" s="437">
        <v>3</v>
      </c>
      <c r="C111" s="446">
        <v>1</v>
      </c>
      <c r="D111" s="585"/>
      <c r="E111" s="497"/>
      <c r="F111" s="592">
        <f t="shared" si="15"/>
        <v>-0.25</v>
      </c>
      <c r="G111" s="563">
        <f t="shared" si="16"/>
        <v>0.56000000000000005</v>
      </c>
      <c r="H111" s="370"/>
      <c r="I111" s="370"/>
      <c r="J111" s="370"/>
      <c r="K111" s="373"/>
      <c r="L111" s="370"/>
      <c r="M111" s="370"/>
      <c r="N111" s="370"/>
      <c r="O111" s="370"/>
      <c r="P111" s="370"/>
      <c r="Q111" s="370"/>
      <c r="R111" s="370"/>
      <c r="S111" s="370"/>
      <c r="T111" s="370"/>
      <c r="U111" s="370"/>
      <c r="V111" s="370"/>
      <c r="W111" s="370"/>
      <c r="X111" s="370"/>
      <c r="Y111" s="370"/>
      <c r="Z111" s="544" t="s">
        <v>267</v>
      </c>
      <c r="AA111" s="544"/>
      <c r="AB111" s="544"/>
      <c r="AC111" s="545"/>
      <c r="AD111" s="480">
        <f>SUM(AD93:AD100)</f>
        <v>-250</v>
      </c>
      <c r="AE111" s="480">
        <f>SUM(AE93:AE100)</f>
        <v>-4000</v>
      </c>
      <c r="AF111" s="544"/>
    </row>
    <row r="112" spans="1:33" s="356" customFormat="1" x14ac:dyDescent="0.25">
      <c r="A112" s="435">
        <v>3</v>
      </c>
      <c r="B112" s="435">
        <v>4</v>
      </c>
      <c r="C112" s="446">
        <v>1</v>
      </c>
      <c r="D112" s="585"/>
      <c r="E112" s="497"/>
      <c r="F112" s="592">
        <f t="shared" si="15"/>
        <v>-0.25</v>
      </c>
      <c r="G112" s="563">
        <f t="shared" si="16"/>
        <v>0.56000000000000005</v>
      </c>
      <c r="H112" s="377"/>
      <c r="I112" s="377"/>
      <c r="J112" s="377"/>
      <c r="K112" s="378"/>
      <c r="L112" s="377"/>
      <c r="M112" s="370"/>
      <c r="N112" s="370"/>
      <c r="O112" s="377"/>
      <c r="P112" s="377"/>
      <c r="Q112" s="377"/>
      <c r="R112" s="377"/>
      <c r="S112" s="377"/>
      <c r="T112" s="377"/>
      <c r="U112" s="377"/>
      <c r="V112" s="377"/>
      <c r="W112" s="377"/>
      <c r="X112" s="377"/>
      <c r="Y112" s="377"/>
      <c r="Z112" s="384"/>
      <c r="AA112" s="384"/>
      <c r="AB112" s="384"/>
      <c r="AC112" s="473"/>
      <c r="AF112" s="384"/>
    </row>
    <row r="113" spans="1:33" s="356" customFormat="1" x14ac:dyDescent="0.25">
      <c r="A113" s="437">
        <v>4</v>
      </c>
      <c r="B113" s="437">
        <v>5</v>
      </c>
      <c r="C113" s="446">
        <v>1</v>
      </c>
      <c r="D113" s="585"/>
      <c r="E113" s="497"/>
      <c r="F113" s="592">
        <f t="shared" si="15"/>
        <v>-0.25</v>
      </c>
      <c r="G113" s="563">
        <f t="shared" si="16"/>
        <v>0.56000000000000005</v>
      </c>
      <c r="H113" s="377"/>
      <c r="O113" s="370"/>
      <c r="P113" s="370"/>
      <c r="Q113" s="381"/>
      <c r="R113" s="381"/>
      <c r="S113" s="381"/>
      <c r="T113" s="381"/>
      <c r="U113" s="381"/>
      <c r="V113" s="381"/>
      <c r="W113" s="381"/>
      <c r="X113" s="381"/>
      <c r="Y113" s="381"/>
      <c r="Z113" s="546" t="s">
        <v>279</v>
      </c>
      <c r="AA113" s="546"/>
      <c r="AB113" s="546"/>
      <c r="AC113" s="547"/>
      <c r="AD113" s="489"/>
      <c r="AE113" s="490"/>
      <c r="AF113" s="402"/>
    </row>
    <row r="114" spans="1:33" s="356" customFormat="1" x14ac:dyDescent="0.25">
      <c r="A114" s="435">
        <v>5</v>
      </c>
      <c r="B114" s="435">
        <v>6</v>
      </c>
      <c r="C114" s="446">
        <v>1</v>
      </c>
      <c r="D114" s="585"/>
      <c r="E114" s="497"/>
      <c r="F114" s="592">
        <f t="shared" si="15"/>
        <v>-0.25</v>
      </c>
      <c r="G114" s="563">
        <f t="shared" si="16"/>
        <v>0.56000000000000005</v>
      </c>
      <c r="H114" s="370"/>
      <c r="O114" s="370"/>
      <c r="P114" s="370"/>
      <c r="Q114" s="370"/>
      <c r="R114" s="370"/>
      <c r="S114" s="370"/>
      <c r="T114" s="370"/>
      <c r="U114" s="370"/>
      <c r="V114" s="370"/>
      <c r="W114" s="370"/>
      <c r="X114" s="370"/>
      <c r="Y114" s="370"/>
      <c r="Z114" s="546"/>
      <c r="AA114" s="546"/>
      <c r="AB114" s="546"/>
      <c r="AC114" s="547"/>
      <c r="AD114" s="489"/>
      <c r="AE114" s="490"/>
      <c r="AF114" s="402"/>
    </row>
    <row r="115" spans="1:33" s="356" customFormat="1" x14ac:dyDescent="0.25">
      <c r="A115" s="437">
        <v>6</v>
      </c>
      <c r="B115" s="437">
        <v>7</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546" t="s">
        <v>267</v>
      </c>
      <c r="AA115" s="546"/>
      <c r="AB115" s="546"/>
      <c r="AC115" s="547"/>
      <c r="AD115" s="491">
        <f>SUM(AD100:AD103)</f>
        <v>0</v>
      </c>
      <c r="AE115" s="491">
        <f>SUM(AE100:AE103)</f>
        <v>0</v>
      </c>
      <c r="AF115" s="402"/>
    </row>
    <row r="116" spans="1:33" s="356" customFormat="1" x14ac:dyDescent="0.25">
      <c r="A116" s="435">
        <v>7</v>
      </c>
      <c r="B116" s="435">
        <v>8</v>
      </c>
      <c r="C116" s="446">
        <v>1</v>
      </c>
      <c r="D116" s="585"/>
      <c r="E116" s="497"/>
      <c r="F116" s="592">
        <f t="shared" si="15"/>
        <v>-0.25</v>
      </c>
      <c r="G116" s="563">
        <f t="shared" si="16"/>
        <v>0.56000000000000005</v>
      </c>
      <c r="H116" s="382"/>
      <c r="O116" s="370"/>
      <c r="P116" s="370"/>
      <c r="Q116" s="382"/>
      <c r="R116" s="382"/>
      <c r="S116" s="382"/>
      <c r="T116" s="382"/>
      <c r="U116" s="382"/>
      <c r="V116" s="382"/>
      <c r="W116" s="382"/>
      <c r="X116" s="382"/>
      <c r="Y116" s="382"/>
      <c r="Z116" s="402"/>
      <c r="AA116" s="402"/>
      <c r="AB116" s="402"/>
      <c r="AC116" s="474"/>
      <c r="AD116" s="402"/>
      <c r="AE116" s="402"/>
      <c r="AF116" s="402"/>
    </row>
    <row r="117" spans="1:33" s="356" customFormat="1" x14ac:dyDescent="0.25">
      <c r="A117" s="437">
        <v>8</v>
      </c>
      <c r="B117" s="437">
        <v>9</v>
      </c>
      <c r="C117" s="446">
        <v>1</v>
      </c>
      <c r="D117" s="585"/>
      <c r="E117" s="497"/>
      <c r="F117" s="592">
        <f t="shared" si="15"/>
        <v>-0.25</v>
      </c>
      <c r="G117" s="563">
        <f t="shared" si="16"/>
        <v>0.56000000000000005</v>
      </c>
      <c r="H117" s="370"/>
      <c r="O117" s="370"/>
      <c r="P117" s="370"/>
      <c r="Q117" s="370"/>
      <c r="R117" s="370"/>
      <c r="S117" s="370"/>
      <c r="T117" s="370"/>
      <c r="U117" s="370"/>
      <c r="V117" s="370"/>
      <c r="W117" s="370"/>
      <c r="X117" s="370"/>
      <c r="Y117" s="370"/>
      <c r="Z117" s="402"/>
      <c r="AA117" s="402"/>
      <c r="AB117" s="402"/>
      <c r="AC117" s="474"/>
      <c r="AD117" s="402"/>
      <c r="AE117" s="402"/>
      <c r="AF117" s="402"/>
    </row>
    <row r="118" spans="1:33" s="402" customFormat="1" x14ac:dyDescent="0.25">
      <c r="A118" s="435">
        <v>9</v>
      </c>
      <c r="B118" s="435">
        <v>10</v>
      </c>
      <c r="C118" s="446">
        <v>1</v>
      </c>
      <c r="D118" s="585"/>
      <c r="E118" s="497"/>
      <c r="F118" s="592">
        <f t="shared" si="15"/>
        <v>-0.25</v>
      </c>
      <c r="G118" s="563">
        <f t="shared" si="16"/>
        <v>0.56000000000000005</v>
      </c>
      <c r="H118" s="370"/>
      <c r="I118" s="356"/>
      <c r="J118" s="356"/>
      <c r="K118" s="356"/>
      <c r="L118" s="356"/>
      <c r="M118" s="356"/>
      <c r="N118" s="356"/>
      <c r="O118" s="370"/>
      <c r="P118" s="370"/>
      <c r="Q118" s="370"/>
      <c r="R118" s="370"/>
      <c r="S118" s="370"/>
      <c r="T118" s="370"/>
      <c r="U118" s="370"/>
      <c r="V118" s="370"/>
      <c r="W118" s="370"/>
      <c r="X118" s="370"/>
      <c r="Y118" s="370"/>
      <c r="AC118" s="474"/>
      <c r="AG118" s="356"/>
    </row>
    <row r="119" spans="1:33" s="402" customFormat="1" x14ac:dyDescent="0.25">
      <c r="A119" s="437">
        <v>10</v>
      </c>
      <c r="B119" s="437">
        <v>11</v>
      </c>
      <c r="C119" s="446">
        <v>1</v>
      </c>
      <c r="D119" s="585"/>
      <c r="E119" s="497"/>
      <c r="F119" s="592">
        <f t="shared" si="15"/>
        <v>-0.25</v>
      </c>
      <c r="G119" s="563">
        <f t="shared" si="16"/>
        <v>0.56000000000000005</v>
      </c>
      <c r="H119" s="383"/>
      <c r="I119" s="404"/>
      <c r="J119" s="404"/>
      <c r="K119" s="404"/>
      <c r="L119" s="404"/>
      <c r="M119" s="404"/>
      <c r="N119" s="404"/>
      <c r="O119" s="383"/>
      <c r="P119" s="383"/>
      <c r="Q119" s="383"/>
      <c r="R119" s="383"/>
      <c r="S119" s="383"/>
      <c r="T119" s="383"/>
      <c r="U119" s="383"/>
      <c r="V119" s="383"/>
      <c r="W119" s="383"/>
      <c r="X119" s="383"/>
      <c r="Y119" s="383"/>
      <c r="AC119" s="474"/>
      <c r="AG119" s="370"/>
    </row>
    <row r="120" spans="1:33" s="402" customFormat="1" x14ac:dyDescent="0.25">
      <c r="A120" s="435">
        <v>11</v>
      </c>
      <c r="B120" s="435">
        <v>12</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AC120" s="474"/>
      <c r="AG120" s="356"/>
    </row>
    <row r="121" spans="1:33" s="402" customFormat="1" x14ac:dyDescent="0.25">
      <c r="A121" s="437">
        <v>12</v>
      </c>
      <c r="B121" s="437">
        <v>13</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G121" s="356"/>
    </row>
    <row r="122" spans="1:33" s="402" customFormat="1" x14ac:dyDescent="0.25">
      <c r="A122" s="435">
        <v>13</v>
      </c>
      <c r="B122" s="435">
        <v>14</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5">
      <c r="A123" s="437">
        <v>14</v>
      </c>
      <c r="B123" s="437">
        <v>15</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5">
      <c r="A124" s="435">
        <v>15</v>
      </c>
      <c r="B124" s="435">
        <v>16</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5">
      <c r="A125" s="437">
        <v>16</v>
      </c>
      <c r="B125" s="437">
        <v>17</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465"/>
      <c r="AF125" s="466"/>
      <c r="AG125" s="356"/>
    </row>
    <row r="126" spans="1:33" s="402" customFormat="1" x14ac:dyDescent="0.25">
      <c r="A126" s="435">
        <v>17</v>
      </c>
      <c r="B126" s="435">
        <v>18</v>
      </c>
      <c r="C126" s="446">
        <v>1</v>
      </c>
      <c r="D126" s="585"/>
      <c r="E126" s="497"/>
      <c r="F126" s="592">
        <f t="shared" si="15"/>
        <v>-0.25</v>
      </c>
      <c r="G126" s="563">
        <f t="shared" si="16"/>
        <v>0.56000000000000005</v>
      </c>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73"/>
      <c r="AD126" s="464"/>
      <c r="AE126" s="548"/>
      <c r="AG126" s="356"/>
    </row>
    <row r="127" spans="1:33" s="402" customFormat="1" x14ac:dyDescent="0.25">
      <c r="A127" s="437">
        <v>18</v>
      </c>
      <c r="B127" s="437">
        <v>19</v>
      </c>
      <c r="C127" s="446">
        <v>1</v>
      </c>
      <c r="D127" s="585"/>
      <c r="E127" s="497"/>
      <c r="F127" s="592">
        <f t="shared" si="15"/>
        <v>-0.25</v>
      </c>
      <c r="G127" s="563">
        <f t="shared" si="16"/>
        <v>0.56000000000000005</v>
      </c>
      <c r="H127" s="387"/>
      <c r="I127" s="356"/>
      <c r="J127" s="356"/>
      <c r="K127" s="356"/>
      <c r="L127" s="356"/>
      <c r="M127" s="356"/>
      <c r="N127" s="356"/>
      <c r="O127" s="386"/>
      <c r="P127" s="386"/>
      <c r="Q127" s="387"/>
      <c r="R127" s="387"/>
      <c r="S127" s="387"/>
      <c r="T127" s="387"/>
      <c r="U127" s="387"/>
      <c r="V127" s="387"/>
      <c r="W127" s="387"/>
      <c r="X127" s="387"/>
      <c r="Y127" s="387"/>
      <c r="Z127" s="387"/>
      <c r="AA127" s="387"/>
      <c r="AB127" s="387"/>
      <c r="AC127" s="475"/>
      <c r="AG127" s="356"/>
    </row>
    <row r="128" spans="1:33" s="402" customFormat="1" x14ac:dyDescent="0.25">
      <c r="A128" s="435">
        <v>19</v>
      </c>
      <c r="B128" s="435">
        <v>20</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549"/>
      <c r="AE128" s="468"/>
    </row>
    <row r="129" spans="1:33" s="467" customFormat="1" ht="13.8" thickBot="1" x14ac:dyDescent="0.3">
      <c r="A129" s="437">
        <v>20</v>
      </c>
      <c r="B129" s="437">
        <v>21</v>
      </c>
      <c r="C129" s="446">
        <v>1</v>
      </c>
      <c r="D129" s="585"/>
      <c r="E129" s="497"/>
      <c r="F129" s="592">
        <f t="shared" si="15"/>
        <v>-0.25</v>
      </c>
      <c r="G129" s="563">
        <f t="shared" si="16"/>
        <v>0.56000000000000005</v>
      </c>
      <c r="H129" s="388"/>
      <c r="I129" s="356"/>
      <c r="J129" s="356"/>
      <c r="K129" s="356"/>
      <c r="L129" s="356"/>
      <c r="M129" s="356"/>
      <c r="N129" s="356"/>
      <c r="O129" s="411"/>
      <c r="P129" s="411"/>
      <c r="Q129" s="388"/>
      <c r="R129" s="388"/>
      <c r="S129" s="388"/>
      <c r="T129" s="388"/>
      <c r="U129" s="388"/>
      <c r="V129" s="388"/>
      <c r="W129" s="388"/>
      <c r="X129" s="388"/>
      <c r="Y129" s="388"/>
      <c r="Z129" s="388"/>
      <c r="AA129" s="388"/>
      <c r="AB129" s="388"/>
      <c r="AC129" s="476"/>
      <c r="AD129" s="468"/>
      <c r="AE129" s="468"/>
      <c r="AF129" s="402"/>
      <c r="AG129" s="402"/>
    </row>
    <row r="130" spans="1:33" s="402" customFormat="1" x14ac:dyDescent="0.25">
      <c r="A130" s="435">
        <v>21</v>
      </c>
      <c r="B130" s="435">
        <v>22</v>
      </c>
      <c r="C130" s="446">
        <v>1</v>
      </c>
      <c r="D130" s="585"/>
      <c r="E130" s="497"/>
      <c r="F130" s="592">
        <f t="shared" si="15"/>
        <v>-0.25</v>
      </c>
      <c r="G130" s="563">
        <f t="shared" si="16"/>
        <v>0.56000000000000005</v>
      </c>
      <c r="H130" s="388"/>
      <c r="I130" s="356"/>
      <c r="J130" s="428"/>
      <c r="K130" s="356"/>
      <c r="L130" s="356"/>
      <c r="M130" s="356"/>
      <c r="N130" s="356"/>
      <c r="O130" s="411"/>
      <c r="P130" s="411"/>
      <c r="Q130" s="388"/>
      <c r="R130" s="388"/>
      <c r="S130" s="388"/>
      <c r="T130" s="388"/>
      <c r="U130" s="388"/>
      <c r="V130" s="388"/>
      <c r="W130" s="388"/>
      <c r="X130" s="388"/>
      <c r="Y130" s="388"/>
      <c r="Z130" s="388"/>
      <c r="AA130" s="388"/>
      <c r="AB130" s="388"/>
      <c r="AC130" s="476"/>
      <c r="AD130" s="356"/>
      <c r="AE130" s="356"/>
    </row>
    <row r="131" spans="1:33" s="356" customFormat="1" x14ac:dyDescent="0.25">
      <c r="A131" s="437">
        <v>22</v>
      </c>
      <c r="B131" s="437">
        <v>23</v>
      </c>
      <c r="C131" s="446">
        <v>1</v>
      </c>
      <c r="D131" s="585"/>
      <c r="E131" s="497"/>
      <c r="F131" s="592">
        <f t="shared" si="15"/>
        <v>-0.25</v>
      </c>
      <c r="G131" s="563">
        <f t="shared" si="16"/>
        <v>0.56000000000000005</v>
      </c>
      <c r="H131" s="388"/>
      <c r="O131" s="411"/>
      <c r="P131" s="411"/>
      <c r="Q131" s="388"/>
      <c r="R131" s="388"/>
      <c r="S131" s="388"/>
      <c r="T131" s="388"/>
      <c r="U131" s="388"/>
      <c r="V131" s="388"/>
      <c r="W131" s="388"/>
      <c r="X131" s="388"/>
      <c r="Y131" s="388"/>
      <c r="Z131" s="388"/>
      <c r="AA131" s="388"/>
      <c r="AB131" s="388"/>
      <c r="AC131" s="476"/>
      <c r="AD131" s="464"/>
      <c r="AE131" s="548"/>
      <c r="AF131" s="550"/>
      <c r="AG131" s="402"/>
    </row>
    <row r="132" spans="1:33" s="356" customFormat="1" x14ac:dyDescent="0.25">
      <c r="A132" s="437">
        <v>23</v>
      </c>
      <c r="B132" s="435">
        <v>24</v>
      </c>
      <c r="C132" s="446">
        <v>1</v>
      </c>
      <c r="D132" s="585"/>
      <c r="E132" s="540"/>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4"/>
      <c r="AE132" s="548"/>
      <c r="AF132" s="550"/>
      <c r="AG132" s="402"/>
    </row>
    <row r="133" spans="1:33" s="356" customFormat="1" x14ac:dyDescent="0.25">
      <c r="A133" s="579">
        <v>24</v>
      </c>
      <c r="B133" s="437">
        <v>1</v>
      </c>
      <c r="C133" s="446">
        <v>1</v>
      </c>
      <c r="D133" s="587"/>
      <c r="E133" s="493"/>
      <c r="F133" s="592">
        <f t="shared" si="15"/>
        <v>-0.25</v>
      </c>
      <c r="G133" s="563">
        <f t="shared" si="16"/>
        <v>0.56000000000000005</v>
      </c>
      <c r="H133" s="391"/>
      <c r="O133" s="412"/>
      <c r="P133" s="412"/>
      <c r="Q133" s="391"/>
      <c r="R133" s="391"/>
      <c r="S133" s="391"/>
      <c r="T133" s="391"/>
      <c r="U133" s="391"/>
      <c r="V133" s="391"/>
      <c r="W133" s="391"/>
      <c r="X133" s="391"/>
      <c r="Y133" s="391"/>
      <c r="Z133" s="388"/>
      <c r="AA133" s="388"/>
      <c r="AB133" s="388"/>
      <c r="AC133" s="476"/>
      <c r="AD133" s="468"/>
      <c r="AE133" s="468"/>
      <c r="AF133" s="550"/>
      <c r="AG133" s="402"/>
    </row>
    <row r="134" spans="1:33" s="402" customFormat="1" x14ac:dyDescent="0.25">
      <c r="A134" s="356"/>
      <c r="B134" s="356"/>
      <c r="C134" s="356"/>
      <c r="D134" s="585"/>
      <c r="E134" s="356"/>
      <c r="F134" s="356"/>
      <c r="G134" s="435"/>
      <c r="H134" s="391"/>
      <c r="I134" s="356"/>
      <c r="J134" s="356"/>
      <c r="K134" s="356"/>
      <c r="L134" s="356"/>
      <c r="M134" s="356"/>
      <c r="N134" s="356"/>
      <c r="O134" s="412"/>
      <c r="P134" s="412"/>
      <c r="Q134" s="391"/>
      <c r="R134" s="391"/>
      <c r="S134" s="391"/>
      <c r="T134" s="391"/>
      <c r="U134" s="391"/>
      <c r="V134" s="391"/>
      <c r="W134" s="391"/>
      <c r="X134" s="391"/>
      <c r="Y134" s="391"/>
      <c r="Z134" s="388"/>
      <c r="AA134" s="388"/>
      <c r="AB134" s="388"/>
      <c r="AC134" s="476"/>
      <c r="AF134" s="462"/>
    </row>
    <row r="135" spans="1:33" s="402" customFormat="1" ht="17.399999999999999" x14ac:dyDescent="0.3">
      <c r="A135" s="434"/>
      <c r="B135" s="448" t="s">
        <v>242</v>
      </c>
      <c r="C135" s="449"/>
      <c r="D135" s="588"/>
      <c r="E135" s="449"/>
      <c r="F135" s="449"/>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462"/>
    </row>
    <row r="136" spans="1:33" s="402" customFormat="1" ht="13.8" thickBot="1" x14ac:dyDescent="0.3">
      <c r="A136" s="435"/>
      <c r="B136" s="435"/>
      <c r="C136" s="435"/>
      <c r="D136" s="589"/>
      <c r="E136" s="435"/>
      <c r="F136" s="435"/>
      <c r="G136" s="435"/>
      <c r="H136" s="435"/>
      <c r="I136" s="356"/>
      <c r="J136" s="356"/>
      <c r="K136" s="356"/>
      <c r="L136" s="356"/>
      <c r="M136" s="356"/>
      <c r="N136" s="356"/>
      <c r="O136" s="451"/>
      <c r="P136" s="451"/>
      <c r="Q136" s="435"/>
      <c r="R136" s="435"/>
      <c r="S136" s="435"/>
      <c r="T136" s="435"/>
      <c r="U136" s="435"/>
      <c r="V136" s="435"/>
      <c r="W136" s="435"/>
      <c r="X136" s="435"/>
      <c r="Y136" s="391"/>
      <c r="Z136" s="388"/>
      <c r="AA136" s="388"/>
      <c r="AB136" s="388"/>
      <c r="AC136" s="476"/>
      <c r="AF136" s="356"/>
    </row>
    <row r="137" spans="1:33" s="402" customFormat="1" ht="18" thickBot="1" x14ac:dyDescent="0.35">
      <c r="A137" s="438" t="s">
        <v>7</v>
      </c>
      <c r="B137" s="439"/>
      <c r="C137" s="439" t="s">
        <v>265</v>
      </c>
      <c r="D137" s="586"/>
      <c r="E137" s="439"/>
      <c r="F137" s="450" t="s">
        <v>271</v>
      </c>
      <c r="G137" s="440"/>
      <c r="H137" s="435" t="s">
        <v>272</v>
      </c>
      <c r="I137" s="356"/>
      <c r="J137" s="356"/>
      <c r="K137" s="356"/>
      <c r="L137" s="356"/>
      <c r="M137" s="356"/>
      <c r="N137" s="356"/>
      <c r="O137" s="451"/>
      <c r="P137" s="451"/>
      <c r="Q137" s="435"/>
      <c r="R137" s="435"/>
      <c r="S137" s="435"/>
      <c r="T137" s="435"/>
      <c r="U137" s="435"/>
      <c r="V137" s="435"/>
      <c r="W137" s="435"/>
      <c r="X137" s="435"/>
      <c r="Y137" s="391"/>
      <c r="Z137" s="391"/>
      <c r="AA137" s="391"/>
      <c r="AB137" s="391"/>
      <c r="AC137" s="477"/>
      <c r="AF137" s="356"/>
    </row>
    <row r="138" spans="1:33" s="402" customFormat="1" ht="17.399999999999999" x14ac:dyDescent="0.3">
      <c r="A138" s="444" t="s">
        <v>243</v>
      </c>
      <c r="B138" s="445" t="s">
        <v>244</v>
      </c>
      <c r="C138" s="445"/>
      <c r="D138" s="590"/>
      <c r="E138" s="441"/>
      <c r="F138" s="441" t="s">
        <v>318</v>
      </c>
      <c r="G138" s="435" t="s">
        <v>319</v>
      </c>
      <c r="H138" s="452">
        <v>4.3999999999999997E-2</v>
      </c>
      <c r="I138" s="453" t="s">
        <v>274</v>
      </c>
      <c r="J138" s="356"/>
      <c r="K138" s="356"/>
      <c r="L138" s="356"/>
      <c r="M138" s="454" t="s">
        <v>275</v>
      </c>
      <c r="N138" s="455"/>
      <c r="O138" s="451"/>
      <c r="P138" s="451"/>
      <c r="Q138" s="435"/>
      <c r="R138" s="435"/>
      <c r="S138" s="435"/>
      <c r="T138" s="435"/>
      <c r="U138" s="435"/>
      <c r="V138" s="435"/>
      <c r="W138" s="435"/>
      <c r="X138" s="435"/>
      <c r="Y138" s="391"/>
      <c r="Z138" s="391"/>
      <c r="AA138" s="391"/>
      <c r="AB138" s="391"/>
      <c r="AC138" s="477"/>
      <c r="AF138" s="356"/>
    </row>
    <row r="139" spans="1:33" s="402" customFormat="1" ht="13.8" thickBot="1" x14ac:dyDescent="0.3">
      <c r="A139" s="437">
        <v>24</v>
      </c>
      <c r="B139" s="435">
        <v>1</v>
      </c>
      <c r="C139" s="446">
        <v>1</v>
      </c>
      <c r="D139" s="585"/>
      <c r="E139" s="540"/>
      <c r="F139" s="592">
        <f t="shared" ref="F139:F163" si="17">D139-0.25</f>
        <v>-0.25</v>
      </c>
      <c r="G139" s="563">
        <f>D139+0.56</f>
        <v>0.56000000000000005</v>
      </c>
      <c r="I139" s="456" t="s">
        <v>273</v>
      </c>
      <c r="J139" s="457"/>
      <c r="K139" s="356"/>
      <c r="L139" s="356"/>
      <c r="M139" s="356"/>
      <c r="N139" s="356"/>
      <c r="O139" s="451"/>
      <c r="P139" s="451"/>
      <c r="Q139" s="435"/>
      <c r="R139" s="435"/>
      <c r="S139" s="435"/>
      <c r="T139" s="435"/>
      <c r="U139" s="435"/>
      <c r="V139" s="435"/>
      <c r="W139" s="435"/>
      <c r="X139" s="435"/>
      <c r="Y139" s="391"/>
      <c r="Z139" s="391"/>
      <c r="AA139" s="459"/>
      <c r="AB139" s="391"/>
      <c r="AC139" s="477"/>
      <c r="AD139" s="356"/>
      <c r="AE139" s="356"/>
      <c r="AF139" s="356"/>
      <c r="AG139" s="467"/>
    </row>
    <row r="140" spans="1:33" s="402" customFormat="1" x14ac:dyDescent="0.25">
      <c r="A140" s="435">
        <v>1</v>
      </c>
      <c r="B140" s="435">
        <v>2</v>
      </c>
      <c r="C140" s="446">
        <v>1</v>
      </c>
      <c r="D140" s="591"/>
      <c r="E140" s="497"/>
      <c r="F140" s="592">
        <f t="shared" si="17"/>
        <v>-0.25</v>
      </c>
      <c r="G140" s="563">
        <f t="shared" ref="G140:G162" si="18">D140+0.56</f>
        <v>0.56000000000000005</v>
      </c>
      <c r="I140" s="456"/>
      <c r="J140" s="457"/>
      <c r="K140" s="356"/>
      <c r="L140" s="356"/>
      <c r="M140" s="356"/>
      <c r="N140" s="356"/>
      <c r="O140" s="451"/>
      <c r="P140" s="451"/>
      <c r="Q140" s="435"/>
      <c r="R140" s="435"/>
      <c r="S140" s="435"/>
      <c r="T140" s="435"/>
      <c r="U140" s="435"/>
      <c r="V140" s="435"/>
      <c r="W140" s="435"/>
      <c r="X140" s="435"/>
      <c r="Y140" s="391"/>
      <c r="Z140" s="391"/>
      <c r="AA140" s="459"/>
      <c r="AB140" s="391"/>
      <c r="AC140" s="477"/>
      <c r="AD140" s="403"/>
      <c r="AE140" s="356"/>
      <c r="AF140" s="356"/>
    </row>
    <row r="141" spans="1:33" s="402" customFormat="1" x14ac:dyDescent="0.25">
      <c r="A141" s="437">
        <v>2</v>
      </c>
      <c r="B141" s="435">
        <v>3</v>
      </c>
      <c r="C141" s="446">
        <v>1</v>
      </c>
      <c r="D141" s="587"/>
      <c r="E141" s="497"/>
      <c r="F141" s="592">
        <f t="shared" si="17"/>
        <v>-0.25</v>
      </c>
      <c r="G141" s="563">
        <f t="shared" si="18"/>
        <v>0.56000000000000005</v>
      </c>
      <c r="I141" s="456"/>
      <c r="J141" s="457"/>
      <c r="K141" s="376"/>
      <c r="L141" s="376"/>
      <c r="M141" s="376"/>
      <c r="N141" s="376"/>
      <c r="O141" s="451"/>
      <c r="P141" s="451"/>
      <c r="Q141" s="435"/>
      <c r="R141" s="435"/>
      <c r="S141" s="435"/>
      <c r="T141" s="435"/>
      <c r="U141" s="435"/>
      <c r="V141" s="435"/>
      <c r="W141" s="435"/>
      <c r="X141" s="435"/>
      <c r="Y141" s="391"/>
      <c r="Z141" s="391"/>
      <c r="AA141" s="459"/>
      <c r="AB141" s="391"/>
      <c r="AC141" s="477"/>
      <c r="AF141" s="356"/>
      <c r="AG141" s="356"/>
    </row>
    <row r="142" spans="1:33" s="402" customFormat="1" x14ac:dyDescent="0.25">
      <c r="A142" s="435">
        <v>3</v>
      </c>
      <c r="B142" s="435">
        <v>4</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29"/>
      <c r="AE142" s="430"/>
      <c r="AF142" s="356"/>
      <c r="AG142" s="356"/>
    </row>
    <row r="143" spans="1:33" s="402" customFormat="1" x14ac:dyDescent="0.25">
      <c r="A143" s="437">
        <v>4</v>
      </c>
      <c r="B143" s="435">
        <v>5</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c r="AG143" s="356"/>
    </row>
    <row r="144" spans="1:33" s="402" customFormat="1" x14ac:dyDescent="0.25">
      <c r="A144" s="435">
        <v>5</v>
      </c>
      <c r="B144" s="435">
        <v>6</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91"/>
      <c r="AA144" s="459"/>
      <c r="AB144" s="391"/>
      <c r="AC144" s="477"/>
      <c r="AD144" s="403"/>
      <c r="AE144" s="356"/>
      <c r="AF144" s="356"/>
    </row>
    <row r="145" spans="1:32" s="402" customFormat="1" x14ac:dyDescent="0.25">
      <c r="A145" s="437">
        <v>6</v>
      </c>
      <c r="B145" s="435">
        <v>7</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5">
      <c r="A146" s="435">
        <v>7</v>
      </c>
      <c r="B146" s="435">
        <v>8</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3"/>
      <c r="AE146" s="356"/>
      <c r="AF146" s="356"/>
    </row>
    <row r="147" spans="1:32" s="402" customFormat="1" x14ac:dyDescent="0.25">
      <c r="A147" s="437">
        <v>8</v>
      </c>
      <c r="B147" s="435">
        <v>9</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6"/>
      <c r="AE147" s="397"/>
      <c r="AF147" s="403"/>
    </row>
    <row r="148" spans="1:32" s="402" customFormat="1" x14ac:dyDescent="0.25">
      <c r="A148" s="435">
        <v>9</v>
      </c>
      <c r="B148" s="435">
        <v>10</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8"/>
      <c r="AE148" s="398"/>
      <c r="AF148" s="403"/>
    </row>
    <row r="149" spans="1:32" s="402" customFormat="1" x14ac:dyDescent="0.25">
      <c r="A149" s="437">
        <v>10</v>
      </c>
      <c r="B149" s="435">
        <v>11</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396"/>
      <c r="AE149" s="397"/>
      <c r="AF149" s="403"/>
    </row>
    <row r="150" spans="1:32" s="402" customFormat="1" x14ac:dyDescent="0.25">
      <c r="A150" s="435">
        <v>11</v>
      </c>
      <c r="B150" s="435">
        <v>12</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5">
      <c r="A151" s="437">
        <v>12</v>
      </c>
      <c r="B151" s="435">
        <v>13</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399"/>
      <c r="AF151" s="403"/>
    </row>
    <row r="152" spans="1:32" s="402" customFormat="1" x14ac:dyDescent="0.25">
      <c r="A152" s="435">
        <v>13</v>
      </c>
      <c r="B152" s="435">
        <v>14</v>
      </c>
      <c r="C152" s="446">
        <v>1</v>
      </c>
      <c r="D152" s="587"/>
      <c r="E152" s="497"/>
      <c r="F152" s="592">
        <f t="shared" si="17"/>
        <v>-0.25</v>
      </c>
      <c r="G152" s="563">
        <f t="shared" si="18"/>
        <v>0.56000000000000005</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3"/>
      <c r="AF152" s="403"/>
    </row>
    <row r="153" spans="1:32" s="402" customFormat="1" x14ac:dyDescent="0.25">
      <c r="A153" s="437">
        <v>14</v>
      </c>
      <c r="B153" s="435">
        <v>15</v>
      </c>
      <c r="C153" s="446">
        <v>1</v>
      </c>
      <c r="D153" s="587"/>
      <c r="E153" s="497"/>
      <c r="F153" s="592">
        <f t="shared" si="17"/>
        <v>-0.25</v>
      </c>
      <c r="G153" s="563">
        <f t="shared" si="18"/>
        <v>0.56000000000000005</v>
      </c>
      <c r="H153" s="402" t="s">
        <v>169</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401"/>
      <c r="AE153" s="414"/>
      <c r="AF153" s="356"/>
    </row>
    <row r="154" spans="1:32" s="402" customFormat="1" x14ac:dyDescent="0.25">
      <c r="A154" s="435">
        <v>15</v>
      </c>
      <c r="B154" s="435">
        <v>16</v>
      </c>
      <c r="C154" s="446">
        <v>1</v>
      </c>
      <c r="D154" s="587"/>
      <c r="E154" s="497"/>
      <c r="F154" s="592">
        <f t="shared" si="17"/>
        <v>-0.25</v>
      </c>
      <c r="G154" s="563">
        <f t="shared" si="18"/>
        <v>0.56000000000000005</v>
      </c>
      <c r="I154" s="458"/>
      <c r="J154" s="457"/>
      <c r="K154" s="435"/>
      <c r="L154" s="435"/>
      <c r="M154" s="451"/>
      <c r="N154" s="451"/>
      <c r="O154" s="435"/>
      <c r="P154" s="435"/>
      <c r="Q154" s="435"/>
      <c r="R154" s="435"/>
      <c r="S154" s="435"/>
      <c r="T154" s="435"/>
      <c r="U154" s="435"/>
      <c r="V154" s="435"/>
      <c r="W154" s="435"/>
      <c r="X154" s="435"/>
      <c r="Y154" s="391"/>
      <c r="Z154" s="370"/>
      <c r="AA154" s="459"/>
      <c r="AB154" s="370"/>
      <c r="AC154" s="472"/>
      <c r="AD154" s="396"/>
      <c r="AE154" s="397"/>
      <c r="AF154" s="356"/>
    </row>
    <row r="155" spans="1:32" s="402" customFormat="1" x14ac:dyDescent="0.25">
      <c r="A155" s="437">
        <v>16</v>
      </c>
      <c r="B155" s="435">
        <v>17</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96"/>
      <c r="AE155" s="397"/>
      <c r="AF155" s="398"/>
    </row>
    <row r="156" spans="1:32" s="402" customFormat="1" x14ac:dyDescent="0.25">
      <c r="A156" s="435">
        <v>17</v>
      </c>
      <c r="B156" s="435">
        <v>18</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1"/>
      <c r="AE156" s="381"/>
      <c r="AF156" s="396"/>
    </row>
    <row r="157" spans="1:32" s="402" customFormat="1" x14ac:dyDescent="0.25">
      <c r="A157" s="437">
        <v>18</v>
      </c>
      <c r="B157" s="435">
        <v>19</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96"/>
    </row>
    <row r="158" spans="1:32" s="402" customFormat="1" x14ac:dyDescent="0.25">
      <c r="A158" s="435">
        <v>19</v>
      </c>
      <c r="B158" s="435">
        <v>20</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94"/>
    </row>
    <row r="159" spans="1:32" s="402" customFormat="1" x14ac:dyDescent="0.25">
      <c r="A159" s="437">
        <v>20</v>
      </c>
      <c r="B159" s="435">
        <v>21</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82"/>
      <c r="AE159" s="382"/>
      <c r="AF159" s="367"/>
    </row>
    <row r="160" spans="1:32" s="402" customFormat="1" x14ac:dyDescent="0.25">
      <c r="A160" s="435">
        <v>21</v>
      </c>
      <c r="B160" s="435">
        <v>22</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5">
      <c r="A161" s="437">
        <v>22</v>
      </c>
      <c r="B161" s="435">
        <v>23</v>
      </c>
      <c r="C161" s="446">
        <v>1</v>
      </c>
      <c r="D161" s="587"/>
      <c r="E161" s="497"/>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70"/>
      <c r="AE161" s="370"/>
      <c r="AF161" s="367"/>
    </row>
    <row r="162" spans="1:32" s="402" customFormat="1" x14ac:dyDescent="0.25">
      <c r="A162" s="437">
        <v>23</v>
      </c>
      <c r="B162" s="435">
        <v>24</v>
      </c>
      <c r="C162" s="446">
        <v>1</v>
      </c>
      <c r="D162" s="587"/>
      <c r="E162" s="540"/>
      <c r="F162" s="592">
        <f t="shared" si="17"/>
        <v>-0.25</v>
      </c>
      <c r="G162" s="563">
        <f t="shared" si="18"/>
        <v>0.56000000000000005</v>
      </c>
      <c r="I162" s="458"/>
      <c r="J162" s="457"/>
      <c r="K162" s="435"/>
      <c r="L162" s="435"/>
      <c r="M162" s="451"/>
      <c r="N162" s="451"/>
      <c r="O162" s="435"/>
      <c r="R162" s="435"/>
      <c r="S162" s="435"/>
      <c r="T162" s="435"/>
      <c r="U162" s="435"/>
      <c r="V162" s="435"/>
      <c r="W162" s="435"/>
      <c r="X162" s="435"/>
      <c r="Y162" s="391"/>
      <c r="Z162" s="370"/>
      <c r="AA162" s="459"/>
      <c r="AB162" s="370"/>
      <c r="AC162" s="472"/>
      <c r="AD162" s="383"/>
      <c r="AE162" s="383"/>
      <c r="AF162" s="374"/>
    </row>
    <row r="163" spans="1:32" s="402" customFormat="1" x14ac:dyDescent="0.25">
      <c r="A163" s="370">
        <v>24</v>
      </c>
      <c r="B163" s="435">
        <v>1</v>
      </c>
      <c r="C163" s="446">
        <v>1</v>
      </c>
      <c r="D163" s="587"/>
      <c r="E163" s="493"/>
      <c r="F163" s="592">
        <f t="shared" si="17"/>
        <v>-0.25</v>
      </c>
      <c r="G163" s="563">
        <f>D163+0.56</f>
        <v>0.56000000000000005</v>
      </c>
      <c r="H163" s="447"/>
      <c r="I163" s="458"/>
      <c r="J163" s="457"/>
      <c r="K163" s="435"/>
      <c r="L163" s="435"/>
      <c r="M163" s="451"/>
      <c r="N163" s="451"/>
      <c r="O163" s="435"/>
      <c r="R163" s="435"/>
      <c r="S163" s="435"/>
      <c r="T163" s="435"/>
      <c r="U163" s="435"/>
      <c r="V163" s="435"/>
      <c r="W163" s="435"/>
      <c r="X163" s="435"/>
      <c r="Y163" s="370"/>
      <c r="Z163" s="370"/>
      <c r="AA163" s="370"/>
      <c r="AB163" s="370"/>
      <c r="AC163" s="472"/>
      <c r="AD163" s="384"/>
      <c r="AE163" s="384"/>
      <c r="AF163" s="374"/>
    </row>
    <row r="164" spans="1:32" s="402" customFormat="1" x14ac:dyDescent="0.25">
      <c r="A164" s="370"/>
      <c r="B164" s="370"/>
      <c r="C164" s="370"/>
      <c r="D164" s="581"/>
      <c r="E164" s="496"/>
      <c r="F164" s="370"/>
      <c r="G164" s="370"/>
      <c r="H164" s="393"/>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4"/>
    </row>
    <row r="165" spans="1:32" s="402" customFormat="1" x14ac:dyDescent="0.25">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79"/>
    </row>
    <row r="166" spans="1:32" s="402" customFormat="1" x14ac:dyDescent="0.25">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81"/>
    </row>
    <row r="167" spans="1:32" s="402" customFormat="1" x14ac:dyDescent="0.25">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70"/>
    </row>
    <row r="168" spans="1:32" s="402" customFormat="1" x14ac:dyDescent="0.25">
      <c r="A168" s="370"/>
      <c r="B168" s="370"/>
      <c r="C168" s="370"/>
      <c r="D168" s="370"/>
      <c r="E168" s="370"/>
      <c r="F168" s="370"/>
      <c r="G168" s="370"/>
      <c r="H168" s="370"/>
      <c r="I168" s="370"/>
      <c r="J168" s="370"/>
      <c r="K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4"/>
      <c r="AE169" s="384"/>
      <c r="AF169" s="382"/>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7"/>
      <c r="AE170" s="387"/>
      <c r="AF170" s="370"/>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3"/>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88"/>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5">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5">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72"/>
      <c r="AD178" s="388"/>
      <c r="AE178" s="391"/>
      <c r="AF178" s="384"/>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8"/>
      <c r="AE179" s="391"/>
      <c r="AF179" s="386"/>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8"/>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91"/>
      <c r="AE184" s="391"/>
      <c r="AF184" s="389"/>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4"/>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89"/>
      <c r="AF186" s="386"/>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2"/>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90"/>
      <c r="AF190" s="388"/>
    </row>
    <row r="191" spans="1:32" s="402" customFormat="1" x14ac:dyDescent="0.25">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89"/>
      <c r="AF191" s="388"/>
    </row>
    <row r="192" spans="1:32" s="402" customFormat="1" x14ac:dyDescent="0.25">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72"/>
      <c r="AD192" s="389"/>
      <c r="AE192" s="392"/>
      <c r="AF192" s="388"/>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89"/>
      <c r="AE193" s="390"/>
      <c r="AF193" s="388"/>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88"/>
    </row>
    <row r="196" spans="1:32" s="402" customFormat="1" ht="12.75"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91"/>
      <c r="AE196" s="389"/>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91"/>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402" customFormat="1" ht="12" customHeigh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c r="AG235" s="402"/>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H253" s="39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398"/>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40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8"/>
    </row>
    <row r="257" spans="1:34" s="356" customFormat="1" ht="14.2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403"/>
      <c r="AH257" s="397"/>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97"/>
    </row>
    <row r="259" spans="1:34" s="404" customFormat="1" ht="12"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56"/>
      <c r="AH259" s="398"/>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ht="17.2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98"/>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H262" s="388"/>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7"/>
      <c r="AH264" s="369"/>
    </row>
    <row r="265" spans="1:34" s="356" customFormat="1" ht="13.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95"/>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68"/>
      <c r="AH268" s="370"/>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77"/>
    </row>
    <row r="270" spans="1:34" s="356" customFormat="1" ht="15.7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81"/>
    </row>
    <row r="271" spans="1:34" s="356" customFormat="1" ht="15.7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5"/>
      <c r="AH271" s="370"/>
    </row>
    <row r="272" spans="1:34" s="356" customFormat="1" ht="12.75"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0"/>
      <c r="AH272" s="382"/>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1"/>
      <c r="AH273" s="382"/>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70"/>
      <c r="AH274" s="370"/>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3"/>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2"/>
      <c r="AH276" s="384"/>
    </row>
    <row r="277" spans="1:34" s="35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70"/>
      <c r="AH277" s="384"/>
    </row>
    <row r="278" spans="1:34" s="356" customFormat="1" ht="14.25" customHeigh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3"/>
      <c r="AH278" s="384"/>
    </row>
    <row r="279" spans="1:34" s="35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56"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c r="AH281" s="384"/>
    </row>
    <row r="282" spans="1:34" s="376" customFormat="1" ht="12" customHeigh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6"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77" customFormat="1" ht="11.25" customHeigh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s="381"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4"/>
    </row>
    <row r="286" spans="1:34" x14ac:dyDescent="0.25">
      <c r="AG286" s="386"/>
    </row>
    <row r="287" spans="1:34" s="382"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s="382"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8"/>
    </row>
    <row r="289" spans="1:33" x14ac:dyDescent="0.25">
      <c r="AG289" s="388"/>
    </row>
    <row r="290" spans="1:33" x14ac:dyDescent="0.25">
      <c r="AG290" s="388"/>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90"/>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6"/>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77"/>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81"/>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5" customFormat="1" x14ac:dyDescent="0.25">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8" spans="1:33" s="385" customFormat="1" x14ac:dyDescent="0.25">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72"/>
      <c r="AD298" s="370"/>
      <c r="AE298" s="374"/>
      <c r="AF298" s="370"/>
      <c r="AG298" s="382"/>
    </row>
    <row r="300" spans="1:33" s="383"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70"/>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4"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7"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5"/>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70"/>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3"/>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88" customFormat="1" ht="12.75" customHeigh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4"/>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7"/>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5">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s="391" customFormat="1" x14ac:dyDescent="0.25">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72"/>
      <c r="AD325" s="370"/>
      <c r="AE325" s="374"/>
      <c r="AF325" s="370"/>
      <c r="AG325" s="388"/>
    </row>
    <row r="326" spans="1:33" x14ac:dyDescent="0.25">
      <c r="AG326" s="388"/>
    </row>
    <row r="327" spans="1:33" x14ac:dyDescent="0.25">
      <c r="AG327" s="388"/>
    </row>
    <row r="328" spans="1:33" x14ac:dyDescent="0.25">
      <c r="AG328" s="391"/>
    </row>
    <row r="329" spans="1:33" x14ac:dyDescent="0.25">
      <c r="AG329" s="391"/>
    </row>
    <row r="330" spans="1:33" x14ac:dyDescent="0.25">
      <c r="AG330" s="391"/>
    </row>
    <row r="331" spans="1:33" x14ac:dyDescent="0.25">
      <c r="AG331" s="391"/>
    </row>
    <row r="332" spans="1:33" x14ac:dyDescent="0.25">
      <c r="AG332" s="391"/>
    </row>
    <row r="333" spans="1:33" x14ac:dyDescent="0.25">
      <c r="AG333" s="391"/>
    </row>
    <row r="334" spans="1:33" x14ac:dyDescent="0.25">
      <c r="AG334" s="391"/>
    </row>
    <row r="335" spans="1:33" x14ac:dyDescent="0.25">
      <c r="AG335"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104</xdr:row>
                    <xdr:rowOff>167640</xdr:rowOff>
                  </from>
                  <to>
                    <xdr:col>12</xdr:col>
                    <xdr:colOff>99060</xdr:colOff>
                    <xdr:row>105</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3" activePane="bottomLeft" state="frozen"/>
      <selection pane="bottomLeft" activeCell="B58" sqref="B5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5">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8" thickBot="1" x14ac:dyDescent="0.3">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603" t="s">
        <v>304</v>
      </c>
      <c r="B4" s="530">
        <v>609</v>
      </c>
      <c r="C4" s="530">
        <v>589</v>
      </c>
      <c r="D4" s="530">
        <v>571</v>
      </c>
      <c r="E4" s="530">
        <v>570</v>
      </c>
      <c r="F4" s="530">
        <v>572</v>
      </c>
      <c r="G4" s="530">
        <v>598</v>
      </c>
      <c r="H4" s="530">
        <v>604</v>
      </c>
      <c r="I4" s="530">
        <v>638</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ht="12.6" thickBot="1" x14ac:dyDescent="0.3">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5">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ht="12.6" thickBot="1" x14ac:dyDescent="0.3">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1.4"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1.4"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1.4"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1.4"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1.4" x14ac:dyDescent="0.2">
      <c r="A17" s="610" t="s">
        <v>276</v>
      </c>
      <c r="B17" s="495">
        <f ca="1">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1.4"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1.4"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ht="12"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 ca="1">Deals!F3</f>
        <v>90</v>
      </c>
      <c r="C22" s="418">
        <f>Deals!G3</f>
        <v>70</v>
      </c>
      <c r="D22" s="418">
        <f>Deals!H3</f>
        <v>70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1.4"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1.4"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1.4"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1.4"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1.4" x14ac:dyDescent="0.2">
      <c r="A31" s="511" t="s">
        <v>303</v>
      </c>
      <c r="B31" s="553">
        <f ca="1">SUM(Deals!F9:'Deals'!F18)</f>
        <v>103</v>
      </c>
      <c r="C31" s="553">
        <f ca="1">SUM(Deals!G9:'Deals'!G18)</f>
        <v>103</v>
      </c>
      <c r="D31" s="553">
        <f ca="1">SUM(Deals!H9:'Deals'!H18)</f>
        <v>103</v>
      </c>
      <c r="E31" s="553">
        <f ca="1">SUM(Deals!I9:'Deals'!I18)</f>
        <v>103</v>
      </c>
      <c r="F31" s="553">
        <f ca="1">SUM(Deals!J9:'Deals'!J18)</f>
        <v>103</v>
      </c>
      <c r="G31" s="553">
        <f ca="1">SUM(Deals!K9:'Deals'!K18)</f>
        <v>103</v>
      </c>
      <c r="H31" s="553">
        <f ca="1">SUM(Deals!L9:'Deals'!L18)</f>
        <v>103</v>
      </c>
      <c r="I31" s="553">
        <f ca="1">SUM(Deals!M9:'Deals'!M18)</f>
        <v>0</v>
      </c>
      <c r="J31" s="553">
        <f ca="1">SUM(Deals!N9:'Deals'!N18)</f>
        <v>0</v>
      </c>
      <c r="K31" s="553">
        <f ca="1">SUM(Deals!O9:'Deals'!O18)</f>
        <v>0</v>
      </c>
      <c r="L31" s="553">
        <f ca="1">SUM(Deals!P9:'Deals'!P18)</f>
        <v>0</v>
      </c>
      <c r="M31" s="553">
        <f ca="1">SUM(Deals!Q9:'Deals'!Q18)</f>
        <v>0</v>
      </c>
      <c r="N31" s="553">
        <f ca="1">SUM(Deals!R9:'Deals'!R18)</f>
        <v>0</v>
      </c>
      <c r="O31" s="553">
        <f ca="1">SUM(Deals!S9:'Deals'!S18)</f>
        <v>0</v>
      </c>
      <c r="P31" s="553">
        <f ca="1">SUM(Deals!T9:'Deals'!T18)</f>
        <v>0</v>
      </c>
      <c r="Q31" s="553">
        <f ca="1">SUM(Deals!U9:'Deals'!U18)</f>
        <v>0</v>
      </c>
      <c r="R31" s="553">
        <f ca="1">SUM(Deals!V9:'Deals'!V18)</f>
        <v>0</v>
      </c>
      <c r="S31" s="553">
        <f ca="1">SUM(Deals!W9:'Deals'!W18)</f>
        <v>0</v>
      </c>
      <c r="T31" s="553">
        <f ca="1">SUM(Deals!X9:'Deals'!X18)</f>
        <v>0</v>
      </c>
      <c r="U31" s="553">
        <f ca="1">SUM(Deals!Y9:'Deals'!Y18)</f>
        <v>0</v>
      </c>
      <c r="V31" s="553">
        <f ca="1">SUM(Deals!Z9:'Deals'!Z18)</f>
        <v>0</v>
      </c>
      <c r="W31" s="553">
        <f ca="1">SUM(Deals!AA9:'Deals'!AA18)</f>
        <v>0</v>
      </c>
      <c r="X31" s="553">
        <f ca="1">SUM(Deals!AB9:'Deals'!AB18)</f>
        <v>0</v>
      </c>
      <c r="Y31" s="553">
        <f ca="1">SUM(Deals!AC9:'Deals'!AC18)</f>
        <v>103</v>
      </c>
      <c r="Z31" s="160"/>
      <c r="AA31" s="162"/>
    </row>
    <row r="32" spans="1:27" s="161" customFormat="1" ht="11.4"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1.4"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ht="12"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1.4"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1.4"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ht="12"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ht="12.6" thickBot="1" x14ac:dyDescent="0.25">
      <c r="A38" s="676" t="s">
        <v>121</v>
      </c>
      <c r="B38" s="552">
        <f t="shared" ref="B38:Y38" ca="1" si="4">SUM(B22:B37)+B4+B5</f>
        <v>972</v>
      </c>
      <c r="C38" s="552">
        <f t="shared" ca="1" si="4"/>
        <v>922</v>
      </c>
      <c r="D38" s="552">
        <f t="shared" ca="1" si="4"/>
        <v>904</v>
      </c>
      <c r="E38" s="552">
        <f t="shared" ca="1" si="4"/>
        <v>903</v>
      </c>
      <c r="F38" s="552">
        <f t="shared" ca="1" si="4"/>
        <v>905</v>
      </c>
      <c r="G38" s="552">
        <f t="shared" ca="1" si="4"/>
        <v>941</v>
      </c>
      <c r="H38" s="552">
        <f t="shared" ca="1" si="4"/>
        <v>947</v>
      </c>
      <c r="I38" s="552">
        <f t="shared" ca="1" si="4"/>
        <v>883</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950</v>
      </c>
      <c r="Z38" s="348"/>
      <c r="AA38" s="162"/>
    </row>
    <row r="39" spans="1:33" s="161" customFormat="1" ht="16.2"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41</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f ca="1">-Economics!D34/Economics!I34</f>
        <v>11188.240393813776</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f ca="1">-Economics!D35/Economics!I35</f>
        <v>0</v>
      </c>
    </row>
    <row r="43" spans="1:33" s="161" customFormat="1" ht="12.75" customHeight="1" x14ac:dyDescent="0.2">
      <c r="A43" s="632" t="s">
        <v>131</v>
      </c>
      <c r="B43" s="638">
        <v>36</v>
      </c>
      <c r="C43" s="638">
        <v>59</v>
      </c>
      <c r="D43" s="638">
        <v>67</v>
      </c>
      <c r="E43" s="639">
        <v>51</v>
      </c>
      <c r="F43" s="638">
        <v>52</v>
      </c>
      <c r="G43" s="638">
        <v>91</v>
      </c>
      <c r="H43" s="638">
        <v>100</v>
      </c>
      <c r="I43" s="638">
        <v>45</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f ca="1">-Economics!D36/Economics!I36</f>
        <v>14522.999043367347</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f ca="1">-Economics!D37/Economics!I37</f>
        <v>0</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f ca="1">-Economics!D38/Economics!I38</f>
        <v>0</v>
      </c>
    </row>
    <row r="46" spans="1:33" s="161" customFormat="1" ht="12.75" customHeight="1" thickBot="1" x14ac:dyDescent="0.3">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f ca="1">-Economics!D39/Economics!I39</f>
        <v>0</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f ca="1">-Economics!D40/Economics!I40</f>
        <v>0</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f ca="1">-Economics!D41/Economics!I41</f>
        <v>0</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f ca="1">-Economics!D42/Economics!I42</f>
        <v>0</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f ca="1">-Economics!D43/Economics!I43</f>
        <v>0</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f ca="1">-Economics!D44/Economics!I44</f>
        <v>7321.635298295455</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f ca="1">-Economics!D45/Economics!I45</f>
        <v>15566.202526913876</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3">
      <c r="A58" s="678" t="s">
        <v>10</v>
      </c>
      <c r="B58" s="679">
        <f ca="1">B59-B38</f>
        <v>-32</v>
      </c>
      <c r="C58" s="679">
        <f t="shared" ref="C58:I58" ca="1" si="5">C59-C38</f>
        <v>-16</v>
      </c>
      <c r="D58" s="679">
        <f t="shared" ca="1" si="5"/>
        <v>7</v>
      </c>
      <c r="E58" s="679">
        <f t="shared" ca="1" si="5"/>
        <v>-3</v>
      </c>
      <c r="F58" s="679">
        <f t="shared" ca="1" si="5"/>
        <v>-9</v>
      </c>
      <c r="G58" s="679">
        <f t="shared" ca="1" si="5"/>
        <v>-5</v>
      </c>
      <c r="H58" s="679">
        <f t="shared" ca="1" si="5"/>
        <v>2</v>
      </c>
      <c r="I58" s="679">
        <f t="shared" ca="1" si="5"/>
        <v>-14</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21</v>
      </c>
      <c r="Z58" s="351">
        <f ca="1">SUM(Z41:Z55)+Z41+Z42+Z43+Z48+Z49+Z50+Z51+Z52</f>
        <v>2416</v>
      </c>
      <c r="AA58" s="209">
        <f ca="1">SUM(AA41:AA55)</f>
        <v>48599.077262390456</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869</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f ca="1">SUM(Economics!D28:D45)</f>
        <v>-192895.95691156251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379</v>
      </c>
      <c r="C62" s="169">
        <f t="shared" ca="1" si="10"/>
        <v>318</v>
      </c>
      <c r="D62" s="169">
        <f t="shared" ca="1" si="10"/>
        <v>315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291</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332</v>
      </c>
      <c r="C64" s="169">
        <f t="shared" ref="C64:Y64" ca="1" si="13">IF(C62+C63&gt;645,"err",C62+C63)</f>
        <v>295</v>
      </c>
      <c r="D64" s="169">
        <f t="shared" ca="1" si="13"/>
        <v>292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318</v>
      </c>
      <c r="Z64" s="192"/>
      <c r="AA64" s="162"/>
    </row>
    <row r="65" spans="1:27" s="161" customFormat="1" ht="12" x14ac:dyDescent="0.2">
      <c r="A65" s="193" t="s">
        <v>18</v>
      </c>
      <c r="B65" s="169">
        <f ca="1">SUM(B61:B63)</f>
        <v>435</v>
      </c>
      <c r="C65" s="169">
        <f t="shared" ref="C65:Y65" ca="1" si="14">SUM(C61:C63)</f>
        <v>398</v>
      </c>
      <c r="D65" s="169">
        <f t="shared" ca="1" si="14"/>
        <v>395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421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187</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190</v>
      </c>
      <c r="C78" s="469">
        <f t="shared" ca="1" si="17"/>
        <v>170</v>
      </c>
      <c r="D78" s="469">
        <f t="shared" ca="1" si="17"/>
        <v>170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4112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235637.92455355506</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5">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5">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5">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41</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919</v>
      </c>
      <c r="AA104" s="318" t="s">
        <v>166</v>
      </c>
    </row>
    <row r="105" spans="1:29" x14ac:dyDescent="0.25">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22.97335644712448</v>
      </c>
      <c r="F105" s="189">
        <f t="shared" ca="1" si="29"/>
        <v>23.022853483985266</v>
      </c>
      <c r="G105" s="189">
        <f t="shared" ca="1" si="29"/>
        <v>23.022853483985266</v>
      </c>
      <c r="H105" s="189">
        <f t="shared" ca="1" si="29"/>
        <v>22.882270578685034</v>
      </c>
      <c r="I105" s="189">
        <f t="shared" ca="1" si="29"/>
        <v>22.926559773042957</v>
      </c>
      <c r="J105" s="189">
        <f t="shared" ca="1" si="29"/>
        <v>23.022853483985266</v>
      </c>
      <c r="K105" s="189">
        <f t="shared" ca="1" si="29"/>
        <v>22.926559773042957</v>
      </c>
      <c r="L105" s="189">
        <f t="shared" ca="1" si="29"/>
        <v>22.926559773042957</v>
      </c>
      <c r="M105" s="189">
        <f t="shared" ca="1" si="29"/>
        <v>23.022853483985266</v>
      </c>
      <c r="N105" s="189">
        <f t="shared" ca="1" si="29"/>
        <v>22.926559773042957</v>
      </c>
      <c r="O105" s="189">
        <f t="shared" ca="1" si="29"/>
        <v>22.97335644712448</v>
      </c>
      <c r="P105" s="189">
        <f t="shared" ca="1" si="29"/>
        <v>23.022853483985266</v>
      </c>
      <c r="Q105" s="189">
        <f t="shared" ca="1" si="29"/>
        <v>23.319183465619929</v>
      </c>
      <c r="R105" s="189">
        <f t="shared" ca="1" si="29"/>
        <v>23.319183465619929</v>
      </c>
      <c r="S105" s="189">
        <f t="shared" ca="1" si="29"/>
        <v>23.319183465619929</v>
      </c>
      <c r="T105" s="189">
        <f t="shared" ca="1" si="29"/>
        <v>23.319183465619929</v>
      </c>
      <c r="U105" s="189">
        <f t="shared" ca="1" si="29"/>
        <v>23.319183465619929</v>
      </c>
      <c r="V105" s="189">
        <f t="shared" ca="1" si="29"/>
        <v>23.319183465619929</v>
      </c>
      <c r="W105" s="189">
        <f t="shared" ca="1" si="29"/>
        <v>22.726917972762891</v>
      </c>
      <c r="X105" s="189">
        <f t="shared" ca="1" si="29"/>
        <v>23.075264070160518</v>
      </c>
      <c r="Y105" s="189">
        <f t="shared" ca="1" si="29"/>
        <v>22.926559773042957</v>
      </c>
      <c r="Z105" s="259">
        <f t="array" aca="1" ref="Z105" ca="1">SUM(B104:Y104*B105:Y105)</f>
        <v>21193.48878168338</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0.61154564267158307</v>
      </c>
      <c r="D108" s="188">
        <f t="shared" ca="1" si="31"/>
        <v>0.61154564267158307</v>
      </c>
      <c r="E108" s="188">
        <f t="shared" ca="1" si="31"/>
        <v>0.66104267953236828</v>
      </c>
      <c r="F108" s="188">
        <f t="shared" ca="1" si="31"/>
        <v>0.61154564267158307</v>
      </c>
      <c r="G108" s="188">
        <f t="shared" ca="1" si="31"/>
        <v>0.61154564267158307</v>
      </c>
      <c r="H108" s="188">
        <f t="shared" ca="1" si="31"/>
        <v>0.7521285479718145</v>
      </c>
      <c r="I108" s="188">
        <f t="shared" ca="1" si="31"/>
        <v>0.70783935361389183</v>
      </c>
      <c r="J108" s="188">
        <f t="shared" ca="1" si="31"/>
        <v>0.61154564267158307</v>
      </c>
      <c r="K108" s="188">
        <f t="shared" ca="1" si="31"/>
        <v>0.70783935361389183</v>
      </c>
      <c r="L108" s="188">
        <f t="shared" ca="1" si="31"/>
        <v>0.70783935361389183</v>
      </c>
      <c r="M108" s="188">
        <f t="shared" ca="1" si="31"/>
        <v>0.61154564267158307</v>
      </c>
      <c r="N108" s="188">
        <f t="shared" ca="1" si="31"/>
        <v>0.70783935361389183</v>
      </c>
      <c r="O108" s="188">
        <f t="shared" ca="1" si="31"/>
        <v>0.66104267953236828</v>
      </c>
      <c r="P108" s="188">
        <f t="shared" ca="1" si="31"/>
        <v>0.61154564267158307</v>
      </c>
      <c r="Q108" s="188">
        <f t="shared" ca="1" si="31"/>
        <v>0.31521566103691967</v>
      </c>
      <c r="R108" s="188">
        <f t="shared" ca="1" si="31"/>
        <v>0.31521566103691967</v>
      </c>
      <c r="S108" s="188">
        <f t="shared" ca="1" si="31"/>
        <v>0.31521566103691967</v>
      </c>
      <c r="T108" s="188">
        <f t="shared" ca="1" si="31"/>
        <v>0.31521566103691967</v>
      </c>
      <c r="U108" s="188">
        <f t="shared" ca="1" si="31"/>
        <v>0.31521566103691967</v>
      </c>
      <c r="V108" s="188">
        <f t="shared" ca="1" si="31"/>
        <v>0.31521566103691967</v>
      </c>
      <c r="W108" s="188">
        <f t="shared" ca="1" si="31"/>
        <v>0.90748115389395778</v>
      </c>
      <c r="X108" s="188">
        <f t="shared" ca="1" si="31"/>
        <v>0.55913505649633066</v>
      </c>
      <c r="Y108" s="188">
        <f t="shared" ca="1" si="31"/>
        <v>0.70783935361389183</v>
      </c>
      <c r="Z108" s="260">
        <f ca="1">Z105-Z107</f>
        <v>4176.7214104904524</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5">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45</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1401</v>
      </c>
      <c r="AA114" s="318" t="s">
        <v>172</v>
      </c>
    </row>
    <row r="115" spans="1:29" x14ac:dyDescent="0.25">
      <c r="A115" s="185">
        <f>Economics!$I36</f>
        <v>1.96</v>
      </c>
      <c r="B115" s="189">
        <f t="shared" ref="B115:Y115" ca="1" si="37">IndGencost(B114,OFFSET(HeatRateStart,1,MATCH($A114,HeatRateNames,0)-1,250,1),$A115)</f>
        <v>21.647002643532225</v>
      </c>
      <c r="C115" s="189">
        <f t="shared" ca="1" si="37"/>
        <v>20.096411916554988</v>
      </c>
      <c r="D115" s="189">
        <f t="shared" ca="1" si="37"/>
        <v>19.900933521655066</v>
      </c>
      <c r="E115" s="189">
        <f ca="1">IndGencost(E114,OFFSET(HeatRateStart,1,MATCH($A114,HeatRateNames,0)-1,250,1),$A115)</f>
        <v>20.417166671883827</v>
      </c>
      <c r="F115" s="189">
        <f t="shared" ca="1" si="37"/>
        <v>20.368245011806493</v>
      </c>
      <c r="G115" s="189">
        <f t="shared" ca="1" si="37"/>
        <v>19.735757307188852</v>
      </c>
      <c r="H115" s="189">
        <f t="shared" ca="1" si="37"/>
        <v>19.769932384777071</v>
      </c>
      <c r="I115" s="189">
        <f t="shared" ca="1" si="37"/>
        <v>20.780138182216223</v>
      </c>
      <c r="J115" s="189">
        <f t="shared" ca="1" si="37"/>
        <v>20.933119477183322</v>
      </c>
      <c r="K115" s="189">
        <f t="shared" ca="1" si="37"/>
        <v>19.800714979970774</v>
      </c>
      <c r="L115" s="189">
        <f t="shared" ca="1" si="37"/>
        <v>19.738087050823935</v>
      </c>
      <c r="M115" s="189">
        <f t="shared" ca="1" si="37"/>
        <v>21.301833235104883</v>
      </c>
      <c r="N115" s="189">
        <f t="shared" ca="1" si="37"/>
        <v>21.409493048266363</v>
      </c>
      <c r="O115" s="189">
        <f t="shared" ca="1" si="37"/>
        <v>21.647002643532225</v>
      </c>
      <c r="P115" s="189">
        <f t="shared" ca="1" si="37"/>
        <v>21.778120423861914</v>
      </c>
      <c r="Q115" s="189">
        <f t="shared" ca="1" si="37"/>
        <v>21.01689374237969</v>
      </c>
      <c r="R115" s="189">
        <f t="shared" ca="1" si="37"/>
        <v>21.778120423861914</v>
      </c>
      <c r="S115" s="189">
        <f t="shared" ca="1" si="37"/>
        <v>19.737669079801311</v>
      </c>
      <c r="T115" s="189">
        <f t="shared" ca="1" si="37"/>
        <v>19.811760933536377</v>
      </c>
      <c r="U115" s="189">
        <f t="shared" ca="1" si="37"/>
        <v>20.066153723875679</v>
      </c>
      <c r="V115" s="189">
        <f t="shared" ca="1" si="37"/>
        <v>21.778120423861914</v>
      </c>
      <c r="W115" s="189">
        <f t="shared" ca="1" si="37"/>
        <v>20.237713121154094</v>
      </c>
      <c r="X115" s="189">
        <f t="shared" ca="1" si="37"/>
        <v>20.096411916554988</v>
      </c>
      <c r="Y115" s="189">
        <f t="shared" ca="1" si="37"/>
        <v>19.769932384777071</v>
      </c>
      <c r="Z115" s="259">
        <f t="array" aca="1" ref="Z115" ca="1">SUM(B114:Y114*B115:Y115)</f>
        <v>28465.082514008525</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-21.647002643532225</v>
      </c>
      <c r="C118" s="188">
        <f t="shared" ca="1" si="39"/>
        <v>-20.096411916554988</v>
      </c>
      <c r="D118" s="188">
        <f t="shared" ca="1" si="39"/>
        <v>-19.900933521655066</v>
      </c>
      <c r="E118" s="188">
        <f t="shared" ca="1" si="39"/>
        <v>-20.417166671883827</v>
      </c>
      <c r="F118" s="188">
        <f t="shared" ca="1" si="39"/>
        <v>-20.368245011806493</v>
      </c>
      <c r="G118" s="188">
        <f t="shared" ca="1" si="39"/>
        <v>-19.735757307188852</v>
      </c>
      <c r="H118" s="188">
        <f t="shared" ca="1" si="39"/>
        <v>-19.769932384777071</v>
      </c>
      <c r="I118" s="188">
        <f t="shared" ca="1" si="39"/>
        <v>-20.780138182216223</v>
      </c>
      <c r="J118" s="188">
        <f t="shared" ca="1" si="39"/>
        <v>-20.933119477183322</v>
      </c>
      <c r="K118" s="188">
        <f t="shared" ca="1" si="39"/>
        <v>-19.800714979970774</v>
      </c>
      <c r="L118" s="188">
        <f t="shared" ca="1" si="39"/>
        <v>-19.738087050823935</v>
      </c>
      <c r="M118" s="188">
        <f t="shared" ca="1" si="39"/>
        <v>-21.301833235104883</v>
      </c>
      <c r="N118" s="188">
        <f t="shared" ca="1" si="39"/>
        <v>-21.409493048266363</v>
      </c>
      <c r="O118" s="188">
        <f t="shared" ca="1" si="39"/>
        <v>-21.647002643532225</v>
      </c>
      <c r="P118" s="188">
        <f t="shared" ca="1" si="39"/>
        <v>-21.778120423861914</v>
      </c>
      <c r="Q118" s="188">
        <f t="shared" ca="1" si="39"/>
        <v>-21.01689374237969</v>
      </c>
      <c r="R118" s="188">
        <f t="shared" ca="1" si="39"/>
        <v>-21.778120423861914</v>
      </c>
      <c r="S118" s="188">
        <f t="shared" ca="1" si="39"/>
        <v>-19.737669079801311</v>
      </c>
      <c r="T118" s="188">
        <f t="shared" ca="1" si="39"/>
        <v>-19.811760933536377</v>
      </c>
      <c r="U118" s="188">
        <f t="shared" ca="1" si="39"/>
        <v>-20.066153723875679</v>
      </c>
      <c r="V118" s="188">
        <f t="shared" ca="1" si="39"/>
        <v>-21.778120423861914</v>
      </c>
      <c r="W118" s="188">
        <f t="shared" ca="1" si="39"/>
        <v>-20.237713121154094</v>
      </c>
      <c r="X118" s="188">
        <f t="shared" ca="1" si="39"/>
        <v>-20.096411916554988</v>
      </c>
      <c r="Y118" s="188">
        <f t="shared" ca="1" si="39"/>
        <v>-19.769932384777071</v>
      </c>
      <c r="Z118" s="260">
        <f ca="1">Z115-Z117</f>
        <v>28465.082514008525</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5">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5">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5">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22.338638763301702</v>
      </c>
      <c r="K155" s="189">
        <f t="shared" ca="1" si="73"/>
        <v>22.338638763301702</v>
      </c>
      <c r="L155" s="189">
        <f t="shared" ca="1" si="73"/>
        <v>22.405878714136396</v>
      </c>
      <c r="M155" s="189">
        <f t="shared" ca="1" si="73"/>
        <v>22.338638763301702</v>
      </c>
      <c r="N155" s="189">
        <f t="shared" ca="1" si="73"/>
        <v>22.405878714136396</v>
      </c>
      <c r="O155" s="189">
        <f t="shared" ca="1" si="73"/>
        <v>22.405878714136396</v>
      </c>
      <c r="P155" s="189">
        <f t="shared" ca="1" si="73"/>
        <v>22.405878714136396</v>
      </c>
      <c r="Q155" s="189">
        <f t="shared" ca="1" si="73"/>
        <v>22.405878714136396</v>
      </c>
      <c r="R155" s="189">
        <f t="shared" ca="1" si="73"/>
        <v>22.405878714136396</v>
      </c>
      <c r="S155" s="189">
        <f t="shared" ca="1" si="73"/>
        <v>22.405878714136396</v>
      </c>
      <c r="T155" s="189">
        <f t="shared" ca="1" si="73"/>
        <v>22.405878714136396</v>
      </c>
      <c r="U155" s="189">
        <f t="shared" ca="1" si="73"/>
        <v>22.405878714136396</v>
      </c>
      <c r="V155" s="189">
        <f t="shared" ca="1" si="73"/>
        <v>22.405878714136396</v>
      </c>
      <c r="W155" s="189">
        <f t="shared" ca="1" si="73"/>
        <v>22.405878714136396</v>
      </c>
      <c r="X155" s="189">
        <f t="shared" ca="1" si="73"/>
        <v>22.338638763301702</v>
      </c>
      <c r="Y155" s="189">
        <f t="shared" ca="1" si="73"/>
        <v>22.405878714136396</v>
      </c>
      <c r="Z155" s="259">
        <f t="array" aca="1" ref="Z155" ca="1">SUM(B154:Y154*B155:Y155)</f>
        <v>15302.221537578815</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-22.338638763301702</v>
      </c>
      <c r="K158" s="188">
        <f t="shared" ca="1" si="75"/>
        <v>-22.338638763301702</v>
      </c>
      <c r="L158" s="188">
        <f t="shared" ca="1" si="75"/>
        <v>-22.405878714136396</v>
      </c>
      <c r="M158" s="188">
        <f t="shared" ca="1" si="75"/>
        <v>-22.338638763301702</v>
      </c>
      <c r="N158" s="188">
        <f t="shared" ca="1" si="75"/>
        <v>-22.405878714136396</v>
      </c>
      <c r="O158" s="188">
        <f t="shared" ca="1" si="75"/>
        <v>-22.405878714136396</v>
      </c>
      <c r="P158" s="188">
        <f t="shared" ca="1" si="75"/>
        <v>-22.405878714136396</v>
      </c>
      <c r="Q158" s="188">
        <f t="shared" ca="1" si="75"/>
        <v>-22.405878714136396</v>
      </c>
      <c r="R158" s="188">
        <f t="shared" ca="1" si="75"/>
        <v>-22.405878714136396</v>
      </c>
      <c r="S158" s="188">
        <f t="shared" ca="1" si="75"/>
        <v>-22.405878714136396</v>
      </c>
      <c r="T158" s="188">
        <f t="shared" ca="1" si="75"/>
        <v>-22.405878714136396</v>
      </c>
      <c r="U158" s="188">
        <f t="shared" ca="1" si="75"/>
        <v>-22.405878714136396</v>
      </c>
      <c r="V158" s="188">
        <f t="shared" ca="1" si="75"/>
        <v>-22.405878714136396</v>
      </c>
      <c r="W158" s="188">
        <f t="shared" ca="1" si="75"/>
        <v>-22.405878714136396</v>
      </c>
      <c r="X158" s="188">
        <f t="shared" ca="1" si="75"/>
        <v>-22.338638763301702</v>
      </c>
      <c r="Y158" s="188">
        <f t="shared" ca="1" si="75"/>
        <v>-22.405878714136396</v>
      </c>
      <c r="Z158" s="260">
        <f ca="1">Z155-Z157</f>
        <v>15302.221537578815</v>
      </c>
    </row>
    <row r="159" spans="1:27" x14ac:dyDescent="0.25">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5">
      <c r="A160" s="185">
        <f>Economics!$I45</f>
        <v>2.09</v>
      </c>
      <c r="B160" s="189">
        <f t="shared" ref="B160:Y160" ca="1" si="77">IndGencost(B159,OFFSET(HeatRateStart,1,MATCH($A159,HeatRateNames,0)-1,250,1),$A160)</f>
        <v>21.460983946241182</v>
      </c>
      <c r="C160" s="189">
        <f t="shared" ca="1" si="77"/>
        <v>21.460983946241182</v>
      </c>
      <c r="D160" s="189">
        <f t="shared" ca="1" si="77"/>
        <v>21.460983946241182</v>
      </c>
      <c r="E160" s="189">
        <f ca="1">IndGencost(E159,OFFSET(HeatRateStart,1,MATCH($A159,HeatRateNames,0)-1,250,1),$A160)</f>
        <v>21.460983946241182</v>
      </c>
      <c r="F160" s="189">
        <f t="shared" ca="1" si="77"/>
        <v>21.460983946241182</v>
      </c>
      <c r="G160" s="189">
        <f t="shared" ca="1" si="77"/>
        <v>21.433994119763373</v>
      </c>
      <c r="H160" s="189">
        <f t="shared" ca="1" si="77"/>
        <v>21.408914120793344</v>
      </c>
      <c r="I160" s="189">
        <f t="shared" ca="1" si="77"/>
        <v>21.460983946241182</v>
      </c>
      <c r="J160" s="189">
        <f t="shared" ca="1" si="77"/>
        <v>21.460983946241182</v>
      </c>
      <c r="K160" s="189">
        <f t="shared" ca="1" si="77"/>
        <v>21.433994119763373</v>
      </c>
      <c r="L160" s="189">
        <f t="shared" ca="1" si="77"/>
        <v>21.460983946241182</v>
      </c>
      <c r="M160" s="189">
        <f t="shared" ca="1" si="77"/>
        <v>21.460983946241182</v>
      </c>
      <c r="N160" s="189">
        <f t="shared" ca="1" si="77"/>
        <v>21.460983946241182</v>
      </c>
      <c r="O160" s="189">
        <f t="shared" ca="1" si="77"/>
        <v>21.460983946241182</v>
      </c>
      <c r="P160" s="189">
        <f t="shared" ca="1" si="77"/>
        <v>21.433994119763373</v>
      </c>
      <c r="Q160" s="189">
        <f t="shared" ca="1" si="77"/>
        <v>21.460983946241182</v>
      </c>
      <c r="R160" s="189">
        <f t="shared" ca="1" si="77"/>
        <v>21.460983946241182</v>
      </c>
      <c r="S160" s="189">
        <f t="shared" ca="1" si="77"/>
        <v>21.266917067801248</v>
      </c>
      <c r="T160" s="189">
        <f t="shared" ca="1" si="77"/>
        <v>21.257344658932791</v>
      </c>
      <c r="U160" s="189">
        <f t="shared" ca="1" si="77"/>
        <v>21.257344658932791</v>
      </c>
      <c r="V160" s="189">
        <f t="shared" ca="1" si="77"/>
        <v>21.213030680561889</v>
      </c>
      <c r="W160" s="189">
        <f t="shared" ca="1" si="77"/>
        <v>21.590163557794359</v>
      </c>
      <c r="X160" s="189">
        <f t="shared" ca="1" si="77"/>
        <v>21.590163557794359</v>
      </c>
      <c r="Y160" s="189">
        <f t="shared" ca="1" si="77"/>
        <v>21.200316052436825</v>
      </c>
      <c r="Z160" s="259">
        <f t="array" aca="1" ref="Z160" ca="1">SUM(B159:Y159*B160:Y160)</f>
        <v>32533.360843942162</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6.011838423060567E-2</v>
      </c>
      <c r="C163" s="188">
        <f t="shared" ca="1" si="79"/>
        <v>6.011838423060567E-2</v>
      </c>
      <c r="D163" s="188">
        <f t="shared" ca="1" si="79"/>
        <v>6.011838423060567E-2</v>
      </c>
      <c r="E163" s="188">
        <f t="shared" ca="1" si="79"/>
        <v>6.011838423060567E-2</v>
      </c>
      <c r="F163" s="188">
        <f t="shared" ca="1" si="79"/>
        <v>-0.15190751365546262</v>
      </c>
      <c r="G163" s="188">
        <f t="shared" ca="1" si="79"/>
        <v>-0.22404799079895099</v>
      </c>
      <c r="H163" s="188">
        <f t="shared" ca="1" si="79"/>
        <v>0.11218820967844323</v>
      </c>
      <c r="I163" s="188">
        <f t="shared" ca="1" si="79"/>
        <v>6.011838423060567E-2</v>
      </c>
      <c r="J163" s="188">
        <f t="shared" ca="1" si="79"/>
        <v>6.011838423060567E-2</v>
      </c>
      <c r="K163" s="188">
        <f t="shared" ca="1" si="79"/>
        <v>8.7108210708414902E-2</v>
      </c>
      <c r="L163" s="188">
        <f t="shared" ca="1" si="79"/>
        <v>6.011838423060567E-2</v>
      </c>
      <c r="M163" s="188">
        <f t="shared" ca="1" si="79"/>
        <v>6.011838423060567E-2</v>
      </c>
      <c r="N163" s="188">
        <f t="shared" ca="1" si="79"/>
        <v>6.011838423060567E-2</v>
      </c>
      <c r="O163" s="188">
        <f t="shared" ca="1" si="79"/>
        <v>6.011838423060567E-2</v>
      </c>
      <c r="P163" s="188">
        <f t="shared" ca="1" si="79"/>
        <v>8.7108210708414902E-2</v>
      </c>
      <c r="Q163" s="188">
        <f t="shared" ca="1" si="79"/>
        <v>6.011838423060567E-2</v>
      </c>
      <c r="R163" s="188">
        <f t="shared" ca="1" si="79"/>
        <v>6.011838423060567E-2</v>
      </c>
      <c r="S163" s="188">
        <f t="shared" ca="1" si="79"/>
        <v>0.2541852626705392</v>
      </c>
      <c r="T163" s="188">
        <f t="shared" ca="1" si="79"/>
        <v>-5.1898176842399835E-2</v>
      </c>
      <c r="U163" s="188">
        <f t="shared" ca="1" si="79"/>
        <v>0.18149446063160823</v>
      </c>
      <c r="V163" s="188">
        <f t="shared" ca="1" si="79"/>
        <v>1.5795114293865709E-2</v>
      </c>
      <c r="W163" s="188">
        <f t="shared" ca="1" si="79"/>
        <v>-0.28108712520863932</v>
      </c>
      <c r="X163" s="188">
        <f t="shared" ca="1" si="79"/>
        <v>-6.9061227322571028E-2</v>
      </c>
      <c r="Y163" s="188">
        <f t="shared" ca="1" si="79"/>
        <v>0.32078627803496218</v>
      </c>
      <c r="Z163" s="260">
        <f ca="1">Z160-Z162</f>
        <v>407.8342232513387</v>
      </c>
      <c r="AA163" s="262"/>
    </row>
    <row r="164" spans="1:27" s="269" customFormat="1" x14ac:dyDescent="0.25">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766</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5">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113</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3">
      <c r="A167" s="333" t="s">
        <v>185</v>
      </c>
      <c r="B167" s="334">
        <f t="shared" ref="B167:Y167" ca="1" si="83">B58</f>
        <v>-32</v>
      </c>
      <c r="C167" s="334">
        <f t="shared" ca="1" si="83"/>
        <v>-16</v>
      </c>
      <c r="D167" s="334">
        <f t="shared" ca="1" si="83"/>
        <v>7</v>
      </c>
      <c r="E167" s="334">
        <f ca="1">E58</f>
        <v>-3</v>
      </c>
      <c r="F167" s="334">
        <f t="shared" ca="1" si="83"/>
        <v>-9</v>
      </c>
      <c r="G167" s="334">
        <f t="shared" ca="1" si="83"/>
        <v>-5</v>
      </c>
      <c r="H167" s="334">
        <f t="shared" ca="1" si="83"/>
        <v>2</v>
      </c>
      <c r="I167" s="334">
        <f t="shared" ca="1" si="83"/>
        <v>-14</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21</v>
      </c>
      <c r="Z167" s="323">
        <f ca="1">SUM(B167:Y167)</f>
        <v>-75</v>
      </c>
      <c r="AA167" s="324"/>
    </row>
    <row r="168" spans="1:27" ht="13.8" hidden="1" thickBot="1" x14ac:dyDescent="0.3">
      <c r="A168" s="326" t="s">
        <v>186</v>
      </c>
      <c r="B168" s="327">
        <f t="shared" ref="B168:Y168" ca="1" si="84">B167+B166</f>
        <v>193</v>
      </c>
      <c r="C168" s="327">
        <f t="shared" ca="1" si="84"/>
        <v>84</v>
      </c>
      <c r="D168" s="327">
        <f t="shared" ca="1" si="84"/>
        <v>72</v>
      </c>
      <c r="E168" s="327">
        <f t="shared" ca="1" si="84"/>
        <v>73</v>
      </c>
      <c r="F168" s="327">
        <f t="shared" ca="1" si="84"/>
        <v>81</v>
      </c>
      <c r="G168" s="327">
        <f t="shared" ca="1" si="84"/>
        <v>55</v>
      </c>
      <c r="H168" s="327">
        <f t="shared" ca="1" si="84"/>
        <v>75</v>
      </c>
      <c r="I168" s="327">
        <f t="shared" ca="1" si="84"/>
        <v>99</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87</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228</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 ca="1">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94"/>
    </row>
    <row r="200" spans="1:25" x14ac:dyDescent="0.25">
      <c r="A200" s="494"/>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15566.202526913876</v>
      </c>
      <c r="F12" s="33">
        <f>(D12*$C$6)+(C12*$C$7)</f>
        <v>2.09</v>
      </c>
      <c r="G12" s="32">
        <f ca="1">E12*F12</f>
        <v>32533.363281249996</v>
      </c>
      <c r="H12" s="33"/>
    </row>
    <row r="13" spans="1:8" x14ac:dyDescent="0.25">
      <c r="B13" s="234" t="s">
        <v>56</v>
      </c>
      <c r="C13" s="235">
        <v>1</v>
      </c>
      <c r="D13" s="235">
        <v>0</v>
      </c>
      <c r="E13" s="32">
        <f ca="1">-INDEX(Economics!$A$34:$D$45,MATCH(Fuel!B13,Economics!$A$34:$A$45,0),4)/Fuel!F13</f>
        <v>7321.635298295455</v>
      </c>
      <c r="F13" s="33">
        <f>(D13*$C$6)+(C13*$C$7)</f>
        <v>2.09</v>
      </c>
      <c r="G13" s="32">
        <f ca="1">E13*F13</f>
        <v>15302.2177734375</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22887.837825209332</v>
      </c>
      <c r="F15" s="35"/>
      <c r="G15" s="34">
        <f ca="1">SUM(G12:G14)</f>
        <v>47835.5810546875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14522.999043367347</v>
      </c>
      <c r="F25" s="33">
        <f t="shared" si="1"/>
        <v>1.96</v>
      </c>
      <c r="G25" s="32">
        <f t="shared" ca="1" si="0"/>
        <v>28465.078125</v>
      </c>
      <c r="I25" s="31"/>
      <c r="J25" s="31"/>
      <c r="K25" s="31"/>
    </row>
    <row r="26" spans="1:12" x14ac:dyDescent="0.25">
      <c r="B26" s="234" t="s">
        <v>47</v>
      </c>
      <c r="C26" s="235">
        <v>1</v>
      </c>
      <c r="D26" s="235">
        <v>0</v>
      </c>
      <c r="E26" s="32">
        <f ca="1">-INDEX(Economics!$A$34:$D$45,MATCH(Fuel!B26,Economics!$A$34:$A$45,0),4)/Fuel!F26</f>
        <v>0</v>
      </c>
      <c r="F26" s="33">
        <f t="shared" si="1"/>
        <v>1.96</v>
      </c>
      <c r="G26" s="32">
        <f t="shared" ca="1" si="0"/>
        <v>0</v>
      </c>
      <c r="I26" s="31"/>
      <c r="J26" s="31"/>
      <c r="K26" s="31"/>
    </row>
    <row r="27" spans="1:12" x14ac:dyDescent="0.25">
      <c r="B27" s="246" t="s">
        <v>46</v>
      </c>
      <c r="C27" s="235">
        <v>1</v>
      </c>
      <c r="D27" s="235">
        <v>0</v>
      </c>
      <c r="E27" s="32">
        <f ca="1">-INDEX(Economics!$A$34:$D$45,MATCH(Fuel!B27,Economics!$A$34:$A$45,0),4)/Fuel!F27</f>
        <v>11188.240393813776</v>
      </c>
      <c r="F27" s="33">
        <f t="shared" si="1"/>
        <v>1.96</v>
      </c>
      <c r="G27" s="32">
        <f t="shared" ca="1" si="0"/>
        <v>21928.951171875</v>
      </c>
      <c r="I27" s="31"/>
      <c r="J27" s="31"/>
      <c r="K27" s="31"/>
    </row>
    <row r="28" spans="1:12" x14ac:dyDescent="0.25">
      <c r="B28" s="234" t="s">
        <v>49</v>
      </c>
      <c r="C28" s="235">
        <v>1</v>
      </c>
      <c r="D28" s="235">
        <v>0</v>
      </c>
      <c r="E28" s="32">
        <f ca="1">-INDEX(Economics!$A$34:$D$45,MATCH(Fuel!B28,Economics!$A$34:$A$45,0),4)/Fuel!F28</f>
        <v>0</v>
      </c>
      <c r="F28" s="33">
        <f t="shared" si="1"/>
        <v>1.96</v>
      </c>
      <c r="G28" s="32">
        <f t="shared" ca="1" si="0"/>
        <v>0</v>
      </c>
      <c r="I28" s="31"/>
      <c r="J28" s="31"/>
      <c r="K28" s="31"/>
    </row>
    <row r="29" spans="1:12" x14ac:dyDescent="0.25">
      <c r="B29" s="234" t="s">
        <v>50</v>
      </c>
      <c r="C29" s="235">
        <v>1</v>
      </c>
      <c r="D29" s="235">
        <v>0</v>
      </c>
      <c r="E29" s="32">
        <f ca="1">-INDEX(Economics!$A$34:$D$45,MATCH(Fuel!B29,Economics!$A$34:$A$45,0),4)/Fuel!F29</f>
        <v>0</v>
      </c>
      <c r="F29" s="33">
        <f t="shared" si="1"/>
        <v>1.96</v>
      </c>
      <c r="G29" s="32">
        <f t="shared" ca="1" si="0"/>
        <v>0</v>
      </c>
      <c r="I29" s="31"/>
      <c r="J29" s="31"/>
      <c r="K29" s="31"/>
    </row>
    <row r="30" spans="1:12" x14ac:dyDescent="0.25">
      <c r="B30" s="236"/>
      <c r="C30" s="36"/>
      <c r="D30" s="36"/>
      <c r="E30" s="34">
        <f ca="1">SUM(E22:E29)</f>
        <v>25711.239437181124</v>
      </c>
      <c r="F30" s="35"/>
      <c r="G30" s="34">
        <f ca="1">SUM(G22:G29)</f>
        <v>50394.029296875</v>
      </c>
      <c r="I30" s="31"/>
      <c r="J30" s="31"/>
      <c r="K30" s="31"/>
    </row>
    <row r="31" spans="1:12" x14ac:dyDescent="0.25">
      <c r="B31" s="236"/>
      <c r="I31" s="31"/>
      <c r="J31" s="31"/>
      <c r="K31" s="31"/>
    </row>
    <row r="32" spans="1:12" ht="13.8" thickBot="1" x14ac:dyDescent="0.3">
      <c r="B32" s="236" t="s">
        <v>18</v>
      </c>
      <c r="E32" s="7">
        <f ca="1">E15+E18+E30</f>
        <v>48599.077262390456</v>
      </c>
      <c r="F32" s="8"/>
      <c r="G32" s="7">
        <f ca="1">G15+G18+G30</f>
        <v>98229.6103515625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457076.7</v>
      </c>
      <c r="C3" s="117">
        <f ca="1">6.8*0.75*E3</f>
        <v>112613.09999999999</v>
      </c>
      <c r="D3" s="117">
        <f ca="1">C3+B3</f>
        <v>569689.80000000005</v>
      </c>
      <c r="E3" s="118">
        <f ca="1">SUM(Preschedule!B59:Y59)</f>
        <v>22081</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-8328.6985600000007</v>
      </c>
      <c r="C28" s="120"/>
      <c r="D28" s="120">
        <f ca="1">C28+B28</f>
        <v>-8328.6985600000007</v>
      </c>
      <c r="E28" s="114">
        <f>SUM(Preschedule!B56:Y56)</f>
        <v>637</v>
      </c>
      <c r="F28" s="120">
        <f>H28*I28</f>
        <v>13.074880000000002</v>
      </c>
      <c r="G28" s="79">
        <f ca="1">-IF(E28=0,0,D28/E28)</f>
        <v>13.07488</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ht="12" x14ac:dyDescent="0.25">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ht="12" x14ac:dyDescent="0.25">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-21928.951171875</v>
      </c>
      <c r="C34" s="120"/>
      <c r="D34" s="120">
        <f ca="1">IF(ISTEXT(B34),0,C34+B34)</f>
        <v>-21928.951171875</v>
      </c>
      <c r="E34" s="114">
        <f>SUM(Preschedule!B41:Y41)</f>
        <v>954</v>
      </c>
      <c r="F34" s="120">
        <f ca="1">-IF(OR(ISTEXT(B34),E34=0),0,B34/E34)</f>
        <v>22.986321983097483</v>
      </c>
      <c r="G34" s="79">
        <f t="shared" ref="G34:G45" ca="1" si="6">-IF(E34=0,0,D34/E34)</f>
        <v>22.986321983097483</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-28465.078125</v>
      </c>
      <c r="C36" s="120"/>
      <c r="D36" s="120">
        <f t="shared" ca="1" si="7"/>
        <v>-28465.078125</v>
      </c>
      <c r="E36" s="114">
        <f>SUM(Preschedule!B43:Y43)</f>
        <v>1401</v>
      </c>
      <c r="F36" s="120">
        <f t="shared" ca="1" si="8"/>
        <v>20.317686027837258</v>
      </c>
      <c r="G36" s="79">
        <f t="shared" ca="1" si="6"/>
        <v>20.317686027837258</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-15302.2177734375</v>
      </c>
      <c r="C44" s="120"/>
      <c r="D44" s="120">
        <f t="shared" ca="1" si="7"/>
        <v>-15302.2177734375</v>
      </c>
      <c r="E44" s="114">
        <f>SUM(Preschedule!B51:Y51)</f>
        <v>684</v>
      </c>
      <c r="F44" s="120">
        <f t="shared" ca="1" si="8"/>
        <v>22.371663411458332</v>
      </c>
      <c r="G44" s="79">
        <f t="shared" ca="1" si="6"/>
        <v>22.371663411458332</v>
      </c>
      <c r="H44" s="136"/>
      <c r="I44" s="135">
        <f t="shared" si="9"/>
        <v>2.09</v>
      </c>
    </row>
    <row r="45" spans="1:9" ht="12.6" thickBot="1" x14ac:dyDescent="0.3">
      <c r="A45" s="83" t="s">
        <v>57</v>
      </c>
      <c r="B45" s="120">
        <f ca="1">Gencost(Preschedule!B52:Y52,OFFSET(HeatRateStart,1,MATCH(A45,HeatRateNames,0)-1,250,1),I45)</f>
        <v>-32533.36328125</v>
      </c>
      <c r="C45" s="120"/>
      <c r="D45" s="120">
        <f t="shared" ca="1" si="7"/>
        <v>-32533.36328125</v>
      </c>
      <c r="E45" s="114">
        <f>SUM(Preschedule!B52:Y52)</f>
        <v>1520</v>
      </c>
      <c r="F45" s="120">
        <f t="shared" ca="1" si="8"/>
        <v>21.403528474506579</v>
      </c>
      <c r="G45" s="79">
        <f t="shared" ca="1" si="6"/>
        <v>21.403528474506579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37308.978472222225</v>
      </c>
    </row>
    <row r="32" spans="2:2" x14ac:dyDescent="0.25">
      <c r="B32" t="s">
        <v>381</v>
      </c>
    </row>
    <row r="33" spans="2:2" x14ac:dyDescent="0.25">
      <c r="B33" t="s">
        <v>370</v>
      </c>
    </row>
    <row r="34" spans="2:2" x14ac:dyDescent="0.25">
      <c r="B34" t="s">
        <v>382</v>
      </c>
    </row>
    <row r="35" spans="2:2" x14ac:dyDescent="0.25">
      <c r="B35" t="s">
        <v>365</v>
      </c>
    </row>
    <row r="36" spans="2:2" x14ac:dyDescent="0.25">
      <c r="B36" t="s">
        <v>369</v>
      </c>
    </row>
    <row r="37" spans="2:2" x14ac:dyDescent="0.25">
      <c r="B37" t="s">
        <v>362</v>
      </c>
    </row>
    <row r="38" spans="2:2" x14ac:dyDescent="0.25">
      <c r="B38" t="s">
        <v>368</v>
      </c>
    </row>
    <row r="39" spans="2:2" x14ac:dyDescent="0.25">
      <c r="B39" t="s">
        <v>367</v>
      </c>
    </row>
    <row r="40" spans="2:2" x14ac:dyDescent="0.25">
      <c r="B40" t="s">
        <v>383</v>
      </c>
    </row>
    <row r="41" spans="2:2" x14ac:dyDescent="0.25">
      <c r="B41" t="s">
        <v>371</v>
      </c>
    </row>
    <row r="42" spans="2:2" x14ac:dyDescent="0.25">
      <c r="B42" t="s">
        <v>363</v>
      </c>
    </row>
    <row r="43" spans="2:2" x14ac:dyDescent="0.25">
      <c r="B43" t="s">
        <v>380</v>
      </c>
    </row>
    <row r="44" spans="2:2" x14ac:dyDescent="0.25">
      <c r="B44" t="s">
        <v>384</v>
      </c>
    </row>
    <row r="45" spans="2:2" x14ac:dyDescent="0.25">
      <c r="B45" t="s">
        <v>385</v>
      </c>
    </row>
    <row r="46" spans="2:2" x14ac:dyDescent="0.25">
      <c r="B46" t="s">
        <v>386</v>
      </c>
    </row>
    <row r="47" spans="2:2" x14ac:dyDescent="0.25">
      <c r="B47" t="s">
        <v>387</v>
      </c>
    </row>
    <row r="48" spans="2:2" x14ac:dyDescent="0.25">
      <c r="B48" t="s">
        <v>388</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2001-11-18T10:25:54Z</cp:lastPrinted>
  <dcterms:created xsi:type="dcterms:W3CDTF">1998-02-07T06:53:21Z</dcterms:created>
  <dcterms:modified xsi:type="dcterms:W3CDTF">2023-09-10T11:00:56Z</dcterms:modified>
</cp:coreProperties>
</file>