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192" windowHeight="9408"/>
  </bookViews>
  <sheets>
    <sheet name="Posn" sheetId="4" r:id="rId1"/>
    <sheet name="Curves" sheetId="6" r:id="rId2"/>
    <sheet name="P&amp;L" sheetId="5" r:id="rId3"/>
  </sheets>
  <externalReferences>
    <externalReference r:id="rId4"/>
  </externalReferences>
  <definedNames>
    <definedName name="Z_1D9E855D_D7EB_11D3_9625_00C04FF4D407_.wvu.Rows" localSheetId="0" hidden="1">Posn!$17:$23</definedName>
    <definedName name="Z_38C00BC1_1533_11D4_8E8D_006097B8A979_.wvu.Rows" localSheetId="0" hidden="1">Posn!#REF!</definedName>
    <definedName name="Z_A13B59CB_499B_11D3_AA92_00C04FA318F4_.wvu.Rows" localSheetId="0" hidden="1">Posn!#REF!</definedName>
  </definedNames>
  <calcPr calcId="0" fullCalcOnLoad="1"/>
  <customWorkbookViews>
    <customWorkbookView name="trichard - Personal View" guid="{38C00BC1-1533-11D4-8E8D-006097B8A979}" mergeInterval="0" personalView="1" maximized="1" windowWidth="1015" windowHeight="634" activeSheetId="4"/>
    <customWorkbookView name="s005514 - Personal View" guid="{A13B59CB-499B-11D3-AA92-00C04FA318F4}" mergeInterval="0" personalView="1" maximized="1" windowWidth="1009" windowHeight="542" activeSheetId="4"/>
    <customWorkbookView name="s009465 - Personal View" guid="{EC7BD010-CE6A-11D3-A767-00C04FA318F7}" mergeInterval="0" personalView="1" xWindow="5" yWindow="24" windowWidth="1001" windowHeight="542" activeSheetId="4"/>
    <customWorkbookView name="Josefa J Sanchez - Personal View" guid="{147D2A76-E544-11D3-AF7A-00C04F7767BD}" mergeInterval="0" personalView="1" maximized="1" windowWidth="947" windowHeight="563" activeSheetId="4" showComments="commIndAndComment"/>
    <customWorkbookView name="s005659 - Personal View" guid="{A6B529EA-6F81-11D3-A1F2-00C04F6BA74F}" mergeInterval="0" personalView="1" xWindow="5" yWindow="24" windowWidth="1001" windowHeight="542" activeSheetId="4"/>
    <customWorkbookView name="DrewP - Personal View" guid="{A9F77334-4862-11D3-A30A-00C04F6EA52E}" mergeInterval="0" personalView="1" maximized="1" windowWidth="1012" windowHeight="567" activeSheetId="4"/>
    <customWorkbookView name="gcd - Personal View" guid="{F1FE7DC6-445C-11D3-8D9F-00C04FA36821}" mergeInterval="0" personalView="1" maximized="1" windowWidth="1012" windowHeight="546" activeSheetId="1"/>
    <customWorkbookView name="s005977 - Personal View" guid="{94DF4ABA-386B-11D3-AAC6-00C04FA32EB6}" mergeInterval="0" personalView="1" minimized="1" windowWidth="0" windowHeight="0" activeSheetId="1"/>
    <customWorkbookView name="Alsheikha - Personal View" guid="{586DB137-53D9-11D3-A6EC-00C04F68AF54}" mergeInterval="0" personalView="1" maximized="1" windowWidth="2044" windowHeight="606" activeSheetId="2"/>
    <customWorkbookView name="AEP Energy Services - Personal View" guid="{CFE57B95-441C-11D3-A6C5-00C04F6BC682}" mergeInterval="0" personalView="1" maximized="1" windowWidth="1012" windowHeight="589" activeSheetId="4" showFormulaBar="0"/>
    <customWorkbookView name="AlonzoP - Personal View" guid="{229E450E-A73D-11D3-A324-00C04F554A32}" mergeInterval="0" personalView="1" maximized="1" windowWidth="1110" windowHeight="675" activeSheetId="4"/>
    <customWorkbookView name="McCullough, Mark - Personal View" guid="{1D9E855D-D7EB-11D3-9625-00C04FF4D407}" mergeInterval="0" personalView="1" maximized="1" windowWidth="1020" windowHeight="606" activeSheetId="4"/>
    <customWorkbookView name="Gafvertl - Personal View" guid="{54B1602B-CE7B-11D3-A6D9-00C04F68AF95}" mergeInterval="0" personalView="1" maximized="1" windowWidth="1012" windowHeight="576" activeSheetId="4"/>
    <customWorkbookView name="LokhandwalaF - Personal View" guid="{E2040093-45C6-11D3-9936-00C04F742FB7}" mergeInterval="0" personalView="1" maximized="1" windowWidth="1012" windowHeight="572" activeSheetId="4"/>
  </customWorkbookViews>
</workbook>
</file>

<file path=xl/calcChain.xml><?xml version="1.0" encoding="utf-8"?>
<calcChain xmlns="http://schemas.openxmlformats.org/spreadsheetml/2006/main">
  <c r="B5" i="6" l="1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R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R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R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R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R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R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R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R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R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R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R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R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R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R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R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R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R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R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R24" i="5"/>
  <c r="B3" i="4"/>
  <c r="D3" i="4"/>
  <c r="E3" i="4"/>
  <c r="F3" i="4"/>
  <c r="H3" i="4"/>
  <c r="I3" i="4"/>
  <c r="J3" i="4"/>
  <c r="B4" i="4"/>
  <c r="D4" i="4"/>
  <c r="E4" i="4"/>
  <c r="F4" i="4"/>
  <c r="B5" i="4"/>
  <c r="D5" i="4"/>
  <c r="E5" i="4"/>
  <c r="F5" i="4"/>
  <c r="B6" i="4"/>
  <c r="D6" i="4"/>
  <c r="E6" i="4"/>
  <c r="F6" i="4"/>
  <c r="B7" i="4"/>
  <c r="D7" i="4"/>
  <c r="E7" i="4"/>
  <c r="F7" i="4"/>
  <c r="B8" i="4"/>
  <c r="D8" i="4"/>
  <c r="E8" i="4"/>
  <c r="F8" i="4"/>
  <c r="B12" i="4"/>
  <c r="G12" i="4"/>
  <c r="H12" i="4"/>
  <c r="P12" i="4"/>
  <c r="Q12" i="4"/>
  <c r="B13" i="4"/>
  <c r="G13" i="4"/>
  <c r="P13" i="4"/>
  <c r="Q13" i="4"/>
  <c r="B14" i="4"/>
  <c r="G14" i="4"/>
  <c r="P14" i="4"/>
  <c r="Q14" i="4"/>
  <c r="B15" i="4"/>
  <c r="G15" i="4"/>
  <c r="P15" i="4"/>
  <c r="Q15" i="4"/>
  <c r="B16" i="4"/>
  <c r="G16" i="4"/>
  <c r="Q16" i="4"/>
  <c r="B17" i="4"/>
  <c r="G17" i="4"/>
  <c r="Q17" i="4"/>
  <c r="B18" i="4"/>
  <c r="G18" i="4"/>
  <c r="Q18" i="4"/>
  <c r="B19" i="4"/>
  <c r="G19" i="4"/>
  <c r="Q19" i="4"/>
  <c r="B20" i="4"/>
  <c r="G20" i="4"/>
  <c r="Q20" i="4"/>
  <c r="B21" i="4"/>
  <c r="G21" i="4"/>
  <c r="P21" i="4"/>
  <c r="Q21" i="4"/>
  <c r="B22" i="4"/>
  <c r="G22" i="4"/>
  <c r="P22" i="4"/>
  <c r="Q22" i="4"/>
  <c r="B23" i="4"/>
  <c r="G23" i="4"/>
  <c r="P23" i="4"/>
  <c r="Q23" i="4"/>
  <c r="B24" i="4"/>
  <c r="G24" i="4"/>
  <c r="P24" i="4"/>
  <c r="Q24" i="4"/>
  <c r="B25" i="4"/>
  <c r="G25" i="4"/>
  <c r="P25" i="4"/>
  <c r="Q25" i="4"/>
  <c r="B26" i="4"/>
  <c r="G26" i="4"/>
  <c r="P26" i="4"/>
  <c r="Q26" i="4"/>
  <c r="B27" i="4"/>
  <c r="G27" i="4"/>
  <c r="P27" i="4"/>
  <c r="Q27" i="4"/>
  <c r="B28" i="4"/>
  <c r="G28" i="4"/>
  <c r="Q28" i="4"/>
  <c r="B29" i="4"/>
  <c r="G29" i="4"/>
  <c r="Q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A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A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A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A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A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A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</calcChain>
</file>

<file path=xl/sharedStrings.xml><?xml version="1.0" encoding="utf-8"?>
<sst xmlns="http://schemas.openxmlformats.org/spreadsheetml/2006/main" count="174" uniqueCount="38">
  <si>
    <t>NYMEX</t>
  </si>
  <si>
    <t>Total</t>
  </si>
  <si>
    <t>SPOT CASH</t>
  </si>
  <si>
    <t>HSC</t>
  </si>
  <si>
    <t>BASIS</t>
  </si>
  <si>
    <t>TETSTX</t>
  </si>
  <si>
    <t>KATY</t>
  </si>
  <si>
    <t>WAHA</t>
  </si>
  <si>
    <t>PEPL</t>
  </si>
  <si>
    <t>MONTH</t>
  </si>
  <si>
    <t>HH SWAP</t>
  </si>
  <si>
    <t>NYMEX/</t>
  </si>
  <si>
    <t>TOTALS</t>
  </si>
  <si>
    <t>OVERVIEW POSTION</t>
  </si>
  <si>
    <t>Prompt 1 Yr</t>
  </si>
  <si>
    <t>CARTH</t>
  </si>
  <si>
    <t>Jul-Oct'0</t>
  </si>
  <si>
    <t>Cal'01</t>
  </si>
  <si>
    <t>Apr'1-Oct'1</t>
  </si>
  <si>
    <t>HUB</t>
  </si>
  <si>
    <t>DULCE</t>
  </si>
  <si>
    <t>PERM</t>
  </si>
  <si>
    <t>TOTAL</t>
  </si>
  <si>
    <t>NYMEX CURVES</t>
  </si>
  <si>
    <t>Swaps</t>
  </si>
  <si>
    <t>Hub</t>
  </si>
  <si>
    <t>Waha</t>
  </si>
  <si>
    <t>PRICE</t>
  </si>
  <si>
    <t>Month</t>
  </si>
  <si>
    <t>CURVE</t>
  </si>
  <si>
    <t>GD</t>
  </si>
  <si>
    <t>Fixed Price</t>
  </si>
  <si>
    <t>Basis</t>
  </si>
  <si>
    <t>TODAY</t>
  </si>
  <si>
    <t>Yesterday</t>
  </si>
  <si>
    <t>CHANGE</t>
  </si>
  <si>
    <t>P&amp;L</t>
  </si>
  <si>
    <t>TOTAL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</si>
</sst>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&quot;$&quot;#,##0_);[Red]\(&quot;$&quot;#,##0\)"/>
    <numFmt numFmtId="164" formatCode="0.000"/>
    <numFmt numFmtId="166" formatCode="0.00_);\(0.00\)"/>
    <numFmt numFmtId="167" formatCode="0.0000_);\(0.0000\)"/>
    <numFmt numFmtId="179" formatCode="0.000_);[Red]\(0.000\)"/>
    <numFmt numFmtId="181" formatCode="0_);\(0\)"/>
    <numFmt numFmtId="182" formatCode="0.0000_);[Red]\(0.0000\)"/>
    <numFmt numFmtId="183" formatCode="0.000000"/>
    <numFmt numFmtId="184" formatCode="0.00000"/>
    <numFmt numFmtId="185" formatCode="0.00000_);\(0.00000\)"/>
    <numFmt numFmtId="187" formatCode="0_);[Red]\(0\)"/>
    <numFmt numFmtId="189" formatCode="&quot;$&quot;#,##0.000_);[Red]\(&quot;$&quot;#,##0.000\)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</font>
    <font>
      <b/>
      <sz val="12"/>
      <color indexed="12"/>
      <name val="Arial"/>
      <family val="2"/>
    </font>
    <font>
      <sz val="12"/>
      <name val="Arial"/>
    </font>
    <font>
      <sz val="12"/>
      <name val="Arial"/>
      <family val="2"/>
    </font>
    <font>
      <b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2" borderId="0" xfId="0" applyFill="1"/>
    <xf numFmtId="164" fontId="0" fillId="2" borderId="0" xfId="0" applyNumberFormat="1" applyFill="1"/>
    <xf numFmtId="179" fontId="0" fillId="2" borderId="0" xfId="0" applyNumberFormat="1" applyFill="1"/>
    <xf numFmtId="179" fontId="1" fillId="2" borderId="0" xfId="0" applyNumberFormat="1" applyFont="1" applyFill="1" applyBorder="1"/>
    <xf numFmtId="167" fontId="5" fillId="2" borderId="0" xfId="0" applyNumberFormat="1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167" fontId="5" fillId="2" borderId="0" xfId="0" applyNumberFormat="1" applyFont="1" applyFill="1" applyBorder="1" applyAlignment="1">
      <alignment horizontal="center"/>
    </xf>
    <xf numFmtId="167" fontId="6" fillId="2" borderId="0" xfId="0" applyNumberFormat="1" applyFont="1" applyFill="1"/>
    <xf numFmtId="167" fontId="7" fillId="2" borderId="0" xfId="0" applyNumberFormat="1" applyFont="1" applyFill="1"/>
    <xf numFmtId="167" fontId="0" fillId="2" borderId="0" xfId="0" applyNumberFormat="1" applyFill="1"/>
    <xf numFmtId="182" fontId="0" fillId="2" borderId="0" xfId="0" applyNumberFormat="1" applyFill="1"/>
    <xf numFmtId="164" fontId="4" fillId="2" borderId="1" xfId="0" applyNumberFormat="1" applyFont="1" applyFill="1" applyBorder="1" applyAlignment="1">
      <alignment horizontal="center"/>
    </xf>
    <xf numFmtId="187" fontId="0" fillId="2" borderId="2" xfId="0" applyNumberFormat="1" applyFill="1" applyBorder="1" applyAlignment="1">
      <alignment horizontal="center"/>
    </xf>
    <xf numFmtId="187" fontId="1" fillId="2" borderId="3" xfId="0" applyNumberFormat="1" applyFont="1" applyFill="1" applyBorder="1" applyAlignment="1">
      <alignment horizontal="center"/>
    </xf>
    <xf numFmtId="164" fontId="0" fillId="2" borderId="0" xfId="0" applyNumberFormat="1" applyFill="1" applyBorder="1"/>
    <xf numFmtId="187" fontId="1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/>
    <xf numFmtId="185" fontId="1" fillId="2" borderId="0" xfId="0" applyNumberFormat="1" applyFont="1" applyFill="1"/>
    <xf numFmtId="184" fontId="0" fillId="2" borderId="0" xfId="0" applyNumberFormat="1" applyFont="1" applyFill="1" applyBorder="1"/>
    <xf numFmtId="17" fontId="0" fillId="2" borderId="0" xfId="0" applyNumberFormat="1" applyFont="1" applyFill="1"/>
    <xf numFmtId="17" fontId="0" fillId="2" borderId="0" xfId="0" applyNumberFormat="1" applyFill="1"/>
    <xf numFmtId="182" fontId="0" fillId="2" borderId="0" xfId="0" applyNumberFormat="1" applyFont="1" applyFill="1" applyBorder="1"/>
    <xf numFmtId="183" fontId="0" fillId="2" borderId="0" xfId="0" applyNumberFormat="1" applyFill="1"/>
    <xf numFmtId="0" fontId="1" fillId="2" borderId="0" xfId="0" applyFont="1" applyFill="1"/>
    <xf numFmtId="179" fontId="1" fillId="2" borderId="0" xfId="0" applyNumberFormat="1" applyFont="1" applyFill="1"/>
    <xf numFmtId="182" fontId="1" fillId="2" borderId="0" xfId="0" applyNumberFormat="1" applyFont="1" applyFill="1"/>
    <xf numFmtId="166" fontId="0" fillId="2" borderId="0" xfId="0" applyNumberFormat="1" applyFill="1"/>
    <xf numFmtId="166" fontId="1" fillId="2" borderId="0" xfId="0" applyNumberFormat="1" applyFont="1" applyFill="1" applyAlignment="1">
      <alignment horizontal="center"/>
    </xf>
    <xf numFmtId="187" fontId="1" fillId="2" borderId="4" xfId="0" applyNumberFormat="1" applyFont="1" applyFill="1" applyBorder="1" applyAlignment="1">
      <alignment horizontal="center"/>
    </xf>
    <xf numFmtId="187" fontId="1" fillId="2" borderId="5" xfId="0" applyNumberFormat="1" applyFont="1" applyFill="1" applyBorder="1" applyAlignment="1">
      <alignment horizontal="center"/>
    </xf>
    <xf numFmtId="187" fontId="1" fillId="2" borderId="6" xfId="0" applyNumberFormat="1" applyFont="1" applyFill="1" applyBorder="1" applyAlignment="1">
      <alignment horizontal="center"/>
    </xf>
    <xf numFmtId="187" fontId="1" fillId="2" borderId="7" xfId="0" applyNumberFormat="1" applyFont="1" applyFill="1" applyBorder="1" applyAlignment="1">
      <alignment horizontal="center"/>
    </xf>
    <xf numFmtId="187" fontId="1" fillId="2" borderId="8" xfId="0" applyNumberFormat="1" applyFont="1" applyFill="1" applyBorder="1" applyAlignment="1">
      <alignment horizontal="center"/>
    </xf>
    <xf numFmtId="187" fontId="1" fillId="2" borderId="9" xfId="0" applyNumberFormat="1" applyFont="1" applyFill="1" applyBorder="1" applyAlignment="1">
      <alignment horizontal="center"/>
    </xf>
    <xf numFmtId="17" fontId="1" fillId="2" borderId="0" xfId="0" applyNumberFormat="1" applyFont="1" applyFill="1" applyAlignment="1">
      <alignment horizontal="center"/>
    </xf>
    <xf numFmtId="167" fontId="3" fillId="2" borderId="3" xfId="0" applyNumberFormat="1" applyFont="1" applyFill="1" applyBorder="1" applyAlignment="1">
      <alignment horizontal="center"/>
    </xf>
    <xf numFmtId="167" fontId="3" fillId="2" borderId="2" xfId="0" applyNumberFormat="1" applyFont="1" applyFill="1" applyBorder="1" applyAlignment="1">
      <alignment horizontal="center"/>
    </xf>
    <xf numFmtId="167" fontId="3" fillId="2" borderId="7" xfId="0" applyNumberFormat="1" applyFont="1" applyFill="1" applyBorder="1" applyAlignment="1">
      <alignment horizontal="center"/>
    </xf>
    <xf numFmtId="17" fontId="1" fillId="2" borderId="3" xfId="0" applyNumberFormat="1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17" fontId="1" fillId="2" borderId="7" xfId="0" applyNumberFormat="1" applyFont="1" applyFill="1" applyBorder="1" applyAlignment="1">
      <alignment horizontal="center"/>
    </xf>
    <xf numFmtId="17" fontId="1" fillId="2" borderId="10" xfId="0" applyNumberFormat="1" applyFont="1" applyFill="1" applyBorder="1" applyAlignment="1">
      <alignment horizontal="center"/>
    </xf>
    <xf numFmtId="17" fontId="1" fillId="2" borderId="11" xfId="0" applyNumberFormat="1" applyFont="1" applyFill="1" applyBorder="1" applyAlignment="1">
      <alignment horizontal="center"/>
    </xf>
    <xf numFmtId="17" fontId="1" fillId="2" borderId="12" xfId="0" applyNumberFormat="1" applyFont="1" applyFill="1" applyBorder="1" applyAlignment="1">
      <alignment horizontal="center"/>
    </xf>
    <xf numFmtId="17" fontId="3" fillId="4" borderId="13" xfId="0" applyNumberFormat="1" applyFont="1" applyFill="1" applyBorder="1" applyAlignment="1">
      <alignment horizontal="center"/>
    </xf>
    <xf numFmtId="164" fontId="7" fillId="4" borderId="14" xfId="0" applyNumberFormat="1" applyFont="1" applyFill="1" applyBorder="1"/>
    <xf numFmtId="187" fontId="3" fillId="4" borderId="13" xfId="0" applyNumberFormat="1" applyFont="1" applyFill="1" applyBorder="1" applyAlignment="1">
      <alignment horizontal="center"/>
    </xf>
    <xf numFmtId="187" fontId="3" fillId="4" borderId="15" xfId="0" applyNumberFormat="1" applyFont="1" applyFill="1" applyBorder="1" applyAlignment="1">
      <alignment horizontal="center"/>
    </xf>
    <xf numFmtId="0" fontId="7" fillId="2" borderId="0" xfId="0" applyFont="1" applyFill="1" applyBorder="1"/>
    <xf numFmtId="17" fontId="3" fillId="5" borderId="11" xfId="0" applyNumberFormat="1" applyFont="1" applyFill="1" applyBorder="1" applyAlignment="1">
      <alignment horizontal="center"/>
    </xf>
    <xf numFmtId="164" fontId="7" fillId="5" borderId="0" xfId="0" applyNumberFormat="1" applyFont="1" applyFill="1" applyBorder="1"/>
    <xf numFmtId="187" fontId="3" fillId="5" borderId="11" xfId="0" applyNumberFormat="1" applyFont="1" applyFill="1" applyBorder="1" applyAlignment="1">
      <alignment horizontal="center"/>
    </xf>
    <xf numFmtId="187" fontId="3" fillId="5" borderId="5" xfId="0" applyNumberFormat="1" applyFont="1" applyFill="1" applyBorder="1" applyAlignment="1">
      <alignment horizontal="center"/>
    </xf>
    <xf numFmtId="17" fontId="3" fillId="6" borderId="16" xfId="0" applyNumberFormat="1" applyFont="1" applyFill="1" applyBorder="1" applyAlignment="1">
      <alignment horizontal="center"/>
    </xf>
    <xf numFmtId="164" fontId="7" fillId="6" borderId="17" xfId="0" applyNumberFormat="1" applyFont="1" applyFill="1" applyBorder="1"/>
    <xf numFmtId="187" fontId="3" fillId="6" borderId="16" xfId="0" applyNumberFormat="1" applyFont="1" applyFill="1" applyBorder="1" applyAlignment="1">
      <alignment horizontal="center"/>
    </xf>
    <xf numFmtId="187" fontId="3" fillId="6" borderId="18" xfId="0" applyNumberFormat="1" applyFont="1" applyFill="1" applyBorder="1" applyAlignment="1">
      <alignment horizontal="center"/>
    </xf>
    <xf numFmtId="17" fontId="3" fillId="7" borderId="16" xfId="0" applyNumberFormat="1" applyFont="1" applyFill="1" applyBorder="1" applyAlignment="1">
      <alignment horizontal="center"/>
    </xf>
    <xf numFmtId="164" fontId="7" fillId="7" borderId="17" xfId="0" applyNumberFormat="1" applyFont="1" applyFill="1" applyBorder="1"/>
    <xf numFmtId="187" fontId="3" fillId="7" borderId="16" xfId="0" applyNumberFormat="1" applyFont="1" applyFill="1" applyBorder="1" applyAlignment="1">
      <alignment horizontal="center"/>
    </xf>
    <xf numFmtId="187" fontId="3" fillId="7" borderId="18" xfId="0" applyNumberFormat="1" applyFont="1" applyFill="1" applyBorder="1" applyAlignment="1">
      <alignment horizontal="center"/>
    </xf>
    <xf numFmtId="17" fontId="3" fillId="8" borderId="16" xfId="0" applyNumberFormat="1" applyFont="1" applyFill="1" applyBorder="1" applyAlignment="1">
      <alignment horizontal="center"/>
    </xf>
    <xf numFmtId="164" fontId="7" fillId="8" borderId="17" xfId="0" applyNumberFormat="1" applyFont="1" applyFill="1" applyBorder="1"/>
    <xf numFmtId="187" fontId="3" fillId="8" borderId="16" xfId="0" applyNumberFormat="1" applyFont="1" applyFill="1" applyBorder="1" applyAlignment="1">
      <alignment horizontal="center"/>
    </xf>
    <xf numFmtId="187" fontId="3" fillId="8" borderId="18" xfId="0" applyNumberFormat="1" applyFont="1" applyFill="1" applyBorder="1" applyAlignment="1">
      <alignment horizontal="center"/>
    </xf>
    <xf numFmtId="17" fontId="3" fillId="9" borderId="19" xfId="0" applyNumberFormat="1" applyFont="1" applyFill="1" applyBorder="1" applyAlignment="1">
      <alignment horizontal="center"/>
    </xf>
    <xf numFmtId="164" fontId="7" fillId="9" borderId="20" xfId="0" applyNumberFormat="1" applyFont="1" applyFill="1" applyBorder="1"/>
    <xf numFmtId="187" fontId="3" fillId="9" borderId="19" xfId="0" applyNumberFormat="1" applyFont="1" applyFill="1" applyBorder="1" applyAlignment="1">
      <alignment horizontal="center"/>
    </xf>
    <xf numFmtId="187" fontId="3" fillId="9" borderId="21" xfId="0" applyNumberFormat="1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179" fontId="1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179" fontId="1" fillId="8" borderId="7" xfId="0" applyNumberFormat="1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2" fillId="8" borderId="7" xfId="0" applyFont="1" applyFill="1" applyBorder="1"/>
    <xf numFmtId="17" fontId="3" fillId="2" borderId="22" xfId="0" applyNumberFormat="1" applyFont="1" applyFill="1" applyBorder="1" applyAlignment="1">
      <alignment horizontal="center"/>
    </xf>
    <xf numFmtId="164" fontId="7" fillId="2" borderId="23" xfId="0" applyNumberFormat="1" applyFont="1" applyFill="1" applyBorder="1"/>
    <xf numFmtId="181" fontId="3" fillId="2" borderId="24" xfId="0" applyNumberFormat="1" applyFont="1" applyFill="1" applyBorder="1" applyAlignment="1">
      <alignment horizontal="center"/>
    </xf>
    <xf numFmtId="181" fontId="3" fillId="2" borderId="25" xfId="0" applyNumberFormat="1" applyFont="1" applyFill="1" applyBorder="1" applyAlignment="1">
      <alignment horizontal="center"/>
    </xf>
    <xf numFmtId="0" fontId="7" fillId="2" borderId="26" xfId="0" applyFont="1" applyFill="1" applyBorder="1"/>
    <xf numFmtId="0" fontId="1" fillId="3" borderId="13" xfId="0" applyFont="1" applyFill="1" applyBorder="1" applyAlignment="1">
      <alignment horizontal="center"/>
    </xf>
    <xf numFmtId="179" fontId="1" fillId="3" borderId="13" xfId="0" applyNumberFormat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164" fontId="1" fillId="3" borderId="27" xfId="0" applyNumberFormat="1" applyFont="1" applyFill="1" applyBorder="1" applyAlignment="1">
      <alignment horizontal="center"/>
    </xf>
    <xf numFmtId="187" fontId="3" fillId="2" borderId="27" xfId="0" applyNumberFormat="1" applyFont="1" applyFill="1" applyBorder="1" applyAlignment="1">
      <alignment horizontal="center"/>
    </xf>
    <xf numFmtId="179" fontId="1" fillId="3" borderId="3" xfId="0" applyNumberFormat="1" applyFont="1" applyFill="1" applyBorder="1" applyAlignment="1">
      <alignment horizontal="center"/>
    </xf>
    <xf numFmtId="164" fontId="4" fillId="2" borderId="28" xfId="0" applyNumberFormat="1" applyFont="1" applyFill="1" applyBorder="1" applyAlignment="1">
      <alignment horizontal="center"/>
    </xf>
    <xf numFmtId="164" fontId="4" fillId="2" borderId="29" xfId="0" applyNumberFormat="1" applyFont="1" applyFill="1" applyBorder="1" applyAlignment="1">
      <alignment horizontal="center"/>
    </xf>
    <xf numFmtId="189" fontId="0" fillId="2" borderId="3" xfId="0" applyNumberFormat="1" applyFill="1" applyBorder="1" applyAlignment="1">
      <alignment horizontal="center"/>
    </xf>
    <xf numFmtId="189" fontId="0" fillId="2" borderId="2" xfId="0" applyNumberFormat="1" applyFill="1" applyBorder="1" applyAlignment="1">
      <alignment horizontal="center"/>
    </xf>
    <xf numFmtId="189" fontId="0" fillId="2" borderId="7" xfId="0" applyNumberForma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179" fontId="1" fillId="8" borderId="2" xfId="0" applyNumberFormat="1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164" fontId="4" fillId="2" borderId="11" xfId="0" applyNumberFormat="1" applyFont="1" applyFill="1" applyBorder="1" applyAlignment="1">
      <alignment horizontal="center"/>
    </xf>
    <xf numFmtId="164" fontId="4" fillId="2" borderId="1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6" fontId="0" fillId="4" borderId="3" xfId="0" applyNumberFormat="1" applyFill="1" applyBorder="1" applyAlignment="1">
      <alignment horizontal="center"/>
    </xf>
    <xf numFmtId="6" fontId="0" fillId="4" borderId="2" xfId="0" applyNumberFormat="1" applyFill="1" applyBorder="1" applyAlignment="1">
      <alignment horizontal="center"/>
    </xf>
    <xf numFmtId="6" fontId="0" fillId="4" borderId="7" xfId="0" applyNumberFormat="1" applyFill="1" applyBorder="1" applyAlignment="1">
      <alignment horizontal="center"/>
    </xf>
    <xf numFmtId="6" fontId="0" fillId="4" borderId="0" xfId="0" applyNumberForma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6" fontId="0" fillId="4" borderId="4" xfId="0" applyNumberFormat="1" applyFill="1" applyBorder="1" applyAlignment="1">
      <alignment horizontal="center"/>
    </xf>
    <xf numFmtId="6" fontId="0" fillId="4" borderId="5" xfId="0" applyNumberFormat="1" applyFill="1" applyBorder="1" applyAlignment="1">
      <alignment horizontal="center"/>
    </xf>
    <xf numFmtId="6" fontId="0" fillId="4" borderId="6" xfId="0" applyNumberFormat="1" applyFill="1" applyBorder="1" applyAlignment="1">
      <alignment horizontal="center"/>
    </xf>
    <xf numFmtId="6" fontId="4" fillId="2" borderId="0" xfId="0" applyNumberFormat="1" applyFont="1" applyFill="1" applyBorder="1" applyAlignment="1">
      <alignment horizontal="center"/>
    </xf>
    <xf numFmtId="6" fontId="4" fillId="2" borderId="10" xfId="0" applyNumberFormat="1" applyFont="1" applyFill="1" applyBorder="1" applyAlignment="1">
      <alignment horizontal="center"/>
    </xf>
    <xf numFmtId="6" fontId="4" fillId="2" borderId="30" xfId="0" applyNumberFormat="1" applyFont="1" applyFill="1" applyBorder="1" applyAlignment="1">
      <alignment horizontal="center"/>
    </xf>
    <xf numFmtId="6" fontId="4" fillId="2" borderId="4" xfId="0" applyNumberFormat="1" applyFont="1" applyFill="1" applyBorder="1" applyAlignment="1">
      <alignment horizontal="center"/>
    </xf>
    <xf numFmtId="6" fontId="4" fillId="2" borderId="11" xfId="0" applyNumberFormat="1" applyFont="1" applyFill="1" applyBorder="1" applyAlignment="1">
      <alignment horizontal="center"/>
    </xf>
    <xf numFmtId="6" fontId="4" fillId="2" borderId="5" xfId="0" applyNumberFormat="1" applyFont="1" applyFill="1" applyBorder="1" applyAlignment="1">
      <alignment horizontal="center"/>
    </xf>
    <xf numFmtId="6" fontId="4" fillId="2" borderId="12" xfId="0" applyNumberFormat="1" applyFont="1" applyFill="1" applyBorder="1" applyAlignment="1">
      <alignment horizontal="center"/>
    </xf>
    <xf numFmtId="6" fontId="4" fillId="2" borderId="31" xfId="0" applyNumberFormat="1" applyFont="1" applyFill="1" applyBorder="1" applyAlignment="1">
      <alignment horizontal="center"/>
    </xf>
    <xf numFmtId="6" fontId="4" fillId="2" borderId="6" xfId="0" applyNumberFormat="1" applyFont="1" applyFill="1" applyBorder="1" applyAlignment="1">
      <alignment horizontal="center"/>
    </xf>
    <xf numFmtId="6" fontId="4" fillId="2" borderId="3" xfId="0" applyNumberFormat="1" applyFont="1" applyFill="1" applyBorder="1" applyAlignment="1">
      <alignment horizontal="center"/>
    </xf>
    <xf numFmtId="6" fontId="4" fillId="2" borderId="2" xfId="0" applyNumberFormat="1" applyFont="1" applyFill="1" applyBorder="1" applyAlignment="1">
      <alignment horizontal="center"/>
    </xf>
    <xf numFmtId="6" fontId="4" fillId="2" borderId="7" xfId="0" applyNumberFormat="1" applyFont="1" applyFill="1" applyBorder="1" applyAlignment="1">
      <alignment horizontal="center"/>
    </xf>
    <xf numFmtId="6" fontId="0" fillId="4" borderId="30" xfId="0" applyNumberFormat="1" applyFill="1" applyBorder="1" applyAlignment="1">
      <alignment horizontal="center"/>
    </xf>
    <xf numFmtId="6" fontId="0" fillId="4" borderId="31" xfId="0" applyNumberForma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6" fontId="3" fillId="2" borderId="13" xfId="0" applyNumberFormat="1" applyFont="1" applyFill="1" applyBorder="1" applyAlignment="1">
      <alignment horizontal="center"/>
    </xf>
    <xf numFmtId="6" fontId="3" fillId="2" borderId="27" xfId="0" applyNumberFormat="1" applyFont="1" applyFill="1" applyBorder="1" applyAlignment="1">
      <alignment horizontal="center"/>
    </xf>
    <xf numFmtId="6" fontId="3" fillId="2" borderId="15" xfId="0" applyNumberFormat="1" applyFont="1" applyFill="1" applyBorder="1" applyAlignment="1">
      <alignment horizontal="center"/>
    </xf>
    <xf numFmtId="6" fontId="3" fillId="2" borderId="12" xfId="0" applyNumberFormat="1" applyFont="1" applyFill="1" applyBorder="1" applyAlignment="1">
      <alignment horizontal="center"/>
    </xf>
    <xf numFmtId="6" fontId="3" fillId="2" borderId="7" xfId="0" applyNumberFormat="1" applyFont="1" applyFill="1" applyBorder="1" applyAlignment="1">
      <alignment horizontal="center"/>
    </xf>
    <xf numFmtId="6" fontId="3" fillId="2" borderId="31" xfId="0" applyNumberFormat="1" applyFont="1" applyFill="1" applyBorder="1" applyAlignment="1">
      <alignment horizontal="center"/>
    </xf>
    <xf numFmtId="6" fontId="7" fillId="4" borderId="31" xfId="0" applyNumberFormat="1" applyFont="1" applyFill="1" applyBorder="1" applyAlignment="1">
      <alignment horizontal="center"/>
    </xf>
    <xf numFmtId="6" fontId="3" fillId="2" borderId="6" xfId="0" applyNumberFormat="1" applyFont="1" applyFill="1" applyBorder="1" applyAlignment="1">
      <alignment horizontal="center"/>
    </xf>
    <xf numFmtId="6" fontId="7" fillId="4" borderId="6" xfId="0" applyNumberFormat="1" applyFont="1" applyFill="1" applyBorder="1" applyAlignment="1">
      <alignment horizontal="center"/>
    </xf>
    <xf numFmtId="17" fontId="3" fillId="2" borderId="12" xfId="0" applyNumberFormat="1" applyFont="1" applyFill="1" applyBorder="1" applyAlignment="1">
      <alignment horizontal="center"/>
    </xf>
    <xf numFmtId="6" fontId="7" fillId="4" borderId="7" xfId="0" applyNumberFormat="1" applyFont="1" applyFill="1" applyBorder="1" applyAlignment="1">
      <alignment horizontal="center"/>
    </xf>
    <xf numFmtId="182" fontId="8" fillId="3" borderId="10" xfId="0" applyNumberFormat="1" applyFont="1" applyFill="1" applyBorder="1" applyAlignment="1">
      <alignment horizontal="center"/>
    </xf>
    <xf numFmtId="182" fontId="8" fillId="3" borderId="4" xfId="0" applyNumberFormat="1" applyFont="1" applyFill="1" applyBorder="1" applyAlignment="1">
      <alignment horizontal="center"/>
    </xf>
    <xf numFmtId="182" fontId="8" fillId="3" borderId="13" xfId="0" applyNumberFormat="1" applyFont="1" applyFill="1" applyBorder="1" applyAlignment="1">
      <alignment horizontal="center"/>
    </xf>
    <xf numFmtId="182" fontId="8" fillId="3" borderId="14" xfId="0" applyNumberFormat="1" applyFont="1" applyFill="1" applyBorder="1" applyAlignment="1">
      <alignment horizontal="center"/>
    </xf>
    <xf numFmtId="182" fontId="8" fillId="3" borderId="15" xfId="0" applyNumberFormat="1" applyFont="1" applyFill="1" applyBorder="1" applyAlignment="1">
      <alignment horizontal="center"/>
    </xf>
    <xf numFmtId="182" fontId="8" fillId="3" borderId="11" xfId="0" applyNumberFormat="1" applyFont="1" applyFill="1" applyBorder="1" applyAlignment="1">
      <alignment horizontal="center"/>
    </xf>
    <xf numFmtId="182" fontId="8" fillId="3" borderId="0" xfId="0" applyNumberFormat="1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8" fillId="10" borderId="13" xfId="0" applyFont="1" applyFill="1" applyBorder="1" applyAlignment="1">
      <alignment horizontal="center"/>
    </xf>
    <xf numFmtId="0" fontId="8" fillId="10" borderId="14" xfId="0" applyFont="1" applyFill="1" applyBorder="1" applyAlignment="1">
      <alignment horizontal="center"/>
    </xf>
    <xf numFmtId="0" fontId="8" fillId="1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518160</xdr:colOff>
          <xdr:row>0</xdr:row>
          <xdr:rowOff>167640</xdr:rowOff>
        </xdr:from>
        <xdr:to>
          <xdr:col>12</xdr:col>
          <xdr:colOff>182880</xdr:colOff>
          <xdr:row>3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to Prior</a:t>
              </a:r>
            </a:p>
          </xdr:txBody>
        </xdr:sp>
        <xdr:clientData fPrintsWithSheet="0"/>
      </xdr:twoCellAnchor>
    </mc:Choice>
    <mc:Fallback/>
  </mc:AlternateContent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NGc10 LAST" advise="1">
        <values>
          <value>
            <val>3.61</val>
          </value>
        </values>
      </ddeItem>
      <ddeItem name="NGc11 LAST" advise="1">
        <values>
          <value>
            <val>3.5</val>
          </value>
        </values>
      </ddeItem>
      <ddeItem name="NGc12 LAST" advise="1">
        <values>
          <value>
            <val>3.5</val>
          </value>
        </values>
      </ddeItem>
      <ddeItem name="NGc13 LAST" advise="1">
        <values>
          <value>
            <val>3.48</val>
          </value>
        </values>
      </ddeItem>
      <ddeItem name="NGc14 LAST" advise="1">
        <values>
          <value>
            <val>3.49</val>
          </value>
        </values>
      </ddeItem>
      <ddeItem name="NGc15 LAST" advise="1">
        <values>
          <value>
            <val>3.5049999999999999</val>
          </value>
        </values>
      </ddeItem>
      <ddeItem name="NGc16 LAST" advise="1"/>
      <ddeItem name="NGc17 LAST" advise="1"/>
      <ddeItem name="NGc18 LAST" advise="1"/>
      <ddeItem name="NGc19 LAST" advise="1"/>
      <ddeItem name="NGc2 LAST" advise="1">
        <values>
          <value>
            <val>4.0549999999999997</val>
          </value>
        </values>
      </ddeItem>
      <ddeItem name="NGc3 LAST" advise="1">
        <values>
          <value>
            <val>4.03</val>
          </value>
        </values>
      </ddeItem>
      <ddeItem name="NGc4 LAST" advise="1">
        <values>
          <value>
            <val>4.04</val>
          </value>
        </values>
      </ddeItem>
      <ddeItem name="NGc5 LAST" advise="1">
        <values>
          <value>
            <val>4.1500000000000004</val>
          </value>
        </values>
      </ddeItem>
      <ddeItem name="NGc6 LAST" advise="1">
        <values>
          <value>
            <val>4.2300000000000004</val>
          </value>
        </values>
      </ddeItem>
      <ddeItem name="NGc7 LAST" advise="1">
        <values>
          <value>
            <val>4.2300000000000004</val>
          </value>
        </values>
      </ddeItem>
      <ddeItem name="NGc8 LAST" advise="1">
        <values>
          <value>
            <val>4.05</val>
          </value>
        </values>
      </ddeItem>
      <ddeItem name="NGc9 LAST" advise="1">
        <values>
          <value>
            <val>3.85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ctrlProp" Target="../ctrlProps/ctrlProp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6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J197"/>
  <sheetViews>
    <sheetView tabSelected="1" zoomScale="80" workbookViewId="0">
      <pane xSplit="2" topLeftCell="C1" activePane="topRight" state="frozen"/>
      <selection pane="topRight" activeCell="H2" sqref="H2"/>
    </sheetView>
  </sheetViews>
  <sheetFormatPr defaultColWidth="9.109375" defaultRowHeight="13.2" x14ac:dyDescent="0.25"/>
  <cols>
    <col min="1" max="1" width="15.5546875" style="1" bestFit="1" customWidth="1"/>
    <col min="2" max="2" width="20.6640625" style="2" customWidth="1"/>
    <col min="3" max="3" width="10.5546875" style="3" customWidth="1"/>
    <col min="4" max="4" width="15.5546875" style="12" customWidth="1"/>
    <col min="5" max="5" width="12.5546875" style="2" customWidth="1"/>
    <col min="6" max="7" width="11.6640625" style="2" customWidth="1"/>
    <col min="8" max="8" width="12" style="1" customWidth="1"/>
    <col min="9" max="9" width="11.33203125" style="1" customWidth="1"/>
    <col min="10" max="10" width="11.44140625" style="1" customWidth="1"/>
    <col min="11" max="11" width="14" style="1" bestFit="1" customWidth="1"/>
    <col min="12" max="12" width="10.6640625" style="1" bestFit="1" customWidth="1"/>
    <col min="13" max="13" width="12" style="1" bestFit="1" customWidth="1"/>
    <col min="14" max="14" width="10.33203125" style="1" customWidth="1"/>
    <col min="15" max="15" width="9.109375" style="1"/>
    <col min="16" max="16" width="11.6640625" style="1" customWidth="1"/>
    <col min="17" max="17" width="13.5546875" style="1" bestFit="1" customWidth="1"/>
    <col min="18" max="16384" width="9.109375" style="1"/>
  </cols>
  <sheetData>
    <row r="1" spans="1:18" ht="18" thickBot="1" x14ac:dyDescent="0.35">
      <c r="A1" s="136" t="s">
        <v>23</v>
      </c>
      <c r="B1" s="137"/>
      <c r="D1" s="138" t="s">
        <v>13</v>
      </c>
      <c r="E1" s="139"/>
      <c r="F1" s="140"/>
      <c r="G1" s="1"/>
      <c r="H1" s="141" t="s">
        <v>37</v>
      </c>
      <c r="I1" s="142"/>
      <c r="J1" s="142"/>
    </row>
    <row r="2" spans="1:18" ht="13.8" thickBot="1" x14ac:dyDescent="0.3">
      <c r="A2" s="83" t="s">
        <v>9</v>
      </c>
      <c r="B2" s="86" t="s">
        <v>29</v>
      </c>
      <c r="D2" s="84" t="s">
        <v>28</v>
      </c>
      <c r="E2" s="88" t="s">
        <v>27</v>
      </c>
      <c r="F2" s="85" t="s">
        <v>4</v>
      </c>
      <c r="G2" s="1"/>
      <c r="H2" s="83" t="s">
        <v>27</v>
      </c>
      <c r="I2" s="124" t="s">
        <v>4</v>
      </c>
      <c r="J2" s="85" t="s">
        <v>22</v>
      </c>
    </row>
    <row r="3" spans="1:18" ht="16.2" thickBot="1" x14ac:dyDescent="0.35">
      <c r="A3" s="40">
        <v>36708</v>
      </c>
      <c r="B3" s="37" t="e">
        <f>VLOOKUP(#REF!,$A$12:$B$29,2)</f>
        <v>#REF!</v>
      </c>
      <c r="C3" s="4"/>
      <c r="D3" s="43">
        <f t="shared" ref="D3:D8" si="0">+A3</f>
        <v>36708</v>
      </c>
      <c r="E3" s="15">
        <f t="shared" ref="E3:E8" si="1">+G31</f>
        <v>0</v>
      </c>
      <c r="F3" s="30">
        <f t="shared" ref="F3:F8" si="2">+Q31</f>
        <v>-44.1</v>
      </c>
      <c r="G3" s="5"/>
      <c r="H3" s="125" t="e">
        <f>+'P&amp;L'!F24</f>
        <v>#REF!</v>
      </c>
      <c r="I3" s="126">
        <f>+'P&amp;L'!P24</f>
        <v>-99367.5</v>
      </c>
      <c r="J3" s="127" t="e">
        <f>+H3+I3</f>
        <v>#REF!</v>
      </c>
      <c r="K3" s="6"/>
      <c r="L3" s="7"/>
      <c r="M3" s="7"/>
    </row>
    <row r="4" spans="1:18" ht="15.6" x14ac:dyDescent="0.3">
      <c r="A4" s="41">
        <v>36739</v>
      </c>
      <c r="B4" s="38">
        <f>VLOOKUP(A12,$A$12:$B$29,2)</f>
        <v>4.0549999999999997</v>
      </c>
      <c r="C4" s="4"/>
      <c r="D4" s="44">
        <f t="shared" si="0"/>
        <v>36739</v>
      </c>
      <c r="E4" s="17">
        <f t="shared" si="1"/>
        <v>0</v>
      </c>
      <c r="F4" s="31">
        <f t="shared" si="2"/>
        <v>-77.600000000000009</v>
      </c>
      <c r="G4" s="8"/>
      <c r="H4" s="8"/>
      <c r="I4" s="8"/>
      <c r="J4" s="8"/>
      <c r="K4" s="6"/>
      <c r="L4" s="7"/>
      <c r="M4" s="7"/>
    </row>
    <row r="5" spans="1:18" s="11" customFormat="1" ht="15.6" x14ac:dyDescent="0.3">
      <c r="A5" s="41" t="s">
        <v>16</v>
      </c>
      <c r="B5" s="38">
        <f>SUM(B12:B15)/4</f>
        <v>4.0687499999999996</v>
      </c>
      <c r="C5" s="4"/>
      <c r="D5" s="44" t="str">
        <f t="shared" si="0"/>
        <v>Jul-Oct'0</v>
      </c>
      <c r="E5" s="17">
        <f t="shared" si="1"/>
        <v>0</v>
      </c>
      <c r="F5" s="31">
        <f t="shared" si="2"/>
        <v>-497.8</v>
      </c>
      <c r="G5" s="8"/>
      <c r="H5" s="8"/>
      <c r="I5" s="8"/>
      <c r="J5" s="8"/>
      <c r="K5" s="9"/>
      <c r="L5" s="10"/>
      <c r="M5" s="10"/>
    </row>
    <row r="6" spans="1:18" s="11" customFormat="1" ht="15.6" x14ac:dyDescent="0.3">
      <c r="A6" s="41" t="s">
        <v>18</v>
      </c>
      <c r="B6" s="38" t="e">
        <f>SUM(B21:B27)/7</f>
        <v>#REF!</v>
      </c>
      <c r="C6" s="4"/>
      <c r="D6" s="44" t="str">
        <f t="shared" si="0"/>
        <v>Apr'1-Oct'1</v>
      </c>
      <c r="E6" s="17">
        <f t="shared" si="1"/>
        <v>0</v>
      </c>
      <c r="F6" s="31">
        <f t="shared" si="2"/>
        <v>302.60000000000002</v>
      </c>
      <c r="G6" s="8"/>
      <c r="H6" s="8"/>
      <c r="I6" s="8"/>
      <c r="J6" s="8"/>
      <c r="K6" s="9"/>
      <c r="L6" s="10"/>
      <c r="M6" s="10"/>
    </row>
    <row r="7" spans="1:18" ht="15.6" x14ac:dyDescent="0.3">
      <c r="A7" s="41" t="s">
        <v>14</v>
      </c>
      <c r="B7" s="38">
        <f>AVERAGE(B12:B23)</f>
        <v>3.8937499999999994</v>
      </c>
      <c r="C7" s="4"/>
      <c r="D7" s="44" t="str">
        <f t="shared" si="0"/>
        <v>Prompt 1 Yr</v>
      </c>
      <c r="E7" s="17">
        <f t="shared" si="1"/>
        <v>0</v>
      </c>
      <c r="F7" s="31">
        <f t="shared" si="2"/>
        <v>-324.10000000000002</v>
      </c>
      <c r="G7" s="8"/>
      <c r="H7" s="8"/>
      <c r="I7" s="8"/>
      <c r="J7" s="8"/>
      <c r="K7" s="6"/>
      <c r="L7" s="7"/>
      <c r="M7" s="10"/>
    </row>
    <row r="8" spans="1:18" ht="16.2" thickBot="1" x14ac:dyDescent="0.35">
      <c r="A8" s="42" t="s">
        <v>17</v>
      </c>
      <c r="B8" s="39" t="e">
        <f>AVERAGE(B18:B28)</f>
        <v>#REF!</v>
      </c>
      <c r="C8" s="4"/>
      <c r="D8" s="45" t="str">
        <f t="shared" si="0"/>
        <v>Cal'01</v>
      </c>
      <c r="E8" s="33">
        <f t="shared" si="1"/>
        <v>0</v>
      </c>
      <c r="F8" s="32">
        <f t="shared" si="2"/>
        <v>302.60000000000002</v>
      </c>
      <c r="G8" s="8"/>
      <c r="H8" s="8"/>
      <c r="I8" s="8"/>
      <c r="J8" s="8"/>
      <c r="K8" s="6"/>
      <c r="L8" s="7"/>
      <c r="M8" s="7"/>
    </row>
    <row r="9" spans="1:18" ht="13.8" thickBot="1" x14ac:dyDescent="0.3"/>
    <row r="10" spans="1:18" ht="15.6" x14ac:dyDescent="0.3">
      <c r="A10" s="76" t="s">
        <v>9</v>
      </c>
      <c r="B10" s="71" t="s">
        <v>11</v>
      </c>
      <c r="C10" s="71" t="s">
        <v>0</v>
      </c>
      <c r="D10" s="71" t="s">
        <v>25</v>
      </c>
      <c r="E10" s="71" t="s">
        <v>3</v>
      </c>
      <c r="F10" s="71" t="s">
        <v>26</v>
      </c>
      <c r="G10" s="71" t="s">
        <v>1</v>
      </c>
      <c r="H10" s="72" t="s">
        <v>19</v>
      </c>
      <c r="I10" s="73" t="s">
        <v>3</v>
      </c>
      <c r="J10" s="73" t="s">
        <v>5</v>
      </c>
      <c r="K10" s="73" t="s">
        <v>20</v>
      </c>
      <c r="L10" s="73" t="s">
        <v>15</v>
      </c>
      <c r="M10" s="73" t="s">
        <v>6</v>
      </c>
      <c r="N10" s="73" t="s">
        <v>7</v>
      </c>
      <c r="O10" s="73" t="s">
        <v>8</v>
      </c>
      <c r="P10" s="73" t="s">
        <v>21</v>
      </c>
      <c r="Q10" s="73" t="s">
        <v>22</v>
      </c>
    </row>
    <row r="11" spans="1:18" ht="16.2" thickBot="1" x14ac:dyDescent="0.35">
      <c r="A11" s="77"/>
      <c r="B11" s="74" t="s">
        <v>10</v>
      </c>
      <c r="C11" s="74" t="s">
        <v>24</v>
      </c>
      <c r="D11" s="74" t="s">
        <v>24</v>
      </c>
      <c r="E11" s="74" t="s">
        <v>24</v>
      </c>
      <c r="F11" s="74" t="s">
        <v>24</v>
      </c>
      <c r="G11" s="74" t="s">
        <v>24</v>
      </c>
      <c r="H11" s="75" t="s">
        <v>4</v>
      </c>
      <c r="I11" s="75" t="s">
        <v>4</v>
      </c>
      <c r="J11" s="75" t="s">
        <v>4</v>
      </c>
      <c r="K11" s="75" t="s">
        <v>4</v>
      </c>
      <c r="L11" s="75" t="s">
        <v>4</v>
      </c>
      <c r="M11" s="75" t="s">
        <v>4</v>
      </c>
      <c r="N11" s="75" t="s">
        <v>4</v>
      </c>
      <c r="O11" s="75" t="s">
        <v>4</v>
      </c>
      <c r="P11" s="75" t="s">
        <v>4</v>
      </c>
      <c r="Q11" s="75" t="s">
        <v>4</v>
      </c>
    </row>
    <row r="12" spans="1:18" x14ac:dyDescent="0.25">
      <c r="A12" s="36">
        <v>36708</v>
      </c>
      <c r="B12" s="13">
        <f>[1]!'NGc2 LAST'</f>
        <v>4.0549999999999997</v>
      </c>
      <c r="C12" s="14">
        <v>0</v>
      </c>
      <c r="D12" s="14">
        <v>0</v>
      </c>
      <c r="E12" s="14">
        <v>0</v>
      </c>
      <c r="F12" s="14">
        <v>0</v>
      </c>
      <c r="G12" s="14">
        <f>SUM(C12:F12)</f>
        <v>0</v>
      </c>
      <c r="H12" s="14">
        <f>65.1+30-30-30-30</f>
        <v>5.0999999999999943</v>
      </c>
      <c r="I12" s="14">
        <v>15.4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f>-169.6-15+15+30+30+30+30-15-15+15</f>
        <v>-64.599999999999994</v>
      </c>
      <c r="Q12" s="34">
        <f>SUM(I12:P12)</f>
        <v>-49.199999999999996</v>
      </c>
      <c r="R12" s="16"/>
    </row>
    <row r="13" spans="1:18" x14ac:dyDescent="0.25">
      <c r="A13" s="36">
        <v>36739</v>
      </c>
      <c r="B13" s="13">
        <f>[1]!'NGc3 LAST'</f>
        <v>4.03</v>
      </c>
      <c r="C13" s="14">
        <v>0</v>
      </c>
      <c r="D13" s="14">
        <v>0</v>
      </c>
      <c r="E13" s="14">
        <v>0</v>
      </c>
      <c r="F13" s="14">
        <v>0</v>
      </c>
      <c r="G13" s="14">
        <f t="shared" ref="G13:G29" si="3">SUM(C13:F13)</f>
        <v>0</v>
      </c>
      <c r="H13" s="14">
        <v>0</v>
      </c>
      <c r="I13" s="14">
        <v>15.3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f>-137.9+30+30-15</f>
        <v>-92.9</v>
      </c>
      <c r="Q13" s="35">
        <f t="shared" ref="Q13:Q29" si="4">SUM(I13:P13)</f>
        <v>-77.600000000000009</v>
      </c>
      <c r="R13" s="16"/>
    </row>
    <row r="14" spans="1:18" x14ac:dyDescent="0.25">
      <c r="A14" s="36">
        <v>36770</v>
      </c>
      <c r="B14" s="13">
        <f>[1]!'NGc4 LAST'</f>
        <v>4.04</v>
      </c>
      <c r="C14" s="14">
        <v>0</v>
      </c>
      <c r="D14" s="14">
        <v>0</v>
      </c>
      <c r="E14" s="14">
        <v>0</v>
      </c>
      <c r="F14" s="14">
        <v>0</v>
      </c>
      <c r="G14" s="14">
        <f t="shared" si="3"/>
        <v>0</v>
      </c>
      <c r="H14" s="14">
        <v>0</v>
      </c>
      <c r="I14" s="14">
        <v>14.7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f>-132.7+30+30-15</f>
        <v>-87.699999999999989</v>
      </c>
      <c r="Q14" s="35">
        <f t="shared" si="4"/>
        <v>-72.999999999999986</v>
      </c>
      <c r="R14" s="16"/>
    </row>
    <row r="15" spans="1:18" x14ac:dyDescent="0.25">
      <c r="A15" s="36">
        <v>36800</v>
      </c>
      <c r="B15" s="13">
        <f>[1]!'NGc5 LAST'</f>
        <v>4.1500000000000004</v>
      </c>
      <c r="C15" s="14">
        <v>0</v>
      </c>
      <c r="D15" s="14">
        <v>0</v>
      </c>
      <c r="E15" s="14">
        <v>0</v>
      </c>
      <c r="F15" s="14">
        <v>0</v>
      </c>
      <c r="G15" s="14">
        <f t="shared" si="3"/>
        <v>0</v>
      </c>
      <c r="H15" s="14">
        <v>0</v>
      </c>
      <c r="I15" s="14">
        <v>-151.19999999999999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f>-196.9+30+30-15</f>
        <v>-151.9</v>
      </c>
      <c r="Q15" s="35">
        <f t="shared" si="4"/>
        <v>-303.10000000000002</v>
      </c>
      <c r="R15" s="16"/>
    </row>
    <row r="16" spans="1:18" x14ac:dyDescent="0.25">
      <c r="A16" s="36">
        <v>36831</v>
      </c>
      <c r="B16" s="13">
        <f>[1]!'NGc6 LAST'</f>
        <v>4.2300000000000004</v>
      </c>
      <c r="C16" s="14">
        <v>0</v>
      </c>
      <c r="D16" s="14">
        <v>0</v>
      </c>
      <c r="E16" s="14">
        <v>0</v>
      </c>
      <c r="F16" s="14">
        <v>0</v>
      </c>
      <c r="G16" s="14">
        <f t="shared" si="3"/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35">
        <f t="shared" si="4"/>
        <v>0</v>
      </c>
      <c r="R16" s="16"/>
    </row>
    <row r="17" spans="1:36" x14ac:dyDescent="0.25">
      <c r="A17" s="36">
        <v>36861</v>
      </c>
      <c r="B17" s="13">
        <f>[1]!'NGc7 LAST'</f>
        <v>4.2300000000000004</v>
      </c>
      <c r="C17" s="14">
        <v>0</v>
      </c>
      <c r="D17" s="14">
        <v>0</v>
      </c>
      <c r="E17" s="14">
        <v>0</v>
      </c>
      <c r="F17" s="14">
        <v>0</v>
      </c>
      <c r="G17" s="14">
        <f t="shared" si="3"/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35">
        <f t="shared" si="4"/>
        <v>0</v>
      </c>
      <c r="R17" s="16"/>
    </row>
    <row r="18" spans="1:36" x14ac:dyDescent="0.25">
      <c r="A18" s="36">
        <v>36892</v>
      </c>
      <c r="B18" s="13">
        <f>[1]!'NGc8 LAST'</f>
        <v>4.05</v>
      </c>
      <c r="C18" s="14">
        <v>0</v>
      </c>
      <c r="D18" s="14">
        <v>0</v>
      </c>
      <c r="E18" s="14">
        <v>0</v>
      </c>
      <c r="F18" s="14">
        <v>0</v>
      </c>
      <c r="G18" s="14">
        <f t="shared" si="3"/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35">
        <f t="shared" si="4"/>
        <v>0</v>
      </c>
      <c r="R18" s="16"/>
    </row>
    <row r="19" spans="1:36" x14ac:dyDescent="0.25">
      <c r="A19" s="36">
        <v>36923</v>
      </c>
      <c r="B19" s="13">
        <f>[1]!'NGc9 LAST'</f>
        <v>3.85</v>
      </c>
      <c r="C19" s="14">
        <v>0</v>
      </c>
      <c r="D19" s="14">
        <v>0</v>
      </c>
      <c r="E19" s="14">
        <v>0</v>
      </c>
      <c r="F19" s="14">
        <v>0</v>
      </c>
      <c r="G19" s="14">
        <f t="shared" si="3"/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35">
        <f t="shared" si="4"/>
        <v>0</v>
      </c>
      <c r="R19" s="16"/>
    </row>
    <row r="20" spans="1:36" x14ac:dyDescent="0.25">
      <c r="A20" s="36">
        <v>36951</v>
      </c>
      <c r="B20" s="13">
        <f>[1]!'NGc10 LAST'</f>
        <v>3.61</v>
      </c>
      <c r="C20" s="14">
        <v>0</v>
      </c>
      <c r="D20" s="14">
        <v>0</v>
      </c>
      <c r="E20" s="14">
        <v>0</v>
      </c>
      <c r="F20" s="14">
        <v>0</v>
      </c>
      <c r="G20" s="14">
        <f t="shared" si="3"/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35">
        <f t="shared" si="4"/>
        <v>0</v>
      </c>
      <c r="R20" s="16"/>
    </row>
    <row r="21" spans="1:36" x14ac:dyDescent="0.25">
      <c r="A21" s="36">
        <v>36982</v>
      </c>
      <c r="B21" s="13">
        <f>[1]!'NGc11 LAST'</f>
        <v>3.5</v>
      </c>
      <c r="C21" s="14">
        <v>0</v>
      </c>
      <c r="D21" s="14">
        <v>0</v>
      </c>
      <c r="E21" s="14">
        <v>0</v>
      </c>
      <c r="F21" s="14">
        <v>0</v>
      </c>
      <c r="G21" s="14">
        <f t="shared" si="3"/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f>28.2+15+15-15</f>
        <v>43.2</v>
      </c>
      <c r="Q21" s="35">
        <f t="shared" si="4"/>
        <v>43.2</v>
      </c>
      <c r="R21" s="16"/>
    </row>
    <row r="22" spans="1:36" x14ac:dyDescent="0.25">
      <c r="A22" s="36">
        <v>37012</v>
      </c>
      <c r="B22" s="13">
        <f>[1]!'NGc12 LAST'</f>
        <v>3.5</v>
      </c>
      <c r="C22" s="14">
        <v>0</v>
      </c>
      <c r="D22" s="14">
        <v>0</v>
      </c>
      <c r="E22" s="14">
        <v>0</v>
      </c>
      <c r="F22" s="14">
        <v>0</v>
      </c>
      <c r="G22" s="14">
        <f t="shared" si="3"/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f>29+15+15-15</f>
        <v>44</v>
      </c>
      <c r="Q22" s="35">
        <f t="shared" si="4"/>
        <v>44</v>
      </c>
      <c r="R22" s="16"/>
    </row>
    <row r="23" spans="1:36" x14ac:dyDescent="0.25">
      <c r="A23" s="36">
        <v>37043</v>
      </c>
      <c r="B23" s="13">
        <f>[1]!'NGc13 LAST'</f>
        <v>3.48</v>
      </c>
      <c r="C23" s="14">
        <v>0</v>
      </c>
      <c r="D23" s="14">
        <v>0</v>
      </c>
      <c r="E23" s="14">
        <v>0</v>
      </c>
      <c r="F23" s="14">
        <v>0</v>
      </c>
      <c r="G23" s="14">
        <f t="shared" si="3"/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f>27.9+15+15-15</f>
        <v>42.9</v>
      </c>
      <c r="Q23" s="35">
        <f t="shared" si="4"/>
        <v>42.9</v>
      </c>
      <c r="R23" s="16"/>
    </row>
    <row r="24" spans="1:36" x14ac:dyDescent="0.25">
      <c r="A24" s="36">
        <v>37073</v>
      </c>
      <c r="B24" s="13">
        <f>[1]!'NGc14 LAST'</f>
        <v>3.49</v>
      </c>
      <c r="C24" s="14">
        <v>0</v>
      </c>
      <c r="D24" s="14">
        <v>0</v>
      </c>
      <c r="E24" s="14">
        <v>0</v>
      </c>
      <c r="F24" s="14">
        <v>0</v>
      </c>
      <c r="G24" s="14">
        <f t="shared" si="3"/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f>28.6+15+15-15</f>
        <v>43.6</v>
      </c>
      <c r="Q24" s="35">
        <f t="shared" si="4"/>
        <v>43.6</v>
      </c>
      <c r="R24" s="16"/>
    </row>
    <row r="25" spans="1:36" x14ac:dyDescent="0.25">
      <c r="A25" s="36">
        <v>37104</v>
      </c>
      <c r="B25" s="13">
        <f>[1]!'NGc15 LAST'</f>
        <v>3.5049999999999999</v>
      </c>
      <c r="C25" s="14">
        <v>0</v>
      </c>
      <c r="D25" s="14">
        <v>0</v>
      </c>
      <c r="E25" s="14">
        <v>0</v>
      </c>
      <c r="F25" s="14">
        <v>0</v>
      </c>
      <c r="G25" s="14">
        <f t="shared" si="3"/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f>28.4+15+15-15</f>
        <v>43.4</v>
      </c>
      <c r="Q25" s="35">
        <f t="shared" si="4"/>
        <v>43.4</v>
      </c>
      <c r="R25" s="16"/>
    </row>
    <row r="26" spans="1:36" x14ac:dyDescent="0.25">
      <c r="A26" s="36">
        <v>37135</v>
      </c>
      <c r="B26" s="13" t="e">
        <f>[1]!'NGc16 LAST'</f>
        <v>#REF!</v>
      </c>
      <c r="C26" s="14">
        <v>0</v>
      </c>
      <c r="D26" s="14">
        <v>0</v>
      </c>
      <c r="E26" s="14">
        <v>0</v>
      </c>
      <c r="F26" s="14">
        <v>0</v>
      </c>
      <c r="G26" s="14">
        <f t="shared" si="3"/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f>27.4+15+15-15</f>
        <v>42.4</v>
      </c>
      <c r="Q26" s="35">
        <f t="shared" si="4"/>
        <v>42.4</v>
      </c>
      <c r="R26" s="16"/>
    </row>
    <row r="27" spans="1:36" x14ac:dyDescent="0.25">
      <c r="A27" s="36">
        <v>37165</v>
      </c>
      <c r="B27" s="13" t="e">
        <f>[1]!'NGc17 LAST'</f>
        <v>#REF!</v>
      </c>
      <c r="C27" s="14">
        <v>0</v>
      </c>
      <c r="D27" s="14">
        <v>0</v>
      </c>
      <c r="E27" s="14">
        <v>0</v>
      </c>
      <c r="F27" s="14">
        <v>0</v>
      </c>
      <c r="G27" s="14">
        <f t="shared" si="3"/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f>28.1+15+15-15</f>
        <v>43.1</v>
      </c>
      <c r="Q27" s="35">
        <f t="shared" si="4"/>
        <v>43.1</v>
      </c>
      <c r="R27" s="16"/>
    </row>
    <row r="28" spans="1:36" x14ac:dyDescent="0.25">
      <c r="A28" s="36">
        <v>37196</v>
      </c>
      <c r="B28" s="13" t="e">
        <f>[1]!'NGc18 LAST'</f>
        <v>#REF!</v>
      </c>
      <c r="C28" s="14">
        <v>0</v>
      </c>
      <c r="D28" s="14">
        <v>0</v>
      </c>
      <c r="E28" s="14">
        <v>0</v>
      </c>
      <c r="F28" s="14">
        <v>0</v>
      </c>
      <c r="G28" s="14">
        <f t="shared" si="3"/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35">
        <f t="shared" si="4"/>
        <v>0</v>
      </c>
      <c r="R28" s="16"/>
    </row>
    <row r="29" spans="1:36" ht="13.8" thickBot="1" x14ac:dyDescent="0.3">
      <c r="A29" s="36">
        <v>37226</v>
      </c>
      <c r="B29" s="13" t="e">
        <f>[1]!'NGc19 LAST'</f>
        <v>#REF!</v>
      </c>
      <c r="C29" s="14">
        <v>0</v>
      </c>
      <c r="D29" s="14">
        <v>0</v>
      </c>
      <c r="E29" s="14">
        <v>0</v>
      </c>
      <c r="F29" s="14">
        <v>0</v>
      </c>
      <c r="G29" s="14">
        <f t="shared" si="3"/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35">
        <f t="shared" si="4"/>
        <v>0</v>
      </c>
      <c r="R29" s="16"/>
    </row>
    <row r="30" spans="1:36" s="82" customFormat="1" ht="16.2" thickBot="1" x14ac:dyDescent="0.35">
      <c r="A30" s="78" t="s">
        <v>12</v>
      </c>
      <c r="B30" s="79"/>
      <c r="C30" s="80">
        <f t="shared" ref="C30:Q30" si="5">SUM(C12:C29)</f>
        <v>0</v>
      </c>
      <c r="D30" s="80">
        <f t="shared" si="5"/>
        <v>0</v>
      </c>
      <c r="E30" s="80">
        <f t="shared" si="5"/>
        <v>0</v>
      </c>
      <c r="F30" s="80">
        <f t="shared" si="5"/>
        <v>0</v>
      </c>
      <c r="G30" s="80">
        <f t="shared" si="5"/>
        <v>0</v>
      </c>
      <c r="H30" s="80">
        <f t="shared" si="5"/>
        <v>5.0999999999999943</v>
      </c>
      <c r="I30" s="80">
        <f t="shared" si="5"/>
        <v>-105.79999999999998</v>
      </c>
      <c r="J30" s="80">
        <f t="shared" si="5"/>
        <v>0</v>
      </c>
      <c r="K30" s="80">
        <f t="shared" si="5"/>
        <v>0</v>
      </c>
      <c r="L30" s="80">
        <f t="shared" si="5"/>
        <v>0</v>
      </c>
      <c r="M30" s="80">
        <f t="shared" si="5"/>
        <v>0</v>
      </c>
      <c r="N30" s="80">
        <f t="shared" si="5"/>
        <v>0</v>
      </c>
      <c r="O30" s="80">
        <f t="shared" si="5"/>
        <v>0</v>
      </c>
      <c r="P30" s="81">
        <f t="shared" si="5"/>
        <v>-94.500000000000057</v>
      </c>
      <c r="Q30" s="87">
        <f t="shared" si="5"/>
        <v>-200.30000000000007</v>
      </c>
    </row>
    <row r="31" spans="1:36" s="7" customFormat="1" ht="16.2" thickBot="1" x14ac:dyDescent="0.35">
      <c r="A31" s="46">
        <f t="shared" ref="A31:A36" si="6">+A3</f>
        <v>36708</v>
      </c>
      <c r="B31" s="47"/>
      <c r="C31" s="48">
        <f t="shared" ref="C31:I32" si="7">+C12</f>
        <v>0</v>
      </c>
      <c r="D31" s="48">
        <f t="shared" si="7"/>
        <v>0</v>
      </c>
      <c r="E31" s="48">
        <f t="shared" si="7"/>
        <v>0</v>
      </c>
      <c r="F31" s="48">
        <f t="shared" si="7"/>
        <v>0</v>
      </c>
      <c r="G31" s="48">
        <f t="shared" si="7"/>
        <v>0</v>
      </c>
      <c r="H31" s="48">
        <f t="shared" si="7"/>
        <v>5.0999999999999943</v>
      </c>
      <c r="I31" s="48">
        <f t="shared" si="7"/>
        <v>15.4</v>
      </c>
      <c r="J31" s="48">
        <f t="shared" ref="J31:P31" si="8">+J12</f>
        <v>0</v>
      </c>
      <c r="K31" s="48">
        <f t="shared" si="8"/>
        <v>0</v>
      </c>
      <c r="L31" s="48">
        <f t="shared" si="8"/>
        <v>0</v>
      </c>
      <c r="M31" s="48">
        <f t="shared" si="8"/>
        <v>0</v>
      </c>
      <c r="N31" s="48">
        <f t="shared" si="8"/>
        <v>0</v>
      </c>
      <c r="O31" s="48">
        <f t="shared" si="8"/>
        <v>0</v>
      </c>
      <c r="P31" s="48">
        <f t="shared" si="8"/>
        <v>-64.599999999999994</v>
      </c>
      <c r="Q31" s="49">
        <f t="shared" ref="Q31:Q36" si="9">SUM(H31:P31)</f>
        <v>-44.1</v>
      </c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</row>
    <row r="32" spans="1:36" s="7" customFormat="1" ht="15.6" x14ac:dyDescent="0.3">
      <c r="A32" s="51">
        <f t="shared" si="6"/>
        <v>36739</v>
      </c>
      <c r="B32" s="52"/>
      <c r="C32" s="53">
        <f t="shared" si="7"/>
        <v>0</v>
      </c>
      <c r="D32" s="53">
        <f t="shared" si="7"/>
        <v>0</v>
      </c>
      <c r="E32" s="53">
        <f t="shared" si="7"/>
        <v>0</v>
      </c>
      <c r="F32" s="53">
        <f t="shared" si="7"/>
        <v>0</v>
      </c>
      <c r="G32" s="53">
        <f t="shared" si="7"/>
        <v>0</v>
      </c>
      <c r="H32" s="53">
        <f t="shared" si="7"/>
        <v>0</v>
      </c>
      <c r="I32" s="53">
        <f t="shared" si="7"/>
        <v>15.3</v>
      </c>
      <c r="J32" s="53">
        <f t="shared" ref="J32:P32" si="10">+J13</f>
        <v>0</v>
      </c>
      <c r="K32" s="53">
        <f t="shared" si="10"/>
        <v>0</v>
      </c>
      <c r="L32" s="53">
        <f t="shared" si="10"/>
        <v>0</v>
      </c>
      <c r="M32" s="53">
        <f t="shared" si="10"/>
        <v>0</v>
      </c>
      <c r="N32" s="53">
        <f t="shared" si="10"/>
        <v>0</v>
      </c>
      <c r="O32" s="53">
        <f t="shared" si="10"/>
        <v>0</v>
      </c>
      <c r="P32" s="53">
        <f t="shared" si="10"/>
        <v>-92.9</v>
      </c>
      <c r="Q32" s="54">
        <f t="shared" si="9"/>
        <v>-77.600000000000009</v>
      </c>
    </row>
    <row r="33" spans="1:17" s="7" customFormat="1" ht="15.6" x14ac:dyDescent="0.3">
      <c r="A33" s="55" t="str">
        <f t="shared" si="6"/>
        <v>Jul-Oct'0</v>
      </c>
      <c r="B33" s="56"/>
      <c r="C33" s="57">
        <f t="shared" ref="C33:I33" si="11">SUM(C12:C15)</f>
        <v>0</v>
      </c>
      <c r="D33" s="57">
        <f t="shared" si="11"/>
        <v>0</v>
      </c>
      <c r="E33" s="57">
        <f t="shared" si="11"/>
        <v>0</v>
      </c>
      <c r="F33" s="57">
        <f t="shared" si="11"/>
        <v>0</v>
      </c>
      <c r="G33" s="57">
        <f t="shared" si="11"/>
        <v>0</v>
      </c>
      <c r="H33" s="57">
        <f t="shared" si="11"/>
        <v>5.0999999999999943</v>
      </c>
      <c r="I33" s="57">
        <f t="shared" si="11"/>
        <v>-105.79999999999998</v>
      </c>
      <c r="J33" s="57">
        <f t="shared" ref="J33:P33" si="12">SUM(J12:J15)</f>
        <v>0</v>
      </c>
      <c r="K33" s="57">
        <f t="shared" si="12"/>
        <v>0</v>
      </c>
      <c r="L33" s="57">
        <f t="shared" si="12"/>
        <v>0</v>
      </c>
      <c r="M33" s="57">
        <f t="shared" si="12"/>
        <v>0</v>
      </c>
      <c r="N33" s="57">
        <f t="shared" si="12"/>
        <v>0</v>
      </c>
      <c r="O33" s="57">
        <f t="shared" si="12"/>
        <v>0</v>
      </c>
      <c r="P33" s="57">
        <f t="shared" si="12"/>
        <v>-397.1</v>
      </c>
      <c r="Q33" s="58">
        <f t="shared" si="9"/>
        <v>-497.8</v>
      </c>
    </row>
    <row r="34" spans="1:17" s="7" customFormat="1" ht="15.6" x14ac:dyDescent="0.3">
      <c r="A34" s="59" t="str">
        <f t="shared" si="6"/>
        <v>Apr'1-Oct'1</v>
      </c>
      <c r="B34" s="60"/>
      <c r="C34" s="61">
        <f t="shared" ref="C34:I34" si="13">SUM(C21:C27)</f>
        <v>0</v>
      </c>
      <c r="D34" s="61">
        <f t="shared" si="13"/>
        <v>0</v>
      </c>
      <c r="E34" s="61">
        <f t="shared" si="13"/>
        <v>0</v>
      </c>
      <c r="F34" s="61">
        <f t="shared" si="13"/>
        <v>0</v>
      </c>
      <c r="G34" s="61">
        <f t="shared" si="13"/>
        <v>0</v>
      </c>
      <c r="H34" s="61">
        <f t="shared" si="13"/>
        <v>0</v>
      </c>
      <c r="I34" s="61">
        <f t="shared" si="13"/>
        <v>0</v>
      </c>
      <c r="J34" s="61">
        <f t="shared" ref="J34:P34" si="14">SUM(J21:J27)</f>
        <v>0</v>
      </c>
      <c r="K34" s="61">
        <f t="shared" si="14"/>
        <v>0</v>
      </c>
      <c r="L34" s="61">
        <f t="shared" si="14"/>
        <v>0</v>
      </c>
      <c r="M34" s="61">
        <f t="shared" si="14"/>
        <v>0</v>
      </c>
      <c r="N34" s="61">
        <f t="shared" si="14"/>
        <v>0</v>
      </c>
      <c r="O34" s="61">
        <f t="shared" si="14"/>
        <v>0</v>
      </c>
      <c r="P34" s="61">
        <f t="shared" si="14"/>
        <v>302.60000000000002</v>
      </c>
      <c r="Q34" s="62">
        <f t="shared" si="9"/>
        <v>302.60000000000002</v>
      </c>
    </row>
    <row r="35" spans="1:17" s="7" customFormat="1" ht="15.6" x14ac:dyDescent="0.3">
      <c r="A35" s="63" t="str">
        <f t="shared" si="6"/>
        <v>Prompt 1 Yr</v>
      </c>
      <c r="B35" s="64"/>
      <c r="C35" s="65">
        <f t="shared" ref="C35:I35" si="15">SUM(C12:C24)</f>
        <v>0</v>
      </c>
      <c r="D35" s="65">
        <f t="shared" si="15"/>
        <v>0</v>
      </c>
      <c r="E35" s="65">
        <f t="shared" si="15"/>
        <v>0</v>
      </c>
      <c r="F35" s="65">
        <f t="shared" si="15"/>
        <v>0</v>
      </c>
      <c r="G35" s="65">
        <f t="shared" si="15"/>
        <v>0</v>
      </c>
      <c r="H35" s="65">
        <f t="shared" si="15"/>
        <v>5.0999999999999943</v>
      </c>
      <c r="I35" s="65">
        <f t="shared" si="15"/>
        <v>-105.79999999999998</v>
      </c>
      <c r="J35" s="65">
        <f t="shared" ref="J35:P35" si="16">SUM(J12:J24)</f>
        <v>0</v>
      </c>
      <c r="K35" s="65">
        <f t="shared" si="16"/>
        <v>0</v>
      </c>
      <c r="L35" s="65">
        <f t="shared" si="16"/>
        <v>0</v>
      </c>
      <c r="M35" s="65">
        <f t="shared" si="16"/>
        <v>0</v>
      </c>
      <c r="N35" s="65">
        <f t="shared" si="16"/>
        <v>0</v>
      </c>
      <c r="O35" s="65">
        <f t="shared" si="16"/>
        <v>0</v>
      </c>
      <c r="P35" s="65">
        <f t="shared" si="16"/>
        <v>-223.40000000000006</v>
      </c>
      <c r="Q35" s="66">
        <f t="shared" si="9"/>
        <v>-324.10000000000002</v>
      </c>
    </row>
    <row r="36" spans="1:17" s="7" customFormat="1" ht="16.2" thickBot="1" x14ac:dyDescent="0.35">
      <c r="A36" s="67" t="str">
        <f t="shared" si="6"/>
        <v>Cal'01</v>
      </c>
      <c r="B36" s="68"/>
      <c r="C36" s="69">
        <f t="shared" ref="C36:I36" si="17">SUM(C18:C29)</f>
        <v>0</v>
      </c>
      <c r="D36" s="69">
        <f t="shared" si="17"/>
        <v>0</v>
      </c>
      <c r="E36" s="69">
        <f t="shared" si="17"/>
        <v>0</v>
      </c>
      <c r="F36" s="69">
        <f t="shared" si="17"/>
        <v>0</v>
      </c>
      <c r="G36" s="69">
        <f t="shared" si="17"/>
        <v>0</v>
      </c>
      <c r="H36" s="69">
        <f t="shared" si="17"/>
        <v>0</v>
      </c>
      <c r="I36" s="69">
        <f t="shared" si="17"/>
        <v>0</v>
      </c>
      <c r="J36" s="69">
        <f t="shared" ref="J36:P36" si="18">SUM(J18:J29)</f>
        <v>0</v>
      </c>
      <c r="K36" s="69">
        <f t="shared" si="18"/>
        <v>0</v>
      </c>
      <c r="L36" s="69">
        <f t="shared" si="18"/>
        <v>0</v>
      </c>
      <c r="M36" s="69">
        <f t="shared" si="18"/>
        <v>0</v>
      </c>
      <c r="N36" s="69">
        <f t="shared" si="18"/>
        <v>0</v>
      </c>
      <c r="O36" s="69">
        <f t="shared" si="18"/>
        <v>0</v>
      </c>
      <c r="P36" s="69">
        <f t="shared" si="18"/>
        <v>302.60000000000002</v>
      </c>
      <c r="Q36" s="70">
        <f t="shared" si="9"/>
        <v>302.60000000000002</v>
      </c>
    </row>
    <row r="37" spans="1:17" x14ac:dyDescent="0.25">
      <c r="F37" s="18"/>
      <c r="G37" s="18"/>
    </row>
    <row r="38" spans="1:17" x14ac:dyDescent="0.25">
      <c r="F38" s="19"/>
      <c r="G38" s="19"/>
    </row>
    <row r="39" spans="1:17" x14ac:dyDescent="0.25">
      <c r="F39" s="19"/>
      <c r="G39" s="19"/>
    </row>
    <row r="40" spans="1:17" x14ac:dyDescent="0.25">
      <c r="F40" s="19"/>
      <c r="G40" s="19"/>
    </row>
    <row r="41" spans="1:17" x14ac:dyDescent="0.25">
      <c r="F41" s="19"/>
      <c r="G41" s="19"/>
    </row>
    <row r="42" spans="1:17" x14ac:dyDescent="0.25">
      <c r="F42" s="18"/>
      <c r="G42" s="18"/>
    </row>
    <row r="43" spans="1:17" x14ac:dyDescent="0.25">
      <c r="F43" s="18"/>
      <c r="G43" s="18"/>
    </row>
    <row r="44" spans="1:17" x14ac:dyDescent="0.25">
      <c r="F44" s="20"/>
      <c r="G44" s="20"/>
      <c r="H44" s="21"/>
      <c r="I44" s="22"/>
    </row>
    <row r="45" spans="1:17" x14ac:dyDescent="0.25">
      <c r="F45" s="23"/>
      <c r="G45" s="23"/>
      <c r="H45" s="21"/>
    </row>
    <row r="46" spans="1:17" x14ac:dyDescent="0.25">
      <c r="F46" s="23"/>
      <c r="G46" s="23"/>
      <c r="H46" s="18"/>
    </row>
    <row r="47" spans="1:17" x14ac:dyDescent="0.25">
      <c r="F47" s="24"/>
      <c r="G47" s="24"/>
      <c r="H47" s="18"/>
    </row>
    <row r="48" spans="1:17" x14ac:dyDescent="0.25">
      <c r="H48" s="18"/>
    </row>
    <row r="49" spans="8:8" x14ac:dyDescent="0.25">
      <c r="H49" s="18"/>
    </row>
    <row r="50" spans="8:8" x14ac:dyDescent="0.25">
      <c r="H50" s="18"/>
    </row>
    <row r="51" spans="8:8" x14ac:dyDescent="0.25">
      <c r="H51" s="18"/>
    </row>
    <row r="52" spans="8:8" x14ac:dyDescent="0.25">
      <c r="H52" s="18"/>
    </row>
    <row r="53" spans="8:8" x14ac:dyDescent="0.25">
      <c r="H53" s="18"/>
    </row>
    <row r="193" spans="2:11" x14ac:dyDescent="0.25">
      <c r="B193" s="25" t="s">
        <v>2</v>
      </c>
      <c r="C193" s="26"/>
      <c r="D193" s="27"/>
      <c r="E193" s="25"/>
      <c r="F193" s="25"/>
      <c r="G193" s="25"/>
      <c r="H193" s="28"/>
      <c r="I193" s="28"/>
      <c r="J193" s="29"/>
      <c r="K193" s="18"/>
    </row>
    <row r="194" spans="2:11" x14ac:dyDescent="0.25">
      <c r="H194" s="18"/>
      <c r="I194" s="18"/>
      <c r="J194" s="18"/>
    </row>
    <row r="195" spans="2:11" x14ac:dyDescent="0.25">
      <c r="H195" s="18"/>
      <c r="I195" s="18"/>
      <c r="J195" s="18"/>
    </row>
    <row r="196" spans="2:11" x14ac:dyDescent="0.25">
      <c r="H196" s="18"/>
      <c r="I196" s="18"/>
      <c r="J196" s="18"/>
    </row>
    <row r="197" spans="2:11" x14ac:dyDescent="0.25">
      <c r="H197" s="18"/>
      <c r="I197" s="18"/>
      <c r="J197" s="18"/>
    </row>
  </sheetData>
  <customSheetViews>
    <customSheetView guid="{38C00BC1-1533-11D4-8E8D-006097B8A979}" scale="80" fitToPage="1" hiddenRows="1" showRuler="0">
      <pane xSplit="2" topLeftCell="G1" activePane="topRight" state="frozen"/>
      <selection pane="topRight" activeCell="R31" sqref="R31"/>
      <pageMargins left="0.75" right="0.75" top="1" bottom="1" header="0.5" footer="0.5"/>
      <pageSetup scale="11" orientation="landscape" horizontalDpi="0" r:id="rId1"/>
      <headerFooter alignWithMargins="0"/>
    </customSheetView>
    <customSheetView guid="{A13B59CB-499B-11D3-AA92-00C04FA318F4}" scale="80" fitToPage="1" hiddenRows="1" showRuler="0">
      <pane xSplit="2" topLeftCell="C1" activePane="topRight" state="frozen"/>
      <selection pane="topRight" activeCell="I24" sqref="I24"/>
      <pageMargins left="0.75" right="0.75" top="1" bottom="1" header="0.5" footer="0.5"/>
      <pageSetup scale="11" orientation="landscape" horizontalDpi="0" r:id="rId2"/>
      <headerFooter alignWithMargins="0"/>
    </customSheetView>
    <customSheetView guid="{EC7BD010-CE6A-11D3-A767-00C04FA318F7}" scale="90" fitToPage="1" hiddenRows="1" showRuler="0">
      <pane xSplit="2" topLeftCell="C1" activePane="topRight" state="frozen"/>
      <selection pane="topRight" activeCell="A23" sqref="A23"/>
      <pageMargins left="0.75" right="0.75" top="1" bottom="1" header="0.5" footer="0.5"/>
      <pageSetup scale="11" orientation="landscape" horizontalDpi="0" r:id="rId3"/>
      <headerFooter alignWithMargins="0"/>
    </customSheetView>
    <customSheetView guid="{147D2A76-E544-11D3-AF7A-00C04F7767BD}" scale="90" fitToPage="1" showRuler="0">
      <pane xSplit="2" topLeftCell="C1" activePane="topRight" state="frozen"/>
      <selection pane="topRight" activeCell="D29" sqref="D29"/>
      <pageMargins left="0.75" right="0.75" top="1" bottom="1" header="0.5" footer="0.5"/>
      <pageSetup scale="11" orientation="landscape" horizontalDpi="0" r:id="rId4"/>
      <headerFooter alignWithMargins="0"/>
    </customSheetView>
    <customSheetView guid="{A6B529EA-6F81-11D3-A1F2-00C04F6BA74F}" showPageBreaks="1" showRuler="0" topLeftCell="A8">
      <pane xSplit="2" topLeftCell="C1" activePane="topRight" state="frozen"/>
      <selection pane="topRight" activeCell="I23" sqref="I23"/>
      <pageMargins left="0.75" right="0.75" top="1" bottom="1" header="0.5" footer="0.5"/>
      <pageSetup orientation="portrait" r:id="rId5"/>
      <headerFooter alignWithMargins="0"/>
    </customSheetView>
    <customSheetView guid="{A9F77334-4862-11D3-A30A-00C04F6EA52E}" showPageBreaks="1" showRuler="0">
      <selection activeCell="C27" sqref="C27"/>
      <pageMargins left="0.75" right="0.75" top="1" bottom="1" header="0.5" footer="0.5"/>
      <pageSetup orientation="portrait" horizontalDpi="0" r:id="rId6"/>
      <headerFooter alignWithMargins="0"/>
    </customSheetView>
    <customSheetView guid="{F1FE7DC6-445C-11D3-8D9F-00C04FA36821}" showPageBreaks="1" showRuler="0">
      <selection activeCell="A15" sqref="A15:IV15"/>
      <pageMargins left="0.75" right="0.75" top="1" bottom="1" header="0.5" footer="0.5"/>
      <pageSetup orientation="portrait" horizontalDpi="0" r:id="rId7"/>
      <headerFooter alignWithMargins="0"/>
    </customSheetView>
    <customSheetView guid="{94DF4ABA-386B-11D3-AAC6-00C04FA32EB6}" showPageBreaks="1" showRuler="0">
      <selection activeCell="AY1" sqref="AY1:BB65536"/>
      <pageMargins left="0.75" right="0.75" top="1" bottom="1" header="0.5" footer="0.5"/>
      <pageSetup orientation="portrait" verticalDpi="300" r:id="rId8"/>
      <headerFooter alignWithMargins="0"/>
    </customSheetView>
    <customSheetView guid="{586DB137-53D9-11D3-A6EC-00C04F68AF54}" scale="90" showPageBreaks="1" fitToPage="1" showRuler="0">
      <selection activeCell="P23" sqref="P23"/>
      <pageMargins left="0.75" right="0.75" top="1" bottom="1" header="0.5" footer="0.5"/>
      <pageSetup scale="11" orientation="landscape" horizontalDpi="0" r:id="rId9"/>
      <headerFooter alignWithMargins="0"/>
    </customSheetView>
    <customSheetView guid="{CFE57B95-441C-11D3-A6C5-00C04F6BC682}" showPageBreaks="1" showRuler="0" topLeftCell="F1">
      <selection activeCell="H21" sqref="H21"/>
      <pageMargins left="0.75" right="0.75" top="1" bottom="1" header="0.5" footer="0.5"/>
      <pageSetup orientation="portrait" horizontalDpi="0" r:id="rId10"/>
      <headerFooter alignWithMargins="0"/>
    </customSheetView>
    <customSheetView guid="{229E450E-A73D-11D3-A324-00C04F554A32}" scale="90" fitToPage="1" showRuler="0" topLeftCell="A8">
      <selection activeCell="G1" sqref="G1"/>
      <pageMargins left="0.75" right="0.75" top="1" bottom="1" header="0.5" footer="0.5"/>
      <pageSetup scale="11" orientation="landscape" horizontalDpi="0" r:id="rId11"/>
      <headerFooter alignWithMargins="0"/>
    </customSheetView>
    <customSheetView guid="{1D9E855D-D7EB-11D3-9625-00C04FF4D407}" scale="90" fitToPage="1" hiddenRows="1" showRuler="0" topLeftCell="BI10">
      <selection activeCell="BU47" sqref="BU47:BU51"/>
      <pageMargins left="0.75" right="0.75" top="1" bottom="1" header="0.5" footer="0.5"/>
      <pageSetup scale="11" orientation="landscape" horizontalDpi="0" r:id="rId12"/>
      <headerFooter alignWithMargins="0"/>
    </customSheetView>
    <customSheetView guid="{54B1602B-CE7B-11D3-A6D9-00C04F68AF95}" scale="90" fitToPage="1" showRuler="0">
      <pane xSplit="2" topLeftCell="BE1" activePane="topRight" state="frozen"/>
      <selection pane="topRight" activeCell="BJ24" sqref="BJ24"/>
      <pageMargins left="0.75" right="0.75" top="1" bottom="1" header="0.5" footer="0.5"/>
      <pageSetup scale="11" orientation="landscape" horizontalDpi="0" r:id="rId13"/>
      <headerFooter alignWithMargins="0"/>
    </customSheetView>
    <customSheetView guid="{E2040093-45C6-11D3-9936-00C04F742FB7}" showPageBreaks="1" showRuler="0" topLeftCell="A2">
      <pane xSplit="2" topLeftCell="C1" activePane="topRight" state="frozen"/>
      <selection pane="topRight" activeCell="B24" sqref="B24"/>
      <pageMargins left="0.75" right="0.75" top="1" bottom="1" header="0.5" footer="0.5"/>
      <pageSetup scale="16" orientation="portrait" horizontalDpi="0" r:id="rId14"/>
      <headerFooter alignWithMargins="0"/>
    </customSheetView>
  </customSheetViews>
  <mergeCells count="3">
    <mergeCell ref="A1:B1"/>
    <mergeCell ref="D1:F1"/>
    <mergeCell ref="H1:J1"/>
  </mergeCells>
  <pageMargins left="0.75" right="0.75" top="1" bottom="1" header="0.5" footer="0.5"/>
  <pageSetup scale="11" orientation="landscape" horizontalDpi="0" r:id="rId15"/>
  <headerFooter alignWithMargins="0"/>
  <drawing r:id="rId16"/>
  <legacyDrawing r:id="rId1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8" name="Button 1">
              <controlPr defaultSize="0" print="0" autoFill="0" autoLine="0" autoPict="0" macro="[0]!_xludf.COPY">
                <anchor moveWithCells="1" sizeWithCells="1">
                  <from>
                    <xdr:col>10</xdr:col>
                    <xdr:colOff>518160</xdr:colOff>
                    <xdr:row>0</xdr:row>
                    <xdr:rowOff>167640</xdr:rowOff>
                  </from>
                  <to>
                    <xdr:col>12</xdr:col>
                    <xdr:colOff>182880</xdr:colOff>
                    <xdr:row>3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zoomScale="60" workbookViewId="0">
      <selection activeCell="E26" sqref="E26"/>
    </sheetView>
  </sheetViews>
  <sheetFormatPr defaultColWidth="9.109375" defaultRowHeight="13.2" x14ac:dyDescent="0.25"/>
  <cols>
    <col min="1" max="1" width="11.88671875" style="1" bestFit="1" customWidth="1"/>
    <col min="2" max="2" width="14.109375" style="1" bestFit="1" customWidth="1"/>
    <col min="3" max="5" width="9.6640625" style="1" bestFit="1" customWidth="1"/>
    <col min="6" max="6" width="9.109375" style="1" bestFit="1" customWidth="1"/>
    <col min="7" max="7" width="9.44140625" style="1" bestFit="1" customWidth="1"/>
    <col min="8" max="8" width="10.88671875" style="1" customWidth="1"/>
    <col min="9" max="9" width="9.6640625" style="1" bestFit="1" customWidth="1"/>
    <col min="10" max="10" width="9.88671875" style="1" customWidth="1"/>
    <col min="11" max="14" width="9" style="1" bestFit="1" customWidth="1"/>
    <col min="15" max="16384" width="9.109375" style="1"/>
  </cols>
  <sheetData>
    <row r="1" spans="1:14" ht="18" thickBot="1" x14ac:dyDescent="0.35">
      <c r="B1" s="146" t="s">
        <v>33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8"/>
    </row>
    <row r="2" spans="1:14" ht="16.2" thickBot="1" x14ac:dyDescent="0.35">
      <c r="B2" s="143" t="s">
        <v>31</v>
      </c>
      <c r="C2" s="144"/>
      <c r="D2" s="144"/>
      <c r="E2" s="145"/>
      <c r="F2" s="143" t="s">
        <v>32</v>
      </c>
      <c r="G2" s="144"/>
      <c r="H2" s="144"/>
      <c r="I2" s="144"/>
      <c r="J2" s="144"/>
      <c r="K2" s="144"/>
      <c r="L2" s="144"/>
      <c r="M2" s="144"/>
      <c r="N2" s="145"/>
    </row>
    <row r="3" spans="1:14" ht="15.6" x14ac:dyDescent="0.3">
      <c r="A3" s="76" t="s">
        <v>9</v>
      </c>
      <c r="B3" s="71" t="s">
        <v>11</v>
      </c>
      <c r="C3" s="71" t="s">
        <v>25</v>
      </c>
      <c r="D3" s="71" t="s">
        <v>3</v>
      </c>
      <c r="E3" s="71" t="s">
        <v>26</v>
      </c>
      <c r="F3" s="72" t="s">
        <v>19</v>
      </c>
      <c r="G3" s="73" t="s">
        <v>3</v>
      </c>
      <c r="H3" s="73" t="s">
        <v>5</v>
      </c>
      <c r="I3" s="73" t="s">
        <v>20</v>
      </c>
      <c r="J3" s="73" t="s">
        <v>15</v>
      </c>
      <c r="K3" s="73" t="s">
        <v>6</v>
      </c>
      <c r="L3" s="73" t="s">
        <v>7</v>
      </c>
      <c r="M3" s="73" t="s">
        <v>8</v>
      </c>
      <c r="N3" s="73" t="s">
        <v>21</v>
      </c>
    </row>
    <row r="4" spans="1:14" ht="16.2" thickBot="1" x14ac:dyDescent="0.35">
      <c r="A4" s="77"/>
      <c r="B4" s="74" t="s">
        <v>10</v>
      </c>
      <c r="C4" s="74" t="s">
        <v>30</v>
      </c>
      <c r="D4" s="74" t="s">
        <v>30</v>
      </c>
      <c r="E4" s="74" t="s">
        <v>30</v>
      </c>
      <c r="F4" s="75" t="s">
        <v>4</v>
      </c>
      <c r="G4" s="75" t="s">
        <v>4</v>
      </c>
      <c r="H4" s="75" t="s">
        <v>4</v>
      </c>
      <c r="I4" s="75" t="s">
        <v>4</v>
      </c>
      <c r="J4" s="75" t="s">
        <v>4</v>
      </c>
      <c r="K4" s="75" t="s">
        <v>4</v>
      </c>
      <c r="L4" s="75" t="s">
        <v>4</v>
      </c>
      <c r="M4" s="75" t="s">
        <v>4</v>
      </c>
      <c r="N4" s="75" t="s">
        <v>4</v>
      </c>
    </row>
    <row r="5" spans="1:14" x14ac:dyDescent="0.25">
      <c r="A5" s="43">
        <v>36708</v>
      </c>
      <c r="B5" s="89">
        <f>+Posn!B12</f>
        <v>4.0549999999999997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</row>
    <row r="6" spans="1:14" x14ac:dyDescent="0.25">
      <c r="A6" s="44">
        <v>36739</v>
      </c>
      <c r="B6" s="13">
        <f>+Posn!B13</f>
        <v>4.03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</row>
    <row r="7" spans="1:14" x14ac:dyDescent="0.25">
      <c r="A7" s="44">
        <v>36770</v>
      </c>
      <c r="B7" s="13">
        <f>+Posn!B14</f>
        <v>4.04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</row>
    <row r="8" spans="1:14" x14ac:dyDescent="0.25">
      <c r="A8" s="44">
        <v>36800</v>
      </c>
      <c r="B8" s="13">
        <f>+Posn!B15</f>
        <v>4.1500000000000004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</row>
    <row r="9" spans="1:14" x14ac:dyDescent="0.25">
      <c r="A9" s="44">
        <v>36831</v>
      </c>
      <c r="B9" s="13">
        <f>+Posn!B16</f>
        <v>4.2300000000000004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</row>
    <row r="10" spans="1:14" x14ac:dyDescent="0.25">
      <c r="A10" s="44">
        <v>36861</v>
      </c>
      <c r="B10" s="13">
        <f>+Posn!B17</f>
        <v>4.2300000000000004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</row>
    <row r="11" spans="1:14" x14ac:dyDescent="0.25">
      <c r="A11" s="44">
        <v>36892</v>
      </c>
      <c r="B11" s="13">
        <f>+Posn!B18</f>
        <v>4.05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</row>
    <row r="12" spans="1:14" x14ac:dyDescent="0.25">
      <c r="A12" s="44">
        <v>36923</v>
      </c>
      <c r="B12" s="13">
        <f>+Posn!B19</f>
        <v>3.85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x14ac:dyDescent="0.25">
      <c r="A13" s="44">
        <v>36951</v>
      </c>
      <c r="B13" s="13">
        <f>+Posn!B20</f>
        <v>3.61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</row>
    <row r="14" spans="1:14" x14ac:dyDescent="0.25">
      <c r="A14" s="44">
        <v>36982</v>
      </c>
      <c r="B14" s="13">
        <f>+Posn!B21</f>
        <v>3.5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</row>
    <row r="15" spans="1:14" x14ac:dyDescent="0.25">
      <c r="A15" s="44">
        <v>37012</v>
      </c>
      <c r="B15" s="13">
        <f>+Posn!B22</f>
        <v>3.5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</row>
    <row r="16" spans="1:14" x14ac:dyDescent="0.25">
      <c r="A16" s="44">
        <v>37043</v>
      </c>
      <c r="B16" s="13">
        <f>+Posn!B23</f>
        <v>3.48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</row>
    <row r="17" spans="1:14" x14ac:dyDescent="0.25">
      <c r="A17" s="44">
        <v>37073</v>
      </c>
      <c r="B17" s="13">
        <f>+Posn!B24</f>
        <v>3.49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</row>
    <row r="18" spans="1:14" x14ac:dyDescent="0.25">
      <c r="A18" s="44">
        <v>37104</v>
      </c>
      <c r="B18" s="13">
        <f>+Posn!B25</f>
        <v>3.5049999999999999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</row>
    <row r="19" spans="1:14" x14ac:dyDescent="0.25">
      <c r="A19" s="44">
        <v>37135</v>
      </c>
      <c r="B19" s="13" t="e">
        <f>+Posn!B26</f>
        <v>#REF!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</row>
    <row r="20" spans="1:14" x14ac:dyDescent="0.25">
      <c r="A20" s="44">
        <v>37165</v>
      </c>
      <c r="B20" s="13" t="e">
        <f>+Posn!B27</f>
        <v>#REF!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</row>
    <row r="21" spans="1:14" x14ac:dyDescent="0.25">
      <c r="A21" s="44">
        <v>37196</v>
      </c>
      <c r="B21" s="13" t="e">
        <f>+Posn!B28</f>
        <v>#REF!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1:14" ht="13.8" thickBot="1" x14ac:dyDescent="0.3">
      <c r="A22" s="45">
        <v>37226</v>
      </c>
      <c r="B22" s="90" t="e">
        <f>+Posn!B29</f>
        <v>#REF!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</row>
    <row r="26" spans="1:14" ht="13.8" thickBot="1" x14ac:dyDescent="0.3"/>
    <row r="27" spans="1:14" ht="18" thickBot="1" x14ac:dyDescent="0.35">
      <c r="B27" s="146" t="s">
        <v>34</v>
      </c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8"/>
    </row>
    <row r="28" spans="1:14" ht="16.2" thickBot="1" x14ac:dyDescent="0.35">
      <c r="B28" s="143" t="s">
        <v>31</v>
      </c>
      <c r="C28" s="144"/>
      <c r="D28" s="144"/>
      <c r="E28" s="145"/>
      <c r="F28" s="143" t="s">
        <v>32</v>
      </c>
      <c r="G28" s="144"/>
      <c r="H28" s="144"/>
      <c r="I28" s="144"/>
      <c r="J28" s="144"/>
      <c r="K28" s="144"/>
      <c r="L28" s="144"/>
      <c r="M28" s="144"/>
      <c r="N28" s="145"/>
    </row>
    <row r="29" spans="1:14" ht="15.6" x14ac:dyDescent="0.3">
      <c r="A29" s="76" t="s">
        <v>9</v>
      </c>
      <c r="B29" s="71" t="s">
        <v>11</v>
      </c>
      <c r="C29" s="71" t="s">
        <v>25</v>
      </c>
      <c r="D29" s="71" t="s">
        <v>3</v>
      </c>
      <c r="E29" s="71" t="s">
        <v>26</v>
      </c>
      <c r="F29" s="72" t="s">
        <v>19</v>
      </c>
      <c r="G29" s="73" t="s">
        <v>3</v>
      </c>
      <c r="H29" s="73" t="s">
        <v>5</v>
      </c>
      <c r="I29" s="73" t="s">
        <v>20</v>
      </c>
      <c r="J29" s="73" t="s">
        <v>15</v>
      </c>
      <c r="K29" s="73" t="s">
        <v>6</v>
      </c>
      <c r="L29" s="73" t="s">
        <v>7</v>
      </c>
      <c r="M29" s="73" t="s">
        <v>8</v>
      </c>
      <c r="N29" s="73" t="s">
        <v>21</v>
      </c>
    </row>
    <row r="30" spans="1:14" ht="16.2" thickBot="1" x14ac:dyDescent="0.35">
      <c r="A30" s="77"/>
      <c r="B30" s="74" t="s">
        <v>10</v>
      </c>
      <c r="C30" s="74" t="s">
        <v>30</v>
      </c>
      <c r="D30" s="74" t="s">
        <v>30</v>
      </c>
      <c r="E30" s="74" t="s">
        <v>30</v>
      </c>
      <c r="F30" s="75" t="s">
        <v>4</v>
      </c>
      <c r="G30" s="75" t="s">
        <v>4</v>
      </c>
      <c r="H30" s="75" t="s">
        <v>4</v>
      </c>
      <c r="I30" s="75" t="s">
        <v>4</v>
      </c>
      <c r="J30" s="75" t="s">
        <v>4</v>
      </c>
      <c r="K30" s="75" t="s">
        <v>4</v>
      </c>
      <c r="L30" s="75" t="s">
        <v>4</v>
      </c>
      <c r="M30" s="75" t="s">
        <v>4</v>
      </c>
      <c r="N30" s="75" t="s">
        <v>4</v>
      </c>
    </row>
    <row r="31" spans="1:14" x14ac:dyDescent="0.25">
      <c r="A31" s="43">
        <v>36708</v>
      </c>
      <c r="B31" s="89">
        <v>4.0640000000000001</v>
      </c>
      <c r="C31" s="91">
        <v>4.0999999999999996</v>
      </c>
      <c r="D31" s="91">
        <v>4.0999999999999996</v>
      </c>
      <c r="E31" s="91">
        <v>4</v>
      </c>
      <c r="F31" s="91">
        <v>0</v>
      </c>
      <c r="G31" s="91">
        <v>7.4999999999999997E-3</v>
      </c>
      <c r="H31" s="91">
        <v>-0.12</v>
      </c>
      <c r="I31" s="91"/>
      <c r="J31" s="91"/>
      <c r="K31" s="91">
        <v>-2.2499999999999999E-2</v>
      </c>
      <c r="L31" s="91">
        <v>-7.4999999999999997E-2</v>
      </c>
      <c r="M31" s="91">
        <v>-0.125</v>
      </c>
      <c r="N31" s="91">
        <v>-0.105</v>
      </c>
    </row>
    <row r="32" spans="1:14" x14ac:dyDescent="0.25">
      <c r="A32" s="44">
        <v>36739</v>
      </c>
      <c r="B32" s="13">
        <v>4.0430000000000001</v>
      </c>
      <c r="C32" s="92"/>
      <c r="D32" s="92"/>
      <c r="E32" s="92"/>
      <c r="F32" s="92">
        <v>5.0000000000000001E-3</v>
      </c>
      <c r="G32" s="92">
        <v>0.01</v>
      </c>
      <c r="H32" s="92">
        <v>-0.11</v>
      </c>
      <c r="I32" s="92"/>
      <c r="J32" s="92"/>
      <c r="K32" s="92">
        <v>-0.02</v>
      </c>
      <c r="L32" s="92">
        <v>-7.0000000000000007E-2</v>
      </c>
      <c r="M32" s="92">
        <v>-0.1275</v>
      </c>
      <c r="N32" s="92">
        <v>-0.1</v>
      </c>
    </row>
    <row r="33" spans="1:14" x14ac:dyDescent="0.25">
      <c r="A33" s="44">
        <v>36770</v>
      </c>
      <c r="B33" s="13">
        <v>4.0330000000000004</v>
      </c>
      <c r="C33" s="92"/>
      <c r="D33" s="92"/>
      <c r="E33" s="92"/>
      <c r="F33" s="92">
        <v>5.0000000000000001E-3</v>
      </c>
      <c r="G33" s="92">
        <v>5.0000000000000001E-3</v>
      </c>
      <c r="H33" s="92">
        <v>-0.115</v>
      </c>
      <c r="I33" s="92"/>
      <c r="J33" s="92"/>
      <c r="K33" s="92">
        <v>-2.5000000000000001E-2</v>
      </c>
      <c r="L33" s="92">
        <v>-0.08</v>
      </c>
      <c r="M33" s="92">
        <v>-0.125</v>
      </c>
      <c r="N33" s="92">
        <v>-0.11</v>
      </c>
    </row>
    <row r="34" spans="1:14" x14ac:dyDescent="0.25">
      <c r="A34" s="44">
        <v>36800</v>
      </c>
      <c r="B34" s="13">
        <v>4.05</v>
      </c>
      <c r="C34" s="92"/>
      <c r="D34" s="92"/>
      <c r="E34" s="92"/>
      <c r="F34" s="92">
        <v>5.0000000000000001E-3</v>
      </c>
      <c r="G34" s="92">
        <v>-2.5000000000000001E-3</v>
      </c>
      <c r="H34" s="92">
        <v>-0.1</v>
      </c>
      <c r="I34" s="92"/>
      <c r="J34" s="92"/>
      <c r="K34" s="92">
        <v>-3.2500000000000001E-2</v>
      </c>
      <c r="L34" s="92">
        <v>-9.5000000000000001E-2</v>
      </c>
      <c r="M34" s="92">
        <v>-0.1225</v>
      </c>
      <c r="N34" s="92">
        <v>-0.13500000000000001</v>
      </c>
    </row>
    <row r="35" spans="1:14" x14ac:dyDescent="0.25">
      <c r="A35" s="44">
        <v>36831</v>
      </c>
      <c r="B35" s="13">
        <v>4.1500000000000004</v>
      </c>
      <c r="C35" s="92"/>
      <c r="D35" s="92"/>
      <c r="E35" s="92"/>
      <c r="F35" s="92">
        <v>5.0000000000000001E-3</v>
      </c>
      <c r="G35" s="92">
        <v>-4.2500000000000003E-2</v>
      </c>
      <c r="H35" s="92">
        <v>-0.1275</v>
      </c>
      <c r="I35" s="92"/>
      <c r="J35" s="92"/>
      <c r="K35" s="92">
        <v>-7.2499999999999995E-2</v>
      </c>
      <c r="L35" s="92">
        <v>-0.125</v>
      </c>
      <c r="M35" s="92">
        <v>-0.1275</v>
      </c>
      <c r="N35" s="92">
        <v>-0.17499999999999999</v>
      </c>
    </row>
    <row r="36" spans="1:14" x14ac:dyDescent="0.25">
      <c r="A36" s="44">
        <v>36861</v>
      </c>
      <c r="B36" s="13">
        <v>4.25</v>
      </c>
      <c r="C36" s="92"/>
      <c r="D36" s="92"/>
      <c r="E36" s="92"/>
      <c r="F36" s="92">
        <v>5.0000000000000001E-3</v>
      </c>
      <c r="G36" s="92">
        <v>-6.7500000000000004E-2</v>
      </c>
      <c r="H36" s="92">
        <v>-0.14499999999999999</v>
      </c>
      <c r="I36" s="92"/>
      <c r="J36" s="92"/>
      <c r="K36" s="92">
        <v>-0.10249999999999999</v>
      </c>
      <c r="L36" s="92">
        <v>-0.125</v>
      </c>
      <c r="M36" s="92">
        <v>-0.1225</v>
      </c>
      <c r="N36" s="92">
        <v>-0.17499999999999999</v>
      </c>
    </row>
    <row r="37" spans="1:14" x14ac:dyDescent="0.25">
      <c r="A37" s="44">
        <v>36892</v>
      </c>
      <c r="B37" s="13">
        <v>4.26</v>
      </c>
      <c r="C37" s="92"/>
      <c r="D37" s="92"/>
      <c r="E37" s="92"/>
      <c r="F37" s="92">
        <v>5.0000000000000001E-3</v>
      </c>
      <c r="G37" s="92">
        <v>-7.0000000000000007E-2</v>
      </c>
      <c r="H37" s="92">
        <v>-0.1525</v>
      </c>
      <c r="I37" s="92"/>
      <c r="J37" s="92"/>
      <c r="K37" s="92">
        <v>-0.105</v>
      </c>
      <c r="L37" s="92">
        <v>-0.125</v>
      </c>
      <c r="M37" s="92">
        <v>-0.13</v>
      </c>
      <c r="N37" s="92">
        <v>-0.17499999999999999</v>
      </c>
    </row>
    <row r="38" spans="1:14" x14ac:dyDescent="0.25">
      <c r="A38" s="44">
        <v>36923</v>
      </c>
      <c r="B38" s="13">
        <v>4.0549999999999997</v>
      </c>
      <c r="C38" s="92"/>
      <c r="D38" s="92"/>
      <c r="E38" s="92"/>
      <c r="F38" s="92">
        <v>5.0000000000000001E-3</v>
      </c>
      <c r="G38" s="92">
        <v>-0.05</v>
      </c>
      <c r="H38" s="92">
        <v>-0.1525</v>
      </c>
      <c r="I38" s="92"/>
      <c r="J38" s="92"/>
      <c r="K38" s="92">
        <v>-8.5000000000000006E-2</v>
      </c>
      <c r="L38" s="92">
        <v>-0.125</v>
      </c>
      <c r="M38" s="92">
        <v>-0.12</v>
      </c>
      <c r="N38" s="92">
        <v>-0.17499999999999999</v>
      </c>
    </row>
    <row r="39" spans="1:14" x14ac:dyDescent="0.25">
      <c r="A39" s="44">
        <v>36951</v>
      </c>
      <c r="B39" s="13">
        <v>3.8450000000000002</v>
      </c>
      <c r="C39" s="92"/>
      <c r="D39" s="92"/>
      <c r="E39" s="92"/>
      <c r="F39" s="92">
        <v>5.0000000000000001E-3</v>
      </c>
      <c r="G39" s="92">
        <v>-4.4999999999999998E-2</v>
      </c>
      <c r="H39" s="92">
        <v>-0.1275</v>
      </c>
      <c r="I39" s="92"/>
      <c r="J39" s="92"/>
      <c r="K39" s="92">
        <v>-0.08</v>
      </c>
      <c r="L39" s="92">
        <v>-0.125</v>
      </c>
      <c r="M39" s="92">
        <v>-0.1125</v>
      </c>
      <c r="N39" s="92">
        <v>-0.17499999999999999</v>
      </c>
    </row>
    <row r="40" spans="1:14" x14ac:dyDescent="0.25">
      <c r="A40" s="44">
        <v>36982</v>
      </c>
      <c r="B40" s="13">
        <v>3.62</v>
      </c>
      <c r="C40" s="92"/>
      <c r="D40" s="92"/>
      <c r="E40" s="92"/>
      <c r="F40" s="92">
        <v>5.0000000000000001E-3</v>
      </c>
      <c r="G40" s="92">
        <v>2.5000000000000001E-3</v>
      </c>
      <c r="H40" s="92">
        <v>-8.2500000000000004E-2</v>
      </c>
      <c r="I40" s="92"/>
      <c r="J40" s="92"/>
      <c r="K40" s="92">
        <v>-3.2500000000000001E-2</v>
      </c>
      <c r="L40" s="92">
        <v>-7.4999999999999997E-2</v>
      </c>
      <c r="M40" s="92">
        <v>-0.12</v>
      </c>
      <c r="N40" s="92">
        <v>-0.1275</v>
      </c>
    </row>
    <row r="41" spans="1:14" x14ac:dyDescent="0.25">
      <c r="A41" s="44">
        <v>37012</v>
      </c>
      <c r="B41" s="13">
        <v>3.5049999999999999</v>
      </c>
      <c r="C41" s="92"/>
      <c r="D41" s="92"/>
      <c r="E41" s="92"/>
      <c r="F41" s="92">
        <v>5.0000000000000001E-3</v>
      </c>
      <c r="G41" s="92">
        <v>5.0000000000000001E-3</v>
      </c>
      <c r="H41" s="92">
        <v>-8.2500000000000004E-2</v>
      </c>
      <c r="I41" s="92"/>
      <c r="J41" s="92"/>
      <c r="K41" s="92">
        <v>-0.03</v>
      </c>
      <c r="L41" s="92">
        <v>-7.4999999999999997E-2</v>
      </c>
      <c r="M41" s="92">
        <v>-0.12</v>
      </c>
      <c r="N41" s="92">
        <v>-0.1275</v>
      </c>
    </row>
    <row r="42" spans="1:14" x14ac:dyDescent="0.25">
      <c r="A42" s="44">
        <v>37043</v>
      </c>
      <c r="B42" s="13">
        <v>3.48</v>
      </c>
      <c r="C42" s="92"/>
      <c r="D42" s="92"/>
      <c r="E42" s="92"/>
      <c r="F42" s="92">
        <v>5.0000000000000001E-3</v>
      </c>
      <c r="G42" s="92">
        <v>1.2500000000000001E-2</v>
      </c>
      <c r="H42" s="92">
        <v>-9.7500000000000003E-2</v>
      </c>
      <c r="I42" s="92"/>
      <c r="J42" s="92"/>
      <c r="K42" s="92">
        <v>-2.2499999999999999E-2</v>
      </c>
      <c r="L42" s="92">
        <v>-7.4999999999999997E-2</v>
      </c>
      <c r="M42" s="92">
        <v>-0.12</v>
      </c>
      <c r="N42" s="92">
        <v>-0.1275</v>
      </c>
    </row>
    <row r="43" spans="1:14" x14ac:dyDescent="0.25">
      <c r="A43" s="44">
        <v>37073</v>
      </c>
      <c r="B43" s="13">
        <v>3.48</v>
      </c>
      <c r="C43" s="92"/>
      <c r="D43" s="92"/>
      <c r="E43" s="92"/>
      <c r="F43" s="92">
        <v>5.0000000000000001E-3</v>
      </c>
      <c r="G43" s="92">
        <v>1.7500000000000002E-2</v>
      </c>
      <c r="H43" s="92">
        <v>-0.09</v>
      </c>
      <c r="I43" s="92"/>
      <c r="J43" s="92"/>
      <c r="K43" s="92">
        <v>-1.7500000000000002E-2</v>
      </c>
      <c r="L43" s="92">
        <v>-7.4999999999999997E-2</v>
      </c>
      <c r="M43" s="92">
        <v>-0.12</v>
      </c>
      <c r="N43" s="92">
        <v>-0.1275</v>
      </c>
    </row>
    <row r="44" spans="1:14" x14ac:dyDescent="0.25">
      <c r="A44" s="44">
        <v>37104</v>
      </c>
      <c r="B44" s="13">
        <v>3.49</v>
      </c>
      <c r="C44" s="92"/>
      <c r="D44" s="92"/>
      <c r="E44" s="92"/>
      <c r="F44" s="92">
        <v>5.0000000000000001E-3</v>
      </c>
      <c r="G44" s="92">
        <v>1.7500000000000002E-2</v>
      </c>
      <c r="H44" s="92">
        <v>-0.09</v>
      </c>
      <c r="I44" s="92"/>
      <c r="J44" s="92"/>
      <c r="K44" s="92">
        <v>-1.7500000000000002E-2</v>
      </c>
      <c r="L44" s="92">
        <v>-7.4999999999999997E-2</v>
      </c>
      <c r="M44" s="92">
        <v>-0.12</v>
      </c>
      <c r="N44" s="92">
        <v>-0.1275</v>
      </c>
    </row>
    <row r="45" spans="1:14" x14ac:dyDescent="0.25">
      <c r="A45" s="44">
        <v>37135</v>
      </c>
      <c r="B45" s="13">
        <v>3.4849999999999999</v>
      </c>
      <c r="C45" s="92"/>
      <c r="D45" s="92"/>
      <c r="E45" s="92"/>
      <c r="F45" s="92">
        <v>5.0000000000000001E-3</v>
      </c>
      <c r="G45" s="92">
        <v>1.2500000000000001E-2</v>
      </c>
      <c r="H45" s="92">
        <v>-9.5000000000000001E-2</v>
      </c>
      <c r="I45" s="92"/>
      <c r="J45" s="92"/>
      <c r="K45" s="92">
        <v>-2.2499999999999999E-2</v>
      </c>
      <c r="L45" s="92">
        <v>-7.4999999999999997E-2</v>
      </c>
      <c r="M45" s="92">
        <v>-0.12</v>
      </c>
      <c r="N45" s="92">
        <v>-0.1275</v>
      </c>
    </row>
    <row r="46" spans="1:14" x14ac:dyDescent="0.25">
      <c r="A46" s="44">
        <v>37165</v>
      </c>
      <c r="B46" s="13">
        <v>3.5049999999999999</v>
      </c>
      <c r="C46" s="92"/>
      <c r="D46" s="92"/>
      <c r="E46" s="92"/>
      <c r="F46" s="92">
        <v>5.0000000000000001E-3</v>
      </c>
      <c r="G46" s="92">
        <v>2.5000000000000001E-3</v>
      </c>
      <c r="H46" s="92">
        <v>-9.7500000000000003E-2</v>
      </c>
      <c r="I46" s="92"/>
      <c r="J46" s="92"/>
      <c r="K46" s="92">
        <v>-3.2500000000000001E-2</v>
      </c>
      <c r="L46" s="92">
        <v>-7.4999999999999997E-2</v>
      </c>
      <c r="M46" s="92">
        <v>-0.12</v>
      </c>
      <c r="N46" s="92">
        <v>-0.1275</v>
      </c>
    </row>
    <row r="47" spans="1:14" x14ac:dyDescent="0.25">
      <c r="A47" s="44">
        <v>37196</v>
      </c>
      <c r="B47" s="13">
        <v>3.605</v>
      </c>
      <c r="C47" s="92"/>
      <c r="D47" s="92"/>
      <c r="E47" s="92"/>
      <c r="F47" s="92">
        <v>5.0000000000000001E-3</v>
      </c>
      <c r="G47" s="92">
        <v>-4.2500000000000003E-2</v>
      </c>
      <c r="H47" s="92">
        <v>-0.1225</v>
      </c>
      <c r="I47" s="92"/>
      <c r="J47" s="92"/>
      <c r="K47" s="92">
        <v>-7.7499999999999999E-2</v>
      </c>
      <c r="L47" s="92">
        <v>-0.125</v>
      </c>
      <c r="M47" s="92">
        <v>-0.125</v>
      </c>
      <c r="N47" s="92">
        <v>-0.155</v>
      </c>
    </row>
    <row r="48" spans="1:14" ht="13.8" thickBot="1" x14ac:dyDescent="0.3">
      <c r="A48" s="45">
        <v>37226</v>
      </c>
      <c r="B48" s="90">
        <v>3.702</v>
      </c>
      <c r="C48" s="93"/>
      <c r="D48" s="93"/>
      <c r="E48" s="93"/>
      <c r="F48" s="93">
        <v>5.0000000000000001E-3</v>
      </c>
      <c r="G48" s="93">
        <v>-6.5000000000000002E-2</v>
      </c>
      <c r="H48" s="93">
        <v>-0.14000000000000001</v>
      </c>
      <c r="I48" s="93"/>
      <c r="J48" s="93"/>
      <c r="K48" s="93">
        <v>-0.1</v>
      </c>
      <c r="L48" s="93">
        <v>-0.125</v>
      </c>
      <c r="M48" s="93">
        <v>-0.1275</v>
      </c>
      <c r="N48" s="93">
        <v>-0.155</v>
      </c>
    </row>
    <row r="52" spans="1:14" ht="13.8" thickBot="1" x14ac:dyDescent="0.3"/>
    <row r="53" spans="1:14" ht="18" thickBot="1" x14ac:dyDescent="0.35">
      <c r="B53" s="146" t="s">
        <v>35</v>
      </c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8"/>
    </row>
    <row r="54" spans="1:14" ht="16.2" thickBot="1" x14ac:dyDescent="0.35">
      <c r="B54" s="143" t="s">
        <v>31</v>
      </c>
      <c r="C54" s="144"/>
      <c r="D54" s="144"/>
      <c r="E54" s="145"/>
      <c r="F54" s="143" t="s">
        <v>32</v>
      </c>
      <c r="G54" s="144"/>
      <c r="H54" s="144"/>
      <c r="I54" s="144"/>
      <c r="J54" s="144"/>
      <c r="K54" s="144"/>
      <c r="L54" s="144"/>
      <c r="M54" s="144"/>
      <c r="N54" s="145"/>
    </row>
    <row r="55" spans="1:14" ht="15.6" x14ac:dyDescent="0.3">
      <c r="A55" s="76" t="s">
        <v>9</v>
      </c>
      <c r="B55" s="71" t="s">
        <v>11</v>
      </c>
      <c r="C55" s="71" t="s">
        <v>25</v>
      </c>
      <c r="D55" s="71" t="s">
        <v>3</v>
      </c>
      <c r="E55" s="71" t="s">
        <v>26</v>
      </c>
      <c r="F55" s="72" t="s">
        <v>19</v>
      </c>
      <c r="G55" s="73" t="s">
        <v>3</v>
      </c>
      <c r="H55" s="73" t="s">
        <v>5</v>
      </c>
      <c r="I55" s="73" t="s">
        <v>20</v>
      </c>
      <c r="J55" s="73" t="s">
        <v>15</v>
      </c>
      <c r="K55" s="73" t="s">
        <v>6</v>
      </c>
      <c r="L55" s="73" t="s">
        <v>7</v>
      </c>
      <c r="M55" s="73" t="s">
        <v>8</v>
      </c>
      <c r="N55" s="73" t="s">
        <v>21</v>
      </c>
    </row>
    <row r="56" spans="1:14" ht="16.2" thickBot="1" x14ac:dyDescent="0.35">
      <c r="A56" s="77"/>
      <c r="B56" s="94" t="s">
        <v>10</v>
      </c>
      <c r="C56" s="94" t="s">
        <v>30</v>
      </c>
      <c r="D56" s="94" t="s">
        <v>30</v>
      </c>
      <c r="E56" s="94" t="s">
        <v>30</v>
      </c>
      <c r="F56" s="95" t="s">
        <v>4</v>
      </c>
      <c r="G56" s="95" t="s">
        <v>4</v>
      </c>
      <c r="H56" s="95" t="s">
        <v>4</v>
      </c>
      <c r="I56" s="95" t="s">
        <v>4</v>
      </c>
      <c r="J56" s="95" t="s">
        <v>4</v>
      </c>
      <c r="K56" s="95" t="s">
        <v>4</v>
      </c>
      <c r="L56" s="95" t="s">
        <v>4</v>
      </c>
      <c r="M56" s="95" t="s">
        <v>4</v>
      </c>
      <c r="N56" s="95" t="s">
        <v>4</v>
      </c>
    </row>
    <row r="57" spans="1:14" x14ac:dyDescent="0.25">
      <c r="A57" s="43">
        <v>36708</v>
      </c>
      <c r="B57" s="96">
        <f>+B5-B31</f>
        <v>-9.0000000000003411E-3</v>
      </c>
      <c r="C57" s="99">
        <f t="shared" ref="C57:N57" si="0">+C5-C31</f>
        <v>-4.0999999999999996</v>
      </c>
      <c r="D57" s="99">
        <f t="shared" si="0"/>
        <v>-4.0999999999999996</v>
      </c>
      <c r="E57" s="99">
        <f t="shared" si="0"/>
        <v>-4</v>
      </c>
      <c r="F57" s="99">
        <f t="shared" si="0"/>
        <v>0</v>
      </c>
      <c r="G57" s="99">
        <f t="shared" si="0"/>
        <v>-7.4999999999999997E-3</v>
      </c>
      <c r="H57" s="99">
        <f t="shared" si="0"/>
        <v>0.12</v>
      </c>
      <c r="I57" s="99">
        <f t="shared" si="0"/>
        <v>0</v>
      </c>
      <c r="J57" s="99">
        <f t="shared" si="0"/>
        <v>0</v>
      </c>
      <c r="K57" s="99">
        <f t="shared" si="0"/>
        <v>2.2499999999999999E-2</v>
      </c>
      <c r="L57" s="99">
        <f t="shared" si="0"/>
        <v>7.4999999999999997E-2</v>
      </c>
      <c r="M57" s="99">
        <f t="shared" si="0"/>
        <v>0.125</v>
      </c>
      <c r="N57" s="99">
        <f t="shared" si="0"/>
        <v>0.105</v>
      </c>
    </row>
    <row r="58" spans="1:14" x14ac:dyDescent="0.25">
      <c r="A58" s="44">
        <v>36739</v>
      </c>
      <c r="B58" s="97">
        <f t="shared" ref="B58:N74" si="1">+B6-B32</f>
        <v>-1.2999999999999901E-2</v>
      </c>
      <c r="C58" s="100">
        <f t="shared" si="1"/>
        <v>0</v>
      </c>
      <c r="D58" s="100">
        <f t="shared" si="1"/>
        <v>0</v>
      </c>
      <c r="E58" s="100">
        <f t="shared" si="1"/>
        <v>0</v>
      </c>
      <c r="F58" s="100">
        <f t="shared" si="1"/>
        <v>-5.0000000000000001E-3</v>
      </c>
      <c r="G58" s="100">
        <f t="shared" si="1"/>
        <v>-0.01</v>
      </c>
      <c r="H58" s="100">
        <f t="shared" si="1"/>
        <v>0.11</v>
      </c>
      <c r="I58" s="100">
        <f t="shared" si="1"/>
        <v>0</v>
      </c>
      <c r="J58" s="100">
        <f t="shared" si="1"/>
        <v>0</v>
      </c>
      <c r="K58" s="100">
        <f t="shared" si="1"/>
        <v>0.02</v>
      </c>
      <c r="L58" s="100">
        <f t="shared" si="1"/>
        <v>7.0000000000000007E-2</v>
      </c>
      <c r="M58" s="100">
        <f t="shared" si="1"/>
        <v>0.1275</v>
      </c>
      <c r="N58" s="100">
        <f t="shared" si="1"/>
        <v>0.1</v>
      </c>
    </row>
    <row r="59" spans="1:14" x14ac:dyDescent="0.25">
      <c r="A59" s="44">
        <v>36770</v>
      </c>
      <c r="B59" s="97">
        <f t="shared" si="1"/>
        <v>6.9999999999996732E-3</v>
      </c>
      <c r="C59" s="100">
        <f t="shared" si="1"/>
        <v>0</v>
      </c>
      <c r="D59" s="100">
        <f t="shared" si="1"/>
        <v>0</v>
      </c>
      <c r="E59" s="100">
        <f t="shared" si="1"/>
        <v>0</v>
      </c>
      <c r="F59" s="100">
        <f t="shared" si="1"/>
        <v>-5.0000000000000001E-3</v>
      </c>
      <c r="G59" s="100">
        <f t="shared" si="1"/>
        <v>-5.0000000000000001E-3</v>
      </c>
      <c r="H59" s="100">
        <f t="shared" si="1"/>
        <v>0.115</v>
      </c>
      <c r="I59" s="100">
        <f t="shared" si="1"/>
        <v>0</v>
      </c>
      <c r="J59" s="100">
        <f t="shared" si="1"/>
        <v>0</v>
      </c>
      <c r="K59" s="100">
        <f t="shared" si="1"/>
        <v>2.5000000000000001E-2</v>
      </c>
      <c r="L59" s="100">
        <f t="shared" si="1"/>
        <v>0.08</v>
      </c>
      <c r="M59" s="100">
        <f t="shared" si="1"/>
        <v>0.125</v>
      </c>
      <c r="N59" s="100">
        <f t="shared" si="1"/>
        <v>0.11</v>
      </c>
    </row>
    <row r="60" spans="1:14" x14ac:dyDescent="0.25">
      <c r="A60" s="44">
        <v>36800</v>
      </c>
      <c r="B60" s="97">
        <f t="shared" si="1"/>
        <v>0.10000000000000053</v>
      </c>
      <c r="C60" s="100">
        <f t="shared" si="1"/>
        <v>0</v>
      </c>
      <c r="D60" s="100">
        <f t="shared" si="1"/>
        <v>0</v>
      </c>
      <c r="E60" s="100">
        <f t="shared" si="1"/>
        <v>0</v>
      </c>
      <c r="F60" s="100">
        <f t="shared" si="1"/>
        <v>-5.0000000000000001E-3</v>
      </c>
      <c r="G60" s="100">
        <f t="shared" si="1"/>
        <v>2.5000000000000001E-3</v>
      </c>
      <c r="H60" s="100">
        <f t="shared" si="1"/>
        <v>0.1</v>
      </c>
      <c r="I60" s="100">
        <f t="shared" si="1"/>
        <v>0</v>
      </c>
      <c r="J60" s="100">
        <f t="shared" si="1"/>
        <v>0</v>
      </c>
      <c r="K60" s="100">
        <f t="shared" si="1"/>
        <v>3.2500000000000001E-2</v>
      </c>
      <c r="L60" s="100">
        <f t="shared" si="1"/>
        <v>9.5000000000000001E-2</v>
      </c>
      <c r="M60" s="100">
        <f t="shared" si="1"/>
        <v>0.1225</v>
      </c>
      <c r="N60" s="100">
        <f t="shared" si="1"/>
        <v>0.13500000000000001</v>
      </c>
    </row>
    <row r="61" spans="1:14" x14ac:dyDescent="0.25">
      <c r="A61" s="44">
        <v>36831</v>
      </c>
      <c r="B61" s="97">
        <f t="shared" si="1"/>
        <v>8.0000000000000071E-2</v>
      </c>
      <c r="C61" s="100">
        <f t="shared" si="1"/>
        <v>0</v>
      </c>
      <c r="D61" s="100">
        <f t="shared" si="1"/>
        <v>0</v>
      </c>
      <c r="E61" s="100">
        <f t="shared" si="1"/>
        <v>0</v>
      </c>
      <c r="F61" s="100">
        <f t="shared" si="1"/>
        <v>-5.0000000000000001E-3</v>
      </c>
      <c r="G61" s="100">
        <f t="shared" si="1"/>
        <v>4.2500000000000003E-2</v>
      </c>
      <c r="H61" s="100">
        <f t="shared" si="1"/>
        <v>0.1275</v>
      </c>
      <c r="I61" s="100">
        <f t="shared" si="1"/>
        <v>0</v>
      </c>
      <c r="J61" s="100">
        <f t="shared" si="1"/>
        <v>0</v>
      </c>
      <c r="K61" s="100">
        <f t="shared" si="1"/>
        <v>7.2499999999999995E-2</v>
      </c>
      <c r="L61" s="100">
        <f t="shared" si="1"/>
        <v>0.125</v>
      </c>
      <c r="M61" s="100">
        <f t="shared" si="1"/>
        <v>0.1275</v>
      </c>
      <c r="N61" s="100">
        <f t="shared" si="1"/>
        <v>0.17499999999999999</v>
      </c>
    </row>
    <row r="62" spans="1:14" x14ac:dyDescent="0.25">
      <c r="A62" s="44">
        <v>36861</v>
      </c>
      <c r="B62" s="97">
        <f t="shared" si="1"/>
        <v>-1.9999999999999574E-2</v>
      </c>
      <c r="C62" s="100">
        <f t="shared" si="1"/>
        <v>0</v>
      </c>
      <c r="D62" s="100">
        <f t="shared" si="1"/>
        <v>0</v>
      </c>
      <c r="E62" s="100">
        <f t="shared" si="1"/>
        <v>0</v>
      </c>
      <c r="F62" s="100">
        <f t="shared" si="1"/>
        <v>-5.0000000000000001E-3</v>
      </c>
      <c r="G62" s="100">
        <f t="shared" si="1"/>
        <v>6.7500000000000004E-2</v>
      </c>
      <c r="H62" s="100">
        <f t="shared" si="1"/>
        <v>0.14499999999999999</v>
      </c>
      <c r="I62" s="100">
        <f t="shared" si="1"/>
        <v>0</v>
      </c>
      <c r="J62" s="100">
        <f t="shared" si="1"/>
        <v>0</v>
      </c>
      <c r="K62" s="100">
        <f t="shared" si="1"/>
        <v>0.10249999999999999</v>
      </c>
      <c r="L62" s="100">
        <f t="shared" si="1"/>
        <v>0.125</v>
      </c>
      <c r="M62" s="100">
        <f t="shared" si="1"/>
        <v>0.1225</v>
      </c>
      <c r="N62" s="100">
        <f t="shared" si="1"/>
        <v>0.17499999999999999</v>
      </c>
    </row>
    <row r="63" spans="1:14" x14ac:dyDescent="0.25">
      <c r="A63" s="44">
        <v>36892</v>
      </c>
      <c r="B63" s="97">
        <f t="shared" si="1"/>
        <v>-0.20999999999999996</v>
      </c>
      <c r="C63" s="100">
        <f t="shared" si="1"/>
        <v>0</v>
      </c>
      <c r="D63" s="100">
        <f t="shared" si="1"/>
        <v>0</v>
      </c>
      <c r="E63" s="100">
        <f t="shared" si="1"/>
        <v>0</v>
      </c>
      <c r="F63" s="100">
        <f t="shared" si="1"/>
        <v>-5.0000000000000001E-3</v>
      </c>
      <c r="G63" s="100">
        <f t="shared" si="1"/>
        <v>7.0000000000000007E-2</v>
      </c>
      <c r="H63" s="100">
        <f t="shared" si="1"/>
        <v>0.1525</v>
      </c>
      <c r="I63" s="100">
        <f t="shared" si="1"/>
        <v>0</v>
      </c>
      <c r="J63" s="100">
        <f t="shared" si="1"/>
        <v>0</v>
      </c>
      <c r="K63" s="100">
        <f t="shared" si="1"/>
        <v>0.105</v>
      </c>
      <c r="L63" s="100">
        <f t="shared" si="1"/>
        <v>0.125</v>
      </c>
      <c r="M63" s="100">
        <f t="shared" si="1"/>
        <v>0.13</v>
      </c>
      <c r="N63" s="100">
        <f t="shared" si="1"/>
        <v>0.17499999999999999</v>
      </c>
    </row>
    <row r="64" spans="1:14" x14ac:dyDescent="0.25">
      <c r="A64" s="44">
        <v>36923</v>
      </c>
      <c r="B64" s="97">
        <f t="shared" si="1"/>
        <v>-0.20499999999999963</v>
      </c>
      <c r="C64" s="100">
        <f t="shared" si="1"/>
        <v>0</v>
      </c>
      <c r="D64" s="100">
        <f t="shared" si="1"/>
        <v>0</v>
      </c>
      <c r="E64" s="100">
        <f t="shared" si="1"/>
        <v>0</v>
      </c>
      <c r="F64" s="100">
        <f t="shared" si="1"/>
        <v>-5.0000000000000001E-3</v>
      </c>
      <c r="G64" s="100">
        <f t="shared" si="1"/>
        <v>0.05</v>
      </c>
      <c r="H64" s="100">
        <f t="shared" si="1"/>
        <v>0.1525</v>
      </c>
      <c r="I64" s="100">
        <f t="shared" si="1"/>
        <v>0</v>
      </c>
      <c r="J64" s="100">
        <f t="shared" si="1"/>
        <v>0</v>
      </c>
      <c r="K64" s="100">
        <f t="shared" si="1"/>
        <v>8.5000000000000006E-2</v>
      </c>
      <c r="L64" s="100">
        <f t="shared" si="1"/>
        <v>0.125</v>
      </c>
      <c r="M64" s="100">
        <f t="shared" si="1"/>
        <v>0.12</v>
      </c>
      <c r="N64" s="100">
        <f t="shared" si="1"/>
        <v>0.17499999999999999</v>
      </c>
    </row>
    <row r="65" spans="1:14" x14ac:dyDescent="0.25">
      <c r="A65" s="44">
        <v>36951</v>
      </c>
      <c r="B65" s="97">
        <f t="shared" si="1"/>
        <v>-0.23500000000000032</v>
      </c>
      <c r="C65" s="100">
        <f t="shared" si="1"/>
        <v>0</v>
      </c>
      <c r="D65" s="100">
        <f t="shared" si="1"/>
        <v>0</v>
      </c>
      <c r="E65" s="100">
        <f t="shared" si="1"/>
        <v>0</v>
      </c>
      <c r="F65" s="100">
        <f t="shared" si="1"/>
        <v>-5.0000000000000001E-3</v>
      </c>
      <c r="G65" s="100">
        <f t="shared" si="1"/>
        <v>4.4999999999999998E-2</v>
      </c>
      <c r="H65" s="100">
        <f t="shared" si="1"/>
        <v>0.1275</v>
      </c>
      <c r="I65" s="100">
        <f t="shared" si="1"/>
        <v>0</v>
      </c>
      <c r="J65" s="100">
        <f t="shared" si="1"/>
        <v>0</v>
      </c>
      <c r="K65" s="100">
        <f t="shared" si="1"/>
        <v>0.08</v>
      </c>
      <c r="L65" s="100">
        <f t="shared" si="1"/>
        <v>0.125</v>
      </c>
      <c r="M65" s="100">
        <f t="shared" si="1"/>
        <v>0.1125</v>
      </c>
      <c r="N65" s="100">
        <f t="shared" si="1"/>
        <v>0.17499999999999999</v>
      </c>
    </row>
    <row r="66" spans="1:14" x14ac:dyDescent="0.25">
      <c r="A66" s="44">
        <v>36982</v>
      </c>
      <c r="B66" s="97">
        <f t="shared" si="1"/>
        <v>-0.12000000000000011</v>
      </c>
      <c r="C66" s="100">
        <f t="shared" si="1"/>
        <v>0</v>
      </c>
      <c r="D66" s="100">
        <f t="shared" si="1"/>
        <v>0</v>
      </c>
      <c r="E66" s="100">
        <f t="shared" si="1"/>
        <v>0</v>
      </c>
      <c r="F66" s="100">
        <f t="shared" si="1"/>
        <v>-5.0000000000000001E-3</v>
      </c>
      <c r="G66" s="100">
        <f t="shared" si="1"/>
        <v>-2.5000000000000001E-3</v>
      </c>
      <c r="H66" s="100">
        <f t="shared" si="1"/>
        <v>8.2500000000000004E-2</v>
      </c>
      <c r="I66" s="100">
        <f t="shared" si="1"/>
        <v>0</v>
      </c>
      <c r="J66" s="100">
        <f t="shared" si="1"/>
        <v>0</v>
      </c>
      <c r="K66" s="100">
        <f t="shared" si="1"/>
        <v>3.2500000000000001E-2</v>
      </c>
      <c r="L66" s="100">
        <f t="shared" si="1"/>
        <v>7.4999999999999997E-2</v>
      </c>
      <c r="M66" s="100">
        <f t="shared" si="1"/>
        <v>0.12</v>
      </c>
      <c r="N66" s="100">
        <f t="shared" si="1"/>
        <v>0.1275</v>
      </c>
    </row>
    <row r="67" spans="1:14" x14ac:dyDescent="0.25">
      <c r="A67" s="44">
        <v>37012</v>
      </c>
      <c r="B67" s="97">
        <f t="shared" si="1"/>
        <v>-4.9999999999998934E-3</v>
      </c>
      <c r="C67" s="100">
        <f t="shared" si="1"/>
        <v>0</v>
      </c>
      <c r="D67" s="100">
        <f t="shared" si="1"/>
        <v>0</v>
      </c>
      <c r="E67" s="100">
        <f t="shared" si="1"/>
        <v>0</v>
      </c>
      <c r="F67" s="100">
        <f t="shared" si="1"/>
        <v>-5.0000000000000001E-3</v>
      </c>
      <c r="G67" s="100">
        <f t="shared" si="1"/>
        <v>-5.0000000000000001E-3</v>
      </c>
      <c r="H67" s="100">
        <f t="shared" si="1"/>
        <v>8.2500000000000004E-2</v>
      </c>
      <c r="I67" s="100">
        <f t="shared" si="1"/>
        <v>0</v>
      </c>
      <c r="J67" s="100">
        <f t="shared" si="1"/>
        <v>0</v>
      </c>
      <c r="K67" s="100">
        <f t="shared" si="1"/>
        <v>0.03</v>
      </c>
      <c r="L67" s="100">
        <f t="shared" si="1"/>
        <v>7.4999999999999997E-2</v>
      </c>
      <c r="M67" s="100">
        <f t="shared" si="1"/>
        <v>0.12</v>
      </c>
      <c r="N67" s="100">
        <f t="shared" si="1"/>
        <v>0.1275</v>
      </c>
    </row>
    <row r="68" spans="1:14" x14ac:dyDescent="0.25">
      <c r="A68" s="44">
        <v>37043</v>
      </c>
      <c r="B68" s="97">
        <f t="shared" si="1"/>
        <v>0</v>
      </c>
      <c r="C68" s="100">
        <f t="shared" si="1"/>
        <v>0</v>
      </c>
      <c r="D68" s="100">
        <f t="shared" si="1"/>
        <v>0</v>
      </c>
      <c r="E68" s="100">
        <f t="shared" si="1"/>
        <v>0</v>
      </c>
      <c r="F68" s="100">
        <f t="shared" si="1"/>
        <v>-5.0000000000000001E-3</v>
      </c>
      <c r="G68" s="100">
        <f t="shared" si="1"/>
        <v>-1.2500000000000001E-2</v>
      </c>
      <c r="H68" s="100">
        <f t="shared" si="1"/>
        <v>9.7500000000000003E-2</v>
      </c>
      <c r="I68" s="100">
        <f t="shared" si="1"/>
        <v>0</v>
      </c>
      <c r="J68" s="100">
        <f t="shared" si="1"/>
        <v>0</v>
      </c>
      <c r="K68" s="100">
        <f t="shared" si="1"/>
        <v>2.2499999999999999E-2</v>
      </c>
      <c r="L68" s="100">
        <f t="shared" si="1"/>
        <v>7.4999999999999997E-2</v>
      </c>
      <c r="M68" s="100">
        <f t="shared" si="1"/>
        <v>0.12</v>
      </c>
      <c r="N68" s="100">
        <f t="shared" si="1"/>
        <v>0.1275</v>
      </c>
    </row>
    <row r="69" spans="1:14" x14ac:dyDescent="0.25">
      <c r="A69" s="44">
        <v>37073</v>
      </c>
      <c r="B69" s="97">
        <f t="shared" si="1"/>
        <v>1.0000000000000231E-2</v>
      </c>
      <c r="C69" s="100">
        <f t="shared" si="1"/>
        <v>0</v>
      </c>
      <c r="D69" s="100">
        <f t="shared" si="1"/>
        <v>0</v>
      </c>
      <c r="E69" s="100">
        <f t="shared" si="1"/>
        <v>0</v>
      </c>
      <c r="F69" s="100">
        <f t="shared" si="1"/>
        <v>-5.0000000000000001E-3</v>
      </c>
      <c r="G69" s="100">
        <f t="shared" si="1"/>
        <v>-1.7500000000000002E-2</v>
      </c>
      <c r="H69" s="100">
        <f t="shared" si="1"/>
        <v>0.09</v>
      </c>
      <c r="I69" s="100">
        <f t="shared" si="1"/>
        <v>0</v>
      </c>
      <c r="J69" s="100">
        <f t="shared" si="1"/>
        <v>0</v>
      </c>
      <c r="K69" s="100">
        <f t="shared" si="1"/>
        <v>1.7500000000000002E-2</v>
      </c>
      <c r="L69" s="100">
        <f t="shared" si="1"/>
        <v>7.4999999999999997E-2</v>
      </c>
      <c r="M69" s="100">
        <f t="shared" si="1"/>
        <v>0.12</v>
      </c>
      <c r="N69" s="100">
        <f t="shared" si="1"/>
        <v>0.1275</v>
      </c>
    </row>
    <row r="70" spans="1:14" x14ac:dyDescent="0.25">
      <c r="A70" s="44">
        <v>37104</v>
      </c>
      <c r="B70" s="97">
        <f t="shared" si="1"/>
        <v>1.499999999999968E-2</v>
      </c>
      <c r="C70" s="100">
        <f t="shared" si="1"/>
        <v>0</v>
      </c>
      <c r="D70" s="100">
        <f t="shared" si="1"/>
        <v>0</v>
      </c>
      <c r="E70" s="100">
        <f t="shared" si="1"/>
        <v>0</v>
      </c>
      <c r="F70" s="100">
        <f t="shared" si="1"/>
        <v>-5.0000000000000001E-3</v>
      </c>
      <c r="G70" s="100">
        <f t="shared" si="1"/>
        <v>-1.7500000000000002E-2</v>
      </c>
      <c r="H70" s="100">
        <f t="shared" si="1"/>
        <v>0.09</v>
      </c>
      <c r="I70" s="100">
        <f t="shared" si="1"/>
        <v>0</v>
      </c>
      <c r="J70" s="100">
        <f t="shared" si="1"/>
        <v>0</v>
      </c>
      <c r="K70" s="100">
        <f t="shared" si="1"/>
        <v>1.7500000000000002E-2</v>
      </c>
      <c r="L70" s="100">
        <f t="shared" si="1"/>
        <v>7.4999999999999997E-2</v>
      </c>
      <c r="M70" s="100">
        <f t="shared" si="1"/>
        <v>0.12</v>
      </c>
      <c r="N70" s="100">
        <f t="shared" si="1"/>
        <v>0.1275</v>
      </c>
    </row>
    <row r="71" spans="1:14" x14ac:dyDescent="0.25">
      <c r="A71" s="44">
        <v>37135</v>
      </c>
      <c r="B71" s="97" t="e">
        <f t="shared" si="1"/>
        <v>#REF!</v>
      </c>
      <c r="C71" s="100">
        <f t="shared" si="1"/>
        <v>0</v>
      </c>
      <c r="D71" s="100">
        <f t="shared" si="1"/>
        <v>0</v>
      </c>
      <c r="E71" s="100">
        <f t="shared" si="1"/>
        <v>0</v>
      </c>
      <c r="F71" s="100">
        <f t="shared" si="1"/>
        <v>-5.0000000000000001E-3</v>
      </c>
      <c r="G71" s="100">
        <f t="shared" si="1"/>
        <v>-1.2500000000000001E-2</v>
      </c>
      <c r="H71" s="100">
        <f t="shared" si="1"/>
        <v>9.5000000000000001E-2</v>
      </c>
      <c r="I71" s="100">
        <f t="shared" si="1"/>
        <v>0</v>
      </c>
      <c r="J71" s="100">
        <f t="shared" si="1"/>
        <v>0</v>
      </c>
      <c r="K71" s="100">
        <f t="shared" si="1"/>
        <v>2.2499999999999999E-2</v>
      </c>
      <c r="L71" s="100">
        <f t="shared" si="1"/>
        <v>7.4999999999999997E-2</v>
      </c>
      <c r="M71" s="100">
        <f t="shared" si="1"/>
        <v>0.12</v>
      </c>
      <c r="N71" s="100">
        <f t="shared" si="1"/>
        <v>0.1275</v>
      </c>
    </row>
    <row r="72" spans="1:14" x14ac:dyDescent="0.25">
      <c r="A72" s="44">
        <v>37165</v>
      </c>
      <c r="B72" s="97" t="e">
        <f t="shared" si="1"/>
        <v>#REF!</v>
      </c>
      <c r="C72" s="100">
        <f t="shared" si="1"/>
        <v>0</v>
      </c>
      <c r="D72" s="100">
        <f t="shared" si="1"/>
        <v>0</v>
      </c>
      <c r="E72" s="100">
        <f t="shared" si="1"/>
        <v>0</v>
      </c>
      <c r="F72" s="100">
        <f t="shared" si="1"/>
        <v>-5.0000000000000001E-3</v>
      </c>
      <c r="G72" s="100">
        <f t="shared" si="1"/>
        <v>-2.5000000000000001E-3</v>
      </c>
      <c r="H72" s="100">
        <f t="shared" si="1"/>
        <v>9.7500000000000003E-2</v>
      </c>
      <c r="I72" s="100">
        <f t="shared" si="1"/>
        <v>0</v>
      </c>
      <c r="J72" s="100">
        <f t="shared" si="1"/>
        <v>0</v>
      </c>
      <c r="K72" s="100">
        <f t="shared" si="1"/>
        <v>3.2500000000000001E-2</v>
      </c>
      <c r="L72" s="100">
        <f t="shared" si="1"/>
        <v>7.4999999999999997E-2</v>
      </c>
      <c r="M72" s="100">
        <f t="shared" si="1"/>
        <v>0.12</v>
      </c>
      <c r="N72" s="100">
        <f t="shared" si="1"/>
        <v>0.1275</v>
      </c>
    </row>
    <row r="73" spans="1:14" x14ac:dyDescent="0.25">
      <c r="A73" s="44">
        <v>37196</v>
      </c>
      <c r="B73" s="97" t="e">
        <f t="shared" si="1"/>
        <v>#REF!</v>
      </c>
      <c r="C73" s="100">
        <f t="shared" si="1"/>
        <v>0</v>
      </c>
      <c r="D73" s="100">
        <f t="shared" si="1"/>
        <v>0</v>
      </c>
      <c r="E73" s="100">
        <f t="shared" si="1"/>
        <v>0</v>
      </c>
      <c r="F73" s="100">
        <f t="shared" si="1"/>
        <v>-5.0000000000000001E-3</v>
      </c>
      <c r="G73" s="100">
        <f t="shared" si="1"/>
        <v>4.2500000000000003E-2</v>
      </c>
      <c r="H73" s="100">
        <f t="shared" si="1"/>
        <v>0.1225</v>
      </c>
      <c r="I73" s="100">
        <f t="shared" si="1"/>
        <v>0</v>
      </c>
      <c r="J73" s="100">
        <f t="shared" si="1"/>
        <v>0</v>
      </c>
      <c r="K73" s="100">
        <f t="shared" si="1"/>
        <v>7.7499999999999999E-2</v>
      </c>
      <c r="L73" s="100">
        <f t="shared" si="1"/>
        <v>0.125</v>
      </c>
      <c r="M73" s="100">
        <f t="shared" si="1"/>
        <v>0.125</v>
      </c>
      <c r="N73" s="100">
        <f t="shared" si="1"/>
        <v>0.155</v>
      </c>
    </row>
    <row r="74" spans="1:14" ht="13.8" thickBot="1" x14ac:dyDescent="0.3">
      <c r="A74" s="45">
        <v>37226</v>
      </c>
      <c r="B74" s="98" t="e">
        <f t="shared" si="1"/>
        <v>#REF!</v>
      </c>
      <c r="C74" s="101">
        <f t="shared" si="1"/>
        <v>0</v>
      </c>
      <c r="D74" s="101">
        <f t="shared" si="1"/>
        <v>0</v>
      </c>
      <c r="E74" s="101">
        <f t="shared" si="1"/>
        <v>0</v>
      </c>
      <c r="F74" s="101">
        <f t="shared" si="1"/>
        <v>-5.0000000000000001E-3</v>
      </c>
      <c r="G74" s="101">
        <f t="shared" si="1"/>
        <v>6.5000000000000002E-2</v>
      </c>
      <c r="H74" s="101">
        <f t="shared" si="1"/>
        <v>0.14000000000000001</v>
      </c>
      <c r="I74" s="101">
        <f t="shared" si="1"/>
        <v>0</v>
      </c>
      <c r="J74" s="101">
        <f t="shared" si="1"/>
        <v>0</v>
      </c>
      <c r="K74" s="101">
        <f t="shared" si="1"/>
        <v>0.1</v>
      </c>
      <c r="L74" s="101">
        <f t="shared" si="1"/>
        <v>0.125</v>
      </c>
      <c r="M74" s="101">
        <f t="shared" si="1"/>
        <v>0.1275</v>
      </c>
      <c r="N74" s="101">
        <f t="shared" si="1"/>
        <v>0.155</v>
      </c>
    </row>
  </sheetData>
  <mergeCells count="9">
    <mergeCell ref="B1:N1"/>
    <mergeCell ref="B27:N27"/>
    <mergeCell ref="B28:E28"/>
    <mergeCell ref="F28:N28"/>
    <mergeCell ref="B53:N53"/>
    <mergeCell ref="B54:E54"/>
    <mergeCell ref="F54:N54"/>
    <mergeCell ref="B2:E2"/>
    <mergeCell ref="F2:N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4"/>
  <sheetViews>
    <sheetView zoomScale="60" workbookViewId="0">
      <selection activeCell="G27" sqref="G27"/>
    </sheetView>
  </sheetViews>
  <sheetFormatPr defaultColWidth="9.109375" defaultRowHeight="13.2" x14ac:dyDescent="0.25"/>
  <cols>
    <col min="1" max="1" width="11.88671875" style="1" bestFit="1" customWidth="1"/>
    <col min="2" max="2" width="14.109375" style="1" bestFit="1" customWidth="1"/>
    <col min="3" max="3" width="6.88671875" style="1" bestFit="1" customWidth="1"/>
    <col min="4" max="4" width="7.5546875" style="1" bestFit="1" customWidth="1"/>
    <col min="5" max="5" width="8.44140625" style="1" bestFit="1" customWidth="1"/>
    <col min="6" max="6" width="10.5546875" style="1" bestFit="1" customWidth="1"/>
    <col min="7" max="7" width="10" style="1" customWidth="1"/>
    <col min="8" max="8" width="13.33203125" style="1" bestFit="1" customWidth="1"/>
    <col min="9" max="9" width="10.88671875" style="1" bestFit="1" customWidth="1"/>
    <col min="10" max="10" width="9.6640625" style="1" bestFit="1" customWidth="1"/>
    <col min="11" max="11" width="9.88671875" style="1" bestFit="1" customWidth="1"/>
    <col min="12" max="15" width="9" style="1" bestFit="1" customWidth="1"/>
    <col min="16" max="16" width="11" style="1" bestFit="1" customWidth="1"/>
    <col min="17" max="17" width="9.109375" style="1"/>
    <col min="18" max="18" width="10.5546875" style="1" bestFit="1" customWidth="1"/>
    <col min="19" max="16384" width="9.109375" style="1"/>
  </cols>
  <sheetData>
    <row r="3" spans="1:18" ht="13.8" thickBot="1" x14ac:dyDescent="0.3"/>
    <row r="4" spans="1:18" ht="15.6" x14ac:dyDescent="0.3">
      <c r="A4" s="76" t="s">
        <v>9</v>
      </c>
      <c r="B4" s="71" t="s">
        <v>11</v>
      </c>
      <c r="C4" s="71" t="s">
        <v>25</v>
      </c>
      <c r="D4" s="71" t="s">
        <v>3</v>
      </c>
      <c r="E4" s="71" t="s">
        <v>26</v>
      </c>
      <c r="F4" s="71" t="s">
        <v>22</v>
      </c>
      <c r="G4" s="72" t="s">
        <v>19</v>
      </c>
      <c r="H4" s="73" t="s">
        <v>3</v>
      </c>
      <c r="I4" s="73" t="s">
        <v>5</v>
      </c>
      <c r="J4" s="73" t="s">
        <v>20</v>
      </c>
      <c r="K4" s="73" t="s">
        <v>15</v>
      </c>
      <c r="L4" s="73" t="s">
        <v>6</v>
      </c>
      <c r="M4" s="73" t="s">
        <v>7</v>
      </c>
      <c r="N4" s="73" t="s">
        <v>8</v>
      </c>
      <c r="O4" s="73" t="s">
        <v>21</v>
      </c>
      <c r="P4" s="71" t="s">
        <v>22</v>
      </c>
      <c r="R4" s="76" t="s">
        <v>22</v>
      </c>
    </row>
    <row r="5" spans="1:18" ht="16.2" thickBot="1" x14ac:dyDescent="0.35">
      <c r="A5" s="77"/>
      <c r="B5" s="94" t="s">
        <v>10</v>
      </c>
      <c r="C5" s="94" t="s">
        <v>30</v>
      </c>
      <c r="D5" s="94" t="s">
        <v>30</v>
      </c>
      <c r="E5" s="94" t="s">
        <v>30</v>
      </c>
      <c r="F5" s="94" t="s">
        <v>27</v>
      </c>
      <c r="G5" s="95" t="s">
        <v>4</v>
      </c>
      <c r="H5" s="95" t="s">
        <v>4</v>
      </c>
      <c r="I5" s="95" t="s">
        <v>4</v>
      </c>
      <c r="J5" s="95" t="s">
        <v>4</v>
      </c>
      <c r="K5" s="95" t="s">
        <v>4</v>
      </c>
      <c r="L5" s="95" t="s">
        <v>4</v>
      </c>
      <c r="M5" s="95" t="s">
        <v>4</v>
      </c>
      <c r="N5" s="95" t="s">
        <v>4</v>
      </c>
      <c r="O5" s="95" t="s">
        <v>4</v>
      </c>
      <c r="P5" s="94" t="s">
        <v>4</v>
      </c>
      <c r="R5" s="106" t="s">
        <v>36</v>
      </c>
    </row>
    <row r="6" spans="1:18" x14ac:dyDescent="0.25">
      <c r="A6" s="43">
        <v>36708</v>
      </c>
      <c r="B6" s="111">
        <f>+Curves!B57*10000*Posn!C12</f>
        <v>0</v>
      </c>
      <c r="C6" s="119">
        <f>+Curves!C57*10000*Posn!D12</f>
        <v>0</v>
      </c>
      <c r="D6" s="112">
        <f>+Curves!D57*10000*Posn!E12</f>
        <v>0</v>
      </c>
      <c r="E6" s="119">
        <f>+Curves!E57*10000*Posn!F12</f>
        <v>0</v>
      </c>
      <c r="F6" s="122">
        <f>SUM(B6:E6)</f>
        <v>0</v>
      </c>
      <c r="G6" s="111">
        <f>+Curves!G57*10000*Posn!H12</f>
        <v>-382.49999999999955</v>
      </c>
      <c r="H6" s="119">
        <f>+Curves!H57*10000*Posn!I12</f>
        <v>18480</v>
      </c>
      <c r="I6" s="112">
        <f>+Curves!I57*10000*Posn!J12</f>
        <v>0</v>
      </c>
      <c r="J6" s="119">
        <f>+Curves!J57*10000*Posn!K12</f>
        <v>0</v>
      </c>
      <c r="K6" s="112">
        <f>+Curves!K57*10000*Posn!L12</f>
        <v>0</v>
      </c>
      <c r="L6" s="119">
        <f>+Curves!L57*10000*Posn!M12</f>
        <v>0</v>
      </c>
      <c r="M6" s="112">
        <f>+Curves!M57*10000*Posn!N12</f>
        <v>0</v>
      </c>
      <c r="N6" s="119">
        <f>+Curves!N57*10000*Posn!O12</f>
        <v>0</v>
      </c>
      <c r="O6" s="113">
        <f>+Curves!O57*10000*Posn!P12</f>
        <v>0</v>
      </c>
      <c r="P6" s="107">
        <f t="shared" ref="P6:P23" si="0">SUM(G6:O6)</f>
        <v>18097.5</v>
      </c>
      <c r="R6" s="102">
        <f>+F6+P6</f>
        <v>18097.5</v>
      </c>
    </row>
    <row r="7" spans="1:18" x14ac:dyDescent="0.25">
      <c r="A7" s="44">
        <v>36739</v>
      </c>
      <c r="B7" s="114">
        <f>+Curves!B58*10000*Posn!C13</f>
        <v>0</v>
      </c>
      <c r="C7" s="120">
        <f>+Curves!C58*10000*Posn!D13</f>
        <v>0</v>
      </c>
      <c r="D7" s="110">
        <f>+Curves!D58*10000*Posn!E13</f>
        <v>0</v>
      </c>
      <c r="E7" s="120">
        <f>+Curves!E58*10000*Posn!F13</f>
        <v>0</v>
      </c>
      <c r="F7" s="105">
        <f t="shared" ref="F7:F23" si="1">SUM(B7:E7)</f>
        <v>0</v>
      </c>
      <c r="G7" s="114">
        <f>+Curves!G58*10000*Posn!H13</f>
        <v>0</v>
      </c>
      <c r="H7" s="120">
        <f>+Curves!H58*10000*Posn!I13</f>
        <v>16830</v>
      </c>
      <c r="I7" s="110">
        <f>+Curves!I58*10000*Posn!J13</f>
        <v>0</v>
      </c>
      <c r="J7" s="120">
        <f>+Curves!J58*10000*Posn!K13</f>
        <v>0</v>
      </c>
      <c r="K7" s="110">
        <f>+Curves!K58*10000*Posn!L13</f>
        <v>0</v>
      </c>
      <c r="L7" s="120">
        <f>+Curves!L58*10000*Posn!M13</f>
        <v>0</v>
      </c>
      <c r="M7" s="110">
        <f>+Curves!M58*10000*Posn!N13</f>
        <v>0</v>
      </c>
      <c r="N7" s="120">
        <f>+Curves!N58*10000*Posn!O13</f>
        <v>0</v>
      </c>
      <c r="O7" s="115">
        <f>+Curves!O58*10000*Posn!P13</f>
        <v>0</v>
      </c>
      <c r="P7" s="108">
        <f t="shared" si="0"/>
        <v>16830</v>
      </c>
      <c r="R7" s="103">
        <f t="shared" ref="R7:R23" si="2">+F7+P7</f>
        <v>16830</v>
      </c>
    </row>
    <row r="8" spans="1:18" x14ac:dyDescent="0.25">
      <c r="A8" s="44">
        <v>36770</v>
      </c>
      <c r="B8" s="114">
        <f>+Curves!B59*10000*Posn!C14</f>
        <v>0</v>
      </c>
      <c r="C8" s="120">
        <f>+Curves!C59*10000*Posn!D14</f>
        <v>0</v>
      </c>
      <c r="D8" s="110">
        <f>+Curves!D59*10000*Posn!E14</f>
        <v>0</v>
      </c>
      <c r="E8" s="120">
        <f>+Curves!E59*10000*Posn!F14</f>
        <v>0</v>
      </c>
      <c r="F8" s="105">
        <f t="shared" si="1"/>
        <v>0</v>
      </c>
      <c r="G8" s="114">
        <f>+Curves!G59*10000*Posn!H14</f>
        <v>0</v>
      </c>
      <c r="H8" s="120">
        <f>+Curves!H59*10000*Posn!I14</f>
        <v>16905</v>
      </c>
      <c r="I8" s="110">
        <f>+Curves!I59*10000*Posn!J14</f>
        <v>0</v>
      </c>
      <c r="J8" s="120">
        <f>+Curves!J59*10000*Posn!K14</f>
        <v>0</v>
      </c>
      <c r="K8" s="110">
        <f>+Curves!K59*10000*Posn!L14</f>
        <v>0</v>
      </c>
      <c r="L8" s="120">
        <f>+Curves!L59*10000*Posn!M14</f>
        <v>0</v>
      </c>
      <c r="M8" s="110">
        <f>+Curves!M59*10000*Posn!N14</f>
        <v>0</v>
      </c>
      <c r="N8" s="120">
        <f>+Curves!N59*10000*Posn!O14</f>
        <v>0</v>
      </c>
      <c r="O8" s="115">
        <f>+Curves!O59*10000*Posn!P14</f>
        <v>0</v>
      </c>
      <c r="P8" s="108">
        <f t="shared" si="0"/>
        <v>16905</v>
      </c>
      <c r="R8" s="103">
        <f t="shared" si="2"/>
        <v>16905</v>
      </c>
    </row>
    <row r="9" spans="1:18" x14ac:dyDescent="0.25">
      <c r="A9" s="44">
        <v>36800</v>
      </c>
      <c r="B9" s="114">
        <f>+Curves!B60*10000*Posn!C15</f>
        <v>0</v>
      </c>
      <c r="C9" s="120">
        <f>+Curves!C60*10000*Posn!D15</f>
        <v>0</v>
      </c>
      <c r="D9" s="110">
        <f>+Curves!D60*10000*Posn!E15</f>
        <v>0</v>
      </c>
      <c r="E9" s="120">
        <f>+Curves!E60*10000*Posn!F15</f>
        <v>0</v>
      </c>
      <c r="F9" s="105">
        <f t="shared" si="1"/>
        <v>0</v>
      </c>
      <c r="G9" s="114">
        <f>+Curves!G60*10000*Posn!H15</f>
        <v>0</v>
      </c>
      <c r="H9" s="120">
        <f>+Curves!H60*10000*Posn!I15</f>
        <v>-151200</v>
      </c>
      <c r="I9" s="110">
        <f>+Curves!I60*10000*Posn!J15</f>
        <v>0</v>
      </c>
      <c r="J9" s="120">
        <f>+Curves!J60*10000*Posn!K15</f>
        <v>0</v>
      </c>
      <c r="K9" s="110">
        <f>+Curves!K60*10000*Posn!L15</f>
        <v>0</v>
      </c>
      <c r="L9" s="120">
        <f>+Curves!L60*10000*Posn!M15</f>
        <v>0</v>
      </c>
      <c r="M9" s="110">
        <f>+Curves!M60*10000*Posn!N15</f>
        <v>0</v>
      </c>
      <c r="N9" s="120">
        <f>+Curves!N60*10000*Posn!O15</f>
        <v>0</v>
      </c>
      <c r="O9" s="115">
        <f>+Curves!O60*10000*Posn!P15</f>
        <v>0</v>
      </c>
      <c r="P9" s="108">
        <f t="shared" si="0"/>
        <v>-151200</v>
      </c>
      <c r="R9" s="103">
        <f t="shared" si="2"/>
        <v>-151200</v>
      </c>
    </row>
    <row r="10" spans="1:18" x14ac:dyDescent="0.25">
      <c r="A10" s="44">
        <v>36831</v>
      </c>
      <c r="B10" s="114">
        <f>+Curves!B61*10000*Posn!C16</f>
        <v>0</v>
      </c>
      <c r="C10" s="120">
        <f>+Curves!C61*10000*Posn!D16</f>
        <v>0</v>
      </c>
      <c r="D10" s="110">
        <f>+Curves!D61*10000*Posn!E16</f>
        <v>0</v>
      </c>
      <c r="E10" s="120">
        <f>+Curves!E61*10000*Posn!F16</f>
        <v>0</v>
      </c>
      <c r="F10" s="105">
        <f t="shared" si="1"/>
        <v>0</v>
      </c>
      <c r="G10" s="114">
        <f>+Curves!G61*10000*Posn!H16</f>
        <v>0</v>
      </c>
      <c r="H10" s="120">
        <f>+Curves!H61*10000*Posn!I16</f>
        <v>0</v>
      </c>
      <c r="I10" s="110">
        <f>+Curves!I61*10000*Posn!J16</f>
        <v>0</v>
      </c>
      <c r="J10" s="120">
        <f>+Curves!J61*10000*Posn!K16</f>
        <v>0</v>
      </c>
      <c r="K10" s="110">
        <f>+Curves!K61*10000*Posn!L16</f>
        <v>0</v>
      </c>
      <c r="L10" s="120">
        <f>+Curves!L61*10000*Posn!M16</f>
        <v>0</v>
      </c>
      <c r="M10" s="110">
        <f>+Curves!M61*10000*Posn!N16</f>
        <v>0</v>
      </c>
      <c r="N10" s="120">
        <f>+Curves!N61*10000*Posn!O16</f>
        <v>0</v>
      </c>
      <c r="O10" s="115">
        <f>+Curves!O61*10000*Posn!P16</f>
        <v>0</v>
      </c>
      <c r="P10" s="108">
        <f t="shared" si="0"/>
        <v>0</v>
      </c>
      <c r="R10" s="103">
        <f t="shared" si="2"/>
        <v>0</v>
      </c>
    </row>
    <row r="11" spans="1:18" x14ac:dyDescent="0.25">
      <c r="A11" s="44">
        <v>36861</v>
      </c>
      <c r="B11" s="114">
        <f>+Curves!B62*10000*Posn!C17</f>
        <v>0</v>
      </c>
      <c r="C11" s="120">
        <f>+Curves!C62*10000*Posn!D17</f>
        <v>0</v>
      </c>
      <c r="D11" s="110">
        <f>+Curves!D62*10000*Posn!E17</f>
        <v>0</v>
      </c>
      <c r="E11" s="120">
        <f>+Curves!E62*10000*Posn!F17</f>
        <v>0</v>
      </c>
      <c r="F11" s="105">
        <f t="shared" si="1"/>
        <v>0</v>
      </c>
      <c r="G11" s="114">
        <f>+Curves!G62*10000*Posn!H17</f>
        <v>0</v>
      </c>
      <c r="H11" s="120">
        <f>+Curves!H62*10000*Posn!I17</f>
        <v>0</v>
      </c>
      <c r="I11" s="110">
        <f>+Curves!I62*10000*Posn!J17</f>
        <v>0</v>
      </c>
      <c r="J11" s="120">
        <f>+Curves!J62*10000*Posn!K17</f>
        <v>0</v>
      </c>
      <c r="K11" s="110">
        <f>+Curves!K62*10000*Posn!L17</f>
        <v>0</v>
      </c>
      <c r="L11" s="120">
        <f>+Curves!L62*10000*Posn!M17</f>
        <v>0</v>
      </c>
      <c r="M11" s="110">
        <f>+Curves!M62*10000*Posn!N17</f>
        <v>0</v>
      </c>
      <c r="N11" s="120">
        <f>+Curves!N62*10000*Posn!O17</f>
        <v>0</v>
      </c>
      <c r="O11" s="115">
        <f>+Curves!O62*10000*Posn!P17</f>
        <v>0</v>
      </c>
      <c r="P11" s="108">
        <f t="shared" si="0"/>
        <v>0</v>
      </c>
      <c r="R11" s="103">
        <f t="shared" si="2"/>
        <v>0</v>
      </c>
    </row>
    <row r="12" spans="1:18" x14ac:dyDescent="0.25">
      <c r="A12" s="44">
        <v>36892</v>
      </c>
      <c r="B12" s="114">
        <f>+Curves!B63*10000*Posn!C18</f>
        <v>0</v>
      </c>
      <c r="C12" s="120">
        <f>+Curves!C63*10000*Posn!D18</f>
        <v>0</v>
      </c>
      <c r="D12" s="110">
        <f>+Curves!D63*10000*Posn!E18</f>
        <v>0</v>
      </c>
      <c r="E12" s="120">
        <f>+Curves!E63*10000*Posn!F18</f>
        <v>0</v>
      </c>
      <c r="F12" s="105">
        <f t="shared" si="1"/>
        <v>0</v>
      </c>
      <c r="G12" s="114">
        <f>+Curves!G63*10000*Posn!H18</f>
        <v>0</v>
      </c>
      <c r="H12" s="120">
        <f>+Curves!H63*10000*Posn!I18</f>
        <v>0</v>
      </c>
      <c r="I12" s="110">
        <f>+Curves!I63*10000*Posn!J18</f>
        <v>0</v>
      </c>
      <c r="J12" s="120">
        <f>+Curves!J63*10000*Posn!K18</f>
        <v>0</v>
      </c>
      <c r="K12" s="110">
        <f>+Curves!K63*10000*Posn!L18</f>
        <v>0</v>
      </c>
      <c r="L12" s="120">
        <f>+Curves!L63*10000*Posn!M18</f>
        <v>0</v>
      </c>
      <c r="M12" s="110">
        <f>+Curves!M63*10000*Posn!N18</f>
        <v>0</v>
      </c>
      <c r="N12" s="120">
        <f>+Curves!N63*10000*Posn!O18</f>
        <v>0</v>
      </c>
      <c r="O12" s="115">
        <f>+Curves!O63*10000*Posn!P18</f>
        <v>0</v>
      </c>
      <c r="P12" s="108">
        <f t="shared" si="0"/>
        <v>0</v>
      </c>
      <c r="R12" s="103">
        <f t="shared" si="2"/>
        <v>0</v>
      </c>
    </row>
    <row r="13" spans="1:18" x14ac:dyDescent="0.25">
      <c r="A13" s="44">
        <v>36923</v>
      </c>
      <c r="B13" s="114">
        <f>+Curves!B64*10000*Posn!C19</f>
        <v>0</v>
      </c>
      <c r="C13" s="120">
        <f>+Curves!C64*10000*Posn!D19</f>
        <v>0</v>
      </c>
      <c r="D13" s="110">
        <f>+Curves!D64*10000*Posn!E19</f>
        <v>0</v>
      </c>
      <c r="E13" s="120">
        <f>+Curves!E64*10000*Posn!F19</f>
        <v>0</v>
      </c>
      <c r="F13" s="105">
        <f t="shared" si="1"/>
        <v>0</v>
      </c>
      <c r="G13" s="114">
        <f>+Curves!G64*10000*Posn!H19</f>
        <v>0</v>
      </c>
      <c r="H13" s="120">
        <f>+Curves!H64*10000*Posn!I19</f>
        <v>0</v>
      </c>
      <c r="I13" s="110">
        <f>+Curves!I64*10000*Posn!J19</f>
        <v>0</v>
      </c>
      <c r="J13" s="120">
        <f>+Curves!J64*10000*Posn!K19</f>
        <v>0</v>
      </c>
      <c r="K13" s="110">
        <f>+Curves!K64*10000*Posn!L19</f>
        <v>0</v>
      </c>
      <c r="L13" s="120">
        <f>+Curves!L64*10000*Posn!M19</f>
        <v>0</v>
      </c>
      <c r="M13" s="110">
        <f>+Curves!M64*10000*Posn!N19</f>
        <v>0</v>
      </c>
      <c r="N13" s="120">
        <f>+Curves!N64*10000*Posn!O19</f>
        <v>0</v>
      </c>
      <c r="O13" s="115">
        <f>+Curves!O64*10000*Posn!P19</f>
        <v>0</v>
      </c>
      <c r="P13" s="108">
        <f t="shared" si="0"/>
        <v>0</v>
      </c>
      <c r="R13" s="103">
        <f t="shared" si="2"/>
        <v>0</v>
      </c>
    </row>
    <row r="14" spans="1:18" x14ac:dyDescent="0.25">
      <c r="A14" s="44">
        <v>36951</v>
      </c>
      <c r="B14" s="114">
        <f>+Curves!B65*10000*Posn!C20</f>
        <v>0</v>
      </c>
      <c r="C14" s="120">
        <f>+Curves!C65*10000*Posn!D20</f>
        <v>0</v>
      </c>
      <c r="D14" s="110">
        <f>+Curves!D65*10000*Posn!E20</f>
        <v>0</v>
      </c>
      <c r="E14" s="120">
        <f>+Curves!E65*10000*Posn!F20</f>
        <v>0</v>
      </c>
      <c r="F14" s="105">
        <f t="shared" si="1"/>
        <v>0</v>
      </c>
      <c r="G14" s="114">
        <f>+Curves!G65*10000*Posn!H20</f>
        <v>0</v>
      </c>
      <c r="H14" s="120">
        <f>+Curves!H65*10000*Posn!I20</f>
        <v>0</v>
      </c>
      <c r="I14" s="110">
        <f>+Curves!I65*10000*Posn!J20</f>
        <v>0</v>
      </c>
      <c r="J14" s="120">
        <f>+Curves!J65*10000*Posn!K20</f>
        <v>0</v>
      </c>
      <c r="K14" s="110">
        <f>+Curves!K65*10000*Posn!L20</f>
        <v>0</v>
      </c>
      <c r="L14" s="120">
        <f>+Curves!L65*10000*Posn!M20</f>
        <v>0</v>
      </c>
      <c r="M14" s="110">
        <f>+Curves!M65*10000*Posn!N20</f>
        <v>0</v>
      </c>
      <c r="N14" s="120">
        <f>+Curves!N65*10000*Posn!O20</f>
        <v>0</v>
      </c>
      <c r="O14" s="115">
        <f>+Curves!O65*10000*Posn!P20</f>
        <v>0</v>
      </c>
      <c r="P14" s="108">
        <f t="shared" si="0"/>
        <v>0</v>
      </c>
      <c r="R14" s="103">
        <f t="shared" si="2"/>
        <v>0</v>
      </c>
    </row>
    <row r="15" spans="1:18" x14ac:dyDescent="0.25">
      <c r="A15" s="44">
        <v>36982</v>
      </c>
      <c r="B15" s="114">
        <f>+Curves!B66*10000*Posn!C21</f>
        <v>0</v>
      </c>
      <c r="C15" s="120">
        <f>+Curves!C66*10000*Posn!D21</f>
        <v>0</v>
      </c>
      <c r="D15" s="110">
        <f>+Curves!D66*10000*Posn!E21</f>
        <v>0</v>
      </c>
      <c r="E15" s="120">
        <f>+Curves!E66*10000*Posn!F21</f>
        <v>0</v>
      </c>
      <c r="F15" s="105">
        <f t="shared" si="1"/>
        <v>0</v>
      </c>
      <c r="G15" s="114">
        <f>+Curves!G66*10000*Posn!H21</f>
        <v>0</v>
      </c>
      <c r="H15" s="120">
        <f>+Curves!H66*10000*Posn!I21</f>
        <v>0</v>
      </c>
      <c r="I15" s="110">
        <f>+Curves!I66*10000*Posn!J21</f>
        <v>0</v>
      </c>
      <c r="J15" s="120">
        <f>+Curves!J66*10000*Posn!K21</f>
        <v>0</v>
      </c>
      <c r="K15" s="110">
        <f>+Curves!K66*10000*Posn!L21</f>
        <v>0</v>
      </c>
      <c r="L15" s="120">
        <f>+Curves!L66*10000*Posn!M21</f>
        <v>0</v>
      </c>
      <c r="M15" s="110">
        <f>+Curves!M66*10000*Posn!N21</f>
        <v>0</v>
      </c>
      <c r="N15" s="120">
        <f>+Curves!N66*10000*Posn!O21</f>
        <v>0</v>
      </c>
      <c r="O15" s="115">
        <f>+Curves!O66*10000*Posn!P21</f>
        <v>0</v>
      </c>
      <c r="P15" s="108">
        <f t="shared" si="0"/>
        <v>0</v>
      </c>
      <c r="R15" s="103">
        <f t="shared" si="2"/>
        <v>0</v>
      </c>
    </row>
    <row r="16" spans="1:18" x14ac:dyDescent="0.25">
      <c r="A16" s="44">
        <v>37012</v>
      </c>
      <c r="B16" s="114">
        <f>+Curves!B67*10000*Posn!C22</f>
        <v>0</v>
      </c>
      <c r="C16" s="120">
        <f>+Curves!C67*10000*Posn!D22</f>
        <v>0</v>
      </c>
      <c r="D16" s="110">
        <f>+Curves!D67*10000*Posn!E22</f>
        <v>0</v>
      </c>
      <c r="E16" s="120">
        <f>+Curves!E67*10000*Posn!F22</f>
        <v>0</v>
      </c>
      <c r="F16" s="105">
        <f t="shared" si="1"/>
        <v>0</v>
      </c>
      <c r="G16" s="114">
        <f>+Curves!G67*10000*Posn!H22</f>
        <v>0</v>
      </c>
      <c r="H16" s="120">
        <f>+Curves!H67*10000*Posn!I22</f>
        <v>0</v>
      </c>
      <c r="I16" s="110">
        <f>+Curves!I67*10000*Posn!J22</f>
        <v>0</v>
      </c>
      <c r="J16" s="120">
        <f>+Curves!J67*10000*Posn!K22</f>
        <v>0</v>
      </c>
      <c r="K16" s="110">
        <f>+Curves!K67*10000*Posn!L22</f>
        <v>0</v>
      </c>
      <c r="L16" s="120">
        <f>+Curves!L67*10000*Posn!M22</f>
        <v>0</v>
      </c>
      <c r="M16" s="110">
        <f>+Curves!M67*10000*Posn!N22</f>
        <v>0</v>
      </c>
      <c r="N16" s="120">
        <f>+Curves!N67*10000*Posn!O22</f>
        <v>0</v>
      </c>
      <c r="O16" s="115">
        <f>+Curves!O67*10000*Posn!P22</f>
        <v>0</v>
      </c>
      <c r="P16" s="108">
        <f t="shared" si="0"/>
        <v>0</v>
      </c>
      <c r="R16" s="103">
        <f t="shared" si="2"/>
        <v>0</v>
      </c>
    </row>
    <row r="17" spans="1:18" x14ac:dyDescent="0.25">
      <c r="A17" s="44">
        <v>37043</v>
      </c>
      <c r="B17" s="114">
        <f>+Curves!B68*10000*Posn!C23</f>
        <v>0</v>
      </c>
      <c r="C17" s="120">
        <f>+Curves!C68*10000*Posn!D23</f>
        <v>0</v>
      </c>
      <c r="D17" s="110">
        <f>+Curves!D68*10000*Posn!E23</f>
        <v>0</v>
      </c>
      <c r="E17" s="120">
        <f>+Curves!E68*10000*Posn!F23</f>
        <v>0</v>
      </c>
      <c r="F17" s="105">
        <f t="shared" si="1"/>
        <v>0</v>
      </c>
      <c r="G17" s="114">
        <f>+Curves!G68*10000*Posn!H23</f>
        <v>0</v>
      </c>
      <c r="H17" s="120">
        <f>+Curves!H68*10000*Posn!I23</f>
        <v>0</v>
      </c>
      <c r="I17" s="110">
        <f>+Curves!I68*10000*Posn!J23</f>
        <v>0</v>
      </c>
      <c r="J17" s="120">
        <f>+Curves!J68*10000*Posn!K23</f>
        <v>0</v>
      </c>
      <c r="K17" s="110">
        <f>+Curves!K68*10000*Posn!L23</f>
        <v>0</v>
      </c>
      <c r="L17" s="120">
        <f>+Curves!L68*10000*Posn!M23</f>
        <v>0</v>
      </c>
      <c r="M17" s="110">
        <f>+Curves!M68*10000*Posn!N23</f>
        <v>0</v>
      </c>
      <c r="N17" s="120">
        <f>+Curves!N68*10000*Posn!O23</f>
        <v>0</v>
      </c>
      <c r="O17" s="115">
        <f>+Curves!O68*10000*Posn!P23</f>
        <v>0</v>
      </c>
      <c r="P17" s="108">
        <f t="shared" si="0"/>
        <v>0</v>
      </c>
      <c r="R17" s="103">
        <f t="shared" si="2"/>
        <v>0</v>
      </c>
    </row>
    <row r="18" spans="1:18" x14ac:dyDescent="0.25">
      <c r="A18" s="44">
        <v>37073</v>
      </c>
      <c r="B18" s="114">
        <f>+Curves!B69*10000*Posn!C24</f>
        <v>0</v>
      </c>
      <c r="C18" s="120">
        <f>+Curves!C69*10000*Posn!D24</f>
        <v>0</v>
      </c>
      <c r="D18" s="110">
        <f>+Curves!D69*10000*Posn!E24</f>
        <v>0</v>
      </c>
      <c r="E18" s="120">
        <f>+Curves!E69*10000*Posn!F24</f>
        <v>0</v>
      </c>
      <c r="F18" s="105">
        <f t="shared" si="1"/>
        <v>0</v>
      </c>
      <c r="G18" s="114">
        <f>+Curves!G69*10000*Posn!H24</f>
        <v>0</v>
      </c>
      <c r="H18" s="120">
        <f>+Curves!H69*10000*Posn!I24</f>
        <v>0</v>
      </c>
      <c r="I18" s="110">
        <f>+Curves!I69*10000*Posn!J24</f>
        <v>0</v>
      </c>
      <c r="J18" s="120">
        <f>+Curves!J69*10000*Posn!K24</f>
        <v>0</v>
      </c>
      <c r="K18" s="110">
        <f>+Curves!K69*10000*Posn!L24</f>
        <v>0</v>
      </c>
      <c r="L18" s="120">
        <f>+Curves!L69*10000*Posn!M24</f>
        <v>0</v>
      </c>
      <c r="M18" s="110">
        <f>+Curves!M69*10000*Posn!N24</f>
        <v>0</v>
      </c>
      <c r="N18" s="120">
        <f>+Curves!N69*10000*Posn!O24</f>
        <v>0</v>
      </c>
      <c r="O18" s="115">
        <f>+Curves!O69*10000*Posn!P24</f>
        <v>0</v>
      </c>
      <c r="P18" s="108">
        <f t="shared" si="0"/>
        <v>0</v>
      </c>
      <c r="R18" s="103">
        <f t="shared" si="2"/>
        <v>0</v>
      </c>
    </row>
    <row r="19" spans="1:18" x14ac:dyDescent="0.25">
      <c r="A19" s="44">
        <v>37104</v>
      </c>
      <c r="B19" s="114">
        <f>+Curves!B70*10000*Posn!C25</f>
        <v>0</v>
      </c>
      <c r="C19" s="120">
        <f>+Curves!C70*10000*Posn!D25</f>
        <v>0</v>
      </c>
      <c r="D19" s="110">
        <f>+Curves!D70*10000*Posn!E25</f>
        <v>0</v>
      </c>
      <c r="E19" s="120">
        <f>+Curves!E70*10000*Posn!F25</f>
        <v>0</v>
      </c>
      <c r="F19" s="105">
        <f t="shared" si="1"/>
        <v>0</v>
      </c>
      <c r="G19" s="114">
        <f>+Curves!G70*10000*Posn!H25</f>
        <v>0</v>
      </c>
      <c r="H19" s="120">
        <f>+Curves!H70*10000*Posn!I25</f>
        <v>0</v>
      </c>
      <c r="I19" s="110">
        <f>+Curves!I70*10000*Posn!J25</f>
        <v>0</v>
      </c>
      <c r="J19" s="120">
        <f>+Curves!J70*10000*Posn!K25</f>
        <v>0</v>
      </c>
      <c r="K19" s="110">
        <f>+Curves!K70*10000*Posn!L25</f>
        <v>0</v>
      </c>
      <c r="L19" s="120">
        <f>+Curves!L70*10000*Posn!M25</f>
        <v>0</v>
      </c>
      <c r="M19" s="110">
        <f>+Curves!M70*10000*Posn!N25</f>
        <v>0</v>
      </c>
      <c r="N19" s="120">
        <f>+Curves!N70*10000*Posn!O25</f>
        <v>0</v>
      </c>
      <c r="O19" s="115">
        <f>+Curves!O70*10000*Posn!P25</f>
        <v>0</v>
      </c>
      <c r="P19" s="108">
        <f t="shared" si="0"/>
        <v>0</v>
      </c>
      <c r="R19" s="103">
        <f t="shared" si="2"/>
        <v>0</v>
      </c>
    </row>
    <row r="20" spans="1:18" x14ac:dyDescent="0.25">
      <c r="A20" s="44">
        <v>37135</v>
      </c>
      <c r="B20" s="114" t="e">
        <f>+Curves!B71*10000*Posn!C26</f>
        <v>#REF!</v>
      </c>
      <c r="C20" s="120">
        <f>+Curves!C71*10000*Posn!D26</f>
        <v>0</v>
      </c>
      <c r="D20" s="110">
        <f>+Curves!D71*10000*Posn!E26</f>
        <v>0</v>
      </c>
      <c r="E20" s="120">
        <f>+Curves!E71*10000*Posn!F26</f>
        <v>0</v>
      </c>
      <c r="F20" s="105" t="e">
        <f t="shared" si="1"/>
        <v>#REF!</v>
      </c>
      <c r="G20" s="114">
        <f>+Curves!G71*10000*Posn!H26</f>
        <v>0</v>
      </c>
      <c r="H20" s="120">
        <f>+Curves!H71*10000*Posn!I26</f>
        <v>0</v>
      </c>
      <c r="I20" s="110">
        <f>+Curves!I71*10000*Posn!J26</f>
        <v>0</v>
      </c>
      <c r="J20" s="120">
        <f>+Curves!J71*10000*Posn!K26</f>
        <v>0</v>
      </c>
      <c r="K20" s="110">
        <f>+Curves!K71*10000*Posn!L26</f>
        <v>0</v>
      </c>
      <c r="L20" s="120">
        <f>+Curves!L71*10000*Posn!M26</f>
        <v>0</v>
      </c>
      <c r="M20" s="110">
        <f>+Curves!M71*10000*Posn!N26</f>
        <v>0</v>
      </c>
      <c r="N20" s="120">
        <f>+Curves!N71*10000*Posn!O26</f>
        <v>0</v>
      </c>
      <c r="O20" s="115">
        <f>+Curves!O71*10000*Posn!P26</f>
        <v>0</v>
      </c>
      <c r="P20" s="108">
        <f t="shared" si="0"/>
        <v>0</v>
      </c>
      <c r="R20" s="103" t="e">
        <f t="shared" si="2"/>
        <v>#REF!</v>
      </c>
    </row>
    <row r="21" spans="1:18" x14ac:dyDescent="0.25">
      <c r="A21" s="44">
        <v>37165</v>
      </c>
      <c r="B21" s="114" t="e">
        <f>+Curves!B72*10000*Posn!C27</f>
        <v>#REF!</v>
      </c>
      <c r="C21" s="120">
        <f>+Curves!C72*10000*Posn!D27</f>
        <v>0</v>
      </c>
      <c r="D21" s="110">
        <f>+Curves!D72*10000*Posn!E27</f>
        <v>0</v>
      </c>
      <c r="E21" s="120">
        <f>+Curves!E72*10000*Posn!F27</f>
        <v>0</v>
      </c>
      <c r="F21" s="105" t="e">
        <f t="shared" si="1"/>
        <v>#REF!</v>
      </c>
      <c r="G21" s="114">
        <f>+Curves!G72*10000*Posn!H27</f>
        <v>0</v>
      </c>
      <c r="H21" s="120">
        <f>+Curves!H72*10000*Posn!I27</f>
        <v>0</v>
      </c>
      <c r="I21" s="110">
        <f>+Curves!I72*10000*Posn!J27</f>
        <v>0</v>
      </c>
      <c r="J21" s="120">
        <f>+Curves!J72*10000*Posn!K27</f>
        <v>0</v>
      </c>
      <c r="K21" s="110">
        <f>+Curves!K72*10000*Posn!L27</f>
        <v>0</v>
      </c>
      <c r="L21" s="120">
        <f>+Curves!L72*10000*Posn!M27</f>
        <v>0</v>
      </c>
      <c r="M21" s="110">
        <f>+Curves!M72*10000*Posn!N27</f>
        <v>0</v>
      </c>
      <c r="N21" s="120">
        <f>+Curves!N72*10000*Posn!O27</f>
        <v>0</v>
      </c>
      <c r="O21" s="115">
        <f>+Curves!O72*10000*Posn!P27</f>
        <v>0</v>
      </c>
      <c r="P21" s="108">
        <f t="shared" si="0"/>
        <v>0</v>
      </c>
      <c r="R21" s="103" t="e">
        <f t="shared" si="2"/>
        <v>#REF!</v>
      </c>
    </row>
    <row r="22" spans="1:18" x14ac:dyDescent="0.25">
      <c r="A22" s="44">
        <v>37196</v>
      </c>
      <c r="B22" s="114" t="e">
        <f>+Curves!B73*10000*Posn!C28</f>
        <v>#REF!</v>
      </c>
      <c r="C22" s="120">
        <f>+Curves!C73*10000*Posn!D28</f>
        <v>0</v>
      </c>
      <c r="D22" s="110">
        <f>+Curves!D73*10000*Posn!E28</f>
        <v>0</v>
      </c>
      <c r="E22" s="120">
        <f>+Curves!E73*10000*Posn!F28</f>
        <v>0</v>
      </c>
      <c r="F22" s="105" t="e">
        <f t="shared" si="1"/>
        <v>#REF!</v>
      </c>
      <c r="G22" s="114">
        <f>+Curves!G73*10000*Posn!H28</f>
        <v>0</v>
      </c>
      <c r="H22" s="120">
        <f>+Curves!H73*10000*Posn!I28</f>
        <v>0</v>
      </c>
      <c r="I22" s="110">
        <f>+Curves!I73*10000*Posn!J28</f>
        <v>0</v>
      </c>
      <c r="J22" s="120">
        <f>+Curves!J73*10000*Posn!K28</f>
        <v>0</v>
      </c>
      <c r="K22" s="110">
        <f>+Curves!K73*10000*Posn!L28</f>
        <v>0</v>
      </c>
      <c r="L22" s="120">
        <f>+Curves!L73*10000*Posn!M28</f>
        <v>0</v>
      </c>
      <c r="M22" s="110">
        <f>+Curves!M73*10000*Posn!N28</f>
        <v>0</v>
      </c>
      <c r="N22" s="120">
        <f>+Curves!N73*10000*Posn!O28</f>
        <v>0</v>
      </c>
      <c r="O22" s="115">
        <f>+Curves!O73*10000*Posn!P28</f>
        <v>0</v>
      </c>
      <c r="P22" s="108">
        <f t="shared" si="0"/>
        <v>0</v>
      </c>
      <c r="R22" s="103" t="e">
        <f t="shared" si="2"/>
        <v>#REF!</v>
      </c>
    </row>
    <row r="23" spans="1:18" ht="13.8" thickBot="1" x14ac:dyDescent="0.3">
      <c r="A23" s="45">
        <v>37226</v>
      </c>
      <c r="B23" s="116" t="e">
        <f>+Curves!B74*10000*Posn!C29</f>
        <v>#REF!</v>
      </c>
      <c r="C23" s="121">
        <f>+Curves!C74*10000*Posn!D29</f>
        <v>0</v>
      </c>
      <c r="D23" s="117">
        <f>+Curves!D74*10000*Posn!E29</f>
        <v>0</v>
      </c>
      <c r="E23" s="121">
        <f>+Curves!E74*10000*Posn!F29</f>
        <v>0</v>
      </c>
      <c r="F23" s="123" t="e">
        <f t="shared" si="1"/>
        <v>#REF!</v>
      </c>
      <c r="G23" s="116">
        <f>+Curves!G74*10000*Posn!H29</f>
        <v>0</v>
      </c>
      <c r="H23" s="121">
        <f>+Curves!H74*10000*Posn!I29</f>
        <v>0</v>
      </c>
      <c r="I23" s="117">
        <f>+Curves!I74*10000*Posn!J29</f>
        <v>0</v>
      </c>
      <c r="J23" s="121">
        <f>+Curves!J74*10000*Posn!K29</f>
        <v>0</v>
      </c>
      <c r="K23" s="117">
        <f>+Curves!K74*10000*Posn!L29</f>
        <v>0</v>
      </c>
      <c r="L23" s="121">
        <f>+Curves!L74*10000*Posn!M29</f>
        <v>0</v>
      </c>
      <c r="M23" s="117">
        <f>+Curves!M74*10000*Posn!N29</f>
        <v>0</v>
      </c>
      <c r="N23" s="121">
        <f>+Curves!N74*10000*Posn!O29</f>
        <v>0</v>
      </c>
      <c r="O23" s="118">
        <f>+Curves!O74*10000*Posn!P29</f>
        <v>0</v>
      </c>
      <c r="P23" s="109">
        <f t="shared" si="0"/>
        <v>0</v>
      </c>
      <c r="R23" s="104" t="e">
        <f t="shared" si="2"/>
        <v>#REF!</v>
      </c>
    </row>
    <row r="24" spans="1:18" s="7" customFormat="1" ht="16.2" thickBot="1" x14ac:dyDescent="0.35">
      <c r="A24" s="134" t="s">
        <v>12</v>
      </c>
      <c r="B24" s="128" t="e">
        <f>SUM(B6:B23)</f>
        <v>#REF!</v>
      </c>
      <c r="C24" s="129">
        <f t="shared" ref="C24:R24" si="3">SUM(C6:C23)</f>
        <v>0</v>
      </c>
      <c r="D24" s="130">
        <f t="shared" si="3"/>
        <v>0</v>
      </c>
      <c r="E24" s="129">
        <f t="shared" si="3"/>
        <v>0</v>
      </c>
      <c r="F24" s="131" t="e">
        <f t="shared" si="3"/>
        <v>#REF!</v>
      </c>
      <c r="G24" s="128">
        <f t="shared" si="3"/>
        <v>-382.49999999999955</v>
      </c>
      <c r="H24" s="129">
        <f t="shared" si="3"/>
        <v>-98985</v>
      </c>
      <c r="I24" s="130">
        <f t="shared" si="3"/>
        <v>0</v>
      </c>
      <c r="J24" s="129">
        <f t="shared" si="3"/>
        <v>0</v>
      </c>
      <c r="K24" s="130">
        <f t="shared" si="3"/>
        <v>0</v>
      </c>
      <c r="L24" s="129">
        <f t="shared" si="3"/>
        <v>0</v>
      </c>
      <c r="M24" s="130">
        <f t="shared" si="3"/>
        <v>0</v>
      </c>
      <c r="N24" s="129">
        <f t="shared" si="3"/>
        <v>0</v>
      </c>
      <c r="O24" s="132">
        <f t="shared" si="3"/>
        <v>0</v>
      </c>
      <c r="P24" s="133">
        <f t="shared" si="3"/>
        <v>-99367.5</v>
      </c>
      <c r="R24" s="135" t="e">
        <f t="shared" si="3"/>
        <v>#REF!</v>
      </c>
    </row>
  </sheetData>
  <customSheetViews>
    <customSheetView guid="{38C00BC1-1533-11D4-8E8D-006097B8A979}" showRuler="0">
      <selection activeCell="A13" sqref="A13:IV13"/>
      <pageMargins left="0.75" right="0.75" top="1" bottom="1" header="0.5" footer="0.5"/>
      <headerFooter alignWithMargins="0"/>
    </customSheetView>
    <customSheetView guid="{A13B59CB-499B-11D3-AA92-00C04FA318F4}" showRuler="0">
      <selection activeCell="A13" sqref="A13:IV13"/>
      <pageMargins left="0.75" right="0.75" top="1" bottom="1" header="0.5" footer="0.5"/>
      <headerFooter alignWithMargins="0"/>
    </customSheetView>
    <customSheetView guid="{EC7BD010-CE6A-11D3-A767-00C04FA318F7}" showRuler="0">
      <selection activeCell="C9" sqref="C9"/>
      <pageMargins left="0.75" right="0.75" top="1" bottom="1" header="0.5" footer="0.5"/>
      <headerFooter alignWithMargins="0"/>
    </customSheetView>
    <customSheetView guid="{147D2A76-E544-11D3-AF7A-00C04F7767BD}" showRuler="0">
      <selection activeCell="A13" sqref="A13:IV13"/>
      <pageMargins left="0.75" right="0.75" top="1" bottom="1" header="0.5" footer="0.5"/>
      <headerFooter alignWithMargins="0"/>
    </customSheetView>
    <customSheetView guid="{A6B529EA-6F81-11D3-A1F2-00C04F6BA74F}" showRuler="0">
      <selection activeCell="A13" sqref="A13:IV13"/>
      <pageMargins left="0.75" right="0.75" top="1" bottom="1" header="0.5" footer="0.5"/>
      <headerFooter alignWithMargins="0"/>
    </customSheetView>
    <customSheetView guid="{229E450E-A73D-11D3-A324-00C04F554A32}" showRuler="0">
      <selection activeCell="A13" sqref="A13:IV13"/>
      <pageMargins left="0.75" right="0.75" top="1" bottom="1" header="0.5" footer="0.5"/>
      <headerFooter alignWithMargins="0"/>
    </customSheetView>
    <customSheetView guid="{1D9E855D-D7EB-11D3-9625-00C04FF4D407}" showRuler="0">
      <selection activeCell="E15" sqref="E15"/>
      <pageMargins left="0.75" right="0.75" top="1" bottom="1" header="0.5" footer="0.5"/>
      <headerFooter alignWithMargins="0"/>
    </customSheetView>
    <customSheetView guid="{54B1602B-CE7B-11D3-A6D9-00C04F68AF95}" showRuler="0">
      <selection activeCell="A13" sqref="A13:IV13"/>
      <pageMargins left="0.75" right="0.75" top="1" bottom="1" header="0.5" footer="0.5"/>
      <headerFooter alignWithMargins="0"/>
    </customSheetView>
    <customSheetView guid="{E2040093-45C6-11D3-9936-00C04F742FB7}" showRuler="0">
      <selection activeCell="C9" sqref="C9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Posn</vt:lpstr>
      <vt:lpstr>Curves</vt:lpstr>
      <vt:lpstr>P&amp;L</vt:lpstr>
    </vt:vector>
  </TitlesOfParts>
  <Company>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gcd</dc:creator>
  <cp:lastModifiedBy>Havlíček Jan</cp:lastModifiedBy>
  <cp:lastPrinted>1999-08-27T13:32:03Z</cp:lastPrinted>
  <dcterms:created xsi:type="dcterms:W3CDTF">1999-05-17T17:48:32Z</dcterms:created>
  <dcterms:modified xsi:type="dcterms:W3CDTF">2023-09-10T11:01:48Z</dcterms:modified>
</cp:coreProperties>
</file>