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508" windowWidth="15240" windowHeight="7896" tabRatio="672" activeTab="8"/>
  </bookViews>
  <sheets>
    <sheet name="Input" sheetId="1" r:id="rId1"/>
    <sheet name="Cheat" sheetId="2" r:id="rId2"/>
    <sheet name="QBs" sheetId="3" r:id="rId3"/>
    <sheet name="RBs" sheetId="4" r:id="rId4"/>
    <sheet name="WRs" sheetId="5" r:id="rId5"/>
    <sheet name="TEs" sheetId="6" r:id="rId6"/>
    <sheet name="PKs" sheetId="7" r:id="rId7"/>
    <sheet name="Defs" sheetId="8" r:id="rId8"/>
    <sheet name="Read Me First" sheetId="9" r:id="rId9"/>
    <sheet name="calcs" sheetId="10" state="hidden" r:id="rId10"/>
  </sheets>
  <externalReferences>
    <externalReference r:id="rId11"/>
  </externalReferences>
  <definedNames>
    <definedName name="a" localSheetId="7" hidden="1">{"'QBs'!$A$1:$M$65"}</definedName>
    <definedName name="a" localSheetId="6" hidden="1">{"'QBs'!$A$1:$M$65"}</definedName>
    <definedName name="a" localSheetId="2" hidden="1">{"'QBs'!$A$1:$M$65"}</definedName>
    <definedName name="a" localSheetId="3" hidden="1">{"'QBs'!$A$1:$M$65"}</definedName>
    <definedName name="a" localSheetId="5" hidden="1">{"'QBs'!$A$1:$M$65"}</definedName>
    <definedName name="a" localSheetId="4" hidden="1">{"'QBs'!$A$1:$M$65"}</definedName>
    <definedName name="a" hidden="1">{"'QBs'!$A$1:$M$65"}</definedName>
    <definedName name="HTML_CodePage" hidden="1">1252</definedName>
    <definedName name="HTML_Control" localSheetId="7" hidden="1">{"'Top200 (Basic)'!$A$1:$D$200"}</definedName>
    <definedName name="HTML_Control" localSheetId="6" hidden="1">{"'Top200 (Basic)'!$A$1:$D$200"}</definedName>
    <definedName name="HTML_Control" localSheetId="2" hidden="1">{"'ST'!$A$1:$J$32"}</definedName>
    <definedName name="HTML_Control" localSheetId="3" hidden="1">{"'ST'!$A$1:$J$32"}</definedName>
    <definedName name="HTML_Control" localSheetId="5" hidden="1">{"'ST'!$A$1:$J$32"}</definedName>
    <definedName name="HTML_Control" localSheetId="4" hidden="1">{"'ST'!$A$1:$J$32"}</definedName>
    <definedName name="HTML_Control" hidden="1">{"'Cheat'!$A$7:$U$109"}</definedName>
    <definedName name="HTML_Description" hidden="1">""</definedName>
    <definedName name="HTML_Email" hidden="1">""</definedName>
    <definedName name="HTML_Header" hidden="1">"Teams"</definedName>
    <definedName name="HTML_LastUpdate" localSheetId="7" hidden="1">"7/24/00"</definedName>
    <definedName name="HTML_LastUpdate" localSheetId="6" hidden="1">"7/24/00"</definedName>
    <definedName name="HTML_LastUpdate" localSheetId="2" hidden="1">"7/20/00"</definedName>
    <definedName name="HTML_LastUpdate" localSheetId="3" hidden="1">"7/20/00"</definedName>
    <definedName name="HTML_LastUpdate" localSheetId="5" hidden="1">"7/20/00"</definedName>
    <definedName name="HTML_LastUpdate" localSheetId="4" hidden="1">"7/20/00"</definedName>
    <definedName name="HTML_LastUpdate" hidden="1">"7/30/00"</definedName>
    <definedName name="HTML_LineAfter" hidden="1">FALSE</definedName>
    <definedName name="HTML_LineBefore" hidden="1">FALSE</definedName>
    <definedName name="HTML_Name" hidden="1">"Joe Bryant"</definedName>
    <definedName name="HTML_OBDlg2" hidden="1">TRUE</definedName>
    <definedName name="HTML_OBDlg4" hidden="1">TRUE</definedName>
    <definedName name="HTML_OS" hidden="1">0</definedName>
    <definedName name="HTML_PathFile" localSheetId="7" hidden="1">"C:\business\top200tempbasic.htm"</definedName>
    <definedName name="HTML_PathFile" localSheetId="6" hidden="1">"C:\business\top200tempbasic.htm"</definedName>
    <definedName name="HTML_PathFile" localSheetId="2" hidden="1">"C:\business\top200temp.htm"</definedName>
    <definedName name="HTML_PathFile" localSheetId="3" hidden="1">"C:\business\top200temp.htm"</definedName>
    <definedName name="HTML_PathFile" localSheetId="5" hidden="1">"C:\business\top200temp.htm"</definedName>
    <definedName name="HTML_PathFile" localSheetId="4" hidden="1">"C:\business\top200temp.htm"</definedName>
    <definedName name="HTML_PathFile" hidden="1">"C:\business\onepagebasic.htm"</definedName>
    <definedName name="HTML_Title" hidden="1">"projections 6-05-00"</definedName>
    <definedName name="_xlnm.Print_Area" localSheetId="1">Cheat!$A$7:$U$109</definedName>
    <definedName name="_xlnm.Print_Area" localSheetId="7">Defs!$A$3:$A$33</definedName>
    <definedName name="_xlnm.Print_Area" localSheetId="6">PKs!#REF!</definedName>
    <definedName name="_xlnm.Print_Area" localSheetId="2">QBs!$A$2:$L$65</definedName>
    <definedName name="_xlnm.Print_Area" localSheetId="3">RBs!$A$2:$J$110</definedName>
    <definedName name="_xlnm.Print_Area" localSheetId="5">TEs!$A$2:$F$65</definedName>
    <definedName name="_xlnm.Print_Area" localSheetId="4">WRs!$A$2:$J$138</definedName>
    <definedName name="TABLE" localSheetId="2">QBs!#REF!</definedName>
    <definedName name="TABLE" localSheetId="3">RBs!#REF!</definedName>
    <definedName name="TABLE" localSheetId="5">TEs!#REF!</definedName>
    <definedName name="TABLE" localSheetId="4">WRs!#REF!</definedName>
  </definedNames>
  <calcPr calcId="0"/>
</workbook>
</file>

<file path=xl/calcChain.xml><?xml version="1.0" encoding="utf-8"?>
<calcChain xmlns="http://schemas.openxmlformats.org/spreadsheetml/2006/main">
  <c r="B2" i="10" l="1"/>
  <c r="C2" i="10"/>
  <c r="D2" i="10"/>
  <c r="B3" i="10"/>
  <c r="C3" i="10"/>
  <c r="D3" i="10"/>
  <c r="B4" i="10"/>
  <c r="C4" i="10"/>
  <c r="D4" i="10"/>
  <c r="B5" i="10"/>
  <c r="C5" i="10"/>
  <c r="D5" i="10"/>
  <c r="B6" i="10"/>
  <c r="C6" i="10"/>
  <c r="D6" i="10"/>
  <c r="B7" i="10"/>
  <c r="C7" i="10"/>
  <c r="D7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C8" i="2"/>
  <c r="D8" i="2"/>
  <c r="E8" i="2"/>
  <c r="H8" i="2"/>
  <c r="I8" i="2"/>
  <c r="J8" i="2"/>
  <c r="M8" i="2"/>
  <c r="N8" i="2"/>
  <c r="O8" i="2"/>
  <c r="R8" i="2"/>
  <c r="S8" i="2"/>
  <c r="T8" i="2"/>
  <c r="U8" i="2"/>
  <c r="C9" i="2"/>
  <c r="D9" i="2"/>
  <c r="E9" i="2"/>
  <c r="H9" i="2"/>
  <c r="I9" i="2"/>
  <c r="J9" i="2"/>
  <c r="M9" i="2"/>
  <c r="N9" i="2"/>
  <c r="O9" i="2"/>
  <c r="R9" i="2"/>
  <c r="S9" i="2"/>
  <c r="T9" i="2"/>
  <c r="U9" i="2"/>
  <c r="C10" i="2"/>
  <c r="D10" i="2"/>
  <c r="E10" i="2"/>
  <c r="H10" i="2"/>
  <c r="I10" i="2"/>
  <c r="J10" i="2"/>
  <c r="M10" i="2"/>
  <c r="N10" i="2"/>
  <c r="O10" i="2"/>
  <c r="R10" i="2"/>
  <c r="S10" i="2"/>
  <c r="T10" i="2"/>
  <c r="U10" i="2"/>
  <c r="C11" i="2"/>
  <c r="D11" i="2"/>
  <c r="E11" i="2"/>
  <c r="H11" i="2"/>
  <c r="I11" i="2"/>
  <c r="J11" i="2"/>
  <c r="M11" i="2"/>
  <c r="N11" i="2"/>
  <c r="O11" i="2"/>
  <c r="R11" i="2"/>
  <c r="S11" i="2"/>
  <c r="T11" i="2"/>
  <c r="U11" i="2"/>
  <c r="C12" i="2"/>
  <c r="D12" i="2"/>
  <c r="E12" i="2"/>
  <c r="H12" i="2"/>
  <c r="I12" i="2"/>
  <c r="J12" i="2"/>
  <c r="M12" i="2"/>
  <c r="N12" i="2"/>
  <c r="O12" i="2"/>
  <c r="R12" i="2"/>
  <c r="S12" i="2"/>
  <c r="T12" i="2"/>
  <c r="U12" i="2"/>
  <c r="C13" i="2"/>
  <c r="D13" i="2"/>
  <c r="E13" i="2"/>
  <c r="H13" i="2"/>
  <c r="I13" i="2"/>
  <c r="J13" i="2"/>
  <c r="M13" i="2"/>
  <c r="N13" i="2"/>
  <c r="O13" i="2"/>
  <c r="R13" i="2"/>
  <c r="S13" i="2"/>
  <c r="T13" i="2"/>
  <c r="U13" i="2"/>
  <c r="C14" i="2"/>
  <c r="D14" i="2"/>
  <c r="E14" i="2"/>
  <c r="H14" i="2"/>
  <c r="I14" i="2"/>
  <c r="J14" i="2"/>
  <c r="M14" i="2"/>
  <c r="N14" i="2"/>
  <c r="O14" i="2"/>
  <c r="R14" i="2"/>
  <c r="S14" i="2"/>
  <c r="T14" i="2"/>
  <c r="U14" i="2"/>
  <c r="C15" i="2"/>
  <c r="D15" i="2"/>
  <c r="E15" i="2"/>
  <c r="H15" i="2"/>
  <c r="I15" i="2"/>
  <c r="J15" i="2"/>
  <c r="M15" i="2"/>
  <c r="N15" i="2"/>
  <c r="O15" i="2"/>
  <c r="R15" i="2"/>
  <c r="S15" i="2"/>
  <c r="T15" i="2"/>
  <c r="U15" i="2"/>
  <c r="C16" i="2"/>
  <c r="D16" i="2"/>
  <c r="E16" i="2"/>
  <c r="H16" i="2"/>
  <c r="I16" i="2"/>
  <c r="J16" i="2"/>
  <c r="M16" i="2"/>
  <c r="N16" i="2"/>
  <c r="O16" i="2"/>
  <c r="R16" i="2"/>
  <c r="S16" i="2"/>
  <c r="T16" i="2"/>
  <c r="U16" i="2"/>
  <c r="C17" i="2"/>
  <c r="D17" i="2"/>
  <c r="E17" i="2"/>
  <c r="H17" i="2"/>
  <c r="I17" i="2"/>
  <c r="J17" i="2"/>
  <c r="M17" i="2"/>
  <c r="N17" i="2"/>
  <c r="O17" i="2"/>
  <c r="R17" i="2"/>
  <c r="S17" i="2"/>
  <c r="T17" i="2"/>
  <c r="U17" i="2"/>
  <c r="C18" i="2"/>
  <c r="D18" i="2"/>
  <c r="E18" i="2"/>
  <c r="H18" i="2"/>
  <c r="I18" i="2"/>
  <c r="J18" i="2"/>
  <c r="M18" i="2"/>
  <c r="N18" i="2"/>
  <c r="O18" i="2"/>
  <c r="R18" i="2"/>
  <c r="S18" i="2"/>
  <c r="T18" i="2"/>
  <c r="U18" i="2"/>
  <c r="C19" i="2"/>
  <c r="D19" i="2"/>
  <c r="E19" i="2"/>
  <c r="H19" i="2"/>
  <c r="I19" i="2"/>
  <c r="J19" i="2"/>
  <c r="M19" i="2"/>
  <c r="N19" i="2"/>
  <c r="O19" i="2"/>
  <c r="R19" i="2"/>
  <c r="S19" i="2"/>
  <c r="T19" i="2"/>
  <c r="U19" i="2"/>
  <c r="C20" i="2"/>
  <c r="D20" i="2"/>
  <c r="E20" i="2"/>
  <c r="H20" i="2"/>
  <c r="I20" i="2"/>
  <c r="J20" i="2"/>
  <c r="M20" i="2"/>
  <c r="N20" i="2"/>
  <c r="O20" i="2"/>
  <c r="R20" i="2"/>
  <c r="S20" i="2"/>
  <c r="T20" i="2"/>
  <c r="U20" i="2"/>
  <c r="C21" i="2"/>
  <c r="D21" i="2"/>
  <c r="E21" i="2"/>
  <c r="H21" i="2"/>
  <c r="I21" i="2"/>
  <c r="J21" i="2"/>
  <c r="M21" i="2"/>
  <c r="N21" i="2"/>
  <c r="O21" i="2"/>
  <c r="R21" i="2"/>
  <c r="S21" i="2"/>
  <c r="T21" i="2"/>
  <c r="U21" i="2"/>
  <c r="C22" i="2"/>
  <c r="D22" i="2"/>
  <c r="E22" i="2"/>
  <c r="H22" i="2"/>
  <c r="I22" i="2"/>
  <c r="J22" i="2"/>
  <c r="M22" i="2"/>
  <c r="N22" i="2"/>
  <c r="O22" i="2"/>
  <c r="R22" i="2"/>
  <c r="S22" i="2"/>
  <c r="T22" i="2"/>
  <c r="U22" i="2"/>
  <c r="C23" i="2"/>
  <c r="D23" i="2"/>
  <c r="E23" i="2"/>
  <c r="H23" i="2"/>
  <c r="I23" i="2"/>
  <c r="J23" i="2"/>
  <c r="M23" i="2"/>
  <c r="N23" i="2"/>
  <c r="O23" i="2"/>
  <c r="R23" i="2"/>
  <c r="S23" i="2"/>
  <c r="T23" i="2"/>
  <c r="U23" i="2"/>
  <c r="C24" i="2"/>
  <c r="D24" i="2"/>
  <c r="E24" i="2"/>
  <c r="H24" i="2"/>
  <c r="I24" i="2"/>
  <c r="J24" i="2"/>
  <c r="M24" i="2"/>
  <c r="N24" i="2"/>
  <c r="O24" i="2"/>
  <c r="R24" i="2"/>
  <c r="S24" i="2"/>
  <c r="T24" i="2"/>
  <c r="U24" i="2"/>
  <c r="C25" i="2"/>
  <c r="D25" i="2"/>
  <c r="E25" i="2"/>
  <c r="H25" i="2"/>
  <c r="I25" i="2"/>
  <c r="J25" i="2"/>
  <c r="M25" i="2"/>
  <c r="N25" i="2"/>
  <c r="O25" i="2"/>
  <c r="R25" i="2"/>
  <c r="S25" i="2"/>
  <c r="T25" i="2"/>
  <c r="U25" i="2"/>
  <c r="C26" i="2"/>
  <c r="D26" i="2"/>
  <c r="E26" i="2"/>
  <c r="H26" i="2"/>
  <c r="I26" i="2"/>
  <c r="J26" i="2"/>
  <c r="M26" i="2"/>
  <c r="N26" i="2"/>
  <c r="O26" i="2"/>
  <c r="R26" i="2"/>
  <c r="S26" i="2"/>
  <c r="T26" i="2"/>
  <c r="U26" i="2"/>
  <c r="C27" i="2"/>
  <c r="D27" i="2"/>
  <c r="E27" i="2"/>
  <c r="H27" i="2"/>
  <c r="I27" i="2"/>
  <c r="J27" i="2"/>
  <c r="M27" i="2"/>
  <c r="N27" i="2"/>
  <c r="O27" i="2"/>
  <c r="R27" i="2"/>
  <c r="S27" i="2"/>
  <c r="T27" i="2"/>
  <c r="U27" i="2"/>
  <c r="C28" i="2"/>
  <c r="D28" i="2"/>
  <c r="E28" i="2"/>
  <c r="H28" i="2"/>
  <c r="I28" i="2"/>
  <c r="J28" i="2"/>
  <c r="M28" i="2"/>
  <c r="N28" i="2"/>
  <c r="O28" i="2"/>
  <c r="R28" i="2"/>
  <c r="S28" i="2"/>
  <c r="T28" i="2"/>
  <c r="U28" i="2"/>
  <c r="C29" i="2"/>
  <c r="D29" i="2"/>
  <c r="E29" i="2"/>
  <c r="H29" i="2"/>
  <c r="I29" i="2"/>
  <c r="J29" i="2"/>
  <c r="M29" i="2"/>
  <c r="N29" i="2"/>
  <c r="O29" i="2"/>
  <c r="R29" i="2"/>
  <c r="S29" i="2"/>
  <c r="T29" i="2"/>
  <c r="U29" i="2"/>
  <c r="C30" i="2"/>
  <c r="D30" i="2"/>
  <c r="E30" i="2"/>
  <c r="H30" i="2"/>
  <c r="I30" i="2"/>
  <c r="J30" i="2"/>
  <c r="M30" i="2"/>
  <c r="N30" i="2"/>
  <c r="O30" i="2"/>
  <c r="R30" i="2"/>
  <c r="S30" i="2"/>
  <c r="T30" i="2"/>
  <c r="U30" i="2"/>
  <c r="C31" i="2"/>
  <c r="D31" i="2"/>
  <c r="E31" i="2"/>
  <c r="H31" i="2"/>
  <c r="I31" i="2"/>
  <c r="J31" i="2"/>
  <c r="M31" i="2"/>
  <c r="N31" i="2"/>
  <c r="O31" i="2"/>
  <c r="R31" i="2"/>
  <c r="S31" i="2"/>
  <c r="T31" i="2"/>
  <c r="U31" i="2"/>
  <c r="C32" i="2"/>
  <c r="D32" i="2"/>
  <c r="E32" i="2"/>
  <c r="H32" i="2"/>
  <c r="I32" i="2"/>
  <c r="J32" i="2"/>
  <c r="M32" i="2"/>
  <c r="N32" i="2"/>
  <c r="O32" i="2"/>
  <c r="R32" i="2"/>
  <c r="S32" i="2"/>
  <c r="T32" i="2"/>
  <c r="U32" i="2"/>
  <c r="C33" i="2"/>
  <c r="D33" i="2"/>
  <c r="E33" i="2"/>
  <c r="H33" i="2"/>
  <c r="I33" i="2"/>
  <c r="J33" i="2"/>
  <c r="M33" i="2"/>
  <c r="N33" i="2"/>
  <c r="O33" i="2"/>
  <c r="R33" i="2"/>
  <c r="S33" i="2"/>
  <c r="T33" i="2"/>
  <c r="U33" i="2"/>
  <c r="C34" i="2"/>
  <c r="D34" i="2"/>
  <c r="E34" i="2"/>
  <c r="H34" i="2"/>
  <c r="I34" i="2"/>
  <c r="J34" i="2"/>
  <c r="M34" i="2"/>
  <c r="N34" i="2"/>
  <c r="O34" i="2"/>
  <c r="R34" i="2"/>
  <c r="S34" i="2"/>
  <c r="T34" i="2"/>
  <c r="U34" i="2"/>
  <c r="C35" i="2"/>
  <c r="D35" i="2"/>
  <c r="E35" i="2"/>
  <c r="H35" i="2"/>
  <c r="I35" i="2"/>
  <c r="J35" i="2"/>
  <c r="M35" i="2"/>
  <c r="N35" i="2"/>
  <c r="O35" i="2"/>
  <c r="R35" i="2"/>
  <c r="S35" i="2"/>
  <c r="T35" i="2"/>
  <c r="U35" i="2"/>
  <c r="C36" i="2"/>
  <c r="D36" i="2"/>
  <c r="E36" i="2"/>
  <c r="H36" i="2"/>
  <c r="I36" i="2"/>
  <c r="J36" i="2"/>
  <c r="M36" i="2"/>
  <c r="N36" i="2"/>
  <c r="O36" i="2"/>
  <c r="R36" i="2"/>
  <c r="S36" i="2"/>
  <c r="T36" i="2"/>
  <c r="U36" i="2"/>
  <c r="C37" i="2"/>
  <c r="D37" i="2"/>
  <c r="E37" i="2"/>
  <c r="H37" i="2"/>
  <c r="I37" i="2"/>
  <c r="J37" i="2"/>
  <c r="M37" i="2"/>
  <c r="N37" i="2"/>
  <c r="O37" i="2"/>
  <c r="R37" i="2"/>
  <c r="S37" i="2"/>
  <c r="T37" i="2"/>
  <c r="U37" i="2"/>
  <c r="C38" i="2"/>
  <c r="D38" i="2"/>
  <c r="E38" i="2"/>
  <c r="H38" i="2"/>
  <c r="I38" i="2"/>
  <c r="J38" i="2"/>
  <c r="M38" i="2"/>
  <c r="N38" i="2"/>
  <c r="O38" i="2"/>
  <c r="R38" i="2"/>
  <c r="S38" i="2"/>
  <c r="T38" i="2"/>
  <c r="U38" i="2"/>
  <c r="C39" i="2"/>
  <c r="D39" i="2"/>
  <c r="E39" i="2"/>
  <c r="H39" i="2"/>
  <c r="I39" i="2"/>
  <c r="J39" i="2"/>
  <c r="M39" i="2"/>
  <c r="N39" i="2"/>
  <c r="O39" i="2"/>
  <c r="R39" i="2"/>
  <c r="S39" i="2"/>
  <c r="T39" i="2"/>
  <c r="U39" i="2"/>
  <c r="C40" i="2"/>
  <c r="D40" i="2"/>
  <c r="E40" i="2"/>
  <c r="H40" i="2"/>
  <c r="I40" i="2"/>
  <c r="J40" i="2"/>
  <c r="M40" i="2"/>
  <c r="N40" i="2"/>
  <c r="O40" i="2"/>
  <c r="R40" i="2"/>
  <c r="S40" i="2"/>
  <c r="T40" i="2"/>
  <c r="U40" i="2"/>
  <c r="C41" i="2"/>
  <c r="D41" i="2"/>
  <c r="E41" i="2"/>
  <c r="H41" i="2"/>
  <c r="I41" i="2"/>
  <c r="J41" i="2"/>
  <c r="M41" i="2"/>
  <c r="N41" i="2"/>
  <c r="O41" i="2"/>
  <c r="R41" i="2"/>
  <c r="S41" i="2"/>
  <c r="T41" i="2"/>
  <c r="U41" i="2"/>
  <c r="C42" i="2"/>
  <c r="D42" i="2"/>
  <c r="E42" i="2"/>
  <c r="H42" i="2"/>
  <c r="I42" i="2"/>
  <c r="J42" i="2"/>
  <c r="M42" i="2"/>
  <c r="N42" i="2"/>
  <c r="O42" i="2"/>
  <c r="R42" i="2"/>
  <c r="S42" i="2"/>
  <c r="T42" i="2"/>
  <c r="U42" i="2"/>
  <c r="H43" i="2"/>
  <c r="I43" i="2"/>
  <c r="J43" i="2"/>
  <c r="M43" i="2"/>
  <c r="N43" i="2"/>
  <c r="O43" i="2"/>
  <c r="R43" i="2"/>
  <c r="S43" i="2"/>
  <c r="T43" i="2"/>
  <c r="U43" i="2"/>
  <c r="C44" i="2"/>
  <c r="D44" i="2"/>
  <c r="E44" i="2"/>
  <c r="H44" i="2"/>
  <c r="I44" i="2"/>
  <c r="J44" i="2"/>
  <c r="M44" i="2"/>
  <c r="N44" i="2"/>
  <c r="O44" i="2"/>
  <c r="R44" i="2"/>
  <c r="S44" i="2"/>
  <c r="T44" i="2"/>
  <c r="U44" i="2"/>
  <c r="C45" i="2"/>
  <c r="D45" i="2"/>
  <c r="E45" i="2"/>
  <c r="H45" i="2"/>
  <c r="I45" i="2"/>
  <c r="J45" i="2"/>
  <c r="M45" i="2"/>
  <c r="N45" i="2"/>
  <c r="O45" i="2"/>
  <c r="R45" i="2"/>
  <c r="S45" i="2"/>
  <c r="T45" i="2"/>
  <c r="U45" i="2"/>
  <c r="C46" i="2"/>
  <c r="D46" i="2"/>
  <c r="E46" i="2"/>
  <c r="H46" i="2"/>
  <c r="I46" i="2"/>
  <c r="J46" i="2"/>
  <c r="M46" i="2"/>
  <c r="N46" i="2"/>
  <c r="O46" i="2"/>
  <c r="R46" i="2"/>
  <c r="S46" i="2"/>
  <c r="T46" i="2"/>
  <c r="U46" i="2"/>
  <c r="C47" i="2"/>
  <c r="D47" i="2"/>
  <c r="E47" i="2"/>
  <c r="H47" i="2"/>
  <c r="I47" i="2"/>
  <c r="J47" i="2"/>
  <c r="M47" i="2"/>
  <c r="N47" i="2"/>
  <c r="O47" i="2"/>
  <c r="R47" i="2"/>
  <c r="S47" i="2"/>
  <c r="T47" i="2"/>
  <c r="U47" i="2"/>
  <c r="C48" i="2"/>
  <c r="D48" i="2"/>
  <c r="E48" i="2"/>
  <c r="H48" i="2"/>
  <c r="I48" i="2"/>
  <c r="J48" i="2"/>
  <c r="M48" i="2"/>
  <c r="N48" i="2"/>
  <c r="O48" i="2"/>
  <c r="R48" i="2"/>
  <c r="S48" i="2"/>
  <c r="T48" i="2"/>
  <c r="U48" i="2"/>
  <c r="C49" i="2"/>
  <c r="D49" i="2"/>
  <c r="E49" i="2"/>
  <c r="H49" i="2"/>
  <c r="I49" i="2"/>
  <c r="J49" i="2"/>
  <c r="M49" i="2"/>
  <c r="N49" i="2"/>
  <c r="O49" i="2"/>
  <c r="R49" i="2"/>
  <c r="S49" i="2"/>
  <c r="T49" i="2"/>
  <c r="U49" i="2"/>
  <c r="C50" i="2"/>
  <c r="D50" i="2"/>
  <c r="E50" i="2"/>
  <c r="H50" i="2"/>
  <c r="I50" i="2"/>
  <c r="J50" i="2"/>
  <c r="M50" i="2"/>
  <c r="N50" i="2"/>
  <c r="O50" i="2"/>
  <c r="R50" i="2"/>
  <c r="S50" i="2"/>
  <c r="T50" i="2"/>
  <c r="U50" i="2"/>
  <c r="C51" i="2"/>
  <c r="D51" i="2"/>
  <c r="E51" i="2"/>
  <c r="H51" i="2"/>
  <c r="I51" i="2"/>
  <c r="J51" i="2"/>
  <c r="M51" i="2"/>
  <c r="N51" i="2"/>
  <c r="O51" i="2"/>
  <c r="R51" i="2"/>
  <c r="S51" i="2"/>
  <c r="T51" i="2"/>
  <c r="U51" i="2"/>
  <c r="C52" i="2"/>
  <c r="D52" i="2"/>
  <c r="E52" i="2"/>
  <c r="H52" i="2"/>
  <c r="I52" i="2"/>
  <c r="J52" i="2"/>
  <c r="M52" i="2"/>
  <c r="N52" i="2"/>
  <c r="O52" i="2"/>
  <c r="R52" i="2"/>
  <c r="S52" i="2"/>
  <c r="T52" i="2"/>
  <c r="U52" i="2"/>
  <c r="C53" i="2"/>
  <c r="D53" i="2"/>
  <c r="E53" i="2"/>
  <c r="H53" i="2"/>
  <c r="I53" i="2"/>
  <c r="J53" i="2"/>
  <c r="M53" i="2"/>
  <c r="N53" i="2"/>
  <c r="O53" i="2"/>
  <c r="R53" i="2"/>
  <c r="S53" i="2"/>
  <c r="T53" i="2"/>
  <c r="U53" i="2"/>
  <c r="C54" i="2"/>
  <c r="D54" i="2"/>
  <c r="E54" i="2"/>
  <c r="H54" i="2"/>
  <c r="I54" i="2"/>
  <c r="J54" i="2"/>
  <c r="M54" i="2"/>
  <c r="N54" i="2"/>
  <c r="O54" i="2"/>
  <c r="R54" i="2"/>
  <c r="S54" i="2"/>
  <c r="T54" i="2"/>
  <c r="U54" i="2"/>
  <c r="C55" i="2"/>
  <c r="D55" i="2"/>
  <c r="E55" i="2"/>
  <c r="H55" i="2"/>
  <c r="I55" i="2"/>
  <c r="J55" i="2"/>
  <c r="M55" i="2"/>
  <c r="N55" i="2"/>
  <c r="O55" i="2"/>
  <c r="R55" i="2"/>
  <c r="S55" i="2"/>
  <c r="T55" i="2"/>
  <c r="U55" i="2"/>
  <c r="C56" i="2"/>
  <c r="D56" i="2"/>
  <c r="E56" i="2"/>
  <c r="H56" i="2"/>
  <c r="I56" i="2"/>
  <c r="J56" i="2"/>
  <c r="M56" i="2"/>
  <c r="N56" i="2"/>
  <c r="O56" i="2"/>
  <c r="R56" i="2"/>
  <c r="S56" i="2"/>
  <c r="T56" i="2"/>
  <c r="U56" i="2"/>
  <c r="C57" i="2"/>
  <c r="D57" i="2"/>
  <c r="E57" i="2"/>
  <c r="H57" i="2"/>
  <c r="I57" i="2"/>
  <c r="J57" i="2"/>
  <c r="M57" i="2"/>
  <c r="N57" i="2"/>
  <c r="O57" i="2"/>
  <c r="R57" i="2"/>
  <c r="S57" i="2"/>
  <c r="T57" i="2"/>
  <c r="U57" i="2"/>
  <c r="C58" i="2"/>
  <c r="D58" i="2"/>
  <c r="E58" i="2"/>
  <c r="H58" i="2"/>
  <c r="I58" i="2"/>
  <c r="J58" i="2"/>
  <c r="M58" i="2"/>
  <c r="N58" i="2"/>
  <c r="O58" i="2"/>
  <c r="R58" i="2"/>
  <c r="S58" i="2"/>
  <c r="T58" i="2"/>
  <c r="U58" i="2"/>
  <c r="C59" i="2"/>
  <c r="D59" i="2"/>
  <c r="E59" i="2"/>
  <c r="H59" i="2"/>
  <c r="I59" i="2"/>
  <c r="J59" i="2"/>
  <c r="M59" i="2"/>
  <c r="N59" i="2"/>
  <c r="O59" i="2"/>
  <c r="R59" i="2"/>
  <c r="S59" i="2"/>
  <c r="T59" i="2"/>
  <c r="U59" i="2"/>
  <c r="C60" i="2"/>
  <c r="D60" i="2"/>
  <c r="E60" i="2"/>
  <c r="H60" i="2"/>
  <c r="I60" i="2"/>
  <c r="J60" i="2"/>
  <c r="M60" i="2"/>
  <c r="N60" i="2"/>
  <c r="O60" i="2"/>
  <c r="R60" i="2"/>
  <c r="S60" i="2"/>
  <c r="T60" i="2"/>
  <c r="U60" i="2"/>
  <c r="C61" i="2"/>
  <c r="D61" i="2"/>
  <c r="E61" i="2"/>
  <c r="H61" i="2"/>
  <c r="I61" i="2"/>
  <c r="J61" i="2"/>
  <c r="M61" i="2"/>
  <c r="N61" i="2"/>
  <c r="O61" i="2"/>
  <c r="R61" i="2"/>
  <c r="S61" i="2"/>
  <c r="T61" i="2"/>
  <c r="U61" i="2"/>
  <c r="C62" i="2"/>
  <c r="D62" i="2"/>
  <c r="E62" i="2"/>
  <c r="H62" i="2"/>
  <c r="I62" i="2"/>
  <c r="J62" i="2"/>
  <c r="M62" i="2"/>
  <c r="N62" i="2"/>
  <c r="O62" i="2"/>
  <c r="R62" i="2"/>
  <c r="S62" i="2"/>
  <c r="T62" i="2"/>
  <c r="U62" i="2"/>
  <c r="C63" i="2"/>
  <c r="D63" i="2"/>
  <c r="E63" i="2"/>
  <c r="H63" i="2"/>
  <c r="I63" i="2"/>
  <c r="J63" i="2"/>
  <c r="M63" i="2"/>
  <c r="N63" i="2"/>
  <c r="O63" i="2"/>
  <c r="R63" i="2"/>
  <c r="S63" i="2"/>
  <c r="T63" i="2"/>
  <c r="U63" i="2"/>
  <c r="C64" i="2"/>
  <c r="D64" i="2"/>
  <c r="E64" i="2"/>
  <c r="H64" i="2"/>
  <c r="I64" i="2"/>
  <c r="J64" i="2"/>
  <c r="M64" i="2"/>
  <c r="N64" i="2"/>
  <c r="O64" i="2"/>
  <c r="R64" i="2"/>
  <c r="S64" i="2"/>
  <c r="T64" i="2"/>
  <c r="U64" i="2"/>
  <c r="C65" i="2"/>
  <c r="D65" i="2"/>
  <c r="E65" i="2"/>
  <c r="H65" i="2"/>
  <c r="I65" i="2"/>
  <c r="J65" i="2"/>
  <c r="M65" i="2"/>
  <c r="N65" i="2"/>
  <c r="O65" i="2"/>
  <c r="R65" i="2"/>
  <c r="S65" i="2"/>
  <c r="T65" i="2"/>
  <c r="U65" i="2"/>
  <c r="C66" i="2"/>
  <c r="D66" i="2"/>
  <c r="E66" i="2"/>
  <c r="H66" i="2"/>
  <c r="I66" i="2"/>
  <c r="J66" i="2"/>
  <c r="M66" i="2"/>
  <c r="N66" i="2"/>
  <c r="O66" i="2"/>
  <c r="R66" i="2"/>
  <c r="S66" i="2"/>
  <c r="T66" i="2"/>
  <c r="U66" i="2"/>
  <c r="C67" i="2"/>
  <c r="D67" i="2"/>
  <c r="E67" i="2"/>
  <c r="H67" i="2"/>
  <c r="I67" i="2"/>
  <c r="J67" i="2"/>
  <c r="M67" i="2"/>
  <c r="N67" i="2"/>
  <c r="O67" i="2"/>
  <c r="R67" i="2"/>
  <c r="S67" i="2"/>
  <c r="T67" i="2"/>
  <c r="U67" i="2"/>
  <c r="C68" i="2"/>
  <c r="D68" i="2"/>
  <c r="E68" i="2"/>
  <c r="H68" i="2"/>
  <c r="I68" i="2"/>
  <c r="J68" i="2"/>
  <c r="M68" i="2"/>
  <c r="N68" i="2"/>
  <c r="O68" i="2"/>
  <c r="R68" i="2"/>
  <c r="S68" i="2"/>
  <c r="T68" i="2"/>
  <c r="U68" i="2"/>
  <c r="C69" i="2"/>
  <c r="D69" i="2"/>
  <c r="E69" i="2"/>
  <c r="H69" i="2"/>
  <c r="I69" i="2"/>
  <c r="J69" i="2"/>
  <c r="M69" i="2"/>
  <c r="N69" i="2"/>
  <c r="O69" i="2"/>
  <c r="R69" i="2"/>
  <c r="S69" i="2"/>
  <c r="T69" i="2"/>
  <c r="U69" i="2"/>
  <c r="C70" i="2"/>
  <c r="D70" i="2"/>
  <c r="E70" i="2"/>
  <c r="H70" i="2"/>
  <c r="I70" i="2"/>
  <c r="J70" i="2"/>
  <c r="M70" i="2"/>
  <c r="N70" i="2"/>
  <c r="O70" i="2"/>
  <c r="R70" i="2"/>
  <c r="S70" i="2"/>
  <c r="T70" i="2"/>
  <c r="U70" i="2"/>
  <c r="C71" i="2"/>
  <c r="D71" i="2"/>
  <c r="E71" i="2"/>
  <c r="H71" i="2"/>
  <c r="I71" i="2"/>
  <c r="J71" i="2"/>
  <c r="M71" i="2"/>
  <c r="N71" i="2"/>
  <c r="O71" i="2"/>
  <c r="R71" i="2"/>
  <c r="S71" i="2"/>
  <c r="T71" i="2"/>
  <c r="U71" i="2"/>
  <c r="C72" i="2"/>
  <c r="D72" i="2"/>
  <c r="E72" i="2"/>
  <c r="H72" i="2"/>
  <c r="I72" i="2"/>
  <c r="J72" i="2"/>
  <c r="M72" i="2"/>
  <c r="N72" i="2"/>
  <c r="O72" i="2"/>
  <c r="R72" i="2"/>
  <c r="S72" i="2"/>
  <c r="T72" i="2"/>
  <c r="U72" i="2"/>
  <c r="C73" i="2"/>
  <c r="D73" i="2"/>
  <c r="E73" i="2"/>
  <c r="H73" i="2"/>
  <c r="I73" i="2"/>
  <c r="J73" i="2"/>
  <c r="M73" i="2"/>
  <c r="N73" i="2"/>
  <c r="O73" i="2"/>
  <c r="R73" i="2"/>
  <c r="S73" i="2"/>
  <c r="T73" i="2"/>
  <c r="U73" i="2"/>
  <c r="C74" i="2"/>
  <c r="D74" i="2"/>
  <c r="E74" i="2"/>
  <c r="H74" i="2"/>
  <c r="I74" i="2"/>
  <c r="J74" i="2"/>
  <c r="M74" i="2"/>
  <c r="N74" i="2"/>
  <c r="O74" i="2"/>
  <c r="R74" i="2"/>
  <c r="S74" i="2"/>
  <c r="T74" i="2"/>
  <c r="U74" i="2"/>
  <c r="C75" i="2"/>
  <c r="D75" i="2"/>
  <c r="E75" i="2"/>
  <c r="H75" i="2"/>
  <c r="I75" i="2"/>
  <c r="J75" i="2"/>
  <c r="M75" i="2"/>
  <c r="N75" i="2"/>
  <c r="O75" i="2"/>
  <c r="R75" i="2"/>
  <c r="S75" i="2"/>
  <c r="T75" i="2"/>
  <c r="U75" i="2"/>
  <c r="C76" i="2"/>
  <c r="D76" i="2"/>
  <c r="E76" i="2"/>
  <c r="H76" i="2"/>
  <c r="I76" i="2"/>
  <c r="J76" i="2"/>
  <c r="M76" i="2"/>
  <c r="N76" i="2"/>
  <c r="O76" i="2"/>
  <c r="R76" i="2"/>
  <c r="S76" i="2"/>
  <c r="T76" i="2"/>
  <c r="U76" i="2"/>
  <c r="C77" i="2"/>
  <c r="D77" i="2"/>
  <c r="E77" i="2"/>
  <c r="H77" i="2"/>
  <c r="I77" i="2"/>
  <c r="J77" i="2"/>
  <c r="M77" i="2"/>
  <c r="N77" i="2"/>
  <c r="O77" i="2"/>
  <c r="R77" i="2"/>
  <c r="S77" i="2"/>
  <c r="T77" i="2"/>
  <c r="U77" i="2"/>
  <c r="M78" i="2"/>
  <c r="N78" i="2"/>
  <c r="O78" i="2"/>
  <c r="H79" i="2"/>
  <c r="I79" i="2"/>
  <c r="J79" i="2"/>
  <c r="M79" i="2"/>
  <c r="N79" i="2"/>
  <c r="O79" i="2"/>
  <c r="R79" i="2"/>
  <c r="S79" i="2"/>
  <c r="U79" i="2"/>
  <c r="H80" i="2"/>
  <c r="I80" i="2"/>
  <c r="J80" i="2"/>
  <c r="M80" i="2"/>
  <c r="N80" i="2"/>
  <c r="O80" i="2"/>
  <c r="R80" i="2"/>
  <c r="U80" i="2"/>
  <c r="H81" i="2"/>
  <c r="I81" i="2"/>
  <c r="J81" i="2"/>
  <c r="M81" i="2"/>
  <c r="N81" i="2"/>
  <c r="O81" i="2"/>
  <c r="R81" i="2"/>
  <c r="U81" i="2"/>
  <c r="H82" i="2"/>
  <c r="I82" i="2"/>
  <c r="J82" i="2"/>
  <c r="M82" i="2"/>
  <c r="N82" i="2"/>
  <c r="O82" i="2"/>
  <c r="R82" i="2"/>
  <c r="U82" i="2"/>
  <c r="H83" i="2"/>
  <c r="I83" i="2"/>
  <c r="J83" i="2"/>
  <c r="M83" i="2"/>
  <c r="N83" i="2"/>
  <c r="O83" i="2"/>
  <c r="R83" i="2"/>
  <c r="U83" i="2"/>
  <c r="H84" i="2"/>
  <c r="I84" i="2"/>
  <c r="J84" i="2"/>
  <c r="M84" i="2"/>
  <c r="N84" i="2"/>
  <c r="O84" i="2"/>
  <c r="R84" i="2"/>
  <c r="U84" i="2"/>
  <c r="H85" i="2"/>
  <c r="I85" i="2"/>
  <c r="J85" i="2"/>
  <c r="M85" i="2"/>
  <c r="N85" i="2"/>
  <c r="O85" i="2"/>
  <c r="R85" i="2"/>
  <c r="U85" i="2"/>
  <c r="H86" i="2"/>
  <c r="I86" i="2"/>
  <c r="J86" i="2"/>
  <c r="M86" i="2"/>
  <c r="N86" i="2"/>
  <c r="O86" i="2"/>
  <c r="R86" i="2"/>
  <c r="U86" i="2"/>
  <c r="H87" i="2"/>
  <c r="I87" i="2"/>
  <c r="J87" i="2"/>
  <c r="M87" i="2"/>
  <c r="N87" i="2"/>
  <c r="O87" i="2"/>
  <c r="R87" i="2"/>
  <c r="U87" i="2"/>
  <c r="H88" i="2"/>
  <c r="I88" i="2"/>
  <c r="J88" i="2"/>
  <c r="M88" i="2"/>
  <c r="N88" i="2"/>
  <c r="O88" i="2"/>
  <c r="R88" i="2"/>
  <c r="U88" i="2"/>
  <c r="H89" i="2"/>
  <c r="I89" i="2"/>
  <c r="J89" i="2"/>
  <c r="M89" i="2"/>
  <c r="N89" i="2"/>
  <c r="O89" i="2"/>
  <c r="R89" i="2"/>
  <c r="U89" i="2"/>
  <c r="H90" i="2"/>
  <c r="I90" i="2"/>
  <c r="J90" i="2"/>
  <c r="M90" i="2"/>
  <c r="N90" i="2"/>
  <c r="O90" i="2"/>
  <c r="R90" i="2"/>
  <c r="U90" i="2"/>
  <c r="H91" i="2"/>
  <c r="I91" i="2"/>
  <c r="J91" i="2"/>
  <c r="M91" i="2"/>
  <c r="N91" i="2"/>
  <c r="O91" i="2"/>
  <c r="R91" i="2"/>
  <c r="U91" i="2"/>
  <c r="H92" i="2"/>
  <c r="I92" i="2"/>
  <c r="J92" i="2"/>
  <c r="M92" i="2"/>
  <c r="N92" i="2"/>
  <c r="O92" i="2"/>
  <c r="R92" i="2"/>
  <c r="U92" i="2"/>
  <c r="H93" i="2"/>
  <c r="I93" i="2"/>
  <c r="J93" i="2"/>
  <c r="M93" i="2"/>
  <c r="N93" i="2"/>
  <c r="O93" i="2"/>
  <c r="R93" i="2"/>
  <c r="U93" i="2"/>
  <c r="H94" i="2"/>
  <c r="I94" i="2"/>
  <c r="J94" i="2"/>
  <c r="M94" i="2"/>
  <c r="N94" i="2"/>
  <c r="O94" i="2"/>
  <c r="R94" i="2"/>
  <c r="U94" i="2"/>
  <c r="H95" i="2"/>
  <c r="I95" i="2"/>
  <c r="J95" i="2"/>
  <c r="M95" i="2"/>
  <c r="N95" i="2"/>
  <c r="O95" i="2"/>
  <c r="R95" i="2"/>
  <c r="U95" i="2"/>
  <c r="H96" i="2"/>
  <c r="I96" i="2"/>
  <c r="J96" i="2"/>
  <c r="M96" i="2"/>
  <c r="N96" i="2"/>
  <c r="O96" i="2"/>
  <c r="R96" i="2"/>
  <c r="U96" i="2"/>
  <c r="H97" i="2"/>
  <c r="I97" i="2"/>
  <c r="J97" i="2"/>
  <c r="M97" i="2"/>
  <c r="N97" i="2"/>
  <c r="O97" i="2"/>
  <c r="R97" i="2"/>
  <c r="U97" i="2"/>
  <c r="H98" i="2"/>
  <c r="I98" i="2"/>
  <c r="J98" i="2"/>
  <c r="M98" i="2"/>
  <c r="N98" i="2"/>
  <c r="O98" i="2"/>
  <c r="R98" i="2"/>
  <c r="U98" i="2"/>
  <c r="H99" i="2"/>
  <c r="I99" i="2"/>
  <c r="J99" i="2"/>
  <c r="M99" i="2"/>
  <c r="N99" i="2"/>
  <c r="O99" i="2"/>
  <c r="R99" i="2"/>
  <c r="U99" i="2"/>
  <c r="H100" i="2"/>
  <c r="I100" i="2"/>
  <c r="J100" i="2"/>
  <c r="M100" i="2"/>
  <c r="N100" i="2"/>
  <c r="O100" i="2"/>
  <c r="R100" i="2"/>
  <c r="U100" i="2"/>
  <c r="H101" i="2"/>
  <c r="I101" i="2"/>
  <c r="J101" i="2"/>
  <c r="M101" i="2"/>
  <c r="N101" i="2"/>
  <c r="O101" i="2"/>
  <c r="R101" i="2"/>
  <c r="U101" i="2"/>
  <c r="H102" i="2"/>
  <c r="I102" i="2"/>
  <c r="J102" i="2"/>
  <c r="M102" i="2"/>
  <c r="N102" i="2"/>
  <c r="O102" i="2"/>
  <c r="R102" i="2"/>
  <c r="U102" i="2"/>
  <c r="H103" i="2"/>
  <c r="I103" i="2"/>
  <c r="J103" i="2"/>
  <c r="M103" i="2"/>
  <c r="N103" i="2"/>
  <c r="O103" i="2"/>
  <c r="R103" i="2"/>
  <c r="U103" i="2"/>
  <c r="H104" i="2"/>
  <c r="I104" i="2"/>
  <c r="J104" i="2"/>
  <c r="M104" i="2"/>
  <c r="N104" i="2"/>
  <c r="O104" i="2"/>
  <c r="R104" i="2"/>
  <c r="U104" i="2"/>
  <c r="H105" i="2"/>
  <c r="I105" i="2"/>
  <c r="J105" i="2"/>
  <c r="M105" i="2"/>
  <c r="N105" i="2"/>
  <c r="O105" i="2"/>
  <c r="R105" i="2"/>
  <c r="U105" i="2"/>
  <c r="H106" i="2"/>
  <c r="I106" i="2"/>
  <c r="J106" i="2"/>
  <c r="M106" i="2"/>
  <c r="N106" i="2"/>
  <c r="O106" i="2"/>
  <c r="R106" i="2"/>
  <c r="U106" i="2"/>
  <c r="H107" i="2"/>
  <c r="I107" i="2"/>
  <c r="J107" i="2"/>
  <c r="M107" i="2"/>
  <c r="N107" i="2"/>
  <c r="O107" i="2"/>
  <c r="R107" i="2"/>
  <c r="U107" i="2"/>
  <c r="H108" i="2"/>
  <c r="I108" i="2"/>
  <c r="J108" i="2"/>
  <c r="M108" i="2"/>
  <c r="N108" i="2"/>
  <c r="O108" i="2"/>
  <c r="R108" i="2"/>
  <c r="U108" i="2"/>
  <c r="H109" i="2"/>
  <c r="I109" i="2"/>
  <c r="J109" i="2"/>
  <c r="M109" i="2"/>
  <c r="N109" i="2"/>
  <c r="O109" i="2"/>
  <c r="R109" i="2"/>
  <c r="U109" i="2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Z3" i="1"/>
  <c r="BA3" i="1"/>
  <c r="BC3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Z4" i="1"/>
  <c r="BA4" i="1"/>
  <c r="BC4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Z5" i="1"/>
  <c r="BA5" i="1"/>
  <c r="BC5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Z6" i="1"/>
  <c r="BA6" i="1"/>
  <c r="BC6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Z7" i="1"/>
  <c r="BA7" i="1"/>
  <c r="BC7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Z8" i="1"/>
  <c r="BA8" i="1"/>
  <c r="BC8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Z9" i="1"/>
  <c r="BA9" i="1"/>
  <c r="BC9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Z10" i="1"/>
  <c r="BA10" i="1"/>
  <c r="BC10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Z11" i="1"/>
  <c r="BA11" i="1"/>
  <c r="BC11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Z12" i="1"/>
  <c r="BA12" i="1"/>
  <c r="BC12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Z13" i="1"/>
  <c r="BA13" i="1"/>
  <c r="BC13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Z14" i="1"/>
  <c r="BA14" i="1"/>
  <c r="BC14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Z15" i="1"/>
  <c r="BA15" i="1"/>
  <c r="BC15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Z16" i="1"/>
  <c r="BA16" i="1"/>
  <c r="BB16" i="1"/>
  <c r="BC16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Z17" i="1"/>
  <c r="BA17" i="1"/>
  <c r="BC17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Z18" i="1"/>
  <c r="BA18" i="1"/>
  <c r="BC18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Z19" i="1"/>
  <c r="BA19" i="1"/>
  <c r="BC19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Z20" i="1"/>
  <c r="BA20" i="1"/>
  <c r="BC20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Z21" i="1"/>
  <c r="BA21" i="1"/>
  <c r="BC21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Z22" i="1"/>
  <c r="BA22" i="1"/>
  <c r="BC22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Z23" i="1"/>
  <c r="BA23" i="1"/>
  <c r="BC23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Z24" i="1"/>
  <c r="BA24" i="1"/>
  <c r="BC24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Z25" i="1"/>
  <c r="BA25" i="1"/>
  <c r="BC25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Z26" i="1"/>
  <c r="BA26" i="1"/>
  <c r="BC26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Z27" i="1"/>
  <c r="BA27" i="1"/>
  <c r="BC27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Z28" i="1"/>
  <c r="BA28" i="1"/>
  <c r="BC28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Z29" i="1"/>
  <c r="BA29" i="1"/>
  <c r="BC29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Z30" i="1"/>
  <c r="BA30" i="1"/>
  <c r="BC30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Z31" i="1"/>
  <c r="BA31" i="1"/>
  <c r="BC31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Z32" i="1"/>
  <c r="BA32" i="1"/>
  <c r="BB32" i="1"/>
  <c r="BC32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Z33" i="1"/>
  <c r="BA33" i="1"/>
  <c r="BC33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Z34" i="1"/>
  <c r="BA34" i="1"/>
  <c r="BC34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Z35" i="1"/>
  <c r="BA35" i="1"/>
  <c r="BC35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Z36" i="1"/>
  <c r="BA36" i="1"/>
  <c r="BC36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Z37" i="1"/>
  <c r="BA37" i="1"/>
  <c r="BC37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Z38" i="1"/>
  <c r="BA38" i="1"/>
  <c r="BC38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Z39" i="1"/>
  <c r="BA39" i="1"/>
  <c r="BC39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Z40" i="1"/>
  <c r="BA40" i="1"/>
  <c r="BC40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Z41" i="1"/>
  <c r="BA41" i="1"/>
  <c r="BC41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Z42" i="1"/>
  <c r="BA42" i="1"/>
  <c r="BC42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Z43" i="1"/>
  <c r="BA43" i="1"/>
  <c r="BC43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Z44" i="1"/>
  <c r="BA44" i="1"/>
  <c r="BC44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Z45" i="1"/>
  <c r="BA45" i="1"/>
  <c r="BC45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Z46" i="1"/>
  <c r="BA46" i="1"/>
  <c r="BC46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Z47" i="1"/>
  <c r="BA47" i="1"/>
  <c r="BC47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Z48" i="1"/>
  <c r="BA48" i="1"/>
  <c r="BC48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Z49" i="1"/>
  <c r="BC49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Z50" i="1"/>
  <c r="BA50" i="1"/>
  <c r="BB50" i="1"/>
  <c r="BC50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Z51" i="1"/>
  <c r="BA51" i="1"/>
  <c r="BB51" i="1"/>
  <c r="BC51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Z52" i="1"/>
  <c r="BA52" i="1"/>
  <c r="BC52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Z53" i="1"/>
  <c r="BA53" i="1"/>
  <c r="BC53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Z54" i="1"/>
  <c r="BA54" i="1"/>
  <c r="BC54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Z55" i="1"/>
  <c r="BA55" i="1"/>
  <c r="BC55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Z56" i="1"/>
  <c r="BA56" i="1"/>
  <c r="BB56" i="1"/>
  <c r="BC56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Z57" i="1"/>
  <c r="BA57" i="1"/>
  <c r="BC57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Z58" i="1"/>
  <c r="BA58" i="1"/>
  <c r="BB58" i="1"/>
  <c r="BC58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Z59" i="1"/>
  <c r="BC59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Z60" i="1"/>
  <c r="BA60" i="1"/>
  <c r="BB60" i="1"/>
  <c r="BC60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Z61" i="1"/>
  <c r="BA61" i="1"/>
  <c r="BC61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Z62" i="1"/>
  <c r="BC62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Z63" i="1"/>
  <c r="BA63" i="1"/>
  <c r="BC63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Z64" i="1"/>
  <c r="BA64" i="1"/>
  <c r="BC64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Z65" i="1"/>
  <c r="BA65" i="1"/>
  <c r="BC65" i="1"/>
  <c r="AF66" i="1"/>
  <c r="AG66" i="1"/>
  <c r="AH66" i="1"/>
  <c r="AI66" i="1"/>
  <c r="AJ66" i="1"/>
  <c r="AK66" i="1"/>
  <c r="AL66" i="1"/>
  <c r="AM66" i="1"/>
  <c r="AZ66" i="1"/>
  <c r="BA66" i="1"/>
  <c r="BC66" i="1"/>
  <c r="AF67" i="1"/>
  <c r="AG67" i="1"/>
  <c r="AH67" i="1"/>
  <c r="AI67" i="1"/>
  <c r="AJ67" i="1"/>
  <c r="AK67" i="1"/>
  <c r="AL67" i="1"/>
  <c r="AM67" i="1"/>
  <c r="AZ67" i="1"/>
  <c r="BA67" i="1"/>
  <c r="BC67" i="1"/>
  <c r="AF68" i="1"/>
  <c r="AG68" i="1"/>
  <c r="AH68" i="1"/>
  <c r="AI68" i="1"/>
  <c r="AJ68" i="1"/>
  <c r="AK68" i="1"/>
  <c r="AL68" i="1"/>
  <c r="AM68" i="1"/>
  <c r="AZ68" i="1"/>
  <c r="BA68" i="1"/>
  <c r="BC68" i="1"/>
  <c r="AF69" i="1"/>
  <c r="AG69" i="1"/>
  <c r="AH69" i="1"/>
  <c r="AI69" i="1"/>
  <c r="AJ69" i="1"/>
  <c r="AK69" i="1"/>
  <c r="AL69" i="1"/>
  <c r="AM69" i="1"/>
  <c r="AZ69" i="1"/>
  <c r="BA69" i="1"/>
  <c r="BC69" i="1"/>
  <c r="AF70" i="1"/>
  <c r="AG70" i="1"/>
  <c r="AH70" i="1"/>
  <c r="AI70" i="1"/>
  <c r="AJ70" i="1"/>
  <c r="AK70" i="1"/>
  <c r="AL70" i="1"/>
  <c r="AM70" i="1"/>
  <c r="AZ70" i="1"/>
  <c r="BA70" i="1"/>
  <c r="BC70" i="1"/>
  <c r="AF71" i="1"/>
  <c r="AG71" i="1"/>
  <c r="AH71" i="1"/>
  <c r="AI71" i="1"/>
  <c r="AJ71" i="1"/>
  <c r="AK71" i="1"/>
  <c r="AL71" i="1"/>
  <c r="AM71" i="1"/>
  <c r="AZ71" i="1"/>
  <c r="BA71" i="1"/>
  <c r="BC71" i="1"/>
  <c r="AF72" i="1"/>
  <c r="AG72" i="1"/>
  <c r="AH72" i="1"/>
  <c r="AI72" i="1"/>
  <c r="AJ72" i="1"/>
  <c r="AK72" i="1"/>
  <c r="AL72" i="1"/>
  <c r="AM72" i="1"/>
  <c r="AZ72" i="1"/>
  <c r="BA72" i="1"/>
  <c r="BB72" i="1"/>
  <c r="BC72" i="1"/>
  <c r="AF73" i="1"/>
  <c r="AG73" i="1"/>
  <c r="AH73" i="1"/>
  <c r="AI73" i="1"/>
  <c r="AJ73" i="1"/>
  <c r="AK73" i="1"/>
  <c r="AL73" i="1"/>
  <c r="AM73" i="1"/>
  <c r="AZ73" i="1"/>
  <c r="BA73" i="1"/>
  <c r="BC73" i="1"/>
  <c r="AF74" i="1"/>
  <c r="AG74" i="1"/>
  <c r="AH74" i="1"/>
  <c r="AI74" i="1"/>
  <c r="AJ74" i="1"/>
  <c r="AK74" i="1"/>
  <c r="AL74" i="1"/>
  <c r="AM74" i="1"/>
  <c r="AZ74" i="1"/>
  <c r="BA74" i="1"/>
  <c r="BC74" i="1"/>
  <c r="AF75" i="1"/>
  <c r="AG75" i="1"/>
  <c r="AH75" i="1"/>
  <c r="AI75" i="1"/>
  <c r="AJ75" i="1"/>
  <c r="AK75" i="1"/>
  <c r="AL75" i="1"/>
  <c r="AM75" i="1"/>
  <c r="AZ75" i="1"/>
  <c r="BA75" i="1"/>
  <c r="BC75" i="1"/>
  <c r="AF76" i="1"/>
  <c r="AG76" i="1"/>
  <c r="AH76" i="1"/>
  <c r="AI76" i="1"/>
  <c r="AJ76" i="1"/>
  <c r="AK76" i="1"/>
  <c r="AL76" i="1"/>
  <c r="AM76" i="1"/>
  <c r="AZ76" i="1"/>
  <c r="BA76" i="1"/>
  <c r="BC76" i="1"/>
  <c r="AF77" i="1"/>
  <c r="AG77" i="1"/>
  <c r="AH77" i="1"/>
  <c r="AI77" i="1"/>
  <c r="AJ77" i="1"/>
  <c r="AK77" i="1"/>
  <c r="AL77" i="1"/>
  <c r="AM77" i="1"/>
  <c r="AZ77" i="1"/>
  <c r="BC77" i="1"/>
  <c r="AF78" i="1"/>
  <c r="AG78" i="1"/>
  <c r="AH78" i="1"/>
  <c r="AI78" i="1"/>
  <c r="AJ78" i="1"/>
  <c r="AK78" i="1"/>
  <c r="AL78" i="1"/>
  <c r="AM78" i="1"/>
  <c r="AZ78" i="1"/>
  <c r="BC78" i="1"/>
  <c r="AF79" i="1"/>
  <c r="AG79" i="1"/>
  <c r="AH79" i="1"/>
  <c r="AI79" i="1"/>
  <c r="AJ79" i="1"/>
  <c r="AK79" i="1"/>
  <c r="AL79" i="1"/>
  <c r="AM79" i="1"/>
  <c r="AZ79" i="1"/>
  <c r="BA79" i="1"/>
  <c r="BC79" i="1"/>
  <c r="AF80" i="1"/>
  <c r="AG80" i="1"/>
  <c r="AH80" i="1"/>
  <c r="AI80" i="1"/>
  <c r="AJ80" i="1"/>
  <c r="AK80" i="1"/>
  <c r="AL80" i="1"/>
  <c r="AM80" i="1"/>
  <c r="AZ80" i="1"/>
  <c r="BA80" i="1"/>
  <c r="BC80" i="1"/>
  <c r="AF81" i="1"/>
  <c r="AG81" i="1"/>
  <c r="AH81" i="1"/>
  <c r="AI81" i="1"/>
  <c r="AJ81" i="1"/>
  <c r="AK81" i="1"/>
  <c r="AL81" i="1"/>
  <c r="AM81" i="1"/>
  <c r="AZ81" i="1"/>
  <c r="BA81" i="1"/>
  <c r="BB81" i="1"/>
  <c r="BC81" i="1"/>
  <c r="AF82" i="1"/>
  <c r="AG82" i="1"/>
  <c r="AH82" i="1"/>
  <c r="AI82" i="1"/>
  <c r="AJ82" i="1"/>
  <c r="AK82" i="1"/>
  <c r="AL82" i="1"/>
  <c r="AM82" i="1"/>
  <c r="AZ82" i="1"/>
  <c r="BA82" i="1"/>
  <c r="BC82" i="1"/>
  <c r="AF83" i="1"/>
  <c r="AG83" i="1"/>
  <c r="AH83" i="1"/>
  <c r="AI83" i="1"/>
  <c r="AJ83" i="1"/>
  <c r="AK83" i="1"/>
  <c r="AL83" i="1"/>
  <c r="AM83" i="1"/>
  <c r="AZ83" i="1"/>
  <c r="BA83" i="1"/>
  <c r="BC83" i="1"/>
  <c r="AF84" i="1"/>
  <c r="AG84" i="1"/>
  <c r="AH84" i="1"/>
  <c r="AI84" i="1"/>
  <c r="AJ84" i="1"/>
  <c r="AK84" i="1"/>
  <c r="AL84" i="1"/>
  <c r="AM84" i="1"/>
  <c r="AZ84" i="1"/>
  <c r="BA84" i="1"/>
  <c r="BC84" i="1"/>
  <c r="AF85" i="1"/>
  <c r="AG85" i="1"/>
  <c r="AH85" i="1"/>
  <c r="AI85" i="1"/>
  <c r="AJ85" i="1"/>
  <c r="AK85" i="1"/>
  <c r="AL85" i="1"/>
  <c r="AM85" i="1"/>
  <c r="AZ85" i="1"/>
  <c r="BA85" i="1"/>
  <c r="BC85" i="1"/>
  <c r="AF86" i="1"/>
  <c r="AG86" i="1"/>
  <c r="AH86" i="1"/>
  <c r="AI86" i="1"/>
  <c r="AJ86" i="1"/>
  <c r="AK86" i="1"/>
  <c r="AL86" i="1"/>
  <c r="AM86" i="1"/>
  <c r="AZ86" i="1"/>
  <c r="BA86" i="1"/>
  <c r="BC86" i="1"/>
  <c r="AF87" i="1"/>
  <c r="AG87" i="1"/>
  <c r="AH87" i="1"/>
  <c r="AI87" i="1"/>
  <c r="AJ87" i="1"/>
  <c r="AK87" i="1"/>
  <c r="AL87" i="1"/>
  <c r="AM87" i="1"/>
  <c r="AZ87" i="1"/>
  <c r="BA87" i="1"/>
  <c r="BC87" i="1"/>
  <c r="AF88" i="1"/>
  <c r="AG88" i="1"/>
  <c r="AH88" i="1"/>
  <c r="AI88" i="1"/>
  <c r="AJ88" i="1"/>
  <c r="AK88" i="1"/>
  <c r="AL88" i="1"/>
  <c r="AM88" i="1"/>
  <c r="AZ88" i="1"/>
  <c r="BA88" i="1"/>
  <c r="BC88" i="1"/>
  <c r="AF89" i="1"/>
  <c r="AG89" i="1"/>
  <c r="AH89" i="1"/>
  <c r="AI89" i="1"/>
  <c r="AJ89" i="1"/>
  <c r="AK89" i="1"/>
  <c r="AL89" i="1"/>
  <c r="AM89" i="1"/>
  <c r="AZ89" i="1"/>
  <c r="BA89" i="1"/>
  <c r="BC89" i="1"/>
  <c r="AF90" i="1"/>
  <c r="AG90" i="1"/>
  <c r="AH90" i="1"/>
  <c r="AI90" i="1"/>
  <c r="AJ90" i="1"/>
  <c r="AK90" i="1"/>
  <c r="AL90" i="1"/>
  <c r="AM90" i="1"/>
  <c r="AZ90" i="1"/>
  <c r="BC90" i="1"/>
  <c r="AF91" i="1"/>
  <c r="AG91" i="1"/>
  <c r="AH91" i="1"/>
  <c r="AI91" i="1"/>
  <c r="AJ91" i="1"/>
  <c r="AK91" i="1"/>
  <c r="AL91" i="1"/>
  <c r="AM91" i="1"/>
  <c r="AZ91" i="1"/>
  <c r="BC91" i="1"/>
  <c r="AF92" i="1"/>
  <c r="AG92" i="1"/>
  <c r="AH92" i="1"/>
  <c r="AI92" i="1"/>
  <c r="AJ92" i="1"/>
  <c r="AK92" i="1"/>
  <c r="AL92" i="1"/>
  <c r="AM92" i="1"/>
  <c r="AZ92" i="1"/>
  <c r="BA92" i="1"/>
  <c r="BC92" i="1"/>
  <c r="AF93" i="1"/>
  <c r="AG93" i="1"/>
  <c r="AH93" i="1"/>
  <c r="AI93" i="1"/>
  <c r="AJ93" i="1"/>
  <c r="AK93" i="1"/>
  <c r="AL93" i="1"/>
  <c r="AM93" i="1"/>
  <c r="AZ93" i="1"/>
  <c r="BA93" i="1"/>
  <c r="BC93" i="1"/>
  <c r="AF94" i="1"/>
  <c r="AG94" i="1"/>
  <c r="AH94" i="1"/>
  <c r="AI94" i="1"/>
  <c r="AJ94" i="1"/>
  <c r="AK94" i="1"/>
  <c r="AL94" i="1"/>
  <c r="AM94" i="1"/>
  <c r="AZ94" i="1"/>
  <c r="BA94" i="1"/>
  <c r="BC94" i="1"/>
  <c r="AF95" i="1"/>
  <c r="AG95" i="1"/>
  <c r="AH95" i="1"/>
  <c r="AI95" i="1"/>
  <c r="AJ95" i="1"/>
  <c r="AK95" i="1"/>
  <c r="AL95" i="1"/>
  <c r="AM95" i="1"/>
  <c r="AZ95" i="1"/>
  <c r="BA95" i="1"/>
  <c r="BC95" i="1"/>
  <c r="AF96" i="1"/>
  <c r="AG96" i="1"/>
  <c r="AH96" i="1"/>
  <c r="AI96" i="1"/>
  <c r="AJ96" i="1"/>
  <c r="AK96" i="1"/>
  <c r="AL96" i="1"/>
  <c r="AM96" i="1"/>
  <c r="AZ96" i="1"/>
  <c r="BA96" i="1"/>
  <c r="BC96" i="1"/>
  <c r="AF97" i="1"/>
  <c r="AG97" i="1"/>
  <c r="AH97" i="1"/>
  <c r="AI97" i="1"/>
  <c r="AJ97" i="1"/>
  <c r="AK97" i="1"/>
  <c r="AL97" i="1"/>
  <c r="AM97" i="1"/>
  <c r="AZ97" i="1"/>
  <c r="BA97" i="1"/>
  <c r="BC97" i="1"/>
  <c r="AF98" i="1"/>
  <c r="AG98" i="1"/>
  <c r="AH98" i="1"/>
  <c r="AI98" i="1"/>
  <c r="AJ98" i="1"/>
  <c r="AK98" i="1"/>
  <c r="AL98" i="1"/>
  <c r="AM98" i="1"/>
  <c r="AZ98" i="1"/>
  <c r="BA98" i="1"/>
  <c r="BC98" i="1"/>
  <c r="AF99" i="1"/>
  <c r="AG99" i="1"/>
  <c r="AH99" i="1"/>
  <c r="AI99" i="1"/>
  <c r="AJ99" i="1"/>
  <c r="AK99" i="1"/>
  <c r="AL99" i="1"/>
  <c r="AM99" i="1"/>
  <c r="AZ99" i="1"/>
  <c r="BA99" i="1"/>
  <c r="BC99" i="1"/>
  <c r="AF100" i="1"/>
  <c r="AG100" i="1"/>
  <c r="AH100" i="1"/>
  <c r="AI100" i="1"/>
  <c r="AJ100" i="1"/>
  <c r="AK100" i="1"/>
  <c r="AL100" i="1"/>
  <c r="AM100" i="1"/>
  <c r="AZ100" i="1"/>
  <c r="BA100" i="1"/>
  <c r="BC100" i="1"/>
  <c r="AF101" i="1"/>
  <c r="AG101" i="1"/>
  <c r="AH101" i="1"/>
  <c r="AI101" i="1"/>
  <c r="AJ101" i="1"/>
  <c r="AK101" i="1"/>
  <c r="AL101" i="1"/>
  <c r="AM101" i="1"/>
  <c r="AZ101" i="1"/>
  <c r="BA101" i="1"/>
  <c r="BB101" i="1"/>
  <c r="BC101" i="1"/>
  <c r="AF102" i="1"/>
  <c r="AG102" i="1"/>
  <c r="AH102" i="1"/>
  <c r="AI102" i="1"/>
  <c r="AJ102" i="1"/>
  <c r="AK102" i="1"/>
  <c r="AL102" i="1"/>
  <c r="AM102" i="1"/>
  <c r="AZ102" i="1"/>
  <c r="BA102" i="1"/>
  <c r="BC102" i="1"/>
  <c r="AF103" i="1"/>
  <c r="AG103" i="1"/>
  <c r="AH103" i="1"/>
  <c r="AI103" i="1"/>
  <c r="AJ103" i="1"/>
  <c r="AK103" i="1"/>
  <c r="AL103" i="1"/>
  <c r="AM103" i="1"/>
  <c r="AZ103" i="1"/>
  <c r="BA103" i="1"/>
  <c r="BC103" i="1"/>
  <c r="AF104" i="1"/>
  <c r="AG104" i="1"/>
  <c r="AH104" i="1"/>
  <c r="AI104" i="1"/>
  <c r="AJ104" i="1"/>
  <c r="AK104" i="1"/>
  <c r="AL104" i="1"/>
  <c r="AM104" i="1"/>
  <c r="AZ104" i="1"/>
  <c r="BC104" i="1"/>
  <c r="AF105" i="1"/>
  <c r="AG105" i="1"/>
  <c r="AH105" i="1"/>
  <c r="AI105" i="1"/>
  <c r="AJ105" i="1"/>
  <c r="AK105" i="1"/>
  <c r="AL105" i="1"/>
  <c r="AM105" i="1"/>
  <c r="AZ105" i="1"/>
  <c r="BA105" i="1"/>
  <c r="BC105" i="1"/>
  <c r="AF106" i="1"/>
  <c r="AG106" i="1"/>
  <c r="AH106" i="1"/>
  <c r="AI106" i="1"/>
  <c r="AJ106" i="1"/>
  <c r="AK106" i="1"/>
  <c r="AL106" i="1"/>
  <c r="AM106" i="1"/>
  <c r="AZ106" i="1"/>
  <c r="BA106" i="1"/>
  <c r="BB106" i="1"/>
  <c r="BC106" i="1"/>
  <c r="AF107" i="1"/>
  <c r="AG107" i="1"/>
  <c r="AH107" i="1"/>
  <c r="AI107" i="1"/>
  <c r="AJ107" i="1"/>
  <c r="AK107" i="1"/>
  <c r="AL107" i="1"/>
  <c r="AM107" i="1"/>
  <c r="AZ107" i="1"/>
  <c r="BA107" i="1"/>
  <c r="BC107" i="1"/>
  <c r="AF108" i="1"/>
  <c r="AG108" i="1"/>
  <c r="AH108" i="1"/>
  <c r="AI108" i="1"/>
  <c r="AJ108" i="1"/>
  <c r="AK108" i="1"/>
  <c r="AL108" i="1"/>
  <c r="AM108" i="1"/>
  <c r="AZ108" i="1"/>
  <c r="BA108" i="1"/>
  <c r="BC108" i="1"/>
  <c r="AF109" i="1"/>
  <c r="AG109" i="1"/>
  <c r="AH109" i="1"/>
  <c r="AI109" i="1"/>
  <c r="AJ109" i="1"/>
  <c r="AK109" i="1"/>
  <c r="AL109" i="1"/>
  <c r="AM109" i="1"/>
  <c r="AZ109" i="1"/>
  <c r="BC109" i="1"/>
  <c r="AF110" i="1"/>
  <c r="AG110" i="1"/>
  <c r="AH110" i="1"/>
  <c r="AI110" i="1"/>
  <c r="AJ110" i="1"/>
  <c r="AK110" i="1"/>
  <c r="AL110" i="1"/>
  <c r="AM110" i="1"/>
  <c r="AZ110" i="1"/>
  <c r="BA110" i="1"/>
  <c r="BC110" i="1"/>
  <c r="AJ111" i="1"/>
  <c r="AK111" i="1"/>
  <c r="AL111" i="1"/>
  <c r="AM111" i="1"/>
  <c r="AZ111" i="1"/>
  <c r="BA111" i="1"/>
  <c r="BC111" i="1"/>
  <c r="AJ112" i="1"/>
  <c r="AK112" i="1"/>
  <c r="AL112" i="1"/>
  <c r="AM112" i="1"/>
  <c r="AZ112" i="1"/>
  <c r="BA112" i="1"/>
  <c r="BB112" i="1"/>
  <c r="BC112" i="1"/>
  <c r="AJ113" i="1"/>
  <c r="AK113" i="1"/>
  <c r="AL113" i="1"/>
  <c r="AM113" i="1"/>
  <c r="AZ113" i="1"/>
  <c r="BC113" i="1"/>
  <c r="AJ114" i="1"/>
  <c r="AK114" i="1"/>
  <c r="AL114" i="1"/>
  <c r="AM114" i="1"/>
  <c r="AZ114" i="1"/>
  <c r="BA114" i="1"/>
  <c r="BC114" i="1"/>
  <c r="AJ115" i="1"/>
  <c r="AK115" i="1"/>
  <c r="AL115" i="1"/>
  <c r="AM115" i="1"/>
  <c r="AZ115" i="1"/>
  <c r="BA115" i="1"/>
  <c r="BC115" i="1"/>
  <c r="AJ116" i="1"/>
  <c r="AK116" i="1"/>
  <c r="AL116" i="1"/>
  <c r="AM116" i="1"/>
  <c r="AZ116" i="1"/>
  <c r="BA116" i="1"/>
  <c r="BC116" i="1"/>
  <c r="AJ117" i="1"/>
  <c r="AK117" i="1"/>
  <c r="AL117" i="1"/>
  <c r="AM117" i="1"/>
  <c r="AZ117" i="1"/>
  <c r="BA117" i="1"/>
  <c r="BB117" i="1"/>
  <c r="BC117" i="1"/>
  <c r="AJ118" i="1"/>
  <c r="AK118" i="1"/>
  <c r="AL118" i="1"/>
  <c r="AM118" i="1"/>
  <c r="AZ118" i="1"/>
  <c r="BA118" i="1"/>
  <c r="BB118" i="1"/>
  <c r="BC118" i="1"/>
  <c r="AJ119" i="1"/>
  <c r="AK119" i="1"/>
  <c r="AL119" i="1"/>
  <c r="AM119" i="1"/>
  <c r="AZ119" i="1"/>
  <c r="BA119" i="1"/>
  <c r="BB119" i="1"/>
  <c r="BC119" i="1"/>
  <c r="AJ120" i="1"/>
  <c r="AK120" i="1"/>
  <c r="AL120" i="1"/>
  <c r="AM120" i="1"/>
  <c r="AZ120" i="1"/>
  <c r="BA120" i="1"/>
  <c r="BC120" i="1"/>
  <c r="AJ121" i="1"/>
  <c r="AK121" i="1"/>
  <c r="AL121" i="1"/>
  <c r="AM121" i="1"/>
  <c r="AZ121" i="1"/>
  <c r="BA121" i="1"/>
  <c r="BB121" i="1"/>
  <c r="BC121" i="1"/>
  <c r="AJ122" i="1"/>
  <c r="AK122" i="1"/>
  <c r="AL122" i="1"/>
  <c r="AM122" i="1"/>
  <c r="AZ122" i="1"/>
  <c r="BC122" i="1"/>
  <c r="AJ123" i="1"/>
  <c r="AK123" i="1"/>
  <c r="AL123" i="1"/>
  <c r="AM123" i="1"/>
  <c r="AZ123" i="1"/>
  <c r="BA123" i="1"/>
  <c r="BC123" i="1"/>
  <c r="AJ124" i="1"/>
  <c r="AK124" i="1"/>
  <c r="AL124" i="1"/>
  <c r="AM124" i="1"/>
  <c r="AZ124" i="1"/>
  <c r="BA124" i="1"/>
  <c r="BC124" i="1"/>
  <c r="AJ125" i="1"/>
  <c r="AK125" i="1"/>
  <c r="AL125" i="1"/>
  <c r="AM125" i="1"/>
  <c r="AZ125" i="1"/>
  <c r="BA125" i="1"/>
  <c r="BC125" i="1"/>
  <c r="AJ126" i="1"/>
  <c r="AK126" i="1"/>
  <c r="AL126" i="1"/>
  <c r="AM126" i="1"/>
  <c r="AZ126" i="1"/>
  <c r="BA126" i="1"/>
  <c r="BB126" i="1"/>
  <c r="BC126" i="1"/>
  <c r="AJ127" i="1"/>
  <c r="AK127" i="1"/>
  <c r="AL127" i="1"/>
  <c r="AM127" i="1"/>
  <c r="AZ127" i="1"/>
  <c r="BA127" i="1"/>
  <c r="BC127" i="1"/>
  <c r="AJ128" i="1"/>
  <c r="AK128" i="1"/>
  <c r="AL128" i="1"/>
  <c r="AM128" i="1"/>
  <c r="AZ128" i="1"/>
  <c r="BA128" i="1"/>
  <c r="BC128" i="1"/>
  <c r="AJ129" i="1"/>
  <c r="AK129" i="1"/>
  <c r="AL129" i="1"/>
  <c r="AM129" i="1"/>
  <c r="AZ129" i="1"/>
  <c r="BA129" i="1"/>
  <c r="BB129" i="1"/>
  <c r="BC129" i="1"/>
  <c r="AJ130" i="1"/>
  <c r="AK130" i="1"/>
  <c r="AL130" i="1"/>
  <c r="AM130" i="1"/>
  <c r="AZ130" i="1"/>
  <c r="BC130" i="1"/>
  <c r="AJ131" i="1"/>
  <c r="AK131" i="1"/>
  <c r="AL131" i="1"/>
  <c r="AM131" i="1"/>
  <c r="AZ131" i="1"/>
  <c r="BC131" i="1"/>
  <c r="AJ132" i="1"/>
  <c r="AK132" i="1"/>
  <c r="AL132" i="1"/>
  <c r="AM132" i="1"/>
  <c r="AZ132" i="1"/>
  <c r="BA132" i="1"/>
  <c r="BC132" i="1"/>
  <c r="AJ133" i="1"/>
  <c r="AK133" i="1"/>
  <c r="AL133" i="1"/>
  <c r="AM133" i="1"/>
  <c r="AZ133" i="1"/>
  <c r="BA133" i="1"/>
  <c r="BB133" i="1"/>
  <c r="BC133" i="1"/>
  <c r="AJ134" i="1"/>
  <c r="AK134" i="1"/>
  <c r="AL134" i="1"/>
  <c r="AM134" i="1"/>
  <c r="AZ134" i="1"/>
  <c r="BA134" i="1"/>
  <c r="BC134" i="1"/>
  <c r="AJ135" i="1"/>
  <c r="AK135" i="1"/>
  <c r="AL135" i="1"/>
  <c r="AM135" i="1"/>
  <c r="AZ135" i="1"/>
  <c r="BA135" i="1"/>
  <c r="BC135" i="1"/>
  <c r="AJ136" i="1"/>
  <c r="AK136" i="1"/>
  <c r="AL136" i="1"/>
  <c r="AM136" i="1"/>
  <c r="AZ136" i="1"/>
  <c r="BA136" i="1"/>
  <c r="BC136" i="1"/>
  <c r="AJ137" i="1"/>
  <c r="AK137" i="1"/>
  <c r="AL137" i="1"/>
  <c r="AM137" i="1"/>
  <c r="AZ137" i="1"/>
  <c r="BA137" i="1"/>
  <c r="BC137" i="1"/>
  <c r="AJ138" i="1"/>
  <c r="AK138" i="1"/>
  <c r="AL138" i="1"/>
  <c r="AM138" i="1"/>
  <c r="AZ138" i="1"/>
  <c r="BC138" i="1"/>
  <c r="AZ139" i="1"/>
  <c r="BA139" i="1"/>
  <c r="BC139" i="1"/>
  <c r="AZ140" i="1"/>
  <c r="BA140" i="1"/>
  <c r="BC140" i="1"/>
  <c r="AZ141" i="1"/>
  <c r="BA141" i="1"/>
  <c r="BC141" i="1"/>
  <c r="AZ142" i="1"/>
  <c r="BA142" i="1"/>
  <c r="BC142" i="1"/>
  <c r="AZ143" i="1"/>
  <c r="BA143" i="1"/>
  <c r="BB143" i="1"/>
  <c r="BC143" i="1"/>
  <c r="AZ144" i="1"/>
  <c r="BA144" i="1"/>
  <c r="BC144" i="1"/>
  <c r="AZ145" i="1"/>
  <c r="BA145" i="1"/>
  <c r="BB145" i="1"/>
  <c r="BC145" i="1"/>
  <c r="AZ146" i="1"/>
  <c r="BA146" i="1"/>
  <c r="BB146" i="1"/>
  <c r="BC146" i="1"/>
  <c r="AZ147" i="1"/>
  <c r="BC147" i="1"/>
  <c r="AZ148" i="1"/>
  <c r="BC148" i="1"/>
  <c r="AZ149" i="1"/>
  <c r="BA149" i="1"/>
  <c r="BC149" i="1"/>
  <c r="AZ150" i="1"/>
  <c r="BA150" i="1"/>
  <c r="BC150" i="1"/>
  <c r="AZ151" i="1"/>
  <c r="BA151" i="1"/>
  <c r="BC151" i="1"/>
  <c r="AZ152" i="1"/>
  <c r="BA152" i="1"/>
  <c r="BC152" i="1"/>
  <c r="AZ153" i="1"/>
  <c r="BA153" i="1"/>
  <c r="BC153" i="1"/>
  <c r="AZ154" i="1"/>
  <c r="BA154" i="1"/>
  <c r="BC154" i="1"/>
  <c r="AZ155" i="1"/>
  <c r="BA155" i="1"/>
  <c r="BC155" i="1"/>
  <c r="AZ156" i="1"/>
  <c r="BA156" i="1"/>
  <c r="BC156" i="1"/>
  <c r="AZ157" i="1"/>
  <c r="BA157" i="1"/>
  <c r="BC157" i="1"/>
  <c r="AZ158" i="1"/>
  <c r="BA158" i="1"/>
  <c r="BC158" i="1"/>
  <c r="AZ159" i="1"/>
  <c r="BC159" i="1"/>
  <c r="AZ160" i="1"/>
  <c r="BA160" i="1"/>
  <c r="BB160" i="1"/>
  <c r="BC160" i="1"/>
  <c r="AZ161" i="1"/>
  <c r="BA161" i="1"/>
  <c r="BC161" i="1"/>
  <c r="AZ162" i="1"/>
  <c r="BA162" i="1"/>
  <c r="BB162" i="1"/>
  <c r="BC162" i="1"/>
  <c r="AZ163" i="1"/>
  <c r="BA163" i="1"/>
  <c r="BC163" i="1"/>
  <c r="AZ164" i="1"/>
  <c r="BA164" i="1"/>
  <c r="BB164" i="1"/>
  <c r="BC164" i="1"/>
  <c r="AZ165" i="1"/>
  <c r="BA165" i="1"/>
  <c r="BB165" i="1"/>
  <c r="BC165" i="1"/>
  <c r="AZ166" i="1"/>
  <c r="BC166" i="1"/>
  <c r="AZ167" i="1"/>
  <c r="BA167" i="1"/>
  <c r="BC167" i="1"/>
  <c r="AZ168" i="1"/>
  <c r="BA168" i="1"/>
  <c r="BB168" i="1"/>
  <c r="BC168" i="1"/>
  <c r="AZ169" i="1"/>
  <c r="BA169" i="1"/>
  <c r="BC169" i="1"/>
  <c r="AZ170" i="1"/>
  <c r="BC170" i="1"/>
  <c r="AZ171" i="1"/>
  <c r="BA171" i="1"/>
  <c r="BC171" i="1"/>
  <c r="AZ172" i="1"/>
  <c r="BA172" i="1"/>
  <c r="BC172" i="1"/>
  <c r="AZ173" i="1"/>
  <c r="BC173" i="1"/>
  <c r="AZ174" i="1"/>
  <c r="BA174" i="1"/>
  <c r="BC174" i="1"/>
  <c r="AZ175" i="1"/>
  <c r="BC175" i="1"/>
  <c r="AZ176" i="1"/>
  <c r="BA176" i="1"/>
  <c r="BC176" i="1"/>
  <c r="AZ177" i="1"/>
  <c r="BA177" i="1"/>
  <c r="BC177" i="1"/>
  <c r="AZ178" i="1"/>
  <c r="BC178" i="1"/>
  <c r="AZ179" i="1"/>
  <c r="BA179" i="1"/>
  <c r="BC179" i="1"/>
  <c r="AZ180" i="1"/>
  <c r="BA180" i="1"/>
  <c r="BC180" i="1"/>
  <c r="AZ181" i="1"/>
  <c r="BA181" i="1"/>
  <c r="BB181" i="1"/>
  <c r="BC181" i="1"/>
  <c r="AZ182" i="1"/>
  <c r="BA182" i="1"/>
  <c r="BB182" i="1"/>
  <c r="BC182" i="1"/>
  <c r="AZ183" i="1"/>
  <c r="BA183" i="1"/>
  <c r="BC183" i="1"/>
  <c r="AZ184" i="1"/>
  <c r="BA184" i="1"/>
  <c r="BC184" i="1"/>
  <c r="AZ185" i="1"/>
  <c r="BA185" i="1"/>
  <c r="BC185" i="1"/>
  <c r="AZ186" i="1"/>
  <c r="BA186" i="1"/>
  <c r="BB186" i="1"/>
  <c r="BC186" i="1"/>
  <c r="AZ187" i="1"/>
  <c r="BA187" i="1"/>
  <c r="BC187" i="1"/>
  <c r="AZ188" i="1"/>
  <c r="BA188" i="1"/>
  <c r="BC188" i="1"/>
  <c r="AZ189" i="1"/>
  <c r="BA189" i="1"/>
  <c r="BB189" i="1"/>
  <c r="BC189" i="1"/>
  <c r="AZ190" i="1"/>
  <c r="BA190" i="1"/>
  <c r="BC190" i="1"/>
  <c r="AZ191" i="1"/>
  <c r="BA191" i="1"/>
  <c r="BC191" i="1"/>
  <c r="AZ192" i="1"/>
  <c r="BA192" i="1"/>
  <c r="BB192" i="1"/>
  <c r="BC192" i="1"/>
  <c r="AZ193" i="1"/>
  <c r="BC193" i="1"/>
  <c r="AZ194" i="1"/>
  <c r="BA194" i="1"/>
  <c r="BB194" i="1"/>
  <c r="BC194" i="1"/>
  <c r="AZ195" i="1"/>
  <c r="BA195" i="1"/>
  <c r="BC195" i="1"/>
  <c r="AZ196" i="1"/>
  <c r="BC196" i="1"/>
  <c r="AZ197" i="1"/>
  <c r="BA197" i="1"/>
  <c r="BC197" i="1"/>
  <c r="AZ198" i="1"/>
  <c r="BA198" i="1"/>
  <c r="BB198" i="1"/>
  <c r="BC198" i="1"/>
  <c r="AZ199" i="1"/>
  <c r="BA199" i="1"/>
  <c r="BB199" i="1"/>
  <c r="BC199" i="1"/>
  <c r="AZ200" i="1"/>
  <c r="BA200" i="1"/>
  <c r="BC200" i="1"/>
  <c r="AZ201" i="1"/>
  <c r="BA201" i="1"/>
  <c r="BB201" i="1"/>
  <c r="BC201" i="1"/>
  <c r="AZ202" i="1"/>
  <c r="BA202" i="1"/>
  <c r="BC202" i="1"/>
  <c r="AZ203" i="1"/>
  <c r="BA203" i="1"/>
  <c r="BC203" i="1"/>
  <c r="AZ204" i="1"/>
  <c r="BA204" i="1"/>
  <c r="BB204" i="1"/>
  <c r="BC204" i="1"/>
  <c r="AZ205" i="1"/>
  <c r="BA205" i="1"/>
  <c r="BB205" i="1"/>
  <c r="BC205" i="1"/>
  <c r="AZ206" i="1"/>
  <c r="BA206" i="1"/>
  <c r="BC206" i="1"/>
  <c r="AZ207" i="1"/>
  <c r="BA207" i="1"/>
  <c r="BB207" i="1"/>
  <c r="BC207" i="1"/>
  <c r="AZ208" i="1"/>
  <c r="BA208" i="1"/>
  <c r="BC208" i="1"/>
  <c r="AZ209" i="1"/>
  <c r="BA209" i="1"/>
  <c r="BB209" i="1"/>
  <c r="BC209" i="1"/>
  <c r="AZ210" i="1"/>
  <c r="BA210" i="1"/>
  <c r="BC210" i="1"/>
  <c r="AZ211" i="1"/>
  <c r="BA211" i="1"/>
  <c r="BC211" i="1"/>
  <c r="AZ212" i="1"/>
  <c r="BA212" i="1"/>
  <c r="BC212" i="1"/>
  <c r="AZ213" i="1"/>
  <c r="BA213" i="1"/>
  <c r="BB213" i="1"/>
  <c r="BC213" i="1"/>
  <c r="AZ214" i="1"/>
  <c r="BC214" i="1"/>
  <c r="AZ215" i="1"/>
  <c r="BA215" i="1"/>
  <c r="BC215" i="1"/>
  <c r="AZ216" i="1"/>
  <c r="BA216" i="1"/>
  <c r="BB216" i="1"/>
  <c r="BC216" i="1"/>
  <c r="AZ217" i="1"/>
  <c r="BA217" i="1"/>
  <c r="BB217" i="1"/>
  <c r="BC217" i="1"/>
  <c r="AZ218" i="1"/>
  <c r="BC218" i="1"/>
  <c r="AZ219" i="1"/>
  <c r="BA219" i="1"/>
  <c r="BB219" i="1"/>
  <c r="BC219" i="1"/>
  <c r="AZ220" i="1"/>
  <c r="BA220" i="1"/>
  <c r="BB220" i="1"/>
  <c r="BC220" i="1"/>
  <c r="AZ221" i="1"/>
  <c r="BA221" i="1"/>
  <c r="BC221" i="1"/>
  <c r="AZ222" i="1"/>
  <c r="BA222" i="1"/>
  <c r="BB222" i="1"/>
  <c r="BC222" i="1"/>
  <c r="AZ223" i="1"/>
  <c r="BA223" i="1"/>
  <c r="BC223" i="1"/>
  <c r="AZ224" i="1"/>
  <c r="BA224" i="1"/>
  <c r="BC224" i="1"/>
  <c r="AZ225" i="1"/>
  <c r="BA225" i="1"/>
  <c r="BB225" i="1"/>
  <c r="BC225" i="1"/>
  <c r="AZ226" i="1"/>
  <c r="BC226" i="1"/>
  <c r="AZ227" i="1"/>
  <c r="BA227" i="1"/>
  <c r="BC227" i="1"/>
  <c r="AZ228" i="1"/>
  <c r="BA228" i="1"/>
  <c r="BC228" i="1"/>
  <c r="AZ229" i="1"/>
  <c r="BA229" i="1"/>
  <c r="BC229" i="1"/>
  <c r="AZ230" i="1"/>
  <c r="BA230" i="1"/>
  <c r="BC230" i="1"/>
  <c r="AZ231" i="1"/>
  <c r="BA231" i="1"/>
  <c r="BB231" i="1"/>
  <c r="BC231" i="1"/>
  <c r="AZ232" i="1"/>
  <c r="BA232" i="1"/>
  <c r="BB232" i="1"/>
  <c r="BC232" i="1"/>
  <c r="AZ233" i="1"/>
  <c r="BA233" i="1"/>
  <c r="BB233" i="1"/>
  <c r="BC233" i="1"/>
  <c r="AZ234" i="1"/>
  <c r="BA234" i="1"/>
  <c r="BC234" i="1"/>
  <c r="AZ235" i="1"/>
  <c r="BA235" i="1"/>
  <c r="BB235" i="1"/>
  <c r="BC235" i="1"/>
  <c r="AZ236" i="1"/>
  <c r="BA236" i="1"/>
  <c r="BB236" i="1"/>
  <c r="BC236" i="1"/>
  <c r="AZ237" i="1"/>
  <c r="BC237" i="1"/>
  <c r="AZ238" i="1"/>
  <c r="BA238" i="1"/>
  <c r="BB238" i="1"/>
  <c r="BC238" i="1"/>
  <c r="AZ239" i="1"/>
  <c r="BA239" i="1"/>
  <c r="BB239" i="1"/>
  <c r="BC239" i="1"/>
  <c r="AZ240" i="1"/>
  <c r="BA240" i="1"/>
  <c r="BB240" i="1"/>
  <c r="BC240" i="1"/>
  <c r="AZ241" i="1"/>
  <c r="BA241" i="1"/>
  <c r="BC241" i="1"/>
  <c r="AZ242" i="1"/>
  <c r="BA242" i="1"/>
  <c r="BB242" i="1"/>
  <c r="BC242" i="1"/>
  <c r="AZ243" i="1"/>
  <c r="BA243" i="1"/>
  <c r="BC243" i="1"/>
  <c r="AZ244" i="1"/>
  <c r="BA244" i="1"/>
  <c r="BB244" i="1"/>
  <c r="BC244" i="1"/>
  <c r="AZ245" i="1"/>
  <c r="BA245" i="1"/>
  <c r="BB245" i="1"/>
  <c r="BC245" i="1"/>
  <c r="AZ246" i="1"/>
  <c r="BA246" i="1"/>
  <c r="BC246" i="1"/>
  <c r="AZ247" i="1"/>
  <c r="BA247" i="1"/>
  <c r="BB247" i="1"/>
  <c r="BC247" i="1"/>
  <c r="AZ248" i="1"/>
  <c r="BA248" i="1"/>
  <c r="BC248" i="1"/>
  <c r="AZ249" i="1"/>
  <c r="BA249" i="1"/>
  <c r="BB249" i="1"/>
  <c r="BC249" i="1"/>
  <c r="AZ250" i="1"/>
  <c r="BA250" i="1"/>
  <c r="BC250" i="1"/>
  <c r="AZ251" i="1"/>
  <c r="BA251" i="1"/>
  <c r="BB251" i="1"/>
  <c r="BC251" i="1"/>
  <c r="AZ252" i="1"/>
  <c r="BA252" i="1"/>
  <c r="BC252" i="1"/>
  <c r="AZ253" i="1"/>
  <c r="BA253" i="1"/>
  <c r="BC253" i="1"/>
  <c r="AZ254" i="1"/>
  <c r="BA254" i="1"/>
  <c r="BC254" i="1"/>
  <c r="AZ255" i="1"/>
  <c r="BA255" i="1"/>
  <c r="BB255" i="1"/>
  <c r="BC255" i="1"/>
  <c r="AZ256" i="1"/>
  <c r="BA256" i="1"/>
  <c r="BC256" i="1"/>
  <c r="AZ257" i="1"/>
  <c r="BA257" i="1"/>
  <c r="BC257" i="1"/>
  <c r="AZ258" i="1"/>
  <c r="BA258" i="1"/>
  <c r="BC258" i="1"/>
  <c r="AZ259" i="1"/>
  <c r="BA259" i="1"/>
  <c r="BC259" i="1"/>
  <c r="AZ260" i="1"/>
  <c r="BC260" i="1"/>
  <c r="AZ261" i="1"/>
  <c r="BA261" i="1"/>
  <c r="BC261" i="1"/>
  <c r="AZ262" i="1"/>
  <c r="BA262" i="1"/>
  <c r="BC262" i="1"/>
  <c r="AZ263" i="1"/>
  <c r="BA263" i="1"/>
  <c r="BB263" i="1"/>
  <c r="BC263" i="1"/>
  <c r="AZ264" i="1"/>
  <c r="BA264" i="1"/>
  <c r="BC264" i="1"/>
  <c r="AZ265" i="1"/>
  <c r="BA265" i="1"/>
  <c r="BC265" i="1"/>
  <c r="AZ266" i="1"/>
  <c r="BA266" i="1"/>
  <c r="BC266" i="1"/>
  <c r="AZ267" i="1"/>
  <c r="BA267" i="1"/>
  <c r="BC267" i="1"/>
  <c r="AZ268" i="1"/>
  <c r="BA268" i="1"/>
  <c r="BC268" i="1"/>
  <c r="AZ269" i="1"/>
  <c r="BA269" i="1"/>
  <c r="BC269" i="1"/>
  <c r="AZ270" i="1"/>
  <c r="BA270" i="1"/>
  <c r="BC270" i="1"/>
  <c r="AZ271" i="1"/>
  <c r="BA271" i="1"/>
  <c r="BC271" i="1"/>
  <c r="AZ272" i="1"/>
  <c r="BC272" i="1"/>
  <c r="AZ273" i="1"/>
  <c r="BA273" i="1"/>
  <c r="BC273" i="1"/>
  <c r="AZ274" i="1"/>
  <c r="BA274" i="1"/>
  <c r="BC274" i="1"/>
  <c r="AZ275" i="1"/>
  <c r="BA275" i="1"/>
  <c r="BC275" i="1"/>
  <c r="AZ276" i="1"/>
  <c r="BA276" i="1"/>
  <c r="BC276" i="1"/>
  <c r="AZ277" i="1"/>
  <c r="BA277" i="1"/>
  <c r="BC277" i="1"/>
  <c r="AZ278" i="1"/>
  <c r="BC278" i="1"/>
  <c r="AZ279" i="1"/>
  <c r="BA279" i="1"/>
  <c r="BC279" i="1"/>
  <c r="AZ280" i="1"/>
  <c r="BA280" i="1"/>
  <c r="BC280" i="1"/>
  <c r="AZ281" i="1"/>
  <c r="BA281" i="1"/>
  <c r="BC281" i="1"/>
  <c r="AZ282" i="1"/>
  <c r="BA282" i="1"/>
  <c r="BC282" i="1"/>
  <c r="AZ283" i="1"/>
  <c r="BA283" i="1"/>
  <c r="BC283" i="1"/>
  <c r="AZ284" i="1"/>
  <c r="BA284" i="1"/>
  <c r="BC284" i="1"/>
  <c r="AZ285" i="1"/>
  <c r="BA285" i="1"/>
  <c r="BC285" i="1"/>
  <c r="AZ286" i="1"/>
  <c r="BA286" i="1"/>
  <c r="BC286" i="1"/>
  <c r="AZ287" i="1"/>
  <c r="BA287" i="1"/>
  <c r="BC287" i="1"/>
  <c r="AZ288" i="1"/>
  <c r="BA288" i="1"/>
  <c r="BC288" i="1"/>
  <c r="AZ289" i="1"/>
  <c r="BA289" i="1"/>
  <c r="BC289" i="1"/>
  <c r="AZ290" i="1"/>
  <c r="BA290" i="1"/>
  <c r="BC290" i="1"/>
  <c r="AZ291" i="1"/>
  <c r="BA291" i="1"/>
  <c r="BC291" i="1"/>
  <c r="AZ292" i="1"/>
  <c r="BA292" i="1"/>
  <c r="BC292" i="1"/>
  <c r="AZ293" i="1"/>
  <c r="BA293" i="1"/>
  <c r="BC293" i="1"/>
  <c r="AZ294" i="1"/>
  <c r="BA294" i="1"/>
  <c r="BC294" i="1"/>
  <c r="AZ295" i="1"/>
  <c r="BA295" i="1"/>
  <c r="BC295" i="1"/>
  <c r="AZ296" i="1"/>
  <c r="BA296" i="1"/>
  <c r="BC296" i="1"/>
  <c r="AZ297" i="1"/>
  <c r="BA297" i="1"/>
  <c r="BC297" i="1"/>
  <c r="AZ298" i="1"/>
  <c r="BA298" i="1"/>
  <c r="BC298" i="1"/>
  <c r="AZ299" i="1"/>
  <c r="BA299" i="1"/>
  <c r="BC299" i="1"/>
  <c r="AZ300" i="1"/>
  <c r="BA300" i="1"/>
  <c r="BC300" i="1"/>
  <c r="AZ301" i="1"/>
  <c r="BA301" i="1"/>
  <c r="BC301" i="1"/>
  <c r="AZ302" i="1"/>
  <c r="BA302" i="1"/>
  <c r="BC302" i="1"/>
  <c r="AZ303" i="1"/>
  <c r="BA303" i="1"/>
  <c r="BC303" i="1"/>
  <c r="AZ304" i="1"/>
  <c r="BA304" i="1"/>
  <c r="BC304" i="1"/>
  <c r="AZ305" i="1"/>
  <c r="BA305" i="1"/>
  <c r="BC305" i="1"/>
  <c r="AZ306" i="1"/>
  <c r="BA306" i="1"/>
  <c r="BC306" i="1"/>
  <c r="AZ307" i="1"/>
  <c r="BA307" i="1"/>
  <c r="BC307" i="1"/>
  <c r="AZ308" i="1"/>
  <c r="BA308" i="1"/>
  <c r="BC308" i="1"/>
  <c r="AZ309" i="1"/>
  <c r="BA309" i="1"/>
  <c r="BC309" i="1"/>
  <c r="AZ310" i="1"/>
  <c r="BA310" i="1"/>
  <c r="BC310" i="1"/>
  <c r="AZ311" i="1"/>
  <c r="BA311" i="1"/>
  <c r="BC311" i="1"/>
  <c r="AZ312" i="1"/>
  <c r="BA312" i="1"/>
  <c r="BC312" i="1"/>
  <c r="AZ313" i="1"/>
  <c r="BA313" i="1"/>
  <c r="BC313" i="1"/>
  <c r="AZ314" i="1"/>
  <c r="BA314" i="1"/>
  <c r="BC314" i="1"/>
  <c r="AZ315" i="1"/>
  <c r="BA315" i="1"/>
  <c r="BC315" i="1"/>
  <c r="AZ316" i="1"/>
  <c r="BA316" i="1"/>
  <c r="BC316" i="1"/>
  <c r="AZ317" i="1"/>
  <c r="BA317" i="1"/>
  <c r="BC317" i="1"/>
  <c r="AZ318" i="1"/>
  <c r="BA318" i="1"/>
  <c r="BC318" i="1"/>
  <c r="AZ319" i="1"/>
  <c r="BA319" i="1"/>
  <c r="BC319" i="1"/>
  <c r="AZ320" i="1"/>
  <c r="BA320" i="1"/>
  <c r="BC320" i="1"/>
  <c r="AZ321" i="1"/>
  <c r="BA321" i="1"/>
  <c r="BC321" i="1"/>
  <c r="AZ322" i="1"/>
  <c r="BA322" i="1"/>
  <c r="BC322" i="1"/>
  <c r="AZ323" i="1"/>
  <c r="BA323" i="1"/>
  <c r="BC323" i="1"/>
  <c r="AZ324" i="1"/>
  <c r="BA324" i="1"/>
  <c r="BC324" i="1"/>
  <c r="AZ325" i="1"/>
  <c r="BA325" i="1"/>
  <c r="BC325" i="1"/>
  <c r="AZ326" i="1"/>
  <c r="BA326" i="1"/>
  <c r="BC326" i="1"/>
  <c r="AZ327" i="1"/>
  <c r="BA327" i="1"/>
  <c r="BC327" i="1"/>
  <c r="AZ328" i="1"/>
  <c r="BA328" i="1"/>
  <c r="BC328" i="1"/>
  <c r="AZ329" i="1"/>
  <c r="BA329" i="1"/>
  <c r="BC329" i="1"/>
  <c r="AZ330" i="1"/>
  <c r="BA330" i="1"/>
  <c r="BC330" i="1"/>
  <c r="AZ331" i="1"/>
  <c r="BA331" i="1"/>
  <c r="BC331" i="1"/>
  <c r="AZ332" i="1"/>
  <c r="BA332" i="1"/>
  <c r="BC332" i="1"/>
  <c r="AZ333" i="1"/>
  <c r="BA333" i="1"/>
  <c r="BC333" i="1"/>
  <c r="AZ334" i="1"/>
  <c r="BA334" i="1"/>
  <c r="BC334" i="1"/>
  <c r="AZ335" i="1"/>
  <c r="BA335" i="1"/>
  <c r="BC335" i="1"/>
  <c r="AZ336" i="1"/>
  <c r="BA336" i="1"/>
  <c r="BC336" i="1"/>
  <c r="AZ337" i="1"/>
  <c r="BA337" i="1"/>
  <c r="BC337" i="1"/>
  <c r="AZ338" i="1"/>
  <c r="BA338" i="1"/>
  <c r="BC338" i="1"/>
  <c r="AZ339" i="1"/>
  <c r="BA339" i="1"/>
  <c r="BC339" i="1"/>
  <c r="AZ340" i="1"/>
  <c r="BA340" i="1"/>
  <c r="BC340" i="1"/>
  <c r="AZ341" i="1"/>
  <c r="BA341" i="1"/>
  <c r="BC341" i="1"/>
  <c r="AZ342" i="1"/>
  <c r="BA342" i="1"/>
  <c r="BC342" i="1"/>
  <c r="AZ343" i="1"/>
  <c r="BA343" i="1"/>
  <c r="BC343" i="1"/>
  <c r="AZ344" i="1"/>
  <c r="BA344" i="1"/>
  <c r="BC344" i="1"/>
  <c r="AZ345" i="1"/>
  <c r="BA345" i="1"/>
  <c r="BC345" i="1"/>
  <c r="AZ346" i="1"/>
  <c r="BA346" i="1"/>
  <c r="BC346" i="1"/>
  <c r="AZ347" i="1"/>
  <c r="BA347" i="1"/>
  <c r="BC347" i="1"/>
  <c r="AZ348" i="1"/>
  <c r="BA348" i="1"/>
  <c r="BC348" i="1"/>
  <c r="AZ349" i="1"/>
  <c r="BA349" i="1"/>
  <c r="BC349" i="1"/>
  <c r="AZ350" i="1"/>
  <c r="BA350" i="1"/>
  <c r="BC350" i="1"/>
  <c r="AZ351" i="1"/>
  <c r="BA351" i="1"/>
  <c r="BC351" i="1"/>
  <c r="AZ352" i="1"/>
  <c r="BA352" i="1"/>
  <c r="BC352" i="1"/>
  <c r="AZ353" i="1"/>
  <c r="BA353" i="1"/>
  <c r="BC353" i="1"/>
  <c r="AZ354" i="1"/>
  <c r="BA354" i="1"/>
  <c r="BC354" i="1"/>
  <c r="AZ355" i="1"/>
  <c r="BA355" i="1"/>
  <c r="BC355" i="1"/>
  <c r="AZ356" i="1"/>
  <c r="BA356" i="1"/>
  <c r="BC356" i="1"/>
  <c r="AZ357" i="1"/>
  <c r="BA357" i="1"/>
  <c r="BC357" i="1"/>
  <c r="AZ358" i="1"/>
  <c r="BA358" i="1"/>
  <c r="BC358" i="1"/>
  <c r="AZ359" i="1"/>
  <c r="BA359" i="1"/>
  <c r="BC359" i="1"/>
  <c r="AZ360" i="1"/>
  <c r="BA360" i="1"/>
  <c r="BC360" i="1"/>
  <c r="AZ361" i="1"/>
  <c r="BA361" i="1"/>
  <c r="BC361" i="1"/>
  <c r="AZ362" i="1"/>
  <c r="BA362" i="1"/>
  <c r="BC362" i="1"/>
  <c r="AZ363" i="1"/>
  <c r="BA363" i="1"/>
  <c r="BC363" i="1"/>
  <c r="AZ364" i="1"/>
  <c r="BA364" i="1"/>
  <c r="BC364" i="1"/>
  <c r="AZ365" i="1"/>
  <c r="BA365" i="1"/>
  <c r="BC365" i="1"/>
  <c r="AZ366" i="1"/>
  <c r="BA366" i="1"/>
  <c r="BC366" i="1"/>
  <c r="AZ367" i="1"/>
  <c r="BA367" i="1"/>
  <c r="BC367" i="1"/>
  <c r="AZ368" i="1"/>
  <c r="BA368" i="1"/>
  <c r="BC368" i="1"/>
  <c r="AZ369" i="1"/>
  <c r="BA369" i="1"/>
  <c r="BC369" i="1"/>
  <c r="AZ370" i="1"/>
  <c r="BA370" i="1"/>
  <c r="BC370" i="1"/>
  <c r="AZ371" i="1"/>
  <c r="BA371" i="1"/>
  <c r="BC371" i="1"/>
  <c r="AZ372" i="1"/>
  <c r="BA372" i="1"/>
  <c r="BC372" i="1"/>
  <c r="AZ373" i="1"/>
  <c r="BA373" i="1"/>
  <c r="BC373" i="1"/>
  <c r="AZ374" i="1"/>
  <c r="BA374" i="1"/>
  <c r="BC374" i="1"/>
  <c r="AZ375" i="1"/>
  <c r="BA375" i="1"/>
  <c r="BC375" i="1"/>
  <c r="AZ376" i="1"/>
  <c r="BA376" i="1"/>
  <c r="BC376" i="1"/>
  <c r="AZ377" i="1"/>
  <c r="BA377" i="1"/>
  <c r="BC377" i="1"/>
  <c r="AZ378" i="1"/>
  <c r="BA378" i="1"/>
  <c r="BC378" i="1"/>
  <c r="AZ379" i="1"/>
  <c r="BA379" i="1"/>
  <c r="BC379" i="1"/>
  <c r="AZ380" i="1"/>
  <c r="BA380" i="1"/>
  <c r="BC380" i="1"/>
  <c r="AZ381" i="1"/>
  <c r="BA381" i="1"/>
  <c r="BC381" i="1"/>
  <c r="AZ382" i="1"/>
  <c r="BA382" i="1"/>
  <c r="BC382" i="1"/>
  <c r="AZ383" i="1"/>
  <c r="BA383" i="1"/>
  <c r="BC383" i="1"/>
  <c r="AZ384" i="1"/>
  <c r="BA384" i="1"/>
  <c r="BC384" i="1"/>
  <c r="AZ385" i="1"/>
  <c r="BA385" i="1"/>
  <c r="BC385" i="1"/>
  <c r="AZ386" i="1"/>
  <c r="BA386" i="1"/>
  <c r="BC386" i="1"/>
  <c r="AZ387" i="1"/>
  <c r="BA387" i="1"/>
  <c r="BC387" i="1"/>
  <c r="AZ388" i="1"/>
  <c r="BA388" i="1"/>
  <c r="BC388" i="1"/>
  <c r="AZ389" i="1"/>
  <c r="BA389" i="1"/>
  <c r="BC389" i="1"/>
  <c r="AZ390" i="1"/>
  <c r="BA390" i="1"/>
  <c r="BC390" i="1"/>
  <c r="AZ391" i="1"/>
  <c r="BA391" i="1"/>
  <c r="BC391" i="1"/>
  <c r="AZ392" i="1"/>
  <c r="BA392" i="1"/>
  <c r="BC392" i="1"/>
  <c r="AZ393" i="1"/>
  <c r="BA393" i="1"/>
  <c r="BC393" i="1"/>
  <c r="AZ394" i="1"/>
  <c r="BA394" i="1"/>
  <c r="BC394" i="1"/>
  <c r="AZ395" i="1"/>
  <c r="BA395" i="1"/>
  <c r="BC395" i="1"/>
  <c r="AZ396" i="1"/>
  <c r="BA396" i="1"/>
  <c r="BC396" i="1"/>
  <c r="AZ397" i="1"/>
  <c r="BA397" i="1"/>
  <c r="BC397" i="1"/>
  <c r="AZ398" i="1"/>
  <c r="BA398" i="1"/>
  <c r="BC398" i="1"/>
  <c r="AZ399" i="1"/>
  <c r="BA399" i="1"/>
  <c r="BC399" i="1"/>
  <c r="AZ400" i="1"/>
  <c r="BA400" i="1"/>
  <c r="BC400" i="1"/>
  <c r="AZ401" i="1"/>
  <c r="BA401" i="1"/>
  <c r="BC401" i="1"/>
  <c r="AZ402" i="1"/>
  <c r="BA402" i="1"/>
  <c r="BC402" i="1"/>
  <c r="AZ403" i="1"/>
  <c r="BA403" i="1"/>
  <c r="BC403" i="1"/>
  <c r="AZ404" i="1"/>
  <c r="BA404" i="1"/>
  <c r="BC404" i="1"/>
  <c r="AZ405" i="1"/>
  <c r="BA405" i="1"/>
  <c r="BC405" i="1"/>
  <c r="AZ406" i="1"/>
  <c r="BA406" i="1"/>
  <c r="BC406" i="1"/>
  <c r="AZ407" i="1"/>
  <c r="BA407" i="1"/>
  <c r="BC407" i="1"/>
  <c r="AZ408" i="1"/>
  <c r="BA408" i="1"/>
  <c r="BC408" i="1"/>
  <c r="AZ409" i="1"/>
  <c r="BA409" i="1"/>
  <c r="BC409" i="1"/>
  <c r="AZ410" i="1"/>
  <c r="BA410" i="1"/>
  <c r="BC410" i="1"/>
  <c r="AZ411" i="1"/>
  <c r="BA411" i="1"/>
  <c r="BC411" i="1"/>
  <c r="AZ412" i="1"/>
  <c r="BA412" i="1"/>
  <c r="BC412" i="1"/>
  <c r="AZ413" i="1"/>
  <c r="BA413" i="1"/>
  <c r="BC413" i="1"/>
  <c r="AZ414" i="1"/>
  <c r="BA414" i="1"/>
  <c r="BC414" i="1"/>
  <c r="AZ415" i="1"/>
  <c r="BA415" i="1"/>
  <c r="BC415" i="1"/>
  <c r="AZ416" i="1"/>
  <c r="BA416" i="1"/>
  <c r="BC416" i="1"/>
  <c r="AZ417" i="1"/>
  <c r="BA417" i="1"/>
  <c r="BC417" i="1"/>
  <c r="AZ418" i="1"/>
  <c r="BA418" i="1"/>
  <c r="BC418" i="1"/>
  <c r="AZ419" i="1"/>
  <c r="BA419" i="1"/>
  <c r="BC419" i="1"/>
  <c r="AZ420" i="1"/>
  <c r="BA420" i="1"/>
  <c r="BC420" i="1"/>
  <c r="AZ421" i="1"/>
  <c r="BA421" i="1"/>
  <c r="BC421" i="1"/>
  <c r="AZ422" i="1"/>
  <c r="BA422" i="1"/>
  <c r="BC422" i="1"/>
  <c r="AZ423" i="1"/>
  <c r="BA423" i="1"/>
  <c r="BC423" i="1"/>
  <c r="AZ424" i="1"/>
  <c r="BA424" i="1"/>
  <c r="BC424" i="1"/>
  <c r="AZ425" i="1"/>
  <c r="BA425" i="1"/>
  <c r="BC425" i="1"/>
  <c r="AZ426" i="1"/>
  <c r="BA426" i="1"/>
  <c r="BC426" i="1"/>
  <c r="AZ427" i="1"/>
  <c r="BA427" i="1"/>
  <c r="BC427" i="1"/>
  <c r="AZ428" i="1"/>
  <c r="BA428" i="1"/>
  <c r="BC428" i="1"/>
  <c r="AZ429" i="1"/>
  <c r="BA429" i="1"/>
  <c r="BC429" i="1"/>
  <c r="AZ430" i="1"/>
  <c r="BA430" i="1"/>
  <c r="BC430" i="1"/>
  <c r="AZ431" i="1"/>
  <c r="BA431" i="1"/>
  <c r="BC431" i="1"/>
  <c r="AZ432" i="1"/>
  <c r="BA432" i="1"/>
  <c r="BC432" i="1"/>
  <c r="AZ433" i="1"/>
  <c r="BA433" i="1"/>
  <c r="BC433" i="1"/>
  <c r="AZ434" i="1"/>
  <c r="BA434" i="1"/>
  <c r="BC434" i="1"/>
  <c r="O3" i="7"/>
  <c r="P3" i="7"/>
  <c r="Q3" i="7"/>
  <c r="R3" i="7"/>
  <c r="S3" i="7"/>
  <c r="T3" i="7"/>
  <c r="U3" i="7"/>
  <c r="V3" i="7"/>
  <c r="W3" i="7"/>
  <c r="O4" i="7"/>
  <c r="P4" i="7"/>
  <c r="Q4" i="7"/>
  <c r="R4" i="7"/>
  <c r="S4" i="7"/>
  <c r="T4" i="7"/>
  <c r="U4" i="7"/>
  <c r="V4" i="7"/>
  <c r="W4" i="7"/>
  <c r="O5" i="7"/>
  <c r="P5" i="7"/>
  <c r="Q5" i="7"/>
  <c r="R5" i="7"/>
  <c r="S5" i="7"/>
  <c r="T5" i="7"/>
  <c r="U5" i="7"/>
  <c r="V5" i="7"/>
  <c r="W5" i="7"/>
  <c r="O6" i="7"/>
  <c r="P6" i="7"/>
  <c r="Q6" i="7"/>
  <c r="R6" i="7"/>
  <c r="S6" i="7"/>
  <c r="T6" i="7"/>
  <c r="U6" i="7"/>
  <c r="V6" i="7"/>
  <c r="W6" i="7"/>
  <c r="O7" i="7"/>
  <c r="P7" i="7"/>
  <c r="Q7" i="7"/>
  <c r="R7" i="7"/>
  <c r="S7" i="7"/>
  <c r="T7" i="7"/>
  <c r="U7" i="7"/>
  <c r="V7" i="7"/>
  <c r="W7" i="7"/>
  <c r="O8" i="7"/>
  <c r="P8" i="7"/>
  <c r="Q8" i="7"/>
  <c r="R8" i="7"/>
  <c r="S8" i="7"/>
  <c r="T8" i="7"/>
  <c r="U8" i="7"/>
  <c r="V8" i="7"/>
  <c r="W8" i="7"/>
  <c r="O9" i="7"/>
  <c r="P9" i="7"/>
  <c r="Q9" i="7"/>
  <c r="R9" i="7"/>
  <c r="S9" i="7"/>
  <c r="T9" i="7"/>
  <c r="U9" i="7"/>
  <c r="V9" i="7"/>
  <c r="W9" i="7"/>
  <c r="O10" i="7"/>
  <c r="P10" i="7"/>
  <c r="Q10" i="7"/>
  <c r="R10" i="7"/>
  <c r="S10" i="7"/>
  <c r="T10" i="7"/>
  <c r="U10" i="7"/>
  <c r="V10" i="7"/>
  <c r="W10" i="7"/>
  <c r="O11" i="7"/>
  <c r="P11" i="7"/>
  <c r="Q11" i="7"/>
  <c r="R11" i="7"/>
  <c r="S11" i="7"/>
  <c r="T11" i="7"/>
  <c r="U11" i="7"/>
  <c r="V11" i="7"/>
  <c r="W11" i="7"/>
  <c r="O12" i="7"/>
  <c r="P12" i="7"/>
  <c r="Q12" i="7"/>
  <c r="R12" i="7"/>
  <c r="S12" i="7"/>
  <c r="T12" i="7"/>
  <c r="U12" i="7"/>
  <c r="V12" i="7"/>
  <c r="W12" i="7"/>
  <c r="O13" i="7"/>
  <c r="P13" i="7"/>
  <c r="Q13" i="7"/>
  <c r="R13" i="7"/>
  <c r="S13" i="7"/>
  <c r="T13" i="7"/>
  <c r="U13" i="7"/>
  <c r="V13" i="7"/>
  <c r="W13" i="7"/>
  <c r="O14" i="7"/>
  <c r="P14" i="7"/>
  <c r="Q14" i="7"/>
  <c r="R14" i="7"/>
  <c r="S14" i="7"/>
  <c r="T14" i="7"/>
  <c r="U14" i="7"/>
  <c r="V14" i="7"/>
  <c r="W14" i="7"/>
  <c r="O15" i="7"/>
  <c r="P15" i="7"/>
  <c r="Q15" i="7"/>
  <c r="R15" i="7"/>
  <c r="S15" i="7"/>
  <c r="T15" i="7"/>
  <c r="U15" i="7"/>
  <c r="V15" i="7"/>
  <c r="W15" i="7"/>
  <c r="O16" i="7"/>
  <c r="P16" i="7"/>
  <c r="Q16" i="7"/>
  <c r="R16" i="7"/>
  <c r="S16" i="7"/>
  <c r="T16" i="7"/>
  <c r="U16" i="7"/>
  <c r="V16" i="7"/>
  <c r="W16" i="7"/>
  <c r="O17" i="7"/>
  <c r="P17" i="7"/>
  <c r="Q17" i="7"/>
  <c r="R17" i="7"/>
  <c r="S17" i="7"/>
  <c r="T17" i="7"/>
  <c r="U17" i="7"/>
  <c r="V17" i="7"/>
  <c r="W17" i="7"/>
  <c r="O18" i="7"/>
  <c r="P18" i="7"/>
  <c r="Q18" i="7"/>
  <c r="R18" i="7"/>
  <c r="S18" i="7"/>
  <c r="T18" i="7"/>
  <c r="U18" i="7"/>
  <c r="V18" i="7"/>
  <c r="W18" i="7"/>
  <c r="O19" i="7"/>
  <c r="P19" i="7"/>
  <c r="Q19" i="7"/>
  <c r="R19" i="7"/>
  <c r="S19" i="7"/>
  <c r="T19" i="7"/>
  <c r="U19" i="7"/>
  <c r="V19" i="7"/>
  <c r="W19" i="7"/>
  <c r="O20" i="7"/>
  <c r="P20" i="7"/>
  <c r="Q20" i="7"/>
  <c r="R20" i="7"/>
  <c r="S20" i="7"/>
  <c r="T20" i="7"/>
  <c r="U20" i="7"/>
  <c r="V20" i="7"/>
  <c r="W20" i="7"/>
  <c r="O21" i="7"/>
  <c r="P21" i="7"/>
  <c r="Q21" i="7"/>
  <c r="R21" i="7"/>
  <c r="S21" i="7"/>
  <c r="T21" i="7"/>
  <c r="U21" i="7"/>
  <c r="V21" i="7"/>
  <c r="W21" i="7"/>
  <c r="O22" i="7"/>
  <c r="P22" i="7"/>
  <c r="Q22" i="7"/>
  <c r="R22" i="7"/>
  <c r="S22" i="7"/>
  <c r="T22" i="7"/>
  <c r="U22" i="7"/>
  <c r="V22" i="7"/>
  <c r="W22" i="7"/>
  <c r="O23" i="7"/>
  <c r="P23" i="7"/>
  <c r="Q23" i="7"/>
  <c r="R23" i="7"/>
  <c r="S23" i="7"/>
  <c r="T23" i="7"/>
  <c r="U23" i="7"/>
  <c r="V23" i="7"/>
  <c r="W23" i="7"/>
  <c r="O24" i="7"/>
  <c r="P24" i="7"/>
  <c r="Q24" i="7"/>
  <c r="R24" i="7"/>
  <c r="S24" i="7"/>
  <c r="T24" i="7"/>
  <c r="U24" i="7"/>
  <c r="V24" i="7"/>
  <c r="W24" i="7"/>
  <c r="O25" i="7"/>
  <c r="P25" i="7"/>
  <c r="Q25" i="7"/>
  <c r="R25" i="7"/>
  <c r="S25" i="7"/>
  <c r="T25" i="7"/>
  <c r="U25" i="7"/>
  <c r="V25" i="7"/>
  <c r="W25" i="7"/>
  <c r="O26" i="7"/>
  <c r="P26" i="7"/>
  <c r="Q26" i="7"/>
  <c r="R26" i="7"/>
  <c r="S26" i="7"/>
  <c r="T26" i="7"/>
  <c r="U26" i="7"/>
  <c r="V26" i="7"/>
  <c r="W26" i="7"/>
  <c r="O27" i="7"/>
  <c r="P27" i="7"/>
  <c r="Q27" i="7"/>
  <c r="R27" i="7"/>
  <c r="S27" i="7"/>
  <c r="T27" i="7"/>
  <c r="U27" i="7"/>
  <c r="V27" i="7"/>
  <c r="W27" i="7"/>
  <c r="O28" i="7"/>
  <c r="P28" i="7"/>
  <c r="Q28" i="7"/>
  <c r="R28" i="7"/>
  <c r="S28" i="7"/>
  <c r="T28" i="7"/>
  <c r="U28" i="7"/>
  <c r="V28" i="7"/>
  <c r="W28" i="7"/>
  <c r="O29" i="7"/>
  <c r="P29" i="7"/>
  <c r="Q29" i="7"/>
  <c r="R29" i="7"/>
  <c r="S29" i="7"/>
  <c r="T29" i="7"/>
  <c r="U29" i="7"/>
  <c r="V29" i="7"/>
  <c r="W29" i="7"/>
  <c r="O30" i="7"/>
  <c r="P30" i="7"/>
  <c r="Q30" i="7"/>
  <c r="R30" i="7"/>
  <c r="S30" i="7"/>
  <c r="T30" i="7"/>
  <c r="U30" i="7"/>
  <c r="V30" i="7"/>
  <c r="W30" i="7"/>
  <c r="O31" i="7"/>
  <c r="P31" i="7"/>
  <c r="Q31" i="7"/>
  <c r="R31" i="7"/>
  <c r="S31" i="7"/>
  <c r="T31" i="7"/>
  <c r="U31" i="7"/>
  <c r="V31" i="7"/>
  <c r="W31" i="7"/>
  <c r="O32" i="7"/>
  <c r="P32" i="7"/>
  <c r="Q32" i="7"/>
  <c r="R32" i="7"/>
  <c r="S32" i="7"/>
  <c r="T32" i="7"/>
  <c r="U32" i="7"/>
  <c r="V32" i="7"/>
  <c r="W32" i="7"/>
  <c r="O33" i="7"/>
  <c r="P33" i="7"/>
  <c r="Q33" i="7"/>
  <c r="R33" i="7"/>
  <c r="S33" i="7"/>
  <c r="T33" i="7"/>
  <c r="U33" i="7"/>
  <c r="V33" i="7"/>
  <c r="W33" i="7"/>
  <c r="E3" i="3"/>
  <c r="J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E4" i="3"/>
  <c r="J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E5" i="3"/>
  <c r="J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E6" i="3"/>
  <c r="J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E7" i="3"/>
  <c r="J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E8" i="3"/>
  <c r="J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E9" i="3"/>
  <c r="J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E10" i="3"/>
  <c r="J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E11" i="3"/>
  <c r="J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E12" i="3"/>
  <c r="J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E13" i="3"/>
  <c r="J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E14" i="3"/>
  <c r="J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E15" i="3"/>
  <c r="J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E16" i="3"/>
  <c r="J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E17" i="3"/>
  <c r="J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E18" i="3"/>
  <c r="J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E19" i="3"/>
  <c r="J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E20" i="3"/>
  <c r="J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E21" i="3"/>
  <c r="J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E22" i="3"/>
  <c r="J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E23" i="3"/>
  <c r="J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E24" i="3"/>
  <c r="J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E25" i="3"/>
  <c r="J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E26" i="3"/>
  <c r="J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E27" i="3"/>
  <c r="J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E28" i="3"/>
  <c r="J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E29" i="3"/>
  <c r="J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E30" i="3"/>
  <c r="J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J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E32" i="3"/>
  <c r="J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E33" i="3"/>
  <c r="J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E34" i="3"/>
  <c r="J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E35" i="3"/>
  <c r="J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E36" i="3"/>
  <c r="J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E37" i="3"/>
  <c r="J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E38" i="3"/>
  <c r="J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E39" i="3"/>
  <c r="I39" i="3"/>
  <c r="J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E40" i="3"/>
  <c r="J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E41" i="3"/>
  <c r="J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E42" i="3"/>
  <c r="J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E43" i="3"/>
  <c r="J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E44" i="3"/>
  <c r="J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E45" i="3"/>
  <c r="J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E46" i="3"/>
  <c r="J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E47" i="3"/>
  <c r="J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E48" i="3"/>
  <c r="J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E49" i="3"/>
  <c r="J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E50" i="3"/>
  <c r="J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E51" i="3"/>
  <c r="J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E52" i="3"/>
  <c r="J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E53" i="3"/>
  <c r="J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E54" i="3"/>
  <c r="J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E55" i="3"/>
  <c r="J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E56" i="3"/>
  <c r="J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E57" i="3"/>
  <c r="J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E58" i="3"/>
  <c r="J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E59" i="3"/>
  <c r="J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E60" i="3"/>
  <c r="J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E61" i="3"/>
  <c r="J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E62" i="3"/>
  <c r="J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E63" i="3"/>
  <c r="J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E64" i="3"/>
  <c r="J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E65" i="3"/>
  <c r="J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D3" i="4"/>
  <c r="H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4" i="4"/>
  <c r="H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D5" i="4"/>
  <c r="H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6" i="4"/>
  <c r="H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7" i="4"/>
  <c r="H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8" i="4"/>
  <c r="H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9" i="4"/>
  <c r="H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D10" i="4"/>
  <c r="H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D11" i="4"/>
  <c r="H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D12" i="4"/>
  <c r="H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D13" i="4"/>
  <c r="H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D14" i="4"/>
  <c r="H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D15" i="4"/>
  <c r="H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D16" i="4"/>
  <c r="H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D17" i="4"/>
  <c r="H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D18" i="4"/>
  <c r="H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D19" i="4"/>
  <c r="H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D20" i="4"/>
  <c r="H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D21" i="4"/>
  <c r="H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D22" i="4"/>
  <c r="H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D23" i="4"/>
  <c r="H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D24" i="4"/>
  <c r="H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D25" i="4"/>
  <c r="H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D26" i="4"/>
  <c r="H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D27" i="4"/>
  <c r="H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D28" i="4"/>
  <c r="H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D29" i="4"/>
  <c r="H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D30" i="4"/>
  <c r="H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D31" i="4"/>
  <c r="H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D32" i="4"/>
  <c r="H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D33" i="4"/>
  <c r="H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D34" i="4"/>
  <c r="H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D35" i="4"/>
  <c r="H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D36" i="4"/>
  <c r="H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D37" i="4"/>
  <c r="H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D38" i="4"/>
  <c r="H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D39" i="4"/>
  <c r="H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D40" i="4"/>
  <c r="H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D41" i="4"/>
  <c r="H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D42" i="4"/>
  <c r="H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D43" i="4"/>
  <c r="H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D44" i="4"/>
  <c r="H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D45" i="4"/>
  <c r="H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D46" i="4"/>
  <c r="H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D47" i="4"/>
  <c r="H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D48" i="4"/>
  <c r="H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D49" i="4"/>
  <c r="H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D50" i="4"/>
  <c r="H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D51" i="4"/>
  <c r="H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D52" i="4"/>
  <c r="H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D53" i="4"/>
  <c r="H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D54" i="4"/>
  <c r="H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D55" i="4"/>
  <c r="H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D56" i="4"/>
  <c r="H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D57" i="4"/>
  <c r="H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D58" i="4"/>
  <c r="H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D59" i="4"/>
  <c r="H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D60" i="4"/>
  <c r="H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H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D62" i="4"/>
  <c r="H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D63" i="4"/>
  <c r="H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D64" i="4"/>
  <c r="H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D65" i="4"/>
  <c r="H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D66" i="4"/>
  <c r="H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D67" i="4"/>
  <c r="H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D68" i="4"/>
  <c r="H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D69" i="4"/>
  <c r="H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D70" i="4"/>
  <c r="H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D71" i="4"/>
  <c r="H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D72" i="4"/>
  <c r="H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D73" i="4"/>
  <c r="H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D74" i="4"/>
  <c r="H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D75" i="4"/>
  <c r="H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D76" i="4"/>
  <c r="H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D77" i="4"/>
  <c r="H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D78" i="4"/>
  <c r="H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D79" i="4"/>
  <c r="H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D80" i="4"/>
  <c r="H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D81" i="4"/>
  <c r="H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D82" i="4"/>
  <c r="H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D83" i="4"/>
  <c r="H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D84" i="4"/>
  <c r="H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D85" i="4"/>
  <c r="H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D86" i="4"/>
  <c r="H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D87" i="4"/>
  <c r="H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D88" i="4"/>
  <c r="H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D89" i="4"/>
  <c r="H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D90" i="4"/>
  <c r="H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D91" i="4"/>
  <c r="H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D92" i="4"/>
  <c r="H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D93" i="4"/>
  <c r="H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D94" i="4"/>
  <c r="H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D95" i="4"/>
  <c r="H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D96" i="4"/>
  <c r="H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D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D98" i="4"/>
  <c r="H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D99" i="4"/>
  <c r="H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D100" i="4"/>
  <c r="H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D101" i="4"/>
  <c r="H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D102" i="4"/>
  <c r="H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D103" i="4"/>
  <c r="H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H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D105" i="4"/>
  <c r="H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D106" i="4"/>
  <c r="H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D107" i="4"/>
  <c r="H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D108" i="4"/>
  <c r="H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D109" i="4"/>
  <c r="H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D110" i="4"/>
  <c r="H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D3" i="6"/>
  <c r="N3" i="6"/>
  <c r="O3" i="6"/>
  <c r="P3" i="6"/>
  <c r="Q3" i="6"/>
  <c r="R3" i="6"/>
  <c r="S3" i="6"/>
  <c r="T3" i="6"/>
  <c r="D4" i="6"/>
  <c r="N4" i="6"/>
  <c r="O4" i="6"/>
  <c r="P4" i="6"/>
  <c r="Q4" i="6"/>
  <c r="R4" i="6"/>
  <c r="S4" i="6"/>
  <c r="T4" i="6"/>
  <c r="D5" i="6"/>
  <c r="N5" i="6"/>
  <c r="O5" i="6"/>
  <c r="P5" i="6"/>
  <c r="Q5" i="6"/>
  <c r="R5" i="6"/>
  <c r="S5" i="6"/>
  <c r="T5" i="6"/>
  <c r="D6" i="6"/>
  <c r="N6" i="6"/>
  <c r="O6" i="6"/>
  <c r="P6" i="6"/>
  <c r="Q6" i="6"/>
  <c r="R6" i="6"/>
  <c r="S6" i="6"/>
  <c r="T6" i="6"/>
  <c r="D7" i="6"/>
  <c r="N7" i="6"/>
  <c r="O7" i="6"/>
  <c r="P7" i="6"/>
  <c r="Q7" i="6"/>
  <c r="R7" i="6"/>
  <c r="S7" i="6"/>
  <c r="T7" i="6"/>
  <c r="D8" i="6"/>
  <c r="N8" i="6"/>
  <c r="O8" i="6"/>
  <c r="P8" i="6"/>
  <c r="Q8" i="6"/>
  <c r="R8" i="6"/>
  <c r="S8" i="6"/>
  <c r="T8" i="6"/>
  <c r="D9" i="6"/>
  <c r="N9" i="6"/>
  <c r="O9" i="6"/>
  <c r="P9" i="6"/>
  <c r="Q9" i="6"/>
  <c r="R9" i="6"/>
  <c r="S9" i="6"/>
  <c r="T9" i="6"/>
  <c r="D10" i="6"/>
  <c r="N10" i="6"/>
  <c r="O10" i="6"/>
  <c r="P10" i="6"/>
  <c r="Q10" i="6"/>
  <c r="R10" i="6"/>
  <c r="S10" i="6"/>
  <c r="T10" i="6"/>
  <c r="D11" i="6"/>
  <c r="N11" i="6"/>
  <c r="O11" i="6"/>
  <c r="P11" i="6"/>
  <c r="Q11" i="6"/>
  <c r="R11" i="6"/>
  <c r="S11" i="6"/>
  <c r="T11" i="6"/>
  <c r="D12" i="6"/>
  <c r="N12" i="6"/>
  <c r="O12" i="6"/>
  <c r="P12" i="6"/>
  <c r="Q12" i="6"/>
  <c r="R12" i="6"/>
  <c r="S12" i="6"/>
  <c r="T12" i="6"/>
  <c r="D13" i="6"/>
  <c r="N13" i="6"/>
  <c r="O13" i="6"/>
  <c r="P13" i="6"/>
  <c r="Q13" i="6"/>
  <c r="R13" i="6"/>
  <c r="S13" i="6"/>
  <c r="T13" i="6"/>
  <c r="D14" i="6"/>
  <c r="N14" i="6"/>
  <c r="O14" i="6"/>
  <c r="P14" i="6"/>
  <c r="Q14" i="6"/>
  <c r="R14" i="6"/>
  <c r="S14" i="6"/>
  <c r="T14" i="6"/>
  <c r="D15" i="6"/>
  <c r="N15" i="6"/>
  <c r="O15" i="6"/>
  <c r="P15" i="6"/>
  <c r="Q15" i="6"/>
  <c r="R15" i="6"/>
  <c r="S15" i="6"/>
  <c r="T15" i="6"/>
  <c r="D16" i="6"/>
  <c r="N16" i="6"/>
  <c r="O16" i="6"/>
  <c r="P16" i="6"/>
  <c r="Q16" i="6"/>
  <c r="R16" i="6"/>
  <c r="S16" i="6"/>
  <c r="T16" i="6"/>
  <c r="D17" i="6"/>
  <c r="N17" i="6"/>
  <c r="O17" i="6"/>
  <c r="P17" i="6"/>
  <c r="Q17" i="6"/>
  <c r="R17" i="6"/>
  <c r="S17" i="6"/>
  <c r="T17" i="6"/>
  <c r="D18" i="6"/>
  <c r="N18" i="6"/>
  <c r="O18" i="6"/>
  <c r="P18" i="6"/>
  <c r="Q18" i="6"/>
  <c r="R18" i="6"/>
  <c r="S18" i="6"/>
  <c r="T18" i="6"/>
  <c r="N19" i="6"/>
  <c r="O19" i="6"/>
  <c r="P19" i="6"/>
  <c r="Q19" i="6"/>
  <c r="R19" i="6"/>
  <c r="S19" i="6"/>
  <c r="T19" i="6"/>
  <c r="D20" i="6"/>
  <c r="N20" i="6"/>
  <c r="O20" i="6"/>
  <c r="P20" i="6"/>
  <c r="Q20" i="6"/>
  <c r="R20" i="6"/>
  <c r="S20" i="6"/>
  <c r="T20" i="6"/>
  <c r="D21" i="6"/>
  <c r="N21" i="6"/>
  <c r="O21" i="6"/>
  <c r="P21" i="6"/>
  <c r="Q21" i="6"/>
  <c r="R21" i="6"/>
  <c r="S21" i="6"/>
  <c r="T21" i="6"/>
  <c r="D22" i="6"/>
  <c r="N22" i="6"/>
  <c r="O22" i="6"/>
  <c r="P22" i="6"/>
  <c r="Q22" i="6"/>
  <c r="R22" i="6"/>
  <c r="S22" i="6"/>
  <c r="T22" i="6"/>
  <c r="D23" i="6"/>
  <c r="N23" i="6"/>
  <c r="O23" i="6"/>
  <c r="P23" i="6"/>
  <c r="Q23" i="6"/>
  <c r="R23" i="6"/>
  <c r="S23" i="6"/>
  <c r="T23" i="6"/>
  <c r="D24" i="6"/>
  <c r="N24" i="6"/>
  <c r="O24" i="6"/>
  <c r="P24" i="6"/>
  <c r="Q24" i="6"/>
  <c r="R24" i="6"/>
  <c r="S24" i="6"/>
  <c r="T24" i="6"/>
  <c r="D25" i="6"/>
  <c r="N25" i="6"/>
  <c r="O25" i="6"/>
  <c r="P25" i="6"/>
  <c r="Q25" i="6"/>
  <c r="R25" i="6"/>
  <c r="S25" i="6"/>
  <c r="T25" i="6"/>
  <c r="D26" i="6"/>
  <c r="N26" i="6"/>
  <c r="O26" i="6"/>
  <c r="P26" i="6"/>
  <c r="Q26" i="6"/>
  <c r="R26" i="6"/>
  <c r="S26" i="6"/>
  <c r="T26" i="6"/>
  <c r="D27" i="6"/>
  <c r="N27" i="6"/>
  <c r="O27" i="6"/>
  <c r="P27" i="6"/>
  <c r="Q27" i="6"/>
  <c r="R27" i="6"/>
  <c r="S27" i="6"/>
  <c r="T27" i="6"/>
  <c r="D28" i="6"/>
  <c r="N28" i="6"/>
  <c r="O28" i="6"/>
  <c r="P28" i="6"/>
  <c r="Q28" i="6"/>
  <c r="R28" i="6"/>
  <c r="S28" i="6"/>
  <c r="T28" i="6"/>
  <c r="D29" i="6"/>
  <c r="N29" i="6"/>
  <c r="O29" i="6"/>
  <c r="P29" i="6"/>
  <c r="Q29" i="6"/>
  <c r="R29" i="6"/>
  <c r="S29" i="6"/>
  <c r="T29" i="6"/>
  <c r="D30" i="6"/>
  <c r="N30" i="6"/>
  <c r="O30" i="6"/>
  <c r="P30" i="6"/>
  <c r="Q30" i="6"/>
  <c r="R30" i="6"/>
  <c r="S30" i="6"/>
  <c r="T30" i="6"/>
  <c r="D31" i="6"/>
  <c r="N31" i="6"/>
  <c r="O31" i="6"/>
  <c r="P31" i="6"/>
  <c r="Q31" i="6"/>
  <c r="R31" i="6"/>
  <c r="S31" i="6"/>
  <c r="T31" i="6"/>
  <c r="D32" i="6"/>
  <c r="N32" i="6"/>
  <c r="O32" i="6"/>
  <c r="P32" i="6"/>
  <c r="Q32" i="6"/>
  <c r="R32" i="6"/>
  <c r="S32" i="6"/>
  <c r="T32" i="6"/>
  <c r="D33" i="6"/>
  <c r="N33" i="6"/>
  <c r="O33" i="6"/>
  <c r="P33" i="6"/>
  <c r="Q33" i="6"/>
  <c r="R33" i="6"/>
  <c r="S33" i="6"/>
  <c r="T33" i="6"/>
  <c r="D34" i="6"/>
  <c r="N34" i="6"/>
  <c r="O34" i="6"/>
  <c r="P34" i="6"/>
  <c r="Q34" i="6"/>
  <c r="R34" i="6"/>
  <c r="S34" i="6"/>
  <c r="T34" i="6"/>
  <c r="D35" i="6"/>
  <c r="N35" i="6"/>
  <c r="O35" i="6"/>
  <c r="P35" i="6"/>
  <c r="Q35" i="6"/>
  <c r="R35" i="6"/>
  <c r="S35" i="6"/>
  <c r="T35" i="6"/>
  <c r="D36" i="6"/>
  <c r="N36" i="6"/>
  <c r="O36" i="6"/>
  <c r="P36" i="6"/>
  <c r="Q36" i="6"/>
  <c r="R36" i="6"/>
  <c r="S36" i="6"/>
  <c r="T36" i="6"/>
  <c r="D37" i="6"/>
  <c r="N37" i="6"/>
  <c r="O37" i="6"/>
  <c r="P37" i="6"/>
  <c r="Q37" i="6"/>
  <c r="R37" i="6"/>
  <c r="S37" i="6"/>
  <c r="T37" i="6"/>
  <c r="D38" i="6"/>
  <c r="N38" i="6"/>
  <c r="O38" i="6"/>
  <c r="P38" i="6"/>
  <c r="Q38" i="6"/>
  <c r="R38" i="6"/>
  <c r="S38" i="6"/>
  <c r="T38" i="6"/>
  <c r="D39" i="6"/>
  <c r="N39" i="6"/>
  <c r="O39" i="6"/>
  <c r="P39" i="6"/>
  <c r="Q39" i="6"/>
  <c r="R39" i="6"/>
  <c r="S39" i="6"/>
  <c r="T39" i="6"/>
  <c r="D40" i="6"/>
  <c r="N40" i="6"/>
  <c r="O40" i="6"/>
  <c r="P40" i="6"/>
  <c r="Q40" i="6"/>
  <c r="R40" i="6"/>
  <c r="S40" i="6"/>
  <c r="T40" i="6"/>
  <c r="D41" i="6"/>
  <c r="N41" i="6"/>
  <c r="O41" i="6"/>
  <c r="P41" i="6"/>
  <c r="Q41" i="6"/>
  <c r="R41" i="6"/>
  <c r="S41" i="6"/>
  <c r="T41" i="6"/>
  <c r="D42" i="6"/>
  <c r="N42" i="6"/>
  <c r="O42" i="6"/>
  <c r="P42" i="6"/>
  <c r="Q42" i="6"/>
  <c r="R42" i="6"/>
  <c r="S42" i="6"/>
  <c r="T42" i="6"/>
  <c r="D43" i="6"/>
  <c r="N43" i="6"/>
  <c r="O43" i="6"/>
  <c r="P43" i="6"/>
  <c r="Q43" i="6"/>
  <c r="R43" i="6"/>
  <c r="S43" i="6"/>
  <c r="T43" i="6"/>
  <c r="D44" i="6"/>
  <c r="N44" i="6"/>
  <c r="O44" i="6"/>
  <c r="P44" i="6"/>
  <c r="Q44" i="6"/>
  <c r="R44" i="6"/>
  <c r="S44" i="6"/>
  <c r="T44" i="6"/>
  <c r="D45" i="6"/>
  <c r="N45" i="6"/>
  <c r="O45" i="6"/>
  <c r="P45" i="6"/>
  <c r="Q45" i="6"/>
  <c r="R45" i="6"/>
  <c r="S45" i="6"/>
  <c r="T45" i="6"/>
  <c r="D46" i="6"/>
  <c r="N46" i="6"/>
  <c r="O46" i="6"/>
  <c r="P46" i="6"/>
  <c r="Q46" i="6"/>
  <c r="R46" i="6"/>
  <c r="S46" i="6"/>
  <c r="T46" i="6"/>
  <c r="D47" i="6"/>
  <c r="N47" i="6"/>
  <c r="O47" i="6"/>
  <c r="P47" i="6"/>
  <c r="Q47" i="6"/>
  <c r="R47" i="6"/>
  <c r="S47" i="6"/>
  <c r="T47" i="6"/>
  <c r="D48" i="6"/>
  <c r="N48" i="6"/>
  <c r="O48" i="6"/>
  <c r="P48" i="6"/>
  <c r="Q48" i="6"/>
  <c r="R48" i="6"/>
  <c r="S48" i="6"/>
  <c r="T48" i="6"/>
  <c r="D49" i="6"/>
  <c r="N49" i="6"/>
  <c r="O49" i="6"/>
  <c r="P49" i="6"/>
  <c r="Q49" i="6"/>
  <c r="R49" i="6"/>
  <c r="S49" i="6"/>
  <c r="T49" i="6"/>
  <c r="D50" i="6"/>
  <c r="N50" i="6"/>
  <c r="O50" i="6"/>
  <c r="P50" i="6"/>
  <c r="Q50" i="6"/>
  <c r="R50" i="6"/>
  <c r="S50" i="6"/>
  <c r="T50" i="6"/>
  <c r="D51" i="6"/>
  <c r="N51" i="6"/>
  <c r="O51" i="6"/>
  <c r="P51" i="6"/>
  <c r="Q51" i="6"/>
  <c r="R51" i="6"/>
  <c r="S51" i="6"/>
  <c r="T51" i="6"/>
  <c r="D52" i="6"/>
  <c r="N52" i="6"/>
  <c r="O52" i="6"/>
  <c r="P52" i="6"/>
  <c r="Q52" i="6"/>
  <c r="R52" i="6"/>
  <c r="S52" i="6"/>
  <c r="T52" i="6"/>
  <c r="D53" i="6"/>
  <c r="N53" i="6"/>
  <c r="O53" i="6"/>
  <c r="P53" i="6"/>
  <c r="Q53" i="6"/>
  <c r="R53" i="6"/>
  <c r="S53" i="6"/>
  <c r="T53" i="6"/>
  <c r="D54" i="6"/>
  <c r="N54" i="6"/>
  <c r="O54" i="6"/>
  <c r="P54" i="6"/>
  <c r="Q54" i="6"/>
  <c r="R54" i="6"/>
  <c r="S54" i="6"/>
  <c r="T54" i="6"/>
  <c r="D55" i="6"/>
  <c r="N55" i="6"/>
  <c r="O55" i="6"/>
  <c r="P55" i="6"/>
  <c r="Q55" i="6"/>
  <c r="R55" i="6"/>
  <c r="S55" i="6"/>
  <c r="T55" i="6"/>
  <c r="D56" i="6"/>
  <c r="N56" i="6"/>
  <c r="O56" i="6"/>
  <c r="P56" i="6"/>
  <c r="Q56" i="6"/>
  <c r="R56" i="6"/>
  <c r="S56" i="6"/>
  <c r="T56" i="6"/>
  <c r="D57" i="6"/>
  <c r="N57" i="6"/>
  <c r="O57" i="6"/>
  <c r="P57" i="6"/>
  <c r="Q57" i="6"/>
  <c r="R57" i="6"/>
  <c r="S57" i="6"/>
  <c r="T57" i="6"/>
  <c r="D58" i="6"/>
  <c r="N58" i="6"/>
  <c r="O58" i="6"/>
  <c r="P58" i="6"/>
  <c r="Q58" i="6"/>
  <c r="R58" i="6"/>
  <c r="S58" i="6"/>
  <c r="T58" i="6"/>
  <c r="D59" i="6"/>
  <c r="N59" i="6"/>
  <c r="O59" i="6"/>
  <c r="P59" i="6"/>
  <c r="Q59" i="6"/>
  <c r="R59" i="6"/>
  <c r="S59" i="6"/>
  <c r="T59" i="6"/>
  <c r="D60" i="6"/>
  <c r="N60" i="6"/>
  <c r="O60" i="6"/>
  <c r="P60" i="6"/>
  <c r="Q60" i="6"/>
  <c r="R60" i="6"/>
  <c r="S60" i="6"/>
  <c r="T60" i="6"/>
  <c r="D61" i="6"/>
  <c r="N61" i="6"/>
  <c r="O61" i="6"/>
  <c r="P61" i="6"/>
  <c r="Q61" i="6"/>
  <c r="R61" i="6"/>
  <c r="S61" i="6"/>
  <c r="T61" i="6"/>
  <c r="D62" i="6"/>
  <c r="N62" i="6"/>
  <c r="O62" i="6"/>
  <c r="P62" i="6"/>
  <c r="Q62" i="6"/>
  <c r="R62" i="6"/>
  <c r="S62" i="6"/>
  <c r="T62" i="6"/>
  <c r="D63" i="6"/>
  <c r="N63" i="6"/>
  <c r="O63" i="6"/>
  <c r="P63" i="6"/>
  <c r="Q63" i="6"/>
  <c r="R63" i="6"/>
  <c r="S63" i="6"/>
  <c r="T63" i="6"/>
  <c r="D64" i="6"/>
  <c r="N64" i="6"/>
  <c r="O64" i="6"/>
  <c r="P64" i="6"/>
  <c r="Q64" i="6"/>
  <c r="R64" i="6"/>
  <c r="S64" i="6"/>
  <c r="T64" i="6"/>
  <c r="D65" i="6"/>
  <c r="N65" i="6"/>
  <c r="O65" i="6"/>
  <c r="P65" i="6"/>
  <c r="Q65" i="6"/>
  <c r="R65" i="6"/>
  <c r="S65" i="6"/>
  <c r="T65" i="6"/>
  <c r="H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H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H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H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H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H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H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H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H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H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D13" i="5"/>
  <c r="H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D15" i="5"/>
  <c r="H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H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D17" i="5"/>
  <c r="H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H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H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H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D21" i="5"/>
  <c r="H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H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H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H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H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H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D28" i="5"/>
  <c r="H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D29" i="5"/>
  <c r="H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H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H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H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D34" i="5"/>
  <c r="H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H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H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H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D38" i="5"/>
  <c r="H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H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H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D41" i="5"/>
  <c r="H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H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H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H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H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H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H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H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H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H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D51" i="5"/>
  <c r="H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H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H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H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H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H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H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H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H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H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H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H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H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H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H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H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H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H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H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H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H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H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H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H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H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H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H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H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D80" i="5"/>
  <c r="H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H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H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H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H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H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H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H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H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H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H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H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H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H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H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H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H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H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H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H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H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H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H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H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H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H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H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H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H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H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H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H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H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H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H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H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H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H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H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H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H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H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H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H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H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H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H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H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H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H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H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H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H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H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H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H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H137" i="5"/>
  <c r="X137" i="5"/>
  <c r="Y137" i="5"/>
  <c r="Z137" i="5"/>
  <c r="AA137" i="5"/>
  <c r="AB137" i="5"/>
  <c r="AC137" i="5"/>
  <c r="AD137" i="5"/>
  <c r="AE137" i="5"/>
  <c r="AF137" i="5"/>
  <c r="AG137" i="5"/>
  <c r="AH137" i="5"/>
  <c r="AI137" i="5"/>
  <c r="AJ137" i="5"/>
  <c r="H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</calcChain>
</file>

<file path=xl/sharedStrings.xml><?xml version="1.0" encoding="utf-8"?>
<sst xmlns="http://schemas.openxmlformats.org/spreadsheetml/2006/main" count="1582" uniqueCount="617">
  <si>
    <t>Data As of 8/2/00</t>
  </si>
  <si>
    <t>Rank</t>
  </si>
  <si>
    <t>Player</t>
  </si>
  <si>
    <t>Team</t>
  </si>
  <si>
    <t>Pts</t>
  </si>
  <si>
    <t>VBD</t>
  </si>
  <si>
    <t>Pos</t>
  </si>
  <si>
    <t>Defense/ST Scoring:</t>
  </si>
  <si>
    <t>ST</t>
  </si>
  <si>
    <t>RB</t>
  </si>
  <si>
    <t>Defense/ST TD</t>
  </si>
  <si>
    <t>Fumbles Recovered</t>
  </si>
  <si>
    <t>Interceptions</t>
  </si>
  <si>
    <t>QB</t>
  </si>
  <si>
    <t>Sacks</t>
  </si>
  <si>
    <t>Safeties</t>
  </si>
  <si>
    <t>Pts per Total Yards Allowed</t>
  </si>
  <si>
    <t>QB/RB/WR/TE Scoring:</t>
  </si>
  <si>
    <t>WR</t>
  </si>
  <si>
    <t>TE</t>
  </si>
  <si>
    <t>Pts per Point Allowed</t>
  </si>
  <si>
    <t>Pts per Pass Attempt</t>
  </si>
  <si>
    <t>Pts per Pass Completion</t>
  </si>
  <si>
    <t>Kicker Scoring:</t>
  </si>
  <si>
    <t>PK</t>
  </si>
  <si>
    <t>Pts per Passing Yard</t>
  </si>
  <si>
    <t>Field Goals Made (1-29 yards)</t>
  </si>
  <si>
    <t>Pts per Int</t>
  </si>
  <si>
    <t>Field Goals Made (30-39 yards)</t>
  </si>
  <si>
    <t>Pts per Passing TD (0-9 yards)</t>
  </si>
  <si>
    <t>Field Goals Made (40-49 yards)</t>
  </si>
  <si>
    <t>Pts per Passing TD (10-19 yards)</t>
  </si>
  <si>
    <t>Field Goals Made (50+ yards)</t>
  </si>
  <si>
    <t>Pts per Passing TD (20-29 yards)</t>
  </si>
  <si>
    <t>Field Goals Missed (1-29 yards)</t>
  </si>
  <si>
    <t>Pts per Passing TD (30-39 yards)</t>
  </si>
  <si>
    <t>Field Goals Missed (30-39 yards)</t>
  </si>
  <si>
    <t>Pts per Passing TD (40-49 yards)</t>
  </si>
  <si>
    <t>Field Goals Missed (40-49 yards)</t>
  </si>
  <si>
    <t>Pts per Passing TD (50+ yards)</t>
  </si>
  <si>
    <t>Field Goals Missed (50+ yards)</t>
  </si>
  <si>
    <t>Bonus for 300 yard passing game</t>
  </si>
  <si>
    <t>Extra Point Made</t>
  </si>
  <si>
    <t>Pts per Rushing Attempt</t>
  </si>
  <si>
    <t>Extra Point Missed</t>
  </si>
  <si>
    <t>Pts per Rushing Yard</t>
  </si>
  <si>
    <t>Pts per Rushing TD (0-9 yards)</t>
  </si>
  <si>
    <t>League Variables</t>
  </si>
  <si>
    <t>Pts per Rushing TD (10-19 yards)</t>
  </si>
  <si>
    <t>Rounds of Draft</t>
  </si>
  <si>
    <t>Pts per Rushing TD (20-29 yards)</t>
  </si>
  <si>
    <t>Teams in League</t>
  </si>
  <si>
    <t>Pts per Rushing TD (30-39 yards)</t>
  </si>
  <si>
    <t>Number of QB Starters</t>
  </si>
  <si>
    <t>Pts per Rushing TD (40-49 yards)</t>
  </si>
  <si>
    <t>Number of RB Starters</t>
  </si>
  <si>
    <t>Pts per Rushing TD (50+ yards)</t>
  </si>
  <si>
    <t>Number of WR Starters</t>
  </si>
  <si>
    <t>Bonus for 100 yard rushing game</t>
  </si>
  <si>
    <t>Number of TE Starters</t>
  </si>
  <si>
    <t>Pts per Reception</t>
  </si>
  <si>
    <t>Number of PK Starters</t>
  </si>
  <si>
    <t>Pts per Receiving Yard</t>
  </si>
  <si>
    <t>Number of Def/ST Starters</t>
  </si>
  <si>
    <t>Pts per Receiving TD (0-9 yards)</t>
  </si>
  <si>
    <t>Pts per Receiving TD (10-19 yards)</t>
  </si>
  <si>
    <t>Pts per Receiving TD (20-29 yards)</t>
  </si>
  <si>
    <t>Pts per Receiving TD (30-39 yards)</t>
  </si>
  <si>
    <t>Pts per Receiving TD (40-49 yards)</t>
  </si>
  <si>
    <t>Pts per Receiving TD (50+ yards)</t>
  </si>
  <si>
    <t xml:space="preserve">Bonus for 100 yard receiving game </t>
  </si>
  <si>
    <t>Fumbles Lost</t>
  </si>
  <si>
    <t>Data as of 8/2/00</t>
  </si>
  <si>
    <t>Quarterbacks</t>
  </si>
  <si>
    <t>Running Backs</t>
  </si>
  <si>
    <t>Wide Receivers</t>
  </si>
  <si>
    <t>Overall</t>
  </si>
  <si>
    <t>Tight Ends</t>
  </si>
  <si>
    <t>Bye</t>
  </si>
  <si>
    <t>Place Kickers</t>
  </si>
  <si>
    <t>Special Teams/Defense</t>
  </si>
  <si>
    <t>Arizona Cardinals</t>
  </si>
  <si>
    <t xml:space="preserve">Atlanta Falcons </t>
  </si>
  <si>
    <t xml:space="preserve">Baltimore Ravens </t>
  </si>
  <si>
    <t xml:space="preserve">Buffalo Bills </t>
  </si>
  <si>
    <t xml:space="preserve">Carolina Panthers </t>
  </si>
  <si>
    <t xml:space="preserve">Chicago Bears </t>
  </si>
  <si>
    <t xml:space="preserve">Cincinnati Bengals </t>
  </si>
  <si>
    <t>Cleveland Browns</t>
  </si>
  <si>
    <t xml:space="preserve">Dallas Cowboys </t>
  </si>
  <si>
    <t xml:space="preserve">Denver Broncos </t>
  </si>
  <si>
    <t xml:space="preserve">Detroit Lions </t>
  </si>
  <si>
    <t>Green Bay Packers</t>
  </si>
  <si>
    <t xml:space="preserve">Indianapolis Colts </t>
  </si>
  <si>
    <t>Jacksonville Jaguars</t>
  </si>
  <si>
    <t>Kansas City Chiefs</t>
  </si>
  <si>
    <t xml:space="preserve">Miami Dolphins </t>
  </si>
  <si>
    <t xml:space="preserve">Minnesota Vikings </t>
  </si>
  <si>
    <t>New England Patriots</t>
  </si>
  <si>
    <t>New Orleans Saints</t>
  </si>
  <si>
    <t>New York Giants</t>
  </si>
  <si>
    <t>New York Jets</t>
  </si>
  <si>
    <t xml:space="preserve">Oakland Raiders </t>
  </si>
  <si>
    <t xml:space="preserve">Philadelphia Eagles </t>
  </si>
  <si>
    <t xml:space="preserve">Pittsburgh Steelers </t>
  </si>
  <si>
    <t>San Diego Chargers</t>
  </si>
  <si>
    <t>San Francisco 49ers</t>
  </si>
  <si>
    <t xml:space="preserve">Seattle Seahawks </t>
  </si>
  <si>
    <t>St. Louis Rams</t>
  </si>
  <si>
    <t>Tampa Bay Buccaneers</t>
  </si>
  <si>
    <t xml:space="preserve">Tennessee Titans </t>
  </si>
  <si>
    <t xml:space="preserve">Washington Redskins </t>
  </si>
  <si>
    <t>Passing Projections</t>
  </si>
  <si>
    <t>Rushing Projections</t>
  </si>
  <si>
    <t>Fum</t>
  </si>
  <si>
    <t>Passing TD Distribution</t>
  </si>
  <si>
    <t>Rushing TD Distribution</t>
  </si>
  <si>
    <t>Passing TD Projections</t>
  </si>
  <si>
    <t>Rushing TD Projections</t>
  </si>
  <si>
    <t>Fantasy</t>
  </si>
  <si>
    <t>Comp</t>
  </si>
  <si>
    <t>Att</t>
  </si>
  <si>
    <t>Yards</t>
  </si>
  <si>
    <t>300yd</t>
  </si>
  <si>
    <t>TDs</t>
  </si>
  <si>
    <t>Int</t>
  </si>
  <si>
    <t>100yd</t>
  </si>
  <si>
    <t>Lost</t>
  </si>
  <si>
    <t>0-9</t>
  </si>
  <si>
    <t>10-19</t>
  </si>
  <si>
    <t>20-29</t>
  </si>
  <si>
    <t>30-39</t>
  </si>
  <si>
    <t>40-49</t>
  </si>
  <si>
    <t>50+</t>
  </si>
  <si>
    <t>Value</t>
  </si>
  <si>
    <t>Kurt Warner</t>
  </si>
  <si>
    <t>StL</t>
  </si>
  <si>
    <t>Peyton Manning</t>
  </si>
  <si>
    <t>Ind</t>
  </si>
  <si>
    <t>Brett Favre</t>
  </si>
  <si>
    <t>GB</t>
  </si>
  <si>
    <t>Steve McNair</t>
  </si>
  <si>
    <t>Ten</t>
  </si>
  <si>
    <t>Cade McNown</t>
  </si>
  <si>
    <t>Chi</t>
  </si>
  <si>
    <t>Rich Gannon</t>
  </si>
  <si>
    <t>Oak</t>
  </si>
  <si>
    <t>Jeff Garcia</t>
  </si>
  <si>
    <t>SF</t>
  </si>
  <si>
    <t>Brad Johnson</t>
  </si>
  <si>
    <t>Was</t>
  </si>
  <si>
    <t>Jeff Blake</t>
  </si>
  <si>
    <t>NO</t>
  </si>
  <si>
    <t>Mark Brunell</t>
  </si>
  <si>
    <t>Jac</t>
  </si>
  <si>
    <t>Steve Beuerlein</t>
  </si>
  <si>
    <t>Car</t>
  </si>
  <si>
    <t>Tim Couch</t>
  </si>
  <si>
    <t>Cle</t>
  </si>
  <si>
    <t>Daunte Culpepper</t>
  </si>
  <si>
    <t>Min</t>
  </si>
  <si>
    <t>Brian Griese</t>
  </si>
  <si>
    <t>Den</t>
  </si>
  <si>
    <t>Jon Kitna</t>
  </si>
  <si>
    <t>Sea</t>
  </si>
  <si>
    <t>Kerry Collins</t>
  </si>
  <si>
    <t>NYG</t>
  </si>
  <si>
    <t>Troy Aikman</t>
  </si>
  <si>
    <t>Dal</t>
  </si>
  <si>
    <t>Donovan McNabb</t>
  </si>
  <si>
    <t>Phi</t>
  </si>
  <si>
    <t>Elvis Grbac</t>
  </si>
  <si>
    <t>KC</t>
  </si>
  <si>
    <t>Drew Bledsoe</t>
  </si>
  <si>
    <t>NE</t>
  </si>
  <si>
    <t>Rob Johnson</t>
  </si>
  <si>
    <t>Buf</t>
  </si>
  <si>
    <t>Vinny Testaverde</t>
  </si>
  <si>
    <t>NYJ</t>
  </si>
  <si>
    <t>Jake Plummer</t>
  </si>
  <si>
    <t>Ari</t>
  </si>
  <si>
    <t>Shaun King</t>
  </si>
  <si>
    <t>TB</t>
  </si>
  <si>
    <t>Tony Banks</t>
  </si>
  <si>
    <t>Bal</t>
  </si>
  <si>
    <t>Chris Chandler</t>
  </si>
  <si>
    <t>Atl</t>
  </si>
  <si>
    <t>Charlie Batch</t>
  </si>
  <si>
    <t>Det</t>
  </si>
  <si>
    <t>Kordell Stewart</t>
  </si>
  <si>
    <t>Pit</t>
  </si>
  <si>
    <t>Akili Smith</t>
  </si>
  <si>
    <t>Cin</t>
  </si>
  <si>
    <t>Damon Huard</t>
  </si>
  <si>
    <t>Mia</t>
  </si>
  <si>
    <t>Jim Harbaugh</t>
  </si>
  <si>
    <t>SD</t>
  </si>
  <si>
    <t>Jay Fiedler</t>
  </si>
  <si>
    <t>Scott Mitchell</t>
  </si>
  <si>
    <t>Moses Moreno</t>
  </si>
  <si>
    <t>Kent Graham</t>
  </si>
  <si>
    <t>Danny Kanell</t>
  </si>
  <si>
    <t>Ryan Leaf</t>
  </si>
  <si>
    <t>Trent Dilfer</t>
  </si>
  <si>
    <t>Bubby Brister</t>
  </si>
  <si>
    <t>Mike Tomczak</t>
  </si>
  <si>
    <t>Doug Flutie</t>
  </si>
  <si>
    <t>Jim Miller</t>
  </si>
  <si>
    <t>Ray Lucas</t>
  </si>
  <si>
    <t>Dave Brown</t>
  </si>
  <si>
    <t>Gus Frerotte</t>
  </si>
  <si>
    <t>Jeff Lewis</t>
  </si>
  <si>
    <t>Randall Cunningham</t>
  </si>
  <si>
    <t>Jonathan Quinn</t>
  </si>
  <si>
    <t>Warren Moon</t>
  </si>
  <si>
    <t>Neil O'Donnell</t>
  </si>
  <si>
    <t>Jason Garrett</t>
  </si>
  <si>
    <t>Jeff George</t>
  </si>
  <si>
    <t>Billy Joe Tolliver</t>
  </si>
  <si>
    <t>Giovanni Carmazzi</t>
  </si>
  <si>
    <t>Matt Hasselbeck</t>
  </si>
  <si>
    <t>Doug Pederson</t>
  </si>
  <si>
    <t>Eric Zeier</t>
  </si>
  <si>
    <t>Trent Green</t>
  </si>
  <si>
    <t>Ty Detmer</t>
  </si>
  <si>
    <t>Glenn Foley</t>
  </si>
  <si>
    <t>John Friesz</t>
  </si>
  <si>
    <t>Bobby Hoying</t>
  </si>
  <si>
    <t>Kelly Holcomb</t>
  </si>
  <si>
    <t>Receiving Projections</t>
  </si>
  <si>
    <t>Receiving TD Distribution</t>
  </si>
  <si>
    <t>Receiving TD Projections</t>
  </si>
  <si>
    <t>Rec</t>
  </si>
  <si>
    <t>Edgerrin James</t>
  </si>
  <si>
    <t>Marshall Faulk</t>
  </si>
  <si>
    <t>Fred Taylor</t>
  </si>
  <si>
    <t>Eddie George</t>
  </si>
  <si>
    <t>Emmitt Smith</t>
  </si>
  <si>
    <t>Stephen Davis</t>
  </si>
  <si>
    <t>Terrell Davis</t>
  </si>
  <si>
    <t>Dorsey Levens</t>
  </si>
  <si>
    <t>Curtis Martin</t>
  </si>
  <si>
    <t>Duce Staley</t>
  </si>
  <si>
    <t>James Stewart</t>
  </si>
  <si>
    <t>Robert Smith</t>
  </si>
  <si>
    <t>Ricky Williams</t>
  </si>
  <si>
    <t>Charlie Garner</t>
  </si>
  <si>
    <t>Curtis Enis</t>
  </si>
  <si>
    <t>Ron Dayne</t>
  </si>
  <si>
    <t>Mike Alstott</t>
  </si>
  <si>
    <t>Jamal Lewis</t>
  </si>
  <si>
    <t>Jerome Bettis</t>
  </si>
  <si>
    <t>Ricky Watters</t>
  </si>
  <si>
    <t>Jamal Anderson</t>
  </si>
  <si>
    <t>Errict Rhett</t>
  </si>
  <si>
    <t>Tyrone Wheatley</t>
  </si>
  <si>
    <t>Warrick Dunn</t>
  </si>
  <si>
    <t>Tim Biakabutuka</t>
  </si>
  <si>
    <t>J.J. Johnson</t>
  </si>
  <si>
    <t>Jermaine Fazande</t>
  </si>
  <si>
    <t>Raymont Harris</t>
  </si>
  <si>
    <t>Thomas Jones</t>
  </si>
  <si>
    <t>Shaun Alexander</t>
  </si>
  <si>
    <t>Corey Dillon</t>
  </si>
  <si>
    <t>Antowain Smith</t>
  </si>
  <si>
    <t>Fred Beasley</t>
  </si>
  <si>
    <t>Kimble Anders</t>
  </si>
  <si>
    <t>Napoleon Kaufman</t>
  </si>
  <si>
    <t>Natrone Means</t>
  </si>
  <si>
    <t>Richard Huntley</t>
  </si>
  <si>
    <t>Jonathan Linton</t>
  </si>
  <si>
    <t>Mike Cloud</t>
  </si>
  <si>
    <t>Tiki Barber</t>
  </si>
  <si>
    <t>Michael Pittman</t>
  </si>
  <si>
    <t>Chris Warren</t>
  </si>
  <si>
    <t>Olandis Gary</t>
  </si>
  <si>
    <t>J.R. Redmond</t>
  </si>
  <si>
    <t>Larry Centers</t>
  </si>
  <si>
    <t>Donnell Bennett</t>
  </si>
  <si>
    <t>Michael Basnight</t>
  </si>
  <si>
    <t>Terrell Fletcher</t>
  </si>
  <si>
    <t>Stanley Pritchett</t>
  </si>
  <si>
    <t>Robert Holcombe</t>
  </si>
  <si>
    <t>Priest Holmes</t>
  </si>
  <si>
    <t>Chris Howard</t>
  </si>
  <si>
    <t>Adrian Murrell</t>
  </si>
  <si>
    <t>Tony Richardson</t>
  </si>
  <si>
    <t>Ron Rivers</t>
  </si>
  <si>
    <t>James Allen</t>
  </si>
  <si>
    <t>Rob Konrad</t>
  </si>
  <si>
    <t>Byron Hanspard</t>
  </si>
  <si>
    <t>Shawn Bryson</t>
  </si>
  <si>
    <t>Terry Kirby</t>
  </si>
  <si>
    <t>Thurman Thomas</t>
  </si>
  <si>
    <t>Karim Abdul-Jabbar</t>
  </si>
  <si>
    <t>Kevin Faulk</t>
  </si>
  <si>
    <t>Lamar Smith</t>
  </si>
  <si>
    <t>Trung Canidate</t>
  </si>
  <si>
    <t>Bernie Parmalee</t>
  </si>
  <si>
    <t>Richie Anderson</t>
  </si>
  <si>
    <t>Moe Williams</t>
  </si>
  <si>
    <t>William Floyd</t>
  </si>
  <si>
    <t>Sedrick Irvin</t>
  </si>
  <si>
    <t>Curtis Keaton</t>
  </si>
  <si>
    <t>Terry Jackson</t>
  </si>
  <si>
    <t>Mario Bates</t>
  </si>
  <si>
    <t>Charles Evans</t>
  </si>
  <si>
    <t>William Henderson</t>
  </si>
  <si>
    <t>Jon Ritchie</t>
  </si>
  <si>
    <t>Cory Schlesinger</t>
  </si>
  <si>
    <t>Aaron Craver</t>
  </si>
  <si>
    <t>Doug Chapman</t>
  </si>
  <si>
    <t>Robert Chancey</t>
  </si>
  <si>
    <t>Sean Bennett</t>
  </si>
  <si>
    <t>Marc Edwards</t>
  </si>
  <si>
    <t>Nick Williams</t>
  </si>
  <si>
    <t>Travis Prentice</t>
  </si>
  <si>
    <t>Ahman Green</t>
  </si>
  <si>
    <t>Eric Bieniemy</t>
  </si>
  <si>
    <t>Rodney Thomas</t>
  </si>
  <si>
    <t>Zack Crockett</t>
  </si>
  <si>
    <t>Reggie Brown</t>
  </si>
  <si>
    <t>Howard Griffith</t>
  </si>
  <si>
    <t>Bob Christian</t>
  </si>
  <si>
    <t>Fred McCrary</t>
  </si>
  <si>
    <t>Wilmont Perry</t>
  </si>
  <si>
    <t>Skip Hicks</t>
  </si>
  <si>
    <t>Joe Montgomery</t>
  </si>
  <si>
    <t>Tony Carter</t>
  </si>
  <si>
    <t>Frank Murphy</t>
  </si>
  <si>
    <t>Daimon Shelton</t>
  </si>
  <si>
    <t>Jon Witman</t>
  </si>
  <si>
    <t>Stacey Mack</t>
  </si>
  <si>
    <t>Keith Elias</t>
  </si>
  <si>
    <t>Joel Mackovicka</t>
  </si>
  <si>
    <t>Jay Graham</t>
  </si>
  <si>
    <t>Rabih Abdullah</t>
  </si>
  <si>
    <t>Reuben Droughns</t>
  </si>
  <si>
    <t>Amos Zereoue</t>
  </si>
  <si>
    <t>Lorenzo Neal</t>
  </si>
  <si>
    <t>Robert Thomas</t>
  </si>
  <si>
    <t>Brandon Bennett</t>
  </si>
  <si>
    <t>Marvin Harrison</t>
  </si>
  <si>
    <t>Randy Moss</t>
  </si>
  <si>
    <t>Marcus Robinson</t>
  </si>
  <si>
    <t>Antonio Freeman</t>
  </si>
  <si>
    <t>Isaac Bruce</t>
  </si>
  <si>
    <t>Jimmy Smith</t>
  </si>
  <si>
    <t>Eric Moulds</t>
  </si>
  <si>
    <t>Terry Glenn</t>
  </si>
  <si>
    <t>Kevin Johnson</t>
  </si>
  <si>
    <t>Cris Carter</t>
  </si>
  <si>
    <t>Michael Westbrook</t>
  </si>
  <si>
    <t>Derrick Mayes</t>
  </si>
  <si>
    <t>Germane Crowell</t>
  </si>
  <si>
    <t>Amani Toomer</t>
  </si>
  <si>
    <t>Keyshawn Johnson</t>
  </si>
  <si>
    <t>Muhsin Muhammad</t>
  </si>
  <si>
    <t>Ed McCaffrey</t>
  </si>
  <si>
    <t>Terrell Owens</t>
  </si>
  <si>
    <t>Tim Brown</t>
  </si>
  <si>
    <t>Darnay Scott</t>
  </si>
  <si>
    <t>Rob Moore</t>
  </si>
  <si>
    <t>Albert Connell</t>
  </si>
  <si>
    <t>Terance Mathis</t>
  </si>
  <si>
    <t>Torry Holt</t>
  </si>
  <si>
    <t>Plaxico Burress</t>
  </si>
  <si>
    <t>Joey Galloway</t>
  </si>
  <si>
    <t>Raghib Ismail</t>
  </si>
  <si>
    <t>Patrick Jeffers</t>
  </si>
  <si>
    <t>Peter Warrick</t>
  </si>
  <si>
    <t>Wayne Chrebet</t>
  </si>
  <si>
    <t>Tony Martin</t>
  </si>
  <si>
    <t>Tim Dwight</t>
  </si>
  <si>
    <t>Keenan McCardell</t>
  </si>
  <si>
    <t>Ike Hilliard</t>
  </si>
  <si>
    <t>Bobby Engram</t>
  </si>
  <si>
    <t>Rod Smith</t>
  </si>
  <si>
    <t>Peerless Price</t>
  </si>
  <si>
    <t>Bill Schroeder</t>
  </si>
  <si>
    <t>Derrick Alexander</t>
  </si>
  <si>
    <t>Jerry Rice</t>
  </si>
  <si>
    <t>Joe Horn</t>
  </si>
  <si>
    <t>Qadry Ismail</t>
  </si>
  <si>
    <t>Johnnie Morton</t>
  </si>
  <si>
    <t>Oronde Gadsden</t>
  </si>
  <si>
    <t>Shawn Jefferson</t>
  </si>
  <si>
    <t>Jake Reed</t>
  </si>
  <si>
    <t>Sean Dawkins</t>
  </si>
  <si>
    <t>David Boston</t>
  </si>
  <si>
    <t>Curtis Conway</t>
  </si>
  <si>
    <t>Darrin Chiaverini</t>
  </si>
  <si>
    <t>Troy Edwards</t>
  </si>
  <si>
    <t>Az-Zahir Hakim</t>
  </si>
  <si>
    <t>Carl Pickens</t>
  </si>
  <si>
    <t>Terrence Wilkins</t>
  </si>
  <si>
    <t>Charles Johnson</t>
  </si>
  <si>
    <t>Kevin Dyson</t>
  </si>
  <si>
    <t>Jeff Graham</t>
  </si>
  <si>
    <t>Jacquez Green</t>
  </si>
  <si>
    <t>Herman Moore</t>
  </si>
  <si>
    <t>Justin Armour</t>
  </si>
  <si>
    <t>Yancey Thigpen</t>
  </si>
  <si>
    <t>Torrance Small</t>
  </si>
  <si>
    <t>James Jett</t>
  </si>
  <si>
    <t>Frank Sanders</t>
  </si>
  <si>
    <t>Dedric Ward</t>
  </si>
  <si>
    <t>Corey Bradford</t>
  </si>
  <si>
    <t>R. Jay Soward</t>
  </si>
  <si>
    <t>Keith Poole</t>
  </si>
  <si>
    <t>Marty Booker</t>
  </si>
  <si>
    <t>Kevin Lockett</t>
  </si>
  <si>
    <t>O.J. McDuffie</t>
  </si>
  <si>
    <t>Tony Simmons</t>
  </si>
  <si>
    <t>Donald Hayes</t>
  </si>
  <si>
    <t>Vincent Brisby</t>
  </si>
  <si>
    <t>Pat Johnson</t>
  </si>
  <si>
    <t>Dennis Northcutt</t>
  </si>
  <si>
    <t>Darrell Jackson</t>
  </si>
  <si>
    <t>Jermaine Lewis</t>
  </si>
  <si>
    <t>Mathew Hatchette</t>
  </si>
  <si>
    <t>Andre Reed</t>
  </si>
  <si>
    <t>J.J. Stokes</t>
  </si>
  <si>
    <t>Hines Ward</t>
  </si>
  <si>
    <t>Joe Jurevicious</t>
  </si>
  <si>
    <t>Laveranues Coles</t>
  </si>
  <si>
    <t>Chris Sanders</t>
  </si>
  <si>
    <t>Andre Rison</t>
  </si>
  <si>
    <t>Jerry Porter</t>
  </si>
  <si>
    <t>Travis Taylor</t>
  </si>
  <si>
    <t>Ron Dugans</t>
  </si>
  <si>
    <t>Troy Brown</t>
  </si>
  <si>
    <t>Jerome Pathon</t>
  </si>
  <si>
    <t>Jeremey McDaniel</t>
  </si>
  <si>
    <t>Trevor Gaylor</t>
  </si>
  <si>
    <t>Windrell Hayes</t>
  </si>
  <si>
    <t>Lamar Thomas</t>
  </si>
  <si>
    <t>E.G. Green</t>
  </si>
  <si>
    <t>Charlie Jones</t>
  </si>
  <si>
    <t>Bert Emanuel</t>
  </si>
  <si>
    <t>Jajuan Dawson</t>
  </si>
  <si>
    <t>Chris Brazzell</t>
  </si>
  <si>
    <t>Sylvester Morris</t>
  </si>
  <si>
    <t>Reidel Anthony</t>
  </si>
  <si>
    <t>Irving Fryar</t>
  </si>
  <si>
    <t>Na Brown</t>
  </si>
  <si>
    <t>James McKnight</t>
  </si>
  <si>
    <t>Brett Bech</t>
  </si>
  <si>
    <t>Craig Yeast</t>
  </si>
  <si>
    <t>Willie Jackson</t>
  </si>
  <si>
    <t>Karsten Bailey</t>
  </si>
  <si>
    <t>Isaac Byrd</t>
  </si>
  <si>
    <t>Dez White</t>
  </si>
  <si>
    <t>Jason Tucker</t>
  </si>
  <si>
    <t>Macey Brooks</t>
  </si>
  <si>
    <t>Ricky Proehl</t>
  </si>
  <si>
    <t>Eddie Kennison</t>
  </si>
  <si>
    <t>Avion Black</t>
  </si>
  <si>
    <t>Courtney Hawkins</t>
  </si>
  <si>
    <t>Danny Farmer</t>
  </si>
  <si>
    <t>Tai Streets</t>
  </si>
  <si>
    <t>Terry Mickens</t>
  </si>
  <si>
    <t>Jim Turner</t>
  </si>
  <si>
    <t>Yatil Green</t>
  </si>
  <si>
    <t>Todd Pinkston</t>
  </si>
  <si>
    <t>James Thrash</t>
  </si>
  <si>
    <t>D'Wayne Bates</t>
  </si>
  <si>
    <t>Brian Stablein</t>
  </si>
  <si>
    <t>Eugene Baker</t>
  </si>
  <si>
    <t>Reggie Barlow</t>
  </si>
  <si>
    <t>Mikhael Ricks</t>
  </si>
  <si>
    <t>Andy McCullough</t>
  </si>
  <si>
    <t>Wane McGarity</t>
  </si>
  <si>
    <t>Chris Cole</t>
  </si>
  <si>
    <t>Anthony Lucas</t>
  </si>
  <si>
    <t>Chris Walsh</t>
  </si>
  <si>
    <t>Karl Williams</t>
  </si>
  <si>
    <t>Brian Alford</t>
  </si>
  <si>
    <t>Tony Gonzalez</t>
  </si>
  <si>
    <t>Wesley Walls</t>
  </si>
  <si>
    <t>Frank Wycheck</t>
  </si>
  <si>
    <t>Freddie Jones</t>
  </si>
  <si>
    <t>Shannon Sharpe</t>
  </si>
  <si>
    <t>Jay Riemersma</t>
  </si>
  <si>
    <t>Rickey Dudley</t>
  </si>
  <si>
    <t>Pete Mitchell</t>
  </si>
  <si>
    <t>Bubba Franks</t>
  </si>
  <si>
    <t>Ken Dilger</t>
  </si>
  <si>
    <t>Stephen Alexander</t>
  </si>
  <si>
    <t>David Sloan</t>
  </si>
  <si>
    <t>Ben Coates</t>
  </si>
  <si>
    <t>Marcus Pollard</t>
  </si>
  <si>
    <t>Greg Clark</t>
  </si>
  <si>
    <t>Christian Fauria</t>
  </si>
  <si>
    <t>Cam Cleeland</t>
  </si>
  <si>
    <t>Byron Chamberlain</t>
  </si>
  <si>
    <t>Luther Broughton</t>
  </si>
  <si>
    <t>Tony McGee</t>
  </si>
  <si>
    <t>David LaFleur</t>
  </si>
  <si>
    <t>OJ Santiago</t>
  </si>
  <si>
    <t>Roland Williams</t>
  </si>
  <si>
    <t>Billy Miller</t>
  </si>
  <si>
    <t>Anthony Becht</t>
  </si>
  <si>
    <t>Jimmy Kleinsasser</t>
  </si>
  <si>
    <t>Damon Jones</t>
  </si>
  <si>
    <t>Chris Gedney</t>
  </si>
  <si>
    <t>Dave Moore</t>
  </si>
  <si>
    <t>Jackie Harris</t>
  </si>
  <si>
    <t>Kyle Brady</t>
  </si>
  <si>
    <t>Terry Hardy</t>
  </si>
  <si>
    <t>Andrew Glover</t>
  </si>
  <si>
    <t>Mark Campbell</t>
  </si>
  <si>
    <t>Eric Bjornson</t>
  </si>
  <si>
    <t>Mark Bruener</t>
  </si>
  <si>
    <t>Reggie Kelly</t>
  </si>
  <si>
    <t>Ernie Conwell</t>
  </si>
  <si>
    <t>Ryan Wetnight</t>
  </si>
  <si>
    <t>Dwayne Carswell</t>
  </si>
  <si>
    <t>Rod Rutledge</t>
  </si>
  <si>
    <t>Jeremy Brigham</t>
  </si>
  <si>
    <t>James Whalen</t>
  </si>
  <si>
    <t>Tyrone Davis</t>
  </si>
  <si>
    <t>Fred Baxter</t>
  </si>
  <si>
    <t>Reggie Davis</t>
  </si>
  <si>
    <t>Chad Lewis</t>
  </si>
  <si>
    <t>Troy Drayton</t>
  </si>
  <si>
    <t>Bobby Collins</t>
  </si>
  <si>
    <t>Alonzo Mayes</t>
  </si>
  <si>
    <t>Hunter Goodwin</t>
  </si>
  <si>
    <t>Jason Gavadza</t>
  </si>
  <si>
    <t>Marco Battaglia</t>
  </si>
  <si>
    <t>Erron Kinney</t>
  </si>
  <si>
    <t>James Jenkins</t>
  </si>
  <si>
    <t>Carlester Crumpler</t>
  </si>
  <si>
    <t>Aaron Shea</t>
  </si>
  <si>
    <t>Itula Mili</t>
  </si>
  <si>
    <t>Ed Perry</t>
  </si>
  <si>
    <t>Brian Kinchen</t>
  </si>
  <si>
    <t>Howard Cross</t>
  </si>
  <si>
    <t>Shonn Bell</t>
  </si>
  <si>
    <t>Walter Rasby</t>
  </si>
  <si>
    <t>Field Goals</t>
  </si>
  <si>
    <t>Extra Points</t>
  </si>
  <si>
    <t>Field Goals Made Distribution</t>
  </si>
  <si>
    <t>Field Goals Missed Distribution</t>
  </si>
  <si>
    <t>Projected Field Goals Made</t>
  </si>
  <si>
    <t>Projected Field Goals Missed</t>
  </si>
  <si>
    <t>Made</t>
  </si>
  <si>
    <t>Miss</t>
  </si>
  <si>
    <t>0-29</t>
  </si>
  <si>
    <t>Mike Vanderjagt</t>
  </si>
  <si>
    <t>Mike Hollis</t>
  </si>
  <si>
    <t>Brett Conway</t>
  </si>
  <si>
    <t>Jason Elam</t>
  </si>
  <si>
    <t>Jeff Wilkins</t>
  </si>
  <si>
    <t>Todd Peterson</t>
  </si>
  <si>
    <t>Steve Christie</t>
  </si>
  <si>
    <t>Martin Gramatica</t>
  </si>
  <si>
    <t>Sebastian Janikowski</t>
  </si>
  <si>
    <t>Ryan Longwell</t>
  </si>
  <si>
    <t>Al Del Greco</t>
  </si>
  <si>
    <t>Olindo Mare</t>
  </si>
  <si>
    <t>John Hall</t>
  </si>
  <si>
    <t>Jason Hanson</t>
  </si>
  <si>
    <t>Paul Edinger</t>
  </si>
  <si>
    <t>Gary Anderson</t>
  </si>
  <si>
    <t>John Carney</t>
  </si>
  <si>
    <t>Matt Stover</t>
  </si>
  <si>
    <t>Adam Vinatieri</t>
  </si>
  <si>
    <t>Pete Stoyanovich</t>
  </si>
  <si>
    <t>Kris Brown</t>
  </si>
  <si>
    <t>Eddie Murray</t>
  </si>
  <si>
    <t>Wade Richey</t>
  </si>
  <si>
    <t>John Kasay</t>
  </si>
  <si>
    <t>Doug Brien</t>
  </si>
  <si>
    <t>Cary Blanchard</t>
  </si>
  <si>
    <t>Brad Daluiso</t>
  </si>
  <si>
    <t>Morten Andersen</t>
  </si>
  <si>
    <t>David Akers</t>
  </si>
  <si>
    <t>Neil Rackers</t>
  </si>
  <si>
    <t>Phil Dawson</t>
  </si>
  <si>
    <t>Fumbles</t>
  </si>
  <si>
    <t>Points</t>
  </si>
  <si>
    <t>Recovered</t>
  </si>
  <si>
    <t>Allowed</t>
  </si>
  <si>
    <t>Easy as 1,2,3:</t>
  </si>
  <si>
    <t>1.  Enter values by clicking on Inputs Tab</t>
  </si>
  <si>
    <t>2.  Click off the last value before hitting the submit button.</t>
  </si>
  <si>
    <t>3.  Custom Cheatsheet at your fingertips under the Cheat Tab.</t>
  </si>
  <si>
    <t>Changing Projections:</t>
  </si>
  <si>
    <t>1.  Click on the individual player tabs.</t>
  </si>
  <si>
    <t>2. Tweak the projections by changing the yellow cells (do not change the blue cells)</t>
  </si>
  <si>
    <t>3.  Rerun the app by pressing on the submit button within the Inputs Tab</t>
  </si>
  <si>
    <t>Hints:</t>
  </si>
  <si>
    <t xml:space="preserve">1.  By zeroing the TE position, TE's will be grouped with WRs </t>
  </si>
  <si>
    <t>2.  Pts per Passing Yard is a decimal.  Example 1 pt per 20 yards = .05 yards per point</t>
  </si>
  <si>
    <t>3.  Values can be positive or negative</t>
  </si>
  <si>
    <t>4.  Use the Overall list to draft in the early rounds.</t>
  </si>
  <si>
    <t>5.  Use Position lists to fill in roster needs.</t>
  </si>
  <si>
    <t>6.  Save the file so that your scoring criteria becomes the default.</t>
  </si>
  <si>
    <t>Notes:</t>
  </si>
  <si>
    <t>1.  Macros must be enabled for this to work.</t>
  </si>
  <si>
    <t>Drafted</t>
  </si>
  <si>
    <t>QB position</t>
  </si>
  <si>
    <t>RB position</t>
  </si>
  <si>
    <t>TE position</t>
  </si>
  <si>
    <t>PK position</t>
  </si>
  <si>
    <t>ST position</t>
  </si>
  <si>
    <t>WR position</t>
  </si>
  <si>
    <t>Average</t>
  </si>
  <si>
    <t>QB X Value</t>
  </si>
  <si>
    <t>RB X Value</t>
  </si>
  <si>
    <t>WR X Value</t>
  </si>
  <si>
    <t>TE X Value</t>
  </si>
  <si>
    <t>PK X Value</t>
  </si>
  <si>
    <t>ST X Value</t>
  </si>
  <si>
    <t>2.  Traditional VBD formulas have been tweaked to Eric's Secret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</si>
</sst>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000"/>
    <numFmt numFmtId="167" formatCode="0.0"/>
  </numFmts>
  <fonts count="10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sz val="10"/>
      <name val="MS Sans Serif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3" borderId="3" xfId="0" applyFont="1" applyFill="1" applyBorder="1"/>
    <xf numFmtId="0" fontId="4" fillId="0" borderId="0" xfId="0" applyFont="1"/>
    <xf numFmtId="0" fontId="4" fillId="0" borderId="4" xfId="0" applyFont="1" applyBorder="1" applyAlignment="1">
      <alignment horizontal="left"/>
    </xf>
    <xf numFmtId="0" fontId="4" fillId="3" borderId="5" xfId="0" applyFont="1" applyFill="1" applyBorder="1"/>
    <xf numFmtId="1" fontId="4" fillId="3" borderId="5" xfId="0" applyNumberFormat="1" applyFont="1" applyFill="1" applyBorder="1"/>
    <xf numFmtId="2" fontId="4" fillId="3" borderId="6" xfId="0" applyNumberFormat="1" applyFont="1" applyFill="1" applyBorder="1"/>
    <xf numFmtId="0" fontId="4" fillId="0" borderId="7" xfId="0" applyFont="1" applyBorder="1" applyAlignment="1">
      <alignment horizontal="left"/>
    </xf>
    <xf numFmtId="2" fontId="4" fillId="3" borderId="8" xfId="0" applyNumberFormat="1" applyFont="1" applyFill="1" applyBorder="1"/>
    <xf numFmtId="0" fontId="3" fillId="2" borderId="9" xfId="0" applyFont="1" applyFill="1" applyBorder="1"/>
    <xf numFmtId="0" fontId="4" fillId="0" borderId="9" xfId="0" applyFont="1" applyFill="1" applyBorder="1" applyAlignment="1">
      <alignment horizontal="left"/>
    </xf>
    <xf numFmtId="0" fontId="3" fillId="2" borderId="10" xfId="0" applyFont="1" applyFill="1" applyBorder="1"/>
    <xf numFmtId="0" fontId="4" fillId="0" borderId="11" xfId="0" applyFont="1" applyFill="1" applyBorder="1" applyAlignment="1">
      <alignment horizontal="left"/>
    </xf>
    <xf numFmtId="0" fontId="4" fillId="0" borderId="11" xfId="0" applyFont="1" applyBorder="1" applyAlignment="1">
      <alignment horizontal="left"/>
    </xf>
    <xf numFmtId="2" fontId="4" fillId="3" borderId="5" xfId="0" applyNumberFormat="1" applyFont="1" applyFill="1" applyBorder="1"/>
    <xf numFmtId="0" fontId="4" fillId="3" borderId="12" xfId="0" applyFont="1" applyFill="1" applyBorder="1"/>
    <xf numFmtId="0" fontId="4" fillId="0" borderId="13" xfId="0" applyFont="1" applyBorder="1" applyAlignment="1">
      <alignment horizontal="left"/>
    </xf>
    <xf numFmtId="0" fontId="4" fillId="3" borderId="8" xfId="0" applyFont="1" applyFill="1" applyBorder="1"/>
    <xf numFmtId="0" fontId="4" fillId="2" borderId="14" xfId="0" applyFont="1" applyFill="1" applyBorder="1"/>
    <xf numFmtId="0" fontId="4" fillId="0" borderId="13" xfId="0" applyFont="1" applyFill="1" applyBorder="1" applyAlignment="1">
      <alignment horizontal="left"/>
    </xf>
    <xf numFmtId="0" fontId="4" fillId="0" borderId="4" xfId="0" applyFont="1" applyBorder="1"/>
    <xf numFmtId="0" fontId="4" fillId="3" borderId="6" xfId="0" applyFont="1" applyFill="1" applyBorder="1"/>
    <xf numFmtId="0" fontId="4" fillId="0" borderId="7" xfId="0" applyFont="1" applyBorder="1"/>
    <xf numFmtId="1" fontId="2" fillId="0" borderId="0" xfId="0" applyNumberFormat="1" applyFont="1" applyAlignment="1">
      <alignment horizontal="center"/>
    </xf>
    <xf numFmtId="0" fontId="4" fillId="3" borderId="4" xfId="0" applyFont="1" applyFill="1" applyBorder="1"/>
    <xf numFmtId="1" fontId="2" fillId="3" borderId="15" xfId="0" applyNumberFormat="1" applyFont="1" applyFill="1" applyBorder="1" applyAlignment="1">
      <alignment horizontal="center"/>
    </xf>
    <xf numFmtId="3" fontId="2" fillId="3" borderId="0" xfId="0" applyNumberFormat="1" applyFont="1" applyFill="1" applyBorder="1" applyAlignment="1">
      <alignment horizontal="center"/>
    </xf>
    <xf numFmtId="3" fontId="2" fillId="3" borderId="16" xfId="0" applyNumberFormat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1" fontId="2" fillId="3" borderId="16" xfId="0" applyNumberFormat="1" applyFont="1" applyFill="1" applyBorder="1" applyAlignment="1">
      <alignment horizontal="center"/>
    </xf>
    <xf numFmtId="1" fontId="2" fillId="3" borderId="17" xfId="0" applyNumberFormat="1" applyFont="1" applyFill="1" applyBorder="1" applyAlignment="1">
      <alignment horizontal="center"/>
    </xf>
    <xf numFmtId="3" fontId="2" fillId="3" borderId="18" xfId="0" applyNumberFormat="1" applyFont="1" applyFill="1" applyBorder="1" applyAlignment="1">
      <alignment horizontal="center"/>
    </xf>
    <xf numFmtId="3" fontId="2" fillId="3" borderId="19" xfId="0" applyNumberFormat="1" applyFont="1" applyFill="1" applyBorder="1" applyAlignment="1">
      <alignment horizontal="center"/>
    </xf>
    <xf numFmtId="3" fontId="2" fillId="3" borderId="15" xfId="0" applyNumberFormat="1" applyFont="1" applyFill="1" applyBorder="1" applyAlignment="1">
      <alignment horizontal="center"/>
    </xf>
    <xf numFmtId="3" fontId="2" fillId="3" borderId="17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" fontId="2" fillId="3" borderId="18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3" borderId="20" xfId="0" applyFont="1" applyFill="1" applyBorder="1"/>
    <xf numFmtId="0" fontId="4" fillId="3" borderId="21" xfId="0" applyFont="1" applyFill="1" applyBorder="1"/>
    <xf numFmtId="0" fontId="4" fillId="3" borderId="22" xfId="0" applyFont="1" applyFill="1" applyBorder="1"/>
    <xf numFmtId="0" fontId="4" fillId="3" borderId="23" xfId="0" applyFont="1" applyFill="1" applyBorder="1"/>
    <xf numFmtId="0" fontId="4" fillId="4" borderId="4" xfId="0" applyFont="1" applyFill="1" applyBorder="1"/>
    <xf numFmtId="0" fontId="4" fillId="4" borderId="7" xfId="0" applyFont="1" applyFill="1" applyBorder="1"/>
    <xf numFmtId="0" fontId="4" fillId="4" borderId="9" xfId="0" applyFont="1" applyFill="1" applyBorder="1"/>
    <xf numFmtId="0" fontId="4" fillId="4" borderId="24" xfId="0" applyFont="1" applyFill="1" applyBorder="1"/>
    <xf numFmtId="0" fontId="4" fillId="4" borderId="25" xfId="0" applyFont="1" applyFill="1" applyBorder="1"/>
    <xf numFmtId="0" fontId="4" fillId="4" borderId="11" xfId="0" applyFont="1" applyFill="1" applyBorder="1"/>
    <xf numFmtId="0" fontId="4" fillId="4" borderId="0" xfId="0" applyFont="1" applyFill="1" applyBorder="1"/>
    <xf numFmtId="0" fontId="4" fillId="4" borderId="26" xfId="0" applyFont="1" applyFill="1" applyBorder="1"/>
    <xf numFmtId="2" fontId="4" fillId="4" borderId="11" xfId="0" applyNumberFormat="1" applyFont="1" applyFill="1" applyBorder="1"/>
    <xf numFmtId="2" fontId="4" fillId="4" borderId="0" xfId="0" applyNumberFormat="1" applyFont="1" applyFill="1" applyBorder="1"/>
    <xf numFmtId="2" fontId="4" fillId="4" borderId="26" xfId="0" applyNumberFormat="1" applyFont="1" applyFill="1" applyBorder="1"/>
    <xf numFmtId="167" fontId="2" fillId="0" borderId="0" xfId="0" applyNumberFormat="1" applyFont="1" applyAlignment="1">
      <alignment horizontal="center"/>
    </xf>
    <xf numFmtId="0" fontId="4" fillId="0" borderId="13" xfId="0" applyFont="1" applyBorder="1"/>
    <xf numFmtId="0" fontId="4" fillId="3" borderId="7" xfId="0" applyFont="1" applyFill="1" applyBorder="1"/>
    <xf numFmtId="0" fontId="4" fillId="3" borderId="27" xfId="0" applyFont="1" applyFill="1" applyBorder="1"/>
    <xf numFmtId="3" fontId="2" fillId="3" borderId="28" xfId="0" applyNumberFormat="1" applyFont="1" applyFill="1" applyBorder="1" applyAlignment="1">
      <alignment horizontal="center"/>
    </xf>
    <xf numFmtId="3" fontId="2" fillId="3" borderId="29" xfId="0" applyNumberFormat="1" applyFont="1" applyFill="1" applyBorder="1" applyAlignment="1">
      <alignment horizontal="center"/>
    </xf>
    <xf numFmtId="3" fontId="2" fillId="3" borderId="30" xfId="0" applyNumberFormat="1" applyFont="1" applyFill="1" applyBorder="1" applyAlignment="1">
      <alignment horizontal="center"/>
    </xf>
    <xf numFmtId="166" fontId="2" fillId="5" borderId="28" xfId="0" applyNumberFormat="1" applyFont="1" applyFill="1" applyBorder="1" applyAlignment="1">
      <alignment horizontal="center"/>
    </xf>
    <xf numFmtId="166" fontId="2" fillId="5" borderId="29" xfId="0" applyNumberFormat="1" applyFont="1" applyFill="1" applyBorder="1" applyAlignment="1">
      <alignment horizontal="center"/>
    </xf>
    <xf numFmtId="166" fontId="2" fillId="5" borderId="30" xfId="0" applyNumberFormat="1" applyFont="1" applyFill="1" applyBorder="1" applyAlignment="1">
      <alignment horizontal="center"/>
    </xf>
    <xf numFmtId="2" fontId="2" fillId="5" borderId="28" xfId="0" applyNumberFormat="1" applyFont="1" applyFill="1" applyBorder="1" applyAlignment="1">
      <alignment horizontal="center"/>
    </xf>
    <xf numFmtId="2" fontId="2" fillId="5" borderId="29" xfId="0" applyNumberFormat="1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166" fontId="2" fillId="5" borderId="15" xfId="0" applyNumberFormat="1" applyFont="1" applyFill="1" applyBorder="1" applyAlignment="1">
      <alignment horizontal="center"/>
    </xf>
    <xf numFmtId="166" fontId="2" fillId="5" borderId="0" xfId="0" applyNumberFormat="1" applyFont="1" applyFill="1" applyBorder="1" applyAlignment="1">
      <alignment horizontal="center"/>
    </xf>
    <xf numFmtId="166" fontId="2" fillId="5" borderId="16" xfId="0" applyNumberFormat="1" applyFont="1" applyFill="1" applyBorder="1" applyAlignment="1">
      <alignment horizontal="center"/>
    </xf>
    <xf numFmtId="166" fontId="2" fillId="5" borderId="17" xfId="0" applyNumberFormat="1" applyFont="1" applyFill="1" applyBorder="1" applyAlignment="1">
      <alignment horizontal="center"/>
    </xf>
    <xf numFmtId="166" fontId="2" fillId="5" borderId="18" xfId="0" applyNumberFormat="1" applyFont="1" applyFill="1" applyBorder="1" applyAlignment="1">
      <alignment horizontal="center"/>
    </xf>
    <xf numFmtId="166" fontId="2" fillId="5" borderId="19" xfId="0" applyNumberFormat="1" applyFont="1" applyFill="1" applyBorder="1" applyAlignment="1">
      <alignment horizontal="center"/>
    </xf>
    <xf numFmtId="0" fontId="2" fillId="5" borderId="28" xfId="0" applyFont="1" applyFill="1" applyBorder="1"/>
    <xf numFmtId="0" fontId="2" fillId="5" borderId="29" xfId="0" applyFont="1" applyFill="1" applyBorder="1" applyAlignment="1">
      <alignment horizontal="center"/>
    </xf>
    <xf numFmtId="0" fontId="2" fillId="5" borderId="1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17" xfId="0" applyFont="1" applyFill="1" applyBorder="1"/>
    <xf numFmtId="0" fontId="2" fillId="5" borderId="18" xfId="0" applyFont="1" applyFill="1" applyBorder="1" applyAlignment="1">
      <alignment horizontal="center"/>
    </xf>
    <xf numFmtId="0" fontId="2" fillId="5" borderId="0" xfId="0" applyFont="1" applyFill="1" applyProtection="1"/>
    <xf numFmtId="0" fontId="2" fillId="5" borderId="0" xfId="0" applyFont="1" applyFill="1" applyAlignment="1" applyProtection="1">
      <alignment horizontal="center"/>
    </xf>
    <xf numFmtId="2" fontId="0" fillId="5" borderId="17" xfId="0" quotePrefix="1" applyNumberFormat="1" applyFill="1" applyBorder="1" applyAlignment="1">
      <alignment horizontal="center"/>
    </xf>
    <xf numFmtId="2" fontId="0" fillId="5" borderId="18" xfId="0" quotePrefix="1" applyNumberFormat="1" applyFill="1" applyBorder="1" applyAlignment="1">
      <alignment horizontal="center"/>
    </xf>
    <xf numFmtId="2" fontId="0" fillId="5" borderId="19" xfId="0" quotePrefix="1" applyNumberFormat="1" applyFill="1" applyBorder="1" applyAlignment="1">
      <alignment horizontal="center"/>
    </xf>
    <xf numFmtId="167" fontId="2" fillId="5" borderId="31" xfId="0" applyNumberFormat="1" applyFont="1" applyFill="1" applyBorder="1" applyAlignment="1">
      <alignment horizontal="center"/>
    </xf>
    <xf numFmtId="167" fontId="2" fillId="5" borderId="32" xfId="0" applyNumberFormat="1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166" fontId="0" fillId="5" borderId="28" xfId="0" applyNumberFormat="1" applyFill="1" applyBorder="1" applyAlignment="1">
      <alignment horizontal="center"/>
    </xf>
    <xf numFmtId="166" fontId="0" fillId="5" borderId="29" xfId="0" applyNumberFormat="1" applyFill="1" applyBorder="1" applyAlignment="1">
      <alignment horizontal="center"/>
    </xf>
    <xf numFmtId="166" fontId="0" fillId="5" borderId="30" xfId="0" applyNumberFormat="1" applyFill="1" applyBorder="1" applyAlignment="1">
      <alignment horizontal="center"/>
    </xf>
    <xf numFmtId="166" fontId="0" fillId="5" borderId="15" xfId="0" applyNumberFormat="1" applyFill="1" applyBorder="1" applyAlignment="1">
      <alignment horizontal="center"/>
    </xf>
    <xf numFmtId="166" fontId="0" fillId="5" borderId="0" xfId="0" applyNumberFormat="1" applyFill="1" applyBorder="1" applyAlignment="1">
      <alignment horizontal="center"/>
    </xf>
    <xf numFmtId="166" fontId="0" fillId="5" borderId="16" xfId="0" applyNumberFormat="1" applyFill="1" applyBorder="1" applyAlignment="1">
      <alignment horizontal="center"/>
    </xf>
    <xf numFmtId="166" fontId="0" fillId="5" borderId="17" xfId="0" applyNumberFormat="1" applyFill="1" applyBorder="1" applyAlignment="1">
      <alignment horizontal="center"/>
    </xf>
    <xf numFmtId="166" fontId="0" fillId="5" borderId="18" xfId="0" applyNumberFormat="1" applyFill="1" applyBorder="1" applyAlignment="1">
      <alignment horizontal="center"/>
    </xf>
    <xf numFmtId="166" fontId="0" fillId="5" borderId="19" xfId="0" applyNumberForma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2" fontId="2" fillId="5" borderId="15" xfId="0" applyNumberFormat="1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2" fontId="2" fillId="5" borderId="18" xfId="0" applyNumberFormat="1" applyFont="1" applyFill="1" applyBorder="1" applyAlignment="1">
      <alignment horizontal="center"/>
    </xf>
    <xf numFmtId="2" fontId="2" fillId="5" borderId="19" xfId="0" applyNumberFormat="1" applyFont="1" applyFill="1" applyBorder="1" applyAlignment="1">
      <alignment horizontal="center"/>
    </xf>
    <xf numFmtId="167" fontId="2" fillId="5" borderId="33" xfId="0" applyNumberFormat="1" applyFont="1" applyFill="1" applyBorder="1" applyAlignment="1">
      <alignment horizontal="center"/>
    </xf>
    <xf numFmtId="0" fontId="2" fillId="5" borderId="17" xfId="0" applyFont="1" applyFill="1" applyBorder="1" applyAlignment="1">
      <alignment horizontal="left"/>
    </xf>
    <xf numFmtId="166" fontId="2" fillId="0" borderId="0" xfId="0" applyNumberFormat="1" applyFont="1"/>
    <xf numFmtId="3" fontId="2" fillId="5" borderId="18" xfId="0" applyNumberFormat="1" applyFont="1" applyFill="1" applyBorder="1" applyAlignment="1">
      <alignment horizontal="center"/>
    </xf>
    <xf numFmtId="0" fontId="2" fillId="5" borderId="17" xfId="0" quotePrefix="1" applyFont="1" applyFill="1" applyBorder="1" applyAlignment="1">
      <alignment horizontal="center"/>
    </xf>
    <xf numFmtId="16" fontId="2" fillId="5" borderId="18" xfId="0" quotePrefix="1" applyNumberFormat="1" applyFont="1" applyFill="1" applyBorder="1" applyAlignment="1">
      <alignment horizontal="center"/>
    </xf>
    <xf numFmtId="0" fontId="2" fillId="5" borderId="18" xfId="0" quotePrefix="1" applyFont="1" applyFill="1" applyBorder="1" applyAlignment="1">
      <alignment horizontal="center"/>
    </xf>
    <xf numFmtId="0" fontId="2" fillId="5" borderId="19" xfId="0" quotePrefix="1" applyFont="1" applyFill="1" applyBorder="1" applyAlignment="1">
      <alignment horizontal="center"/>
    </xf>
    <xf numFmtId="166" fontId="2" fillId="5" borderId="17" xfId="0" quotePrefix="1" applyNumberFormat="1" applyFont="1" applyFill="1" applyBorder="1" applyAlignment="1">
      <alignment horizontal="center"/>
    </xf>
    <xf numFmtId="166" fontId="2" fillId="5" borderId="18" xfId="0" quotePrefix="1" applyNumberFormat="1" applyFont="1" applyFill="1" applyBorder="1" applyAlignment="1">
      <alignment horizontal="center"/>
    </xf>
    <xf numFmtId="166" fontId="2" fillId="5" borderId="19" xfId="0" quotePrefix="1" applyNumberFormat="1" applyFont="1" applyFill="1" applyBorder="1" applyAlignment="1">
      <alignment horizontal="center"/>
    </xf>
    <xf numFmtId="167" fontId="2" fillId="0" borderId="0" xfId="0" applyNumberFormat="1" applyFont="1" applyFill="1" applyAlignment="1">
      <alignment horizontal="center"/>
    </xf>
    <xf numFmtId="2" fontId="2" fillId="5" borderId="17" xfId="0" quotePrefix="1" applyNumberFormat="1" applyFont="1" applyFill="1" applyBorder="1" applyAlignment="1">
      <alignment horizontal="center"/>
    </xf>
    <xf numFmtId="2" fontId="2" fillId="5" borderId="18" xfId="0" quotePrefix="1" applyNumberFormat="1" applyFont="1" applyFill="1" applyBorder="1" applyAlignment="1">
      <alignment horizontal="center"/>
    </xf>
    <xf numFmtId="2" fontId="2" fillId="5" borderId="19" xfId="0" quotePrefix="1" applyNumberFormat="1" applyFont="1" applyFill="1" applyBorder="1" applyAlignment="1">
      <alignment horizontal="center"/>
    </xf>
    <xf numFmtId="0" fontId="2" fillId="5" borderId="28" xfId="0" applyFont="1" applyFill="1" applyBorder="1" applyProtection="1"/>
    <xf numFmtId="0" fontId="2" fillId="5" borderId="30" xfId="0" applyFont="1" applyFill="1" applyBorder="1" applyAlignment="1" applyProtection="1">
      <alignment horizontal="center"/>
    </xf>
    <xf numFmtId="0" fontId="2" fillId="5" borderId="17" xfId="0" applyFont="1" applyFill="1" applyBorder="1" applyAlignment="1" applyProtection="1">
      <alignment horizontal="left"/>
    </xf>
    <xf numFmtId="0" fontId="2" fillId="5" borderId="19" xfId="0" applyFont="1" applyFill="1" applyBorder="1" applyAlignment="1" applyProtection="1">
      <alignment horizontal="center"/>
    </xf>
    <xf numFmtId="0" fontId="0" fillId="5" borderId="28" xfId="0" applyFill="1" applyBorder="1"/>
    <xf numFmtId="0" fontId="0" fillId="5" borderId="30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5" borderId="17" xfId="0" applyFill="1" applyBorder="1"/>
    <xf numFmtId="0" fontId="0" fillId="5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5" xfId="0" applyFill="1" applyBorder="1"/>
    <xf numFmtId="0" fontId="0" fillId="5" borderId="1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33" xfId="0" applyFill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5" borderId="31" xfId="0" applyNumberFormat="1" applyFill="1" applyBorder="1" applyAlignment="1">
      <alignment horizontal="center"/>
    </xf>
    <xf numFmtId="167" fontId="0" fillId="5" borderId="32" xfId="0" applyNumberFormat="1" applyFill="1" applyBorder="1" applyAlignment="1">
      <alignment horizontal="center"/>
    </xf>
    <xf numFmtId="167" fontId="0" fillId="5" borderId="33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5" borderId="33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3" fontId="1" fillId="3" borderId="0" xfId="1" applyNumberFormat="1" applyFill="1" applyBorder="1" applyAlignment="1">
      <alignment horizontal="center"/>
    </xf>
    <xf numFmtId="1" fontId="0" fillId="3" borderId="16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3" fontId="1" fillId="3" borderId="18" xfId="1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3" fontId="0" fillId="5" borderId="29" xfId="0" applyNumberFormat="1" applyFill="1" applyBorder="1" applyAlignment="1">
      <alignment horizontal="center"/>
    </xf>
    <xf numFmtId="3" fontId="0" fillId="5" borderId="18" xfId="0" applyNumberForma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Continuous"/>
    </xf>
    <xf numFmtId="0" fontId="4" fillId="6" borderId="0" xfId="0" applyFont="1" applyFill="1"/>
    <xf numFmtId="0" fontId="7" fillId="6" borderId="0" xfId="0" applyFont="1" applyFill="1" applyAlignment="1">
      <alignment horizontal="left"/>
    </xf>
    <xf numFmtId="0" fontId="7" fillId="6" borderId="0" xfId="0" applyFont="1" applyFill="1" applyAlignment="1">
      <alignment horizontal="centerContinuous"/>
    </xf>
    <xf numFmtId="0" fontId="7" fillId="6" borderId="0" xfId="0" applyFont="1" applyFill="1" applyAlignment="1">
      <alignment horizontal="center"/>
    </xf>
    <xf numFmtId="0" fontId="6" fillId="6" borderId="0" xfId="0" applyFont="1" applyFill="1"/>
    <xf numFmtId="0" fontId="4" fillId="6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Continuous"/>
    </xf>
    <xf numFmtId="0" fontId="7" fillId="6" borderId="0" xfId="0" applyFont="1" applyFill="1"/>
    <xf numFmtId="0" fontId="8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2" fontId="9" fillId="7" borderId="0" xfId="0" applyNumberFormat="1" applyFont="1" applyFill="1"/>
    <xf numFmtId="2" fontId="9" fillId="7" borderId="0" xfId="0" applyNumberFormat="1" applyFont="1" applyFill="1" applyAlignment="1">
      <alignment horizontal="center"/>
    </xf>
    <xf numFmtId="2" fontId="2" fillId="5" borderId="28" xfId="0" applyNumberFormat="1" applyFont="1" applyFill="1" applyBorder="1" applyAlignment="1">
      <alignment horizontal="centerContinuous"/>
    </xf>
    <xf numFmtId="2" fontId="2" fillId="5" borderId="29" xfId="0" applyNumberFormat="1" applyFont="1" applyFill="1" applyBorder="1" applyAlignment="1">
      <alignment horizontal="centerContinuous"/>
    </xf>
    <xf numFmtId="2" fontId="2" fillId="5" borderId="30" xfId="0" applyNumberFormat="1" applyFont="1" applyFill="1" applyBorder="1" applyAlignment="1">
      <alignment horizontal="centerContinuous"/>
    </xf>
    <xf numFmtId="0" fontId="2" fillId="5" borderId="28" xfId="0" applyFont="1" applyFill="1" applyBorder="1" applyAlignment="1">
      <alignment horizontal="centerContinuous"/>
    </xf>
    <xf numFmtId="0" fontId="2" fillId="5" borderId="29" xfId="0" applyFont="1" applyFill="1" applyBorder="1" applyAlignment="1">
      <alignment horizontal="centerContinuous"/>
    </xf>
    <xf numFmtId="0" fontId="2" fillId="5" borderId="30" xfId="0" applyFont="1" applyFill="1" applyBorder="1" applyAlignment="1">
      <alignment horizontal="centerContinuous"/>
    </xf>
    <xf numFmtId="166" fontId="2" fillId="5" borderId="28" xfId="0" applyNumberFormat="1" applyFont="1" applyFill="1" applyBorder="1" applyAlignment="1">
      <alignment horizontal="centerContinuous"/>
    </xf>
    <xf numFmtId="166" fontId="2" fillId="5" borderId="29" xfId="0" applyNumberFormat="1" applyFont="1" applyFill="1" applyBorder="1" applyAlignment="1">
      <alignment horizontal="centerContinuous"/>
    </xf>
    <xf numFmtId="166" fontId="2" fillId="5" borderId="30" xfId="0" applyNumberFormat="1" applyFont="1" applyFill="1" applyBorder="1" applyAlignment="1">
      <alignment horizontal="centerContinuous"/>
    </xf>
    <xf numFmtId="0" fontId="0" fillId="5" borderId="28" xfId="0" applyFill="1" applyBorder="1" applyAlignment="1">
      <alignment horizontal="centerContinuous"/>
    </xf>
    <xf numFmtId="0" fontId="0" fillId="5" borderId="29" xfId="0" applyFill="1" applyBorder="1" applyAlignment="1">
      <alignment horizontal="centerContinuous"/>
    </xf>
    <xf numFmtId="0" fontId="0" fillId="5" borderId="30" xfId="0" applyFill="1" applyBorder="1" applyAlignment="1">
      <alignment horizontal="centerContinuous"/>
    </xf>
    <xf numFmtId="0" fontId="9" fillId="7" borderId="0" xfId="0" applyFont="1" applyFill="1"/>
    <xf numFmtId="0" fontId="9" fillId="7" borderId="0" xfId="0" applyFont="1" applyFill="1" applyAlignment="1">
      <alignment horizontal="center"/>
    </xf>
    <xf numFmtId="1" fontId="9" fillId="7" borderId="0" xfId="0" applyNumberFormat="1" applyFont="1" applyFill="1" applyAlignment="1">
      <alignment horizontal="center"/>
    </xf>
    <xf numFmtId="167" fontId="9" fillId="7" borderId="0" xfId="0" applyNumberFormat="1" applyFont="1" applyFill="1" applyAlignment="1">
      <alignment horizontal="center"/>
    </xf>
    <xf numFmtId="0" fontId="4" fillId="0" borderId="1" xfId="0" applyFont="1" applyBorder="1"/>
    <xf numFmtId="0" fontId="4" fillId="3" borderId="1" xfId="0" applyFont="1" applyFill="1" applyBorder="1"/>
    <xf numFmtId="0" fontId="2" fillId="5" borderId="31" xfId="0" applyFont="1" applyFill="1" applyBorder="1" applyAlignment="1">
      <alignment horizontal="centerContinuous"/>
    </xf>
    <xf numFmtId="0" fontId="2" fillId="5" borderId="33" xfId="0" applyFont="1" applyFill="1" applyBorder="1" applyAlignment="1">
      <alignment horizontal="center"/>
    </xf>
    <xf numFmtId="3" fontId="2" fillId="3" borderId="33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3" fontId="2" fillId="3" borderId="32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518160</xdr:colOff>
          <xdr:row>33</xdr:row>
          <xdr:rowOff>0</xdr:rowOff>
        </xdr:from>
        <xdr:to>
          <xdr:col>7</xdr:col>
          <xdr:colOff>1470660</xdr:colOff>
          <xdr:row>34</xdr:row>
          <xdr:rowOff>76200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eatsheets.net/cheat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C434"/>
  <sheetViews>
    <sheetView showGridLines="0" topLeftCell="A7" workbookViewId="0">
      <selection activeCell="L8" sqref="A8:L18"/>
    </sheetView>
  </sheetViews>
  <sheetFormatPr defaultRowHeight="13.2" x14ac:dyDescent="0.25"/>
  <cols>
    <col min="1" max="1" width="1.88671875" customWidth="1"/>
    <col min="2" max="2" width="25.33203125" customWidth="1"/>
    <col min="3" max="6" width="4.6640625" customWidth="1"/>
    <col min="7" max="7" width="1.88671875" customWidth="1"/>
    <col min="8" max="8" width="23.5546875" customWidth="1"/>
    <col min="9" max="9" width="4.6640625" customWidth="1"/>
    <col min="27" max="27" width="9.109375" style="6" customWidth="1"/>
    <col min="28" max="28" width="15.44140625" customWidth="1"/>
    <col min="29" max="29" width="7.33203125" style="6" customWidth="1"/>
    <col min="30" max="30" width="7.33203125" style="7" customWidth="1"/>
    <col min="31" max="31" width="9.109375" style="6" customWidth="1"/>
    <col min="32" max="32" width="13.88671875" customWidth="1"/>
    <col min="33" max="33" width="9.109375" style="6" customWidth="1"/>
    <col min="34" max="34" width="9.109375" style="7" customWidth="1"/>
    <col min="35" max="35" width="9.109375" style="6" customWidth="1"/>
    <col min="36" max="36" width="17.5546875" customWidth="1"/>
    <col min="37" max="37" width="9.109375" style="6" customWidth="1"/>
    <col min="38" max="38" width="9.109375" style="7" customWidth="1"/>
    <col min="39" max="39" width="9.109375" style="6" customWidth="1"/>
    <col min="40" max="40" width="17.6640625" customWidth="1"/>
    <col min="41" max="41" width="9.109375" style="6" customWidth="1"/>
    <col min="42" max="42" width="9.109375" style="7" customWidth="1"/>
    <col min="43" max="43" width="9.109375" style="6" customWidth="1"/>
    <col min="44" max="44" width="17.5546875" customWidth="1"/>
    <col min="45" max="45" width="9.109375" style="6" customWidth="1"/>
    <col min="46" max="46" width="9.109375" style="7" customWidth="1"/>
    <col min="47" max="47" width="9.109375" style="6" customWidth="1"/>
    <col min="48" max="48" width="15.88671875" customWidth="1"/>
    <col min="49" max="49" width="9.109375" style="6" customWidth="1"/>
    <col min="50" max="50" width="9.109375" style="7" customWidth="1"/>
    <col min="51" max="51" width="9.109375" style="6" customWidth="1"/>
    <col min="52" max="52" width="16.5546875" customWidth="1"/>
    <col min="53" max="55" width="9.109375" style="6" customWidth="1"/>
  </cols>
  <sheetData>
    <row r="1" spans="2:55" x14ac:dyDescent="0.25">
      <c r="H1" t="s">
        <v>0</v>
      </c>
    </row>
    <row r="2" spans="2:55" ht="13.8" thickBot="1" x14ac:dyDescent="0.3">
      <c r="G2" s="6"/>
      <c r="J2" s="10"/>
      <c r="AA2" s="2" t="s">
        <v>1</v>
      </c>
      <c r="AB2" s="1" t="s">
        <v>2</v>
      </c>
      <c r="AC2" s="34" t="s">
        <v>3</v>
      </c>
      <c r="AD2" s="34" t="s">
        <v>4</v>
      </c>
      <c r="AE2" s="34" t="s">
        <v>5</v>
      </c>
      <c r="AF2" s="1" t="s">
        <v>2</v>
      </c>
      <c r="AG2" s="2" t="s">
        <v>3</v>
      </c>
      <c r="AH2" s="34" t="s">
        <v>4</v>
      </c>
      <c r="AI2" s="34" t="s">
        <v>5</v>
      </c>
      <c r="AJ2" s="1" t="s">
        <v>2</v>
      </c>
      <c r="AK2" s="2" t="s">
        <v>3</v>
      </c>
      <c r="AL2" s="34" t="s">
        <v>4</v>
      </c>
      <c r="AM2" s="34" t="s">
        <v>5</v>
      </c>
      <c r="AN2" s="1" t="s">
        <v>2</v>
      </c>
      <c r="AO2" s="2" t="s">
        <v>3</v>
      </c>
      <c r="AP2" s="34" t="s">
        <v>4</v>
      </c>
      <c r="AQ2" s="34" t="s">
        <v>5</v>
      </c>
      <c r="AR2" s="1" t="s">
        <v>2</v>
      </c>
      <c r="AS2" s="2" t="s">
        <v>3</v>
      </c>
      <c r="AT2" s="34" t="s">
        <v>4</v>
      </c>
      <c r="AU2" s="34" t="s">
        <v>5</v>
      </c>
      <c r="AV2" s="1" t="s">
        <v>3</v>
      </c>
      <c r="AW2" s="2" t="s">
        <v>4</v>
      </c>
      <c r="AX2" s="34" t="s">
        <v>5</v>
      </c>
      <c r="AY2" s="2" t="s">
        <v>1</v>
      </c>
      <c r="AZ2" s="1" t="s">
        <v>2</v>
      </c>
      <c r="BA2" s="2" t="s">
        <v>3</v>
      </c>
      <c r="BB2" s="2" t="s">
        <v>6</v>
      </c>
      <c r="BC2" s="34" t="s">
        <v>5</v>
      </c>
    </row>
    <row r="3" spans="2:55" ht="13.8" thickBot="1" x14ac:dyDescent="0.3">
      <c r="H3" s="8" t="s">
        <v>7</v>
      </c>
      <c r="I3" s="9" t="s">
        <v>8</v>
      </c>
      <c r="J3" s="13"/>
      <c r="AA3" s="6">
        <v>1</v>
      </c>
      <c r="AB3" t="str">
        <f>QBs!A3</f>
        <v>Kurt Warner</v>
      </c>
      <c r="AC3" s="6" t="str">
        <f>QBs!B3</f>
        <v>StL</v>
      </c>
      <c r="AD3" s="7">
        <f>QBs!AL3</f>
        <v>397.26420224719101</v>
      </c>
      <c r="AE3" s="7">
        <f>AD3-calcs!$E$9</f>
        <v>108.93940678490731</v>
      </c>
      <c r="AF3" t="str">
        <f>RBs!A3</f>
        <v>Edgerrin James</v>
      </c>
      <c r="AG3" s="6" t="str">
        <f>RBs!B3</f>
        <v>Ind</v>
      </c>
      <c r="AH3" s="7">
        <f>RBs!AJ3</f>
        <v>317.94090909090897</v>
      </c>
      <c r="AI3" s="7">
        <f>AH3-calcs!$E$10</f>
        <v>170.46897435897421</v>
      </c>
      <c r="AJ3" t="str">
        <f>WRs!A3</f>
        <v>Marvin Harrison</v>
      </c>
      <c r="AK3" s="6" t="str">
        <f>WRs!B3</f>
        <v>Ind</v>
      </c>
      <c r="AL3" s="7">
        <f>WRs!AJ3</f>
        <v>240.07241379310346</v>
      </c>
      <c r="AM3" s="7">
        <f>AL3-calcs!$E$11</f>
        <v>94.936600985221702</v>
      </c>
      <c r="AN3" t="str">
        <f>TEs!A3</f>
        <v>Tony Gonzalez</v>
      </c>
      <c r="AO3" s="6" t="str">
        <f>TEs!B3</f>
        <v>KC</v>
      </c>
      <c r="AP3" s="7">
        <f>TEs!T3</f>
        <v>141.85454545454544</v>
      </c>
      <c r="AQ3" s="7">
        <f>AP3-calcs!$E$12</f>
        <v>80.47878787878787</v>
      </c>
      <c r="AR3" t="str">
        <f>PKs!A3</f>
        <v>Mike Vanderjagt</v>
      </c>
      <c r="AS3" s="6" t="str">
        <f>PKs!B3</f>
        <v>Ind</v>
      </c>
      <c r="AT3" s="7">
        <f>PKs!W3</f>
        <v>133.29674185463659</v>
      </c>
      <c r="AU3" s="7">
        <f>AT3-calcs!$E$13</f>
        <v>14.806251982205666</v>
      </c>
      <c r="AV3" t="str">
        <f>Defs!A3</f>
        <v>St. Louis Rams</v>
      </c>
      <c r="AW3" s="6">
        <f>Defs!I3</f>
        <v>87.320000000000007</v>
      </c>
      <c r="AX3" s="7">
        <f>AW3-calcs!$E$14</f>
        <v>26.100000000000009</v>
      </c>
      <c r="AY3" s="6">
        <v>1</v>
      </c>
      <c r="AZ3" t="str">
        <f>RBs!A3</f>
        <v>Edgerrin James</v>
      </c>
      <c r="BA3" s="6" t="str">
        <f>RBs!B3</f>
        <v>Ind</v>
      </c>
      <c r="BB3" s="6" t="s">
        <v>9</v>
      </c>
      <c r="BC3" s="7">
        <f>RBs!AJ3-calcs!$E$10</f>
        <v>170.46897435897421</v>
      </c>
    </row>
    <row r="4" spans="2:55" x14ac:dyDescent="0.25">
      <c r="H4" s="11" t="s">
        <v>10</v>
      </c>
      <c r="I4" s="12">
        <v>6</v>
      </c>
      <c r="J4" s="13"/>
      <c r="AA4" s="6">
        <v>2</v>
      </c>
      <c r="AB4" t="str">
        <f>QBs!A4</f>
        <v>Peyton Manning</v>
      </c>
      <c r="AC4" s="6" t="str">
        <f>QBs!B4</f>
        <v>Ind</v>
      </c>
      <c r="AD4" s="7">
        <f>QBs!AL4</f>
        <v>359.27656179775278</v>
      </c>
      <c r="AE4" s="7">
        <f>AD4-calcs!$E$9</f>
        <v>70.951766335469074</v>
      </c>
      <c r="AF4" t="str">
        <f>RBs!A4</f>
        <v>Marshall Faulk</v>
      </c>
      <c r="AG4" s="6" t="str">
        <f>RBs!B4</f>
        <v>StL</v>
      </c>
      <c r="AH4" s="7">
        <f>RBs!AJ4</f>
        <v>305.35734265734271</v>
      </c>
      <c r="AI4" s="7">
        <f>AH4-calcs!$E$10</f>
        <v>157.88540792540795</v>
      </c>
      <c r="AJ4" t="str">
        <f>WRs!A4</f>
        <v>Randy Moss</v>
      </c>
      <c r="AK4" s="6" t="str">
        <f>WRs!B4</f>
        <v>Min</v>
      </c>
      <c r="AL4" s="7">
        <f>WRs!AJ4</f>
        <v>236.64142857142855</v>
      </c>
      <c r="AM4" s="7">
        <f>AL4-calcs!$E$11</f>
        <v>91.505615763546786</v>
      </c>
      <c r="AN4" t="str">
        <f>TEs!A4</f>
        <v>Wesley Walls</v>
      </c>
      <c r="AO4" s="6" t="str">
        <f>TEs!B4</f>
        <v>Car</v>
      </c>
      <c r="AP4" s="7">
        <f>TEs!T4</f>
        <v>111.45909090909089</v>
      </c>
      <c r="AQ4" s="7">
        <f>AP4-calcs!$E$12</f>
        <v>50.083333333333307</v>
      </c>
      <c r="AR4" t="str">
        <f>PKs!A5</f>
        <v>Brett Conway</v>
      </c>
      <c r="AS4" s="6" t="str">
        <f>PKs!B5</f>
        <v>Was</v>
      </c>
      <c r="AT4" s="7">
        <f>PKs!W5</f>
        <v>125.10322190550228</v>
      </c>
      <c r="AU4" s="7">
        <f>AT4-calcs!$E$13</f>
        <v>6.612732033071353</v>
      </c>
      <c r="AV4" t="str">
        <f>Defs!A4</f>
        <v xml:space="preserve">Washington Redskins </v>
      </c>
      <c r="AW4" s="6">
        <f>Defs!I4</f>
        <v>84.97999999999999</v>
      </c>
      <c r="AX4" s="7">
        <f>AW4-calcs!$E$14</f>
        <v>23.759999999999991</v>
      </c>
      <c r="AY4" s="6">
        <v>2</v>
      </c>
      <c r="AZ4" t="str">
        <f>RBs!A4</f>
        <v>Marshall Faulk</v>
      </c>
      <c r="BA4" s="6" t="str">
        <f>RBs!B4</f>
        <v>StL</v>
      </c>
      <c r="BB4" s="6" t="s">
        <v>9</v>
      </c>
      <c r="BC4" s="7">
        <f>RBs!AJ4-calcs!$E$10</f>
        <v>157.88540792540795</v>
      </c>
    </row>
    <row r="5" spans="2:55" x14ac:dyDescent="0.25">
      <c r="H5" s="14" t="s">
        <v>11</v>
      </c>
      <c r="I5" s="15">
        <v>2</v>
      </c>
      <c r="J5" s="13"/>
      <c r="AA5" s="6">
        <v>3</v>
      </c>
      <c r="AB5" t="str">
        <f>QBs!A7</f>
        <v>Cade McNown</v>
      </c>
      <c r="AC5" s="6" t="str">
        <f>QBs!B7</f>
        <v>Chi</v>
      </c>
      <c r="AD5" s="7">
        <f>QBs!AL7</f>
        <v>348.48836363636366</v>
      </c>
      <c r="AE5" s="7">
        <f>AD5-calcs!$E$9</f>
        <v>60.163568174079955</v>
      </c>
      <c r="AF5" t="str">
        <f>RBs!A8</f>
        <v>Stephen Davis</v>
      </c>
      <c r="AG5" s="6" t="str">
        <f>RBs!B8</f>
        <v>Was</v>
      </c>
      <c r="AH5" s="7">
        <f>RBs!AJ8</f>
        <v>263.71468531468525</v>
      </c>
      <c r="AI5" s="7">
        <f>AH5-calcs!$E$10</f>
        <v>116.24275058275049</v>
      </c>
      <c r="AJ5" t="str">
        <f>WRs!A5</f>
        <v>Marcus Robinson</v>
      </c>
      <c r="AK5" s="6" t="str">
        <f>WRs!B5</f>
        <v>Chi</v>
      </c>
      <c r="AL5" s="7">
        <f>WRs!AJ5</f>
        <v>227.25714285714287</v>
      </c>
      <c r="AM5" s="7">
        <f>AL5-calcs!$E$11</f>
        <v>82.121330049261104</v>
      </c>
      <c r="AN5" t="str">
        <f>TEs!A7</f>
        <v>Shannon Sharpe</v>
      </c>
      <c r="AO5" s="6" t="str">
        <f>TEs!B7</f>
        <v>Bal</v>
      </c>
      <c r="AP5" s="7">
        <f>TEs!T7</f>
        <v>87.450909090909093</v>
      </c>
      <c r="AQ5" s="7">
        <f>AP5-calcs!$E$12</f>
        <v>26.075151515151511</v>
      </c>
      <c r="AR5" t="str">
        <f>PKs!A6</f>
        <v>Jason Elam</v>
      </c>
      <c r="AS5" s="6" t="str">
        <f>PKs!B6</f>
        <v>Den</v>
      </c>
      <c r="AT5" s="7">
        <f>PKs!W6</f>
        <v>124.12084305087673</v>
      </c>
      <c r="AU5" s="7">
        <f>AT5-calcs!$E$13</f>
        <v>5.6303531784458016</v>
      </c>
      <c r="AV5" t="str">
        <f>Defs!A5</f>
        <v xml:space="preserve">Baltimore Ravens </v>
      </c>
      <c r="AW5" s="6">
        <f>Defs!I5</f>
        <v>84</v>
      </c>
      <c r="AX5" s="7">
        <f>AW5-calcs!$E$14</f>
        <v>22.78</v>
      </c>
      <c r="AY5" s="6">
        <v>3</v>
      </c>
      <c r="AZ5" t="str">
        <f>RBs!A8</f>
        <v>Stephen Davis</v>
      </c>
      <c r="BA5" s="6" t="str">
        <f>RBs!B8</f>
        <v>Was</v>
      </c>
      <c r="BB5" s="6" t="s">
        <v>9</v>
      </c>
      <c r="BC5" s="7">
        <f>RBs!AJ8-calcs!$E$10</f>
        <v>116.24275058275049</v>
      </c>
    </row>
    <row r="6" spans="2:55" x14ac:dyDescent="0.25">
      <c r="H6" s="14" t="s">
        <v>12</v>
      </c>
      <c r="I6" s="16">
        <v>2</v>
      </c>
      <c r="J6" s="13"/>
      <c r="AA6" s="6">
        <v>4</v>
      </c>
      <c r="AB6" t="str">
        <f>QBs!A6</f>
        <v>Steve McNair</v>
      </c>
      <c r="AC6" s="6" t="str">
        <f>QBs!B6</f>
        <v>Ten</v>
      </c>
      <c r="AD6" s="7">
        <f>QBs!AL6</f>
        <v>346.95993258426978</v>
      </c>
      <c r="AE6" s="7">
        <f>AD6-calcs!$E$9</f>
        <v>58.635137121986077</v>
      </c>
      <c r="AF6" t="str">
        <f>RBs!A7</f>
        <v>Emmitt Smith</v>
      </c>
      <c r="AG6" s="6" t="str">
        <f>RBs!B7</f>
        <v>Dal</v>
      </c>
      <c r="AH6" s="7">
        <f>RBs!AJ7</f>
        <v>254.03846153846155</v>
      </c>
      <c r="AI6" s="7">
        <f>AH6-calcs!$E$10</f>
        <v>106.56652680652678</v>
      </c>
      <c r="AJ6" t="str">
        <f>WRs!A9</f>
        <v>Eric Moulds</v>
      </c>
      <c r="AK6" s="6" t="str">
        <f>WRs!B9</f>
        <v>Buf</v>
      </c>
      <c r="AL6" s="7">
        <f>WRs!AJ9</f>
        <v>216.45714285714286</v>
      </c>
      <c r="AM6" s="7">
        <f>AL6-calcs!$E$11</f>
        <v>71.321330049261093</v>
      </c>
      <c r="AN6" t="str">
        <f>TEs!A6</f>
        <v>Freddie Jones</v>
      </c>
      <c r="AO6" s="6" t="str">
        <f>TEs!B6</f>
        <v>SD</v>
      </c>
      <c r="AP6" s="7">
        <f>TEs!T6</f>
        <v>87.290909090909111</v>
      </c>
      <c r="AQ6" s="7">
        <f>AP6-calcs!$E$12</f>
        <v>25.915151515151528</v>
      </c>
      <c r="AR6" t="str">
        <f>PKs!A4</f>
        <v>Mike Hollis</v>
      </c>
      <c r="AS6" s="6" t="str">
        <f>PKs!B4</f>
        <v>Jac</v>
      </c>
      <c r="AT6" s="7">
        <f>PKs!W4</f>
        <v>123.73602756892231</v>
      </c>
      <c r="AU6" s="7">
        <f>AT6-calcs!$E$13</f>
        <v>5.2455376964913825</v>
      </c>
      <c r="AV6" t="str">
        <f>Defs!A9</f>
        <v>Tampa Bay Buccaneers</v>
      </c>
      <c r="AW6" s="6">
        <f>Defs!I9</f>
        <v>72.16</v>
      </c>
      <c r="AX6" s="7">
        <f>AW6-calcs!$E$14</f>
        <v>10.939999999999998</v>
      </c>
      <c r="AY6" s="6">
        <v>4</v>
      </c>
      <c r="AZ6" t="str">
        <f>QBs!A3</f>
        <v>Kurt Warner</v>
      </c>
      <c r="BA6" s="6" t="str">
        <f>QBs!B3</f>
        <v>StL</v>
      </c>
      <c r="BB6" s="6" t="s">
        <v>13</v>
      </c>
      <c r="BC6" s="7">
        <f>QBs!AL3-calcs!$E$9</f>
        <v>108.93940678490731</v>
      </c>
    </row>
    <row r="7" spans="2:55" x14ac:dyDescent="0.25">
      <c r="H7" s="14" t="s">
        <v>14</v>
      </c>
      <c r="I7" s="15">
        <v>1</v>
      </c>
      <c r="J7" s="13"/>
      <c r="AA7" s="6">
        <v>5</v>
      </c>
      <c r="AB7" t="str">
        <f>QBs!A5</f>
        <v>Brett Favre</v>
      </c>
      <c r="AC7" s="6" t="str">
        <f>QBs!B5</f>
        <v>GB</v>
      </c>
      <c r="AD7" s="7">
        <f>QBs!AL5</f>
        <v>339.77506015037591</v>
      </c>
      <c r="AE7" s="7">
        <f>AD7-calcs!$E$9</f>
        <v>51.450264688092204</v>
      </c>
      <c r="AF7" t="str">
        <f>RBs!A5</f>
        <v>Fred Taylor</v>
      </c>
      <c r="AG7" s="6" t="str">
        <f>RBs!B5</f>
        <v>Jac</v>
      </c>
      <c r="AH7" s="7">
        <f>RBs!AJ5</f>
        <v>253.38223776223776</v>
      </c>
      <c r="AI7" s="7">
        <f>AH7-calcs!$E$10</f>
        <v>105.910303030303</v>
      </c>
      <c r="AJ7" t="str">
        <f>WRs!A8</f>
        <v>Jimmy Smith</v>
      </c>
      <c r="AK7" s="6" t="str">
        <f>WRs!B8</f>
        <v>Jac</v>
      </c>
      <c r="AL7" s="7">
        <f>WRs!AJ8</f>
        <v>214.15517241379311</v>
      </c>
      <c r="AM7" s="7">
        <f>AL7-calcs!$E$11</f>
        <v>69.019359605911347</v>
      </c>
      <c r="AN7" t="str">
        <f>TEs!A8</f>
        <v>Jay Riemersma</v>
      </c>
      <c r="AO7" s="6" t="str">
        <f>TEs!B8</f>
        <v>Buf</v>
      </c>
      <c r="AP7" s="7">
        <f>TEs!T8</f>
        <v>86.36363636363636</v>
      </c>
      <c r="AQ7" s="7">
        <f>AP7-calcs!$E$12</f>
        <v>24.987878787878778</v>
      </c>
      <c r="AR7" t="str">
        <f>PKs!A8</f>
        <v>Todd Peterson</v>
      </c>
      <c r="AS7" s="6" t="str">
        <f>PKs!B8</f>
        <v>Sea</v>
      </c>
      <c r="AT7" s="7">
        <f>PKs!W8</f>
        <v>121.13846419625118</v>
      </c>
      <c r="AU7" s="7">
        <f>AT7-calcs!$E$13</f>
        <v>2.6479743238202502</v>
      </c>
      <c r="AV7" t="str">
        <f>Defs!A7</f>
        <v>Jacksonville Jaguars</v>
      </c>
      <c r="AW7" s="6">
        <f>Defs!I7</f>
        <v>71.539999999999992</v>
      </c>
      <c r="AX7" s="7">
        <f>AW7-calcs!$E$14</f>
        <v>10.319999999999993</v>
      </c>
      <c r="AY7" s="6">
        <v>5</v>
      </c>
      <c r="AZ7" t="str">
        <f>RBs!A7</f>
        <v>Emmitt Smith</v>
      </c>
      <c r="BA7" s="6" t="str">
        <f>RBs!B7</f>
        <v>Dal</v>
      </c>
      <c r="BB7" s="6" t="s">
        <v>9</v>
      </c>
      <c r="BC7" s="7">
        <f>RBs!AJ7-calcs!$E$10</f>
        <v>106.56652680652678</v>
      </c>
    </row>
    <row r="8" spans="2:55" x14ac:dyDescent="0.25">
      <c r="H8" s="14" t="s">
        <v>15</v>
      </c>
      <c r="I8" s="15">
        <v>2</v>
      </c>
      <c r="J8" s="13"/>
      <c r="AA8" s="6">
        <v>6</v>
      </c>
      <c r="AB8" t="str">
        <f>QBs!A10</f>
        <v>Brad Johnson</v>
      </c>
      <c r="AC8" s="6" t="str">
        <f>QBs!B10</f>
        <v>Was</v>
      </c>
      <c r="AD8" s="7">
        <f>QBs!AL10</f>
        <v>325.02765289256195</v>
      </c>
      <c r="AE8" s="7">
        <f>AD8-calcs!$E$9</f>
        <v>36.702857430278243</v>
      </c>
      <c r="AF8" t="str">
        <f>RBs!A9</f>
        <v>Terrell Davis</v>
      </c>
      <c r="AG8" s="6" t="str">
        <f>RBs!B9</f>
        <v>Den</v>
      </c>
      <c r="AH8" s="7">
        <f>RBs!AJ9</f>
        <v>251.01468531468535</v>
      </c>
      <c r="AI8" s="7">
        <f>AH8-calcs!$E$10</f>
        <v>103.54275058275059</v>
      </c>
      <c r="AJ8" t="str">
        <f>WRs!A6</f>
        <v>Antonio Freeman</v>
      </c>
      <c r="AK8" s="6" t="str">
        <f>WRs!B6</f>
        <v>GB</v>
      </c>
      <c r="AL8" s="7">
        <f>WRs!AJ6</f>
        <v>206.81379310344829</v>
      </c>
      <c r="AM8" s="7">
        <f>AL8-calcs!$E$11</f>
        <v>61.677980295566528</v>
      </c>
      <c r="AN8" t="str">
        <f>TEs!A5</f>
        <v>Frank Wycheck</v>
      </c>
      <c r="AO8" s="6" t="str">
        <f>TEs!B5</f>
        <v>Ten</v>
      </c>
      <c r="AP8" s="7">
        <f>TEs!T5</f>
        <v>86.118181818181824</v>
      </c>
      <c r="AQ8" s="7">
        <f>AP8-calcs!$E$12</f>
        <v>24.742424242424242</v>
      </c>
      <c r="AR8" t="str">
        <f>PKs!A7</f>
        <v>Jeff Wilkins</v>
      </c>
      <c r="AS8" s="6" t="str">
        <f>PKs!B7</f>
        <v>StL</v>
      </c>
      <c r="AT8" s="7">
        <f>PKs!W7</f>
        <v>120.32174185463658</v>
      </c>
      <c r="AU8" s="7">
        <f>AT8-calcs!$E$13</f>
        <v>1.8312519822056572</v>
      </c>
      <c r="AV8" t="str">
        <f>Defs!A6</f>
        <v xml:space="preserve">Tennessee Titans </v>
      </c>
      <c r="AW8" s="6">
        <f>Defs!I6</f>
        <v>66.28</v>
      </c>
      <c r="AX8" s="7">
        <f>AW8-calcs!$E$14</f>
        <v>5.0600000000000023</v>
      </c>
      <c r="AY8" s="6">
        <v>6</v>
      </c>
      <c r="AZ8" t="str">
        <f>RBs!A5</f>
        <v>Fred Taylor</v>
      </c>
      <c r="BA8" s="6" t="str">
        <f>RBs!B5</f>
        <v>Jac</v>
      </c>
      <c r="BB8" s="6" t="s">
        <v>9</v>
      </c>
      <c r="BC8" s="7">
        <f>RBs!AJ5-calcs!$E$10</f>
        <v>105.910303030303</v>
      </c>
    </row>
    <row r="9" spans="2:55" ht="13.8" thickBot="1" x14ac:dyDescent="0.3">
      <c r="H9" s="14" t="s">
        <v>16</v>
      </c>
      <c r="I9" s="17">
        <v>-0.01</v>
      </c>
      <c r="J9" s="13"/>
      <c r="AA9" s="6">
        <v>7</v>
      </c>
      <c r="AB9" t="str">
        <f>QBs!A9</f>
        <v>Jeff Garcia</v>
      </c>
      <c r="AC9" s="6" t="str">
        <f>QBs!B9</f>
        <v>SF</v>
      </c>
      <c r="AD9" s="7">
        <f>QBs!AL9</f>
        <v>324.58492134831465</v>
      </c>
      <c r="AE9" s="7">
        <f>AD9-calcs!$E$9</f>
        <v>36.260125886030949</v>
      </c>
      <c r="AF9" t="str">
        <f>RBs!A6</f>
        <v>Eddie George</v>
      </c>
      <c r="AG9" s="6" t="str">
        <f>RBs!B6</f>
        <v>Ten</v>
      </c>
      <c r="AH9" s="7">
        <f>RBs!AJ6</f>
        <v>247.90979020979023</v>
      </c>
      <c r="AI9" s="7">
        <f>AH9-calcs!$E$10</f>
        <v>100.43785547785546</v>
      </c>
      <c r="AJ9" t="str">
        <f>WRs!A7</f>
        <v>Isaac Bruce</v>
      </c>
      <c r="AK9" s="6" t="str">
        <f>WRs!B7</f>
        <v>StL</v>
      </c>
      <c r="AL9" s="7">
        <f>WRs!AJ7</f>
        <v>206.56241379310345</v>
      </c>
      <c r="AM9" s="7">
        <f>AL9-calcs!$E$11</f>
        <v>61.426600985221683</v>
      </c>
      <c r="AN9" t="str">
        <f>TEs!A9</f>
        <v>Rickey Dudley</v>
      </c>
      <c r="AO9" s="6" t="str">
        <f>TEs!B9</f>
        <v>Oak</v>
      </c>
      <c r="AP9" s="7">
        <f>TEs!T9</f>
        <v>85.11363636363636</v>
      </c>
      <c r="AQ9" s="7">
        <f>AP9-calcs!$E$12</f>
        <v>23.737878787878778</v>
      </c>
      <c r="AR9" t="str">
        <f>PKs!A11</f>
        <v>Sebastian Janikowski</v>
      </c>
      <c r="AS9" s="6" t="str">
        <f>PKs!B11</f>
        <v>Oak</v>
      </c>
      <c r="AT9" s="7">
        <f>PKs!W11</f>
        <v>120.13846419625118</v>
      </c>
      <c r="AU9" s="7">
        <f>AT9-calcs!$E$13</f>
        <v>1.6479743238202502</v>
      </c>
      <c r="AV9" t="str">
        <f>Defs!A8</f>
        <v xml:space="preserve">Seattle Seahawks </v>
      </c>
      <c r="AW9" s="6">
        <f>Defs!I8</f>
        <v>65.22</v>
      </c>
      <c r="AX9" s="7">
        <f>AW9-calcs!$E$14</f>
        <v>4</v>
      </c>
      <c r="AY9" s="6">
        <v>7</v>
      </c>
      <c r="AZ9" t="str">
        <f>RBs!A9</f>
        <v>Terrell Davis</v>
      </c>
      <c r="BA9" s="6" t="str">
        <f>RBs!B9</f>
        <v>Den</v>
      </c>
      <c r="BB9" s="6" t="s">
        <v>9</v>
      </c>
      <c r="BC9" s="7">
        <f>RBs!AJ9-calcs!$E$10</f>
        <v>103.54275058275059</v>
      </c>
    </row>
    <row r="10" spans="2:55" ht="13.8" thickBot="1" x14ac:dyDescent="0.3">
      <c r="B10" s="20" t="s">
        <v>17</v>
      </c>
      <c r="C10" s="9" t="s">
        <v>13</v>
      </c>
      <c r="D10" s="9" t="s">
        <v>9</v>
      </c>
      <c r="E10" s="9" t="s">
        <v>18</v>
      </c>
      <c r="F10" s="9" t="s">
        <v>19</v>
      </c>
      <c r="H10" s="18" t="s">
        <v>20</v>
      </c>
      <c r="I10" s="19">
        <v>-0.1</v>
      </c>
      <c r="J10" s="13"/>
      <c r="AA10" s="6">
        <v>8</v>
      </c>
      <c r="AB10" t="str">
        <f>QBs!A11</f>
        <v>Jeff Blake</v>
      </c>
      <c r="AC10" s="6" t="str">
        <f>QBs!B11</f>
        <v>NO</v>
      </c>
      <c r="AD10" s="7">
        <f>QBs!AL11</f>
        <v>318.9674958677686</v>
      </c>
      <c r="AE10" s="7">
        <f>AD10-calcs!$E$9</f>
        <v>30.642700405484902</v>
      </c>
      <c r="AF10" t="str">
        <f>RBs!A10</f>
        <v>Dorsey Levens</v>
      </c>
      <c r="AG10" s="6" t="str">
        <f>RBs!B10</f>
        <v>GB</v>
      </c>
      <c r="AH10" s="7">
        <f>RBs!AJ10</f>
        <v>242.83356643356643</v>
      </c>
      <c r="AI10" s="7">
        <f>AH10-calcs!$E$10</f>
        <v>95.361631701631666</v>
      </c>
      <c r="AJ10" t="str">
        <f>WRs!A10</f>
        <v>Terry Glenn</v>
      </c>
      <c r="AK10" s="6" t="str">
        <f>WRs!B10</f>
        <v>NE</v>
      </c>
      <c r="AL10" s="7">
        <f>WRs!AJ10</f>
        <v>204.20000000000002</v>
      </c>
      <c r="AM10" s="7">
        <f>AL10-calcs!$E$11</f>
        <v>59.064187192118254</v>
      </c>
      <c r="AN10" t="str">
        <f>TEs!A10</f>
        <v>Pete Mitchell</v>
      </c>
      <c r="AO10" s="6" t="str">
        <f>TEs!B10</f>
        <v>NYG</v>
      </c>
      <c r="AP10" s="7">
        <f>TEs!T10</f>
        <v>77.840909090909108</v>
      </c>
      <c r="AQ10" s="7">
        <f>AP10-calcs!$E$12</f>
        <v>16.465151515151526</v>
      </c>
      <c r="AR10" t="str">
        <f>PKs!A10</f>
        <v>Martin Gramatica</v>
      </c>
      <c r="AS10" s="6" t="str">
        <f>PKs!B10</f>
        <v>TB</v>
      </c>
      <c r="AT10" s="7">
        <f>PKs!W10</f>
        <v>120.12084305087673</v>
      </c>
      <c r="AU10" s="7">
        <f>AT10-calcs!$E$13</f>
        <v>1.6303531784458016</v>
      </c>
      <c r="AV10" t="str">
        <f>Defs!A11</f>
        <v xml:space="preserve">Miami Dolphins </v>
      </c>
      <c r="AW10" s="6">
        <f>Defs!I11</f>
        <v>59.379999999999995</v>
      </c>
      <c r="AX10" s="7">
        <f>AW10-calcs!$E$14</f>
        <v>-1.8400000000000034</v>
      </c>
      <c r="AY10" s="6">
        <v>8</v>
      </c>
      <c r="AZ10" t="str">
        <f>RBs!A6</f>
        <v>Eddie George</v>
      </c>
      <c r="BA10" s="6" t="str">
        <f>RBs!B6</f>
        <v>Ten</v>
      </c>
      <c r="BB10" s="6" t="s">
        <v>9</v>
      </c>
      <c r="BC10" s="7">
        <f>RBs!AJ6-calcs!$E$10</f>
        <v>100.43785547785546</v>
      </c>
    </row>
    <row r="11" spans="2:55" ht="13.8" thickBot="1" x14ac:dyDescent="0.3">
      <c r="B11" s="21" t="s">
        <v>21</v>
      </c>
      <c r="C11" s="12">
        <v>0</v>
      </c>
      <c r="D11" s="59"/>
      <c r="E11" s="60"/>
      <c r="F11" s="61"/>
      <c r="J11" s="13"/>
      <c r="AA11" s="6">
        <v>9</v>
      </c>
      <c r="AB11" t="str">
        <f>QBs!A13</f>
        <v>Steve Beuerlein</v>
      </c>
      <c r="AC11" s="6" t="str">
        <f>QBs!B13</f>
        <v>Car</v>
      </c>
      <c r="AD11" s="7">
        <f>QBs!AL13</f>
        <v>311.80157303370788</v>
      </c>
      <c r="AE11" s="7">
        <f>AD11-calcs!$E$9</f>
        <v>23.476777571424179</v>
      </c>
      <c r="AF11" t="str">
        <f>RBs!A11</f>
        <v>Curtis Martin</v>
      </c>
      <c r="AG11" s="6" t="str">
        <f>RBs!B11</f>
        <v>NYJ</v>
      </c>
      <c r="AH11" s="7">
        <f>RBs!AJ11</f>
        <v>230.15734265734264</v>
      </c>
      <c r="AI11" s="7">
        <f>AH11-calcs!$E$10</f>
        <v>82.685407925407873</v>
      </c>
      <c r="AJ11" t="str">
        <f>WRs!A11</f>
        <v>Kevin Johnson</v>
      </c>
      <c r="AK11" s="6" t="str">
        <f>WRs!B11</f>
        <v>Cle</v>
      </c>
      <c r="AL11" s="7">
        <f>WRs!AJ11</f>
        <v>195.40000000000003</v>
      </c>
      <c r="AM11" s="7">
        <f>AL11-calcs!$E$11</f>
        <v>50.264187192118271</v>
      </c>
      <c r="AN11" t="str">
        <f>TEs!A11</f>
        <v>Bubba Franks</v>
      </c>
      <c r="AO11" s="6" t="str">
        <f>TEs!B11</f>
        <v>GB</v>
      </c>
      <c r="AP11" s="7">
        <f>TEs!T11</f>
        <v>69.490909090909099</v>
      </c>
      <c r="AQ11" s="7">
        <f>AP11-calcs!$E$12</f>
        <v>8.115151515151517</v>
      </c>
      <c r="AR11" t="str">
        <f>PKs!A14</f>
        <v>Olindo Mare</v>
      </c>
      <c r="AS11" s="6" t="str">
        <f>PKs!B14</f>
        <v>Mia</v>
      </c>
      <c r="AT11" s="7">
        <f>PKs!W14</f>
        <v>116.12084305087673</v>
      </c>
      <c r="AU11" s="7">
        <f>AT11-calcs!$E$13</f>
        <v>-2.3696468215541984</v>
      </c>
      <c r="AV11" t="str">
        <f>Defs!A10</f>
        <v xml:space="preserve">Oakland Raiders </v>
      </c>
      <c r="AW11" s="6">
        <f>Defs!I10</f>
        <v>58.6</v>
      </c>
      <c r="AX11" s="7">
        <f>AW11-calcs!$E$14</f>
        <v>-2.6199999999999974</v>
      </c>
      <c r="AY11" s="6">
        <v>9</v>
      </c>
      <c r="AZ11" t="str">
        <f>RBs!A10</f>
        <v>Dorsey Levens</v>
      </c>
      <c r="BA11" s="6" t="str">
        <f>RBs!B10</f>
        <v>GB</v>
      </c>
      <c r="BB11" s="6" t="s">
        <v>9</v>
      </c>
      <c r="BC11" s="7">
        <f>RBs!AJ10-calcs!$E$10</f>
        <v>95.361631701631666</v>
      </c>
    </row>
    <row r="12" spans="2:55" ht="13.8" thickBot="1" x14ac:dyDescent="0.3">
      <c r="B12" s="23" t="s">
        <v>22</v>
      </c>
      <c r="C12" s="15">
        <v>0</v>
      </c>
      <c r="D12" s="62"/>
      <c r="E12" s="63"/>
      <c r="F12" s="64"/>
      <c r="H12" s="22" t="s">
        <v>23</v>
      </c>
      <c r="I12" s="9" t="s">
        <v>24</v>
      </c>
      <c r="J12" s="13"/>
      <c r="AA12" s="6">
        <v>10</v>
      </c>
      <c r="AB12" t="str">
        <f>QBs!A8</f>
        <v>Rich Gannon</v>
      </c>
      <c r="AC12" s="6" t="str">
        <f>QBs!B8</f>
        <v>Oak</v>
      </c>
      <c r="AD12" s="7">
        <f>QBs!AL8</f>
        <v>309.92530827067668</v>
      </c>
      <c r="AE12" s="7">
        <f>AD12-calcs!$E$9</f>
        <v>21.600512808392978</v>
      </c>
      <c r="AF12" t="str">
        <f>RBs!A13</f>
        <v>James Stewart</v>
      </c>
      <c r="AG12" s="6" t="str">
        <f>RBs!B13</f>
        <v>Det</v>
      </c>
      <c r="AH12" s="7">
        <f>RBs!AJ13</f>
        <v>214.96223776223786</v>
      </c>
      <c r="AI12" s="7">
        <f>AH12-calcs!$E$10</f>
        <v>67.490303030303096</v>
      </c>
      <c r="AJ12" t="str">
        <f>WRs!A13</f>
        <v>Michael Westbrook</v>
      </c>
      <c r="AK12" s="6" t="str">
        <f>WRs!B13</f>
        <v>Was</v>
      </c>
      <c r="AL12" s="7">
        <f>WRs!AJ13</f>
        <v>193.7844827586207</v>
      </c>
      <c r="AM12" s="7">
        <f>AL12-calcs!$E$11</f>
        <v>48.648669950738935</v>
      </c>
      <c r="AN12" t="str">
        <f>TEs!A13</f>
        <v>Stephen Alexander</v>
      </c>
      <c r="AO12" s="6" t="str">
        <f>TEs!B13</f>
        <v>Was</v>
      </c>
      <c r="AP12" s="7">
        <f>TEs!T13</f>
        <v>61.658181818181831</v>
      </c>
      <c r="AQ12" s="7">
        <f>AP12-calcs!$E$12</f>
        <v>0.28242424242424846</v>
      </c>
      <c r="AR12" t="str">
        <f>PKs!A12</f>
        <v>Ryan Longwell</v>
      </c>
      <c r="AS12" s="6" t="str">
        <f>PKs!B12</f>
        <v>GB</v>
      </c>
      <c r="AT12" s="7">
        <f>PKs!W12</f>
        <v>115.02888471177944</v>
      </c>
      <c r="AU12" s="7">
        <f>AT12-calcs!$E$13</f>
        <v>-3.4616051606514873</v>
      </c>
      <c r="AV12" t="str">
        <f>Defs!A20</f>
        <v xml:space="preserve">Carolina Panthers </v>
      </c>
      <c r="AW12" s="6">
        <f>Defs!I20</f>
        <v>58</v>
      </c>
      <c r="AX12" s="7">
        <f>AW12-calcs!$E$14</f>
        <v>-3.2199999999999989</v>
      </c>
      <c r="AY12" s="6">
        <v>10</v>
      </c>
      <c r="AZ12" t="str">
        <f>WRs!A3</f>
        <v>Marvin Harrison</v>
      </c>
      <c r="BA12" s="6" t="str">
        <f>WRs!B3</f>
        <v>Ind</v>
      </c>
      <c r="BB12" s="6" t="s">
        <v>18</v>
      </c>
      <c r="BC12" s="7">
        <f>WRs!AJ3-calcs!$E$11</f>
        <v>94.936600985221702</v>
      </c>
    </row>
    <row r="13" spans="2:55" x14ac:dyDescent="0.25">
      <c r="B13" s="23" t="s">
        <v>25</v>
      </c>
      <c r="C13" s="25">
        <v>0.05</v>
      </c>
      <c r="D13" s="65"/>
      <c r="E13" s="66"/>
      <c r="F13" s="67"/>
      <c r="H13" s="24" t="s">
        <v>26</v>
      </c>
      <c r="I13" s="12">
        <v>3</v>
      </c>
      <c r="J13" s="13"/>
      <c r="AA13" s="6">
        <v>11</v>
      </c>
      <c r="AB13" t="str">
        <f>QBs!A12</f>
        <v>Mark Brunell</v>
      </c>
      <c r="AC13" s="6" t="str">
        <f>QBs!B12</f>
        <v>Jac</v>
      </c>
      <c r="AD13" s="7">
        <f>QBs!AL12</f>
        <v>303.98470676691733</v>
      </c>
      <c r="AE13" s="7">
        <f>AD13-calcs!$E$9</f>
        <v>15.659911304633624</v>
      </c>
      <c r="AF13" t="str">
        <f>RBs!A15</f>
        <v>Ricky Williams</v>
      </c>
      <c r="AG13" s="6" t="str">
        <f>RBs!B15</f>
        <v>NO</v>
      </c>
      <c r="AH13" s="7">
        <f>RBs!AJ15</f>
        <v>211.23356643356647</v>
      </c>
      <c r="AI13" s="7">
        <f>AH13-calcs!$E$10</f>
        <v>63.7616317016317</v>
      </c>
      <c r="AJ13" t="str">
        <f>WRs!A12</f>
        <v>Cris Carter</v>
      </c>
      <c r="AK13" s="6" t="str">
        <f>WRs!B12</f>
        <v>Min</v>
      </c>
      <c r="AL13" s="7">
        <f>WRs!AJ12</f>
        <v>191.78781512605042</v>
      </c>
      <c r="AM13" s="7">
        <f>AL13-calcs!$E$11</f>
        <v>46.652002318168655</v>
      </c>
      <c r="AN13" t="str">
        <f>TEs!A14</f>
        <v>David Sloan</v>
      </c>
      <c r="AO13" s="6" t="str">
        <f>TEs!B14</f>
        <v>Det</v>
      </c>
      <c r="AP13" s="7">
        <f>TEs!T14</f>
        <v>59.01818181818183</v>
      </c>
      <c r="AQ13" s="7">
        <f>AP13-calcs!$E$12</f>
        <v>-2.3575757575757521</v>
      </c>
      <c r="AR13" t="str">
        <f>PKs!A16</f>
        <v>Jason Hanson</v>
      </c>
      <c r="AS13" s="6" t="str">
        <f>PKs!B16</f>
        <v>Det</v>
      </c>
      <c r="AT13" s="7">
        <f>PKs!W16</f>
        <v>113.10322190550228</v>
      </c>
      <c r="AU13" s="7">
        <f>AT13-calcs!$E$13</f>
        <v>-5.387267966928647</v>
      </c>
      <c r="AV13" t="str">
        <f>Defs!A12</f>
        <v xml:space="preserve">Philadelphia Eagles </v>
      </c>
      <c r="AW13" s="6">
        <f>Defs!I12</f>
        <v>52.36</v>
      </c>
      <c r="AX13" s="7">
        <f>AW13-calcs!$E$14</f>
        <v>-8.86</v>
      </c>
      <c r="AY13" s="6">
        <v>11</v>
      </c>
      <c r="AZ13" t="str">
        <f>WRs!A4</f>
        <v>Randy Moss</v>
      </c>
      <c r="BA13" s="6" t="str">
        <f>WRs!B4</f>
        <v>Min</v>
      </c>
      <c r="BB13" s="6" t="s">
        <v>18</v>
      </c>
      <c r="BC13" s="7">
        <f>WRs!AJ4-calcs!$E$11</f>
        <v>91.505615763546786</v>
      </c>
    </row>
    <row r="14" spans="2:55" x14ac:dyDescent="0.25">
      <c r="B14" s="23" t="s">
        <v>27</v>
      </c>
      <c r="C14" s="15">
        <v>0</v>
      </c>
      <c r="D14" s="62"/>
      <c r="E14" s="63"/>
      <c r="F14" s="64"/>
      <c r="H14" s="24" t="s">
        <v>28</v>
      </c>
      <c r="I14" s="15">
        <v>4</v>
      </c>
      <c r="J14" s="13"/>
      <c r="AA14" s="6">
        <v>12</v>
      </c>
      <c r="AB14" t="str">
        <f>QBs!A14</f>
        <v>Tim Couch</v>
      </c>
      <c r="AC14" s="6" t="str">
        <f>QBs!B14</f>
        <v>Cle</v>
      </c>
      <c r="AD14" s="7">
        <f>QBs!AL14</f>
        <v>296.29149586776856</v>
      </c>
      <c r="AE14" s="7">
        <f>AD14-calcs!$E$9</f>
        <v>7.9667004054848576</v>
      </c>
      <c r="AF14" t="str">
        <f>RBs!A14</f>
        <v>Robert Smith</v>
      </c>
      <c r="AG14" s="6" t="str">
        <f>RBs!B14</f>
        <v>Min</v>
      </c>
      <c r="AH14" s="7">
        <f>RBs!AJ14</f>
        <v>208.23111888111893</v>
      </c>
      <c r="AI14" s="7">
        <f>AH14-calcs!$E$10</f>
        <v>60.759184149184165</v>
      </c>
      <c r="AJ14" t="str">
        <f>WRs!A15</f>
        <v>Germane Crowell</v>
      </c>
      <c r="AK14" s="6" t="str">
        <f>WRs!B15</f>
        <v>Det</v>
      </c>
      <c r="AL14" s="7">
        <f>WRs!AJ15</f>
        <v>189.69285714285718</v>
      </c>
      <c r="AM14" s="7">
        <f>AL14-calcs!$E$11</f>
        <v>44.557044334975416</v>
      </c>
      <c r="AN14" t="str">
        <f>TEs!A15</f>
        <v>Ben Coates</v>
      </c>
      <c r="AO14" s="6" t="str">
        <f>TEs!B15</f>
        <v>Bal</v>
      </c>
      <c r="AP14" s="7">
        <f>TEs!T15</f>
        <v>58.418181818181829</v>
      </c>
      <c r="AQ14" s="7">
        <f>AP14-calcs!$E$12</f>
        <v>-2.9575757575757535</v>
      </c>
      <c r="AR14" t="str">
        <f>PKs!A26</f>
        <v>John Kasay</v>
      </c>
      <c r="AS14" s="6" t="str">
        <f>PKs!B26</f>
        <v>Car</v>
      </c>
      <c r="AT14" s="7">
        <f>PKs!W26</f>
        <v>109.0327373240045</v>
      </c>
      <c r="AU14" s="7">
        <f>AT14-calcs!$E$13</f>
        <v>-9.4577525484264271</v>
      </c>
      <c r="AV14" t="str">
        <f>Defs!A17</f>
        <v xml:space="preserve">Chicago Bears </v>
      </c>
      <c r="AW14" s="6">
        <f>Defs!I17</f>
        <v>50.29999999999999</v>
      </c>
      <c r="AX14" s="7">
        <f>AW14-calcs!$E$14</f>
        <v>-10.920000000000009</v>
      </c>
      <c r="AY14" s="6">
        <v>12</v>
      </c>
      <c r="AZ14" t="str">
        <f>RBs!A11</f>
        <v>Curtis Martin</v>
      </c>
      <c r="BA14" s="6" t="str">
        <f>RBs!B11</f>
        <v>NYJ</v>
      </c>
      <c r="BB14" s="6" t="s">
        <v>9</v>
      </c>
      <c r="BC14" s="7">
        <f>RBs!AJ11-calcs!$E$10</f>
        <v>82.685407925407873</v>
      </c>
    </row>
    <row r="15" spans="2:55" x14ac:dyDescent="0.25">
      <c r="B15" s="23" t="s">
        <v>29</v>
      </c>
      <c r="C15" s="26">
        <v>3</v>
      </c>
      <c r="D15" s="62"/>
      <c r="E15" s="63"/>
      <c r="F15" s="64"/>
      <c r="H15" s="24" t="s">
        <v>30</v>
      </c>
      <c r="I15" s="15">
        <v>5</v>
      </c>
      <c r="J15" s="13"/>
      <c r="AA15" s="6">
        <v>13</v>
      </c>
      <c r="AB15" t="str">
        <f>QBs!A16</f>
        <v>Brian Griese</v>
      </c>
      <c r="AC15" s="6" t="str">
        <f>QBs!B16</f>
        <v>Den</v>
      </c>
      <c r="AD15" s="7">
        <f>QBs!AL16</f>
        <v>294.59525842696632</v>
      </c>
      <c r="AE15" s="7">
        <f>AD15-calcs!$E$9</f>
        <v>6.270462964682622</v>
      </c>
      <c r="AF15" t="str">
        <f>RBs!A12</f>
        <v>Duce Staley</v>
      </c>
      <c r="AG15" s="6" t="str">
        <f>RBs!B12</f>
        <v>Phi</v>
      </c>
      <c r="AH15" s="7">
        <f>RBs!AJ12</f>
        <v>206.38111888111885</v>
      </c>
      <c r="AI15" s="7">
        <f>AH15-calcs!$E$10</f>
        <v>58.909184149184085</v>
      </c>
      <c r="AJ15" t="str">
        <f>WRs!A16</f>
        <v>Amani Toomer</v>
      </c>
      <c r="AK15" s="6" t="str">
        <f>WRs!B16</f>
        <v>NYG</v>
      </c>
      <c r="AL15" s="7">
        <f>WRs!AJ16</f>
        <v>185.38285714285715</v>
      </c>
      <c r="AM15" s="7">
        <f>AL15-calcs!$E$11</f>
        <v>40.247044334975385</v>
      </c>
      <c r="AN15" t="str">
        <f>TEs!A16</f>
        <v>Marcus Pollard</v>
      </c>
      <c r="AO15" s="6" t="str">
        <f>TEs!B16</f>
        <v>Ind</v>
      </c>
      <c r="AP15" s="7">
        <f>TEs!T16</f>
        <v>55.618181818181824</v>
      </c>
      <c r="AQ15" s="7">
        <f>AP15-calcs!$E$12</f>
        <v>-5.7575757575757578</v>
      </c>
      <c r="AR15" t="str">
        <f>PKs!A15</f>
        <v>John Hall</v>
      </c>
      <c r="AS15" s="6" t="str">
        <f>PKs!B15</f>
        <v>NYJ</v>
      </c>
      <c r="AT15" s="7">
        <f>PKs!W15</f>
        <v>109.02888471177944</v>
      </c>
      <c r="AU15" s="7">
        <f>AT15-calcs!$E$13</f>
        <v>-9.4616051606514873</v>
      </c>
      <c r="AV15" t="str">
        <f>Defs!A14</f>
        <v>Kansas City Chiefs</v>
      </c>
      <c r="AW15" s="6">
        <f>Defs!I14</f>
        <v>50.219999999999985</v>
      </c>
      <c r="AX15" s="7">
        <f>AW15-calcs!$E$14</f>
        <v>-11.000000000000014</v>
      </c>
      <c r="AY15" s="6">
        <v>13</v>
      </c>
      <c r="AZ15" t="str">
        <f>WRs!A5</f>
        <v>Marcus Robinson</v>
      </c>
      <c r="BA15" s="6" t="str">
        <f>WRs!B5</f>
        <v>Chi</v>
      </c>
      <c r="BB15" s="6" t="s">
        <v>18</v>
      </c>
      <c r="BC15" s="7">
        <f>WRs!AJ5-calcs!$E$11</f>
        <v>82.121330049261104</v>
      </c>
    </row>
    <row r="16" spans="2:55" ht="13.8" thickBot="1" x14ac:dyDescent="0.3">
      <c r="B16" s="23" t="s">
        <v>31</v>
      </c>
      <c r="C16" s="26">
        <v>4</v>
      </c>
      <c r="D16" s="62"/>
      <c r="E16" s="63"/>
      <c r="F16" s="64"/>
      <c r="H16" s="18" t="s">
        <v>32</v>
      </c>
      <c r="I16" s="26">
        <v>6</v>
      </c>
      <c r="J16" s="13"/>
      <c r="AA16" s="6">
        <v>14</v>
      </c>
      <c r="AB16" t="str">
        <f>QBs!A15</f>
        <v>Daunte Culpepper</v>
      </c>
      <c r="AC16" s="6" t="str">
        <f>QBs!B15</f>
        <v>Min</v>
      </c>
      <c r="AD16" s="7">
        <f>QBs!AL15</f>
        <v>292.11715789473692</v>
      </c>
      <c r="AE16" s="7">
        <f>AD16-calcs!$E$9</f>
        <v>3.792362432453217</v>
      </c>
      <c r="AF16" t="str">
        <f>RBs!A18</f>
        <v>Ron Dayne</v>
      </c>
      <c r="AG16" s="6" t="str">
        <f>RBs!B18</f>
        <v>NYG</v>
      </c>
      <c r="AH16" s="7">
        <f>RBs!AJ18</f>
        <v>201.51223776223782</v>
      </c>
      <c r="AI16" s="7">
        <f>AH16-calcs!$E$10</f>
        <v>54.04030303030305</v>
      </c>
      <c r="AJ16" t="str">
        <f>WRs!A21</f>
        <v>Tim Brown</v>
      </c>
      <c r="AK16" s="6" t="str">
        <f>WRs!B21</f>
        <v>Oak</v>
      </c>
      <c r="AL16" s="7">
        <f>WRs!AJ21</f>
        <v>181.83448275862068</v>
      </c>
      <c r="AM16" s="7">
        <f>AL16-calcs!$E$11</f>
        <v>36.698669950738918</v>
      </c>
      <c r="AN16" t="str">
        <f>TEs!A17</f>
        <v>Greg Clark</v>
      </c>
      <c r="AO16" s="6" t="str">
        <f>TEs!B17</f>
        <v>SF</v>
      </c>
      <c r="AP16" s="7">
        <f>TEs!T17</f>
        <v>54.945454545454552</v>
      </c>
      <c r="AQ16" s="7">
        <f>AP16-calcs!$E$12</f>
        <v>-6.4303030303030297</v>
      </c>
      <c r="AR16" t="str">
        <f>PKs!A20</f>
        <v>Matt Stover</v>
      </c>
      <c r="AS16" s="6" t="str">
        <f>PKs!B20</f>
        <v>Bal</v>
      </c>
      <c r="AT16" s="7">
        <f>PKs!W20</f>
        <v>108.32174185463658</v>
      </c>
      <c r="AU16" s="7">
        <f>AT16-calcs!$E$13</f>
        <v>-10.168748017794343</v>
      </c>
      <c r="AV16" t="str">
        <f>Defs!A13</f>
        <v xml:space="preserve">Denver Broncos </v>
      </c>
      <c r="AW16" s="6">
        <f>Defs!I13</f>
        <v>47.64</v>
      </c>
      <c r="AX16" s="7">
        <f>AW16-calcs!$E$14</f>
        <v>-13.579999999999998</v>
      </c>
      <c r="AY16" s="6">
        <v>14</v>
      </c>
      <c r="AZ16" t="str">
        <f>TEs!A3</f>
        <v>Tony Gonzalez</v>
      </c>
      <c r="BA16" s="6" t="str">
        <f>TEs!B3</f>
        <v>KC</v>
      </c>
      <c r="BB16" s="6" t="str">
        <f>IF($I$30=0,"WR","TE")</f>
        <v>TE</v>
      </c>
      <c r="BC16" s="7">
        <f>TEs!T3-calcs!$E$12</f>
        <v>80.47878787878787</v>
      </c>
    </row>
    <row r="17" spans="2:55" x14ac:dyDescent="0.25">
      <c r="B17" s="23" t="s">
        <v>33</v>
      </c>
      <c r="C17" s="26">
        <v>5</v>
      </c>
      <c r="D17" s="62"/>
      <c r="E17" s="63"/>
      <c r="F17" s="64"/>
      <c r="H17" s="24" t="s">
        <v>34</v>
      </c>
      <c r="I17" s="12">
        <v>0</v>
      </c>
      <c r="J17" s="13"/>
      <c r="AA17" s="6">
        <v>15</v>
      </c>
      <c r="AB17" t="str">
        <f>QBs!A19</f>
        <v>Troy Aikman</v>
      </c>
      <c r="AC17" s="6" t="str">
        <f>QBs!B19</f>
        <v>Dal</v>
      </c>
      <c r="AD17" s="7">
        <f>QBs!AL19</f>
        <v>286.7289213483146</v>
      </c>
      <c r="AE17" s="7">
        <f>AD17-calcs!$E$9</f>
        <v>-1.5958741139691028</v>
      </c>
      <c r="AF17" t="str">
        <f>RBs!A16</f>
        <v>Charlie Garner</v>
      </c>
      <c r="AG17" s="6" t="str">
        <f>RBs!B16</f>
        <v>SF</v>
      </c>
      <c r="AH17" s="7">
        <f>RBs!AJ16</f>
        <v>197.30489510489508</v>
      </c>
      <c r="AI17" s="7">
        <f>AH17-calcs!$E$10</f>
        <v>49.832960372960315</v>
      </c>
      <c r="AJ17" t="str">
        <f>WRs!A19</f>
        <v>Ed McCaffrey</v>
      </c>
      <c r="AK17" s="6" t="str">
        <f>WRs!B19</f>
        <v>Den</v>
      </c>
      <c r="AL17" s="7">
        <f>WRs!AJ19</f>
        <v>181.2844827586207</v>
      </c>
      <c r="AM17" s="7">
        <f>AL17-calcs!$E$11</f>
        <v>36.148669950738935</v>
      </c>
      <c r="AN17" t="str">
        <f>TEs!A22</f>
        <v>Tony McGee</v>
      </c>
      <c r="AO17" s="6" t="str">
        <f>TEs!B22</f>
        <v>Cin</v>
      </c>
      <c r="AP17" s="7">
        <f>TEs!T22</f>
        <v>54.24545454545455</v>
      </c>
      <c r="AQ17" s="7">
        <f>AP17-calcs!$E$12</f>
        <v>-7.1303030303030326</v>
      </c>
      <c r="AR17" t="str">
        <f>PKs!A9</f>
        <v>Steve Christie</v>
      </c>
      <c r="AS17" s="6" t="str">
        <f>PKs!B9</f>
        <v>Buf</v>
      </c>
      <c r="AT17" s="7">
        <f>PKs!W9</f>
        <v>106.55208333333334</v>
      </c>
      <c r="AU17" s="7">
        <f>AT17-calcs!$E$13</f>
        <v>-11.938406539097585</v>
      </c>
      <c r="AV17" t="str">
        <f>Defs!A16</f>
        <v>Green Bay Packers</v>
      </c>
      <c r="AW17" s="6">
        <f>Defs!I16</f>
        <v>44.6</v>
      </c>
      <c r="AX17" s="7">
        <f>AW17-calcs!$E$14</f>
        <v>-16.619999999999997</v>
      </c>
      <c r="AY17" s="6">
        <v>15</v>
      </c>
      <c r="AZ17" t="str">
        <f>WRs!A9</f>
        <v>Eric Moulds</v>
      </c>
      <c r="BA17" s="6" t="str">
        <f>WRs!B9</f>
        <v>Buf</v>
      </c>
      <c r="BB17" s="6" t="s">
        <v>18</v>
      </c>
      <c r="BC17" s="7">
        <f>WRs!AJ9-calcs!$E$11</f>
        <v>71.321330049261093</v>
      </c>
    </row>
    <row r="18" spans="2:55" x14ac:dyDescent="0.25">
      <c r="B18" s="23" t="s">
        <v>35</v>
      </c>
      <c r="C18" s="26">
        <v>6</v>
      </c>
      <c r="D18" s="62"/>
      <c r="E18" s="63"/>
      <c r="F18" s="64"/>
      <c r="H18" s="24" t="s">
        <v>36</v>
      </c>
      <c r="I18" s="15">
        <v>0</v>
      </c>
      <c r="J18" s="13"/>
      <c r="AA18" s="6">
        <v>16</v>
      </c>
      <c r="AB18" t="str">
        <f>QBs!A21</f>
        <v>Elvis Grbac</v>
      </c>
      <c r="AC18" s="6" t="str">
        <f>QBs!B21</f>
        <v>KC</v>
      </c>
      <c r="AD18" s="7">
        <f>QBs!AL21</f>
        <v>285.56236363636367</v>
      </c>
      <c r="AE18" s="7">
        <f>AD18-calcs!$E$9</f>
        <v>-2.7624318259200322</v>
      </c>
      <c r="AF18" t="str">
        <f>RBs!A17</f>
        <v>Curtis Enis</v>
      </c>
      <c r="AG18" s="6" t="str">
        <f>RBs!B17</f>
        <v>Chi</v>
      </c>
      <c r="AH18" s="7">
        <f>RBs!AJ17</f>
        <v>193.4811188811189</v>
      </c>
      <c r="AI18" s="7">
        <f>AH18-calcs!$E$10</f>
        <v>46.009184149184136</v>
      </c>
      <c r="AJ18" t="str">
        <f>WRs!A18</f>
        <v>Muhsin Muhammad</v>
      </c>
      <c r="AK18" s="6" t="str">
        <f>WRs!B18</f>
        <v>Car</v>
      </c>
      <c r="AL18" s="7">
        <f>WRs!AJ18</f>
        <v>180.77448275862071</v>
      </c>
      <c r="AM18" s="7">
        <f>AL18-calcs!$E$11</f>
        <v>35.638669950738944</v>
      </c>
      <c r="AN18" t="str">
        <f>TEs!A12</f>
        <v>Ken Dilger</v>
      </c>
      <c r="AO18" s="6" t="str">
        <f>TEs!B12</f>
        <v>Ind</v>
      </c>
      <c r="AP18" s="7">
        <f>TEs!T12</f>
        <v>52.785454545454549</v>
      </c>
      <c r="AQ18" s="7">
        <f>AP18-calcs!$E$12</f>
        <v>-8.5903030303030334</v>
      </c>
      <c r="AR18" t="str">
        <f>PKs!A23</f>
        <v>Kris Brown</v>
      </c>
      <c r="AS18" s="6" t="str">
        <f>PKs!B23</f>
        <v>Pit</v>
      </c>
      <c r="AT18" s="7">
        <f>PKs!W23</f>
        <v>106.06797961475338</v>
      </c>
      <c r="AU18" s="7">
        <f>AT18-calcs!$E$13</f>
        <v>-12.422510257677544</v>
      </c>
      <c r="AV18" t="str">
        <f>Defs!A18</f>
        <v>New England Patriots</v>
      </c>
      <c r="AW18" s="6">
        <f>Defs!I18</f>
        <v>44.22</v>
      </c>
      <c r="AX18" s="7">
        <f>AW18-calcs!$E$14</f>
        <v>-17</v>
      </c>
      <c r="AY18" s="6">
        <v>16</v>
      </c>
      <c r="AZ18" t="str">
        <f>QBs!A4</f>
        <v>Peyton Manning</v>
      </c>
      <c r="BA18" s="6" t="str">
        <f>QBs!B4</f>
        <v>Ind</v>
      </c>
      <c r="BB18" s="6" t="s">
        <v>13</v>
      </c>
      <c r="BC18" s="7">
        <f>QBs!AL4-calcs!$E$9</f>
        <v>70.951766335469074</v>
      </c>
    </row>
    <row r="19" spans="2:55" x14ac:dyDescent="0.25">
      <c r="B19" s="23" t="s">
        <v>37</v>
      </c>
      <c r="C19" s="26">
        <v>7</v>
      </c>
      <c r="D19" s="62"/>
      <c r="E19" s="63"/>
      <c r="F19" s="64"/>
      <c r="H19" s="24" t="s">
        <v>38</v>
      </c>
      <c r="I19" s="15">
        <v>0</v>
      </c>
      <c r="J19" s="13"/>
      <c r="AA19" s="6">
        <v>17</v>
      </c>
      <c r="AB19" t="str">
        <f>QBs!A22</f>
        <v>Drew Bledsoe</v>
      </c>
      <c r="AC19" s="6" t="str">
        <f>QBs!B22</f>
        <v>NE</v>
      </c>
      <c r="AD19" s="7">
        <f>QBs!AL22</f>
        <v>283.65020661157024</v>
      </c>
      <c r="AE19" s="7">
        <f>AD19-calcs!$E$9</f>
        <v>-4.6745888507134623</v>
      </c>
      <c r="AF19" t="str">
        <f>RBs!A22</f>
        <v>Ricky Watters</v>
      </c>
      <c r="AG19" s="6" t="str">
        <f>RBs!B22</f>
        <v>Sea</v>
      </c>
      <c r="AH19" s="7">
        <f>RBs!AJ22</f>
        <v>178.38111888111885</v>
      </c>
      <c r="AI19" s="7">
        <f>AH19-calcs!$E$10</f>
        <v>30.909184149184085</v>
      </c>
      <c r="AJ19" t="str">
        <f>WRs!A24</f>
        <v>Albert Connell</v>
      </c>
      <c r="AK19" s="6" t="str">
        <f>WRs!B24</f>
        <v>Was</v>
      </c>
      <c r="AL19" s="7">
        <f>WRs!AJ24</f>
        <v>180.20000000000002</v>
      </c>
      <c r="AM19" s="7">
        <f>AL19-calcs!$E$11</f>
        <v>35.064187192118254</v>
      </c>
      <c r="AN19" t="str">
        <f>TEs!A18</f>
        <v>Christian Fauria</v>
      </c>
      <c r="AO19" s="6" t="str">
        <f>TEs!B18</f>
        <v>Sea</v>
      </c>
      <c r="AP19" s="7">
        <f>TEs!T18</f>
        <v>51.545454545454554</v>
      </c>
      <c r="AQ19" s="7">
        <f>AP19-calcs!$E$12</f>
        <v>-9.8303030303030283</v>
      </c>
      <c r="AR19" t="str">
        <f>PKs!A13</f>
        <v>Al Del Greco</v>
      </c>
      <c r="AS19" s="6" t="str">
        <f>PKs!B13</f>
        <v>Ten</v>
      </c>
      <c r="AT19" s="7">
        <f>PKs!W13</f>
        <v>105.04427083333334</v>
      </c>
      <c r="AU19" s="7">
        <f>AT19-calcs!$E$13</f>
        <v>-13.446219039097585</v>
      </c>
      <c r="AV19" t="str">
        <f>Defs!A15</f>
        <v>New Orleans Saints</v>
      </c>
      <c r="AW19" s="6">
        <f>Defs!I15</f>
        <v>39.119999999999997</v>
      </c>
      <c r="AX19" s="7">
        <f>AW19-calcs!$E$14</f>
        <v>-22.1</v>
      </c>
      <c r="AY19" s="6">
        <v>17</v>
      </c>
      <c r="AZ19" t="str">
        <f>WRs!A8</f>
        <v>Jimmy Smith</v>
      </c>
      <c r="BA19" s="6" t="str">
        <f>WRs!B8</f>
        <v>Jac</v>
      </c>
      <c r="BB19" s="6" t="s">
        <v>18</v>
      </c>
      <c r="BC19" s="7">
        <f>WRs!AJ8-calcs!$E$11</f>
        <v>69.019359605911347</v>
      </c>
    </row>
    <row r="20" spans="2:55" ht="13.8" thickBot="1" x14ac:dyDescent="0.3">
      <c r="B20" s="23" t="s">
        <v>39</v>
      </c>
      <c r="C20" s="15">
        <v>8</v>
      </c>
      <c r="D20" s="62"/>
      <c r="E20" s="63"/>
      <c r="F20" s="64"/>
      <c r="H20" s="27" t="s">
        <v>40</v>
      </c>
      <c r="I20" s="28">
        <v>0</v>
      </c>
      <c r="J20" s="13"/>
      <c r="AA20" s="6">
        <v>18</v>
      </c>
      <c r="AB20" t="str">
        <f>QBs!A17</f>
        <v>Jon Kitna</v>
      </c>
      <c r="AC20" s="6" t="str">
        <f>QBs!B17</f>
        <v>Sea</v>
      </c>
      <c r="AD20" s="7">
        <f>QBs!AL17</f>
        <v>280.39930827067667</v>
      </c>
      <c r="AE20" s="7">
        <f>AD20-calcs!$E$9</f>
        <v>-7.9254871916070329</v>
      </c>
      <c r="AF20" t="str">
        <f>RBs!A23</f>
        <v>Jamal Anderson</v>
      </c>
      <c r="AG20" s="6" t="str">
        <f>RBs!B23</f>
        <v>Atl</v>
      </c>
      <c r="AH20" s="7">
        <f>RBs!AJ23</f>
        <v>172.53356643356648</v>
      </c>
      <c r="AI20" s="7">
        <f>AH20-calcs!$E$10</f>
        <v>25.061631701631711</v>
      </c>
      <c r="AJ20" t="str">
        <f>WRs!A26</f>
        <v>Torry Holt</v>
      </c>
      <c r="AK20" s="6" t="str">
        <f>WRs!B26</f>
        <v>StL</v>
      </c>
      <c r="AL20" s="7">
        <f>WRs!AJ26</f>
        <v>179.40428571428572</v>
      </c>
      <c r="AM20" s="7">
        <f>AL20-calcs!$E$11</f>
        <v>34.268472906403957</v>
      </c>
      <c r="AN20" t="str">
        <f>TEs!A21</f>
        <v>Luther Broughton</v>
      </c>
      <c r="AO20" s="6" t="str">
        <f>TEs!B21</f>
        <v>Phi</v>
      </c>
      <c r="AP20" s="7">
        <f>TEs!T21</f>
        <v>50.618181818181824</v>
      </c>
      <c r="AQ20" s="7">
        <f>AP20-calcs!$E$12</f>
        <v>-10.757575757575758</v>
      </c>
      <c r="AR20" t="str">
        <f>PKs!A19</f>
        <v>John Carney</v>
      </c>
      <c r="AS20" s="6" t="str">
        <f>PKs!B19</f>
        <v>SD</v>
      </c>
      <c r="AT20" s="7">
        <f>PKs!W19</f>
        <v>105.02888471177944</v>
      </c>
      <c r="AU20" s="7">
        <f>AT20-calcs!$E$13</f>
        <v>-13.461605160651487</v>
      </c>
      <c r="AV20" t="str">
        <f>Defs!A22</f>
        <v>San Diego Chargers</v>
      </c>
      <c r="AW20" s="6">
        <f>Defs!I22</f>
        <v>35.22</v>
      </c>
      <c r="AX20" s="7">
        <f>AW20-calcs!$E$14</f>
        <v>-26</v>
      </c>
      <c r="AY20" s="6">
        <v>18</v>
      </c>
      <c r="AZ20" t="str">
        <f>RBs!A13</f>
        <v>James Stewart</v>
      </c>
      <c r="BA20" s="6" t="str">
        <f>RBs!B13</f>
        <v>Det</v>
      </c>
      <c r="BB20" s="6" t="s">
        <v>9</v>
      </c>
      <c r="BC20" s="7">
        <f>RBs!AJ13-calcs!$E$10</f>
        <v>67.490303030303096</v>
      </c>
    </row>
    <row r="21" spans="2:55" ht="13.8" thickBot="1" x14ac:dyDescent="0.3">
      <c r="B21" s="23" t="s">
        <v>41</v>
      </c>
      <c r="C21" s="35">
        <v>3</v>
      </c>
      <c r="D21" s="62"/>
      <c r="E21" s="63"/>
      <c r="F21" s="64"/>
      <c r="H21" s="24" t="s">
        <v>42</v>
      </c>
      <c r="I21" s="35">
        <v>1</v>
      </c>
      <c r="J21" s="13"/>
      <c r="AA21" s="6">
        <v>19</v>
      </c>
      <c r="AB21" t="str">
        <f>QBs!A18</f>
        <v>Kerry Collins</v>
      </c>
      <c r="AC21" s="6" t="str">
        <f>QBs!B18</f>
        <v>NYG</v>
      </c>
      <c r="AD21" s="7">
        <f>QBs!AL18</f>
        <v>278.88526966292136</v>
      </c>
      <c r="AE21" s="7">
        <f>AD21-calcs!$E$9</f>
        <v>-9.4395257993623432</v>
      </c>
      <c r="AF21" t="str">
        <f>RBs!A21</f>
        <v>Jerome Bettis</v>
      </c>
      <c r="AG21" s="6" t="str">
        <f>RBs!B21</f>
        <v>Pit</v>
      </c>
      <c r="AH21" s="7">
        <f>RBs!AJ21</f>
        <v>172.48356643356644</v>
      </c>
      <c r="AI21" s="7">
        <f>AH21-calcs!$E$10</f>
        <v>25.011631701631671</v>
      </c>
      <c r="AJ21" t="str">
        <f>WRs!A20</f>
        <v>Terrell Owens</v>
      </c>
      <c r="AK21" s="6" t="str">
        <f>WRs!B20</f>
        <v>SF</v>
      </c>
      <c r="AL21" s="7">
        <f>WRs!AJ20</f>
        <v>172.7302521008404</v>
      </c>
      <c r="AM21" s="7">
        <f>AL21-calcs!$E$11</f>
        <v>27.59443929295864</v>
      </c>
      <c r="AN21" t="str">
        <f>TEs!A20</f>
        <v>Byron Chamberlain</v>
      </c>
      <c r="AO21" s="6" t="str">
        <f>TEs!B20</f>
        <v>Den</v>
      </c>
      <c r="AP21" s="7">
        <f>TEs!T20</f>
        <v>49.74545454545455</v>
      </c>
      <c r="AQ21" s="7">
        <f>AP21-calcs!$E$12</f>
        <v>-11.630303030303033</v>
      </c>
      <c r="AR21" t="str">
        <f>PKs!A22</f>
        <v>Pete Stoyanovich</v>
      </c>
      <c r="AS21" s="6" t="str">
        <f>PKs!B22</f>
        <v>KC</v>
      </c>
      <c r="AT21" s="7">
        <f>PKs!W22</f>
        <v>104.46817042606516</v>
      </c>
      <c r="AU21" s="7">
        <f>AT21-calcs!$E$13</f>
        <v>-14.022319446365771</v>
      </c>
      <c r="AV21" t="str">
        <f>Defs!A23</f>
        <v xml:space="preserve">Pittsburgh Steelers </v>
      </c>
      <c r="AW21" s="6">
        <f>Defs!I23</f>
        <v>34.539999999999992</v>
      </c>
      <c r="AX21" s="7">
        <f>AW21-calcs!$E$14</f>
        <v>-26.680000000000007</v>
      </c>
      <c r="AY21" s="6">
        <v>19</v>
      </c>
      <c r="AZ21" t="str">
        <f>RBs!A15</f>
        <v>Ricky Williams</v>
      </c>
      <c r="BA21" s="6" t="str">
        <f>RBs!B15</f>
        <v>NO</v>
      </c>
      <c r="BB21" s="6" t="s">
        <v>9</v>
      </c>
      <c r="BC21" s="7">
        <f>RBs!AJ15-calcs!$E$10</f>
        <v>63.7616317016317</v>
      </c>
    </row>
    <row r="22" spans="2:55" ht="13.8" thickBot="1" x14ac:dyDescent="0.3">
      <c r="B22" s="21" t="s">
        <v>43</v>
      </c>
      <c r="C22" s="12">
        <v>0</v>
      </c>
      <c r="D22" s="12">
        <v>0</v>
      </c>
      <c r="E22" s="12">
        <v>0</v>
      </c>
      <c r="F22" s="57"/>
      <c r="H22" s="27" t="s">
        <v>44</v>
      </c>
      <c r="I22" s="28">
        <v>0</v>
      </c>
      <c r="J22" s="13"/>
      <c r="AA22" s="6">
        <v>20</v>
      </c>
      <c r="AB22" t="str">
        <f>QBs!A20</f>
        <v>Donovan McNabb</v>
      </c>
      <c r="AC22" s="6" t="str">
        <f>QBs!B20</f>
        <v>Phi</v>
      </c>
      <c r="AD22" s="7">
        <f>QBs!AL20</f>
        <v>270.34040601503756</v>
      </c>
      <c r="AE22" s="7">
        <f>AD22-calcs!$E$9</f>
        <v>-17.984389447246144</v>
      </c>
      <c r="AF22" t="str">
        <f>RBs!A19</f>
        <v>Mike Alstott</v>
      </c>
      <c r="AG22" s="6" t="str">
        <f>RBs!B19</f>
        <v>TB</v>
      </c>
      <c r="AH22" s="7">
        <f>RBs!AJ19</f>
        <v>172.3597902097903</v>
      </c>
      <c r="AI22" s="7">
        <f>AH22-calcs!$E$10</f>
        <v>24.887855477855538</v>
      </c>
      <c r="AJ22" t="str">
        <f>WRs!A29</f>
        <v>Raghib Ismail</v>
      </c>
      <c r="AK22" s="6" t="str">
        <f>WRs!B29</f>
        <v>Dal</v>
      </c>
      <c r="AL22" s="7">
        <f>WRs!AJ29</f>
        <v>170.16285714285715</v>
      </c>
      <c r="AM22" s="7">
        <f>AL22-calcs!$E$11</f>
        <v>25.027044334975386</v>
      </c>
      <c r="AN22" t="str">
        <f>TEs!A35</f>
        <v>Andrew Glover</v>
      </c>
      <c r="AO22" s="6" t="str">
        <f>TEs!B35</f>
        <v>NO</v>
      </c>
      <c r="AP22" s="7">
        <f>TEs!T35</f>
        <v>45.49545454545455</v>
      </c>
      <c r="AQ22" s="7">
        <f>AP22-calcs!$E$12</f>
        <v>-15.880303030303033</v>
      </c>
      <c r="AR22" t="str">
        <f>PKs!A25</f>
        <v>Wade Richey</v>
      </c>
      <c r="AS22" s="6" t="str">
        <f>PKs!B25</f>
        <v>SF</v>
      </c>
      <c r="AT22" s="7">
        <f>PKs!W25</f>
        <v>101.46817042606516</v>
      </c>
      <c r="AU22" s="7">
        <f>AT22-calcs!$E$13</f>
        <v>-17.022319446365771</v>
      </c>
      <c r="AV22" t="str">
        <f>Defs!A19</f>
        <v xml:space="preserve">Detroit Lions </v>
      </c>
      <c r="AW22" s="6">
        <f>Defs!I19</f>
        <v>32.579999999999991</v>
      </c>
      <c r="AX22" s="7">
        <f>AW22-calcs!$E$14</f>
        <v>-28.640000000000008</v>
      </c>
      <c r="AY22" s="6">
        <v>20</v>
      </c>
      <c r="AZ22" t="str">
        <f>WRs!A6</f>
        <v>Antonio Freeman</v>
      </c>
      <c r="BA22" s="6" t="str">
        <f>WRs!B6</f>
        <v>GB</v>
      </c>
      <c r="BB22" s="6" t="s">
        <v>18</v>
      </c>
      <c r="BC22" s="7">
        <f>WRs!AJ6-calcs!$E$11</f>
        <v>61.677980295566528</v>
      </c>
    </row>
    <row r="23" spans="2:55" ht="13.8" thickBot="1" x14ac:dyDescent="0.3">
      <c r="B23" s="23" t="s">
        <v>45</v>
      </c>
      <c r="C23" s="15">
        <v>0.1</v>
      </c>
      <c r="D23" s="15">
        <v>0.1</v>
      </c>
      <c r="E23" s="15">
        <v>0.1</v>
      </c>
      <c r="F23" s="57"/>
      <c r="J23" s="13"/>
      <c r="AA23" s="6">
        <v>21</v>
      </c>
      <c r="AB23" t="str">
        <f>QBs!A23</f>
        <v>Rob Johnson</v>
      </c>
      <c r="AC23" s="6" t="str">
        <f>QBs!B23</f>
        <v>Buf</v>
      </c>
      <c r="AD23" s="7">
        <f>QBs!AL23</f>
        <v>269.86885714285711</v>
      </c>
      <c r="AE23" s="7">
        <f>AD23-calcs!$E$9</f>
        <v>-18.455938319426593</v>
      </c>
      <c r="AF23" t="str">
        <f>RBs!A27</f>
        <v>Tim Biakabutuka</v>
      </c>
      <c r="AG23" s="6" t="str">
        <f>RBs!B27</f>
        <v>Car</v>
      </c>
      <c r="AH23" s="7">
        <f>RBs!AJ27</f>
        <v>167.80489510489519</v>
      </c>
      <c r="AI23" s="7">
        <f>AH23-calcs!$E$10</f>
        <v>20.332960372960429</v>
      </c>
      <c r="AJ23" t="str">
        <f>WRs!A28</f>
        <v>Joey Galloway</v>
      </c>
      <c r="AK23" s="6" t="str">
        <f>WRs!B28</f>
        <v>Dal</v>
      </c>
      <c r="AL23" s="7">
        <f>WRs!AJ28</f>
        <v>170.15000000000003</v>
      </c>
      <c r="AM23" s="7">
        <f>AL23-calcs!$E$11</f>
        <v>25.014187192118271</v>
      </c>
      <c r="AN23" t="str">
        <f>TEs!A24</f>
        <v>OJ Santiago</v>
      </c>
      <c r="AO23" s="6" t="str">
        <f>TEs!B24</f>
        <v>Atl</v>
      </c>
      <c r="AP23" s="7">
        <f>TEs!T24</f>
        <v>44.99545454545455</v>
      </c>
      <c r="AQ23" s="7">
        <f>AP23-calcs!$E$12</f>
        <v>-16.380303030303033</v>
      </c>
      <c r="AR23" t="str">
        <f>PKs!A27</f>
        <v>Doug Brien</v>
      </c>
      <c r="AS23" s="6" t="str">
        <f>PKs!B27</f>
        <v>NO</v>
      </c>
      <c r="AT23" s="7">
        <f>PKs!W27</f>
        <v>97.614598997493744</v>
      </c>
      <c r="AU23" s="7">
        <f>AT23-calcs!$E$13</f>
        <v>-20.875890874937184</v>
      </c>
      <c r="AV23" t="str">
        <f>Defs!A27</f>
        <v>New York Jets</v>
      </c>
      <c r="AW23" s="6">
        <f>Defs!I27</f>
        <v>31.82</v>
      </c>
      <c r="AX23" s="7">
        <f>AW23-calcs!$E$14</f>
        <v>-29.4</v>
      </c>
      <c r="AY23" s="6">
        <v>21</v>
      </c>
      <c r="AZ23" t="str">
        <f>WRs!A7</f>
        <v>Isaac Bruce</v>
      </c>
      <c r="BA23" s="6" t="str">
        <f>WRs!B7</f>
        <v>StL</v>
      </c>
      <c r="BB23" s="6" t="s">
        <v>18</v>
      </c>
      <c r="BC23" s="7">
        <f>WRs!AJ7-calcs!$E$11</f>
        <v>61.426600985221683</v>
      </c>
    </row>
    <row r="24" spans="2:55" ht="13.8" thickBot="1" x14ac:dyDescent="0.3">
      <c r="B24" s="23" t="s">
        <v>46</v>
      </c>
      <c r="C24" s="26">
        <v>6</v>
      </c>
      <c r="D24" s="26">
        <v>6</v>
      </c>
      <c r="E24" s="26">
        <v>6</v>
      </c>
      <c r="F24" s="57"/>
      <c r="H24" s="22" t="s">
        <v>47</v>
      </c>
      <c r="I24" s="29"/>
      <c r="J24" s="13"/>
      <c r="AA24" s="6">
        <v>22</v>
      </c>
      <c r="AB24" t="str">
        <f>QBs!A27</f>
        <v>Tony Banks</v>
      </c>
      <c r="AC24" s="6" t="str">
        <f>QBs!B27</f>
        <v>Bal</v>
      </c>
      <c r="AD24" s="7">
        <f>QBs!AL27</f>
        <v>267.12620661157024</v>
      </c>
      <c r="AE24" s="7">
        <f>AD24-calcs!$E$9</f>
        <v>-21.198588850713463</v>
      </c>
      <c r="AF24" t="str">
        <f>RBs!A24</f>
        <v>Errict Rhett</v>
      </c>
      <c r="AG24" s="6" t="str">
        <f>RBs!B24</f>
        <v>Cle</v>
      </c>
      <c r="AH24" s="7">
        <f>RBs!AJ24</f>
        <v>165.13356643356647</v>
      </c>
      <c r="AI24" s="7">
        <f>AH24-calcs!$E$10</f>
        <v>17.661631701631705</v>
      </c>
      <c r="AJ24" t="str">
        <f>WRs!A31</f>
        <v>Peter Warrick</v>
      </c>
      <c r="AK24" s="6" t="str">
        <f>WRs!B31</f>
        <v>Cin</v>
      </c>
      <c r="AL24" s="7">
        <f>WRs!AJ31</f>
        <v>167.82268907563025</v>
      </c>
      <c r="AM24" s="7">
        <f>AL24-calcs!$E$11</f>
        <v>22.686876267748488</v>
      </c>
      <c r="AN24" t="str">
        <f>TEs!A32</f>
        <v>Jackie Harris</v>
      </c>
      <c r="AO24" s="6" t="str">
        <f>TEs!B32</f>
        <v>Dal</v>
      </c>
      <c r="AP24" s="7">
        <f>TEs!T32</f>
        <v>44.945454545454552</v>
      </c>
      <c r="AQ24" s="7">
        <f>AP24-calcs!$E$12</f>
        <v>-16.43030303030303</v>
      </c>
      <c r="AR24" t="str">
        <f>PKs!A18</f>
        <v>Gary Anderson</v>
      </c>
      <c r="AS24" s="6" t="str">
        <f>PKs!B18</f>
        <v>Min</v>
      </c>
      <c r="AT24" s="7">
        <f>PKs!W18</f>
        <v>97.520833333333343</v>
      </c>
      <c r="AU24" s="7">
        <f>AT24-calcs!$E$13</f>
        <v>-20.969656539097585</v>
      </c>
      <c r="AV24" t="str">
        <f>Defs!A21</f>
        <v>New York Giants</v>
      </c>
      <c r="AW24" s="6">
        <f>Defs!I21</f>
        <v>30.68</v>
      </c>
      <c r="AX24" s="7">
        <f>AW24-calcs!$E$14</f>
        <v>-30.54</v>
      </c>
      <c r="AY24" s="6">
        <v>22</v>
      </c>
      <c r="AZ24" t="str">
        <f>RBs!A14</f>
        <v>Robert Smith</v>
      </c>
      <c r="BA24" s="6" t="str">
        <f>RBs!B14</f>
        <v>Min</v>
      </c>
      <c r="BB24" s="6" t="s">
        <v>9</v>
      </c>
      <c r="BC24" s="7">
        <f>RBs!AJ14-calcs!$E$10</f>
        <v>60.759184149184165</v>
      </c>
    </row>
    <row r="25" spans="2:55" x14ac:dyDescent="0.25">
      <c r="B25" s="23" t="s">
        <v>48</v>
      </c>
      <c r="C25" s="26">
        <v>7</v>
      </c>
      <c r="D25" s="26">
        <v>7</v>
      </c>
      <c r="E25" s="26">
        <v>7</v>
      </c>
      <c r="F25" s="57"/>
      <c r="H25" s="31" t="s">
        <v>49</v>
      </c>
      <c r="I25" s="12">
        <v>16</v>
      </c>
      <c r="J25" s="13"/>
      <c r="AA25" s="6">
        <v>23</v>
      </c>
      <c r="AB25" t="str">
        <f>QBs!A29</f>
        <v>Charlie Batch</v>
      </c>
      <c r="AC25" s="6" t="str">
        <f>QBs!B29</f>
        <v>Det</v>
      </c>
      <c r="AD25" s="7">
        <f>QBs!AL29</f>
        <v>256.36026966292133</v>
      </c>
      <c r="AE25" s="7">
        <f>AD25-calcs!$E$9</f>
        <v>-31.964525799362377</v>
      </c>
      <c r="AF25" t="str">
        <f>RBs!A25</f>
        <v>Tyrone Wheatley</v>
      </c>
      <c r="AG25" s="6" t="str">
        <f>RBs!B25</f>
        <v>Oak</v>
      </c>
      <c r="AH25" s="7">
        <f>RBs!AJ25</f>
        <v>161.75734265734272</v>
      </c>
      <c r="AI25" s="7">
        <f>AH25-calcs!$E$10</f>
        <v>14.285407925407952</v>
      </c>
      <c r="AJ25" t="str">
        <f>WRs!A17</f>
        <v>Keyshawn Johnson</v>
      </c>
      <c r="AK25" s="6" t="str">
        <f>WRs!B17</f>
        <v>TB</v>
      </c>
      <c r="AL25" s="7">
        <f>WRs!AJ17</f>
        <v>167.6544827586207</v>
      </c>
      <c r="AM25" s="7">
        <f>AL25-calcs!$E$11</f>
        <v>22.518669950738939</v>
      </c>
      <c r="AN25" t="str">
        <f>TEs!A25</f>
        <v>Roland Williams</v>
      </c>
      <c r="AO25" s="6" t="str">
        <f>TEs!B25</f>
        <v>StL</v>
      </c>
      <c r="AP25" s="7">
        <f>TEs!T25</f>
        <v>38.618181818181824</v>
      </c>
      <c r="AQ25" s="7">
        <f>AP25-calcs!$E$12</f>
        <v>-22.757575757575758</v>
      </c>
      <c r="AR25" t="str">
        <f>PKs!A28</f>
        <v>Cary Blanchard</v>
      </c>
      <c r="AS25" s="6" t="str">
        <f>PKs!B28</f>
        <v>Ari</v>
      </c>
      <c r="AT25" s="7">
        <f>PKs!W28</f>
        <v>96.614598997493744</v>
      </c>
      <c r="AU25" s="7">
        <f>AT25-calcs!$E$13</f>
        <v>-21.875890874937184</v>
      </c>
      <c r="AV25" t="str">
        <f>Defs!A24</f>
        <v xml:space="preserve">Dallas Cowboys </v>
      </c>
      <c r="AW25" s="6">
        <f>Defs!I24</f>
        <v>26.519999999999996</v>
      </c>
      <c r="AX25" s="7">
        <f>AW25-calcs!$E$14</f>
        <v>-34.700000000000003</v>
      </c>
      <c r="AY25" s="6">
        <v>23</v>
      </c>
      <c r="AZ25" t="str">
        <f>QBs!A7</f>
        <v>Cade McNown</v>
      </c>
      <c r="BA25" s="6" t="str">
        <f>QBs!B7</f>
        <v>Chi</v>
      </c>
      <c r="BB25" s="6" t="s">
        <v>13</v>
      </c>
      <c r="BC25" s="7">
        <f>QBs!AL7-calcs!$E$9</f>
        <v>60.163568174079955</v>
      </c>
    </row>
    <row r="26" spans="2:55" x14ac:dyDescent="0.25">
      <c r="B26" s="23" t="s">
        <v>50</v>
      </c>
      <c r="C26" s="26">
        <v>8</v>
      </c>
      <c r="D26" s="26">
        <v>8</v>
      </c>
      <c r="E26" s="26">
        <v>8</v>
      </c>
      <c r="F26" s="57"/>
      <c r="H26" s="31" t="s">
        <v>51</v>
      </c>
      <c r="I26" s="15">
        <v>12</v>
      </c>
      <c r="J26" s="13"/>
      <c r="AA26" s="6">
        <v>24</v>
      </c>
      <c r="AB26" t="str">
        <f>QBs!A25</f>
        <v>Jake Plummer</v>
      </c>
      <c r="AC26" s="6" t="str">
        <f>QBs!B25</f>
        <v>Ari</v>
      </c>
      <c r="AD26" s="7">
        <f>QBs!AL25</f>
        <v>256.02455639097747</v>
      </c>
      <c r="AE26" s="7">
        <f>AD26-calcs!$E$9</f>
        <v>-32.300239071306237</v>
      </c>
      <c r="AF26" t="str">
        <f>RBs!A26</f>
        <v>Warrick Dunn</v>
      </c>
      <c r="AG26" s="6" t="str">
        <f>RBs!B26</f>
        <v>TB</v>
      </c>
      <c r="AH26" s="7">
        <f>RBs!AJ26</f>
        <v>153.95244755244752</v>
      </c>
      <c r="AI26" s="7">
        <f>AH26-calcs!$E$10</f>
        <v>6.4805128205127573</v>
      </c>
      <c r="AJ26" t="str">
        <f>WRs!A30</f>
        <v>Patrick Jeffers</v>
      </c>
      <c r="AK26" s="6" t="str">
        <f>WRs!B30</f>
        <v>Car</v>
      </c>
      <c r="AL26" s="7">
        <f>WRs!AJ30</f>
        <v>167.14285714285717</v>
      </c>
      <c r="AM26" s="7">
        <f>AL26-calcs!$E$11</f>
        <v>22.007044334975404</v>
      </c>
      <c r="AN26" t="str">
        <f>TEs!A27</f>
        <v>Anthony Becht</v>
      </c>
      <c r="AO26" s="6" t="str">
        <f>TEs!B27</f>
        <v>NYJ</v>
      </c>
      <c r="AP26" s="7">
        <f>TEs!T27</f>
        <v>36.945454545454552</v>
      </c>
      <c r="AQ26" s="7">
        <f>AP26-calcs!$E$12</f>
        <v>-24.43030303030303</v>
      </c>
      <c r="AR26" t="str">
        <f>PKs!A24</f>
        <v>Eddie Murray</v>
      </c>
      <c r="AS26" s="6" t="str">
        <f>PKs!B24</f>
        <v>Dal</v>
      </c>
      <c r="AT26" s="7">
        <f>PKs!W24</f>
        <v>94.505208333333329</v>
      </c>
      <c r="AU26" s="7">
        <f>AT26-calcs!$E$13</f>
        <v>-23.985281539097599</v>
      </c>
      <c r="AV26" t="str">
        <f>Defs!A28</f>
        <v xml:space="preserve">Minnesota Vikings </v>
      </c>
      <c r="AW26" s="6">
        <f>Defs!I28</f>
        <v>25.68</v>
      </c>
      <c r="AX26" s="7">
        <f>AW26-calcs!$E$14</f>
        <v>-35.54</v>
      </c>
      <c r="AY26" s="6">
        <v>24</v>
      </c>
      <c r="AZ26" t="str">
        <f>WRs!A10</f>
        <v>Terry Glenn</v>
      </c>
      <c r="BA26" s="6" t="str">
        <f>WRs!B10</f>
        <v>NE</v>
      </c>
      <c r="BB26" s="6" t="s">
        <v>18</v>
      </c>
      <c r="BC26" s="7">
        <f>WRs!AJ10-calcs!$E$11</f>
        <v>59.064187192118254</v>
      </c>
    </row>
    <row r="27" spans="2:55" x14ac:dyDescent="0.25">
      <c r="B27" s="23" t="s">
        <v>52</v>
      </c>
      <c r="C27" s="26">
        <v>9</v>
      </c>
      <c r="D27" s="26">
        <v>9</v>
      </c>
      <c r="E27" s="26">
        <v>9</v>
      </c>
      <c r="F27" s="57"/>
      <c r="H27" s="31" t="s">
        <v>53</v>
      </c>
      <c r="I27" s="15">
        <v>1</v>
      </c>
      <c r="J27" s="13"/>
      <c r="AA27" s="6">
        <v>25</v>
      </c>
      <c r="AB27" t="str">
        <f>QBs!A28</f>
        <v>Chris Chandler</v>
      </c>
      <c r="AC27" s="6" t="str">
        <f>QBs!B28</f>
        <v>Atl</v>
      </c>
      <c r="AD27" s="7">
        <f>QBs!AL28</f>
        <v>248.18915789473684</v>
      </c>
      <c r="AE27" s="7">
        <f>AD27-calcs!$E$9</f>
        <v>-40.135637567546866</v>
      </c>
      <c r="AF27" t="str">
        <f>RBs!A28</f>
        <v>J.J. Johnson</v>
      </c>
      <c r="AG27" s="6" t="str">
        <f>RBs!B28</f>
        <v>Mia</v>
      </c>
      <c r="AH27" s="7">
        <f>RBs!AJ28</f>
        <v>149.15734265734267</v>
      </c>
      <c r="AI27" s="7">
        <f>AH27-calcs!$E$10</f>
        <v>1.6854079254079011</v>
      </c>
      <c r="AJ27" t="str">
        <f>WRs!A23</f>
        <v>Rob Moore</v>
      </c>
      <c r="AK27" s="6" t="str">
        <f>WRs!B23</f>
        <v>Ari</v>
      </c>
      <c r="AL27" s="7">
        <f>WRs!AJ23</f>
        <v>166.75517241379313</v>
      </c>
      <c r="AM27" s="7">
        <f>AL27-calcs!$E$11</f>
        <v>21.61935960591137</v>
      </c>
      <c r="AN27" t="str">
        <f>TEs!A26</f>
        <v>Billy Miller</v>
      </c>
      <c r="AO27" s="6" t="str">
        <f>TEs!B26</f>
        <v>Den</v>
      </c>
      <c r="AP27" s="7">
        <f>TEs!T26</f>
        <v>36.372727272727268</v>
      </c>
      <c r="AQ27" s="7">
        <f>AP27-calcs!$E$12</f>
        <v>-25.003030303030314</v>
      </c>
      <c r="AR27" t="str">
        <f>PKs!A31</f>
        <v>David Akers</v>
      </c>
      <c r="AS27" s="6" t="str">
        <f>PKs!B31</f>
        <v>Phi</v>
      </c>
      <c r="AT27" s="7">
        <f>PKs!W31</f>
        <v>91.997495033255589</v>
      </c>
      <c r="AU27" s="7">
        <f>AT27-calcs!$E$13</f>
        <v>-26.492994839175338</v>
      </c>
      <c r="AV27" t="str">
        <f>Defs!A30</f>
        <v xml:space="preserve">Buffalo Bills </v>
      </c>
      <c r="AW27" s="6">
        <f>Defs!I30</f>
        <v>20.22</v>
      </c>
      <c r="AX27" s="7">
        <f>AW27-calcs!$E$14</f>
        <v>-41</v>
      </c>
      <c r="AY27" s="6">
        <v>25</v>
      </c>
      <c r="AZ27" t="str">
        <f>RBs!A12</f>
        <v>Duce Staley</v>
      </c>
      <c r="BA27" s="6" t="str">
        <f>RBs!B12</f>
        <v>Phi</v>
      </c>
      <c r="BB27" s="6" t="s">
        <v>9</v>
      </c>
      <c r="BC27" s="7">
        <f>RBs!AJ12-calcs!$E$10</f>
        <v>58.909184149184085</v>
      </c>
    </row>
    <row r="28" spans="2:55" x14ac:dyDescent="0.25">
      <c r="B28" s="23" t="s">
        <v>54</v>
      </c>
      <c r="C28" s="26">
        <v>10</v>
      </c>
      <c r="D28" s="26">
        <v>10</v>
      </c>
      <c r="E28" s="26">
        <v>10</v>
      </c>
      <c r="F28" s="57"/>
      <c r="H28" s="31" t="s">
        <v>55</v>
      </c>
      <c r="I28" s="15">
        <v>2</v>
      </c>
      <c r="J28" s="13"/>
      <c r="AA28" s="6">
        <v>26</v>
      </c>
      <c r="AB28" t="str">
        <f>QBs!A24</f>
        <v>Vinny Testaverde</v>
      </c>
      <c r="AC28" s="6" t="str">
        <f>QBs!B24</f>
        <v>NYJ</v>
      </c>
      <c r="AD28" s="7">
        <f>QBs!AL24</f>
        <v>245.06885714285713</v>
      </c>
      <c r="AE28" s="7">
        <f>AD28-calcs!$E$9</f>
        <v>-43.255938319426576</v>
      </c>
      <c r="AF28" t="str">
        <f>RBs!A29</f>
        <v>Jermaine Fazande</v>
      </c>
      <c r="AG28" s="6" t="str">
        <f>RBs!B29</f>
        <v>SD</v>
      </c>
      <c r="AH28" s="7">
        <f>RBs!AJ29</f>
        <v>133.00734265734266</v>
      </c>
      <c r="AI28" s="7">
        <f>AH28-calcs!$E$10</f>
        <v>-14.464592074592105</v>
      </c>
      <c r="AJ28" t="str">
        <f>WRs!A14</f>
        <v>Derrick Mayes</v>
      </c>
      <c r="AK28" s="6" t="str">
        <f>WRs!B14</f>
        <v>Sea</v>
      </c>
      <c r="AL28" s="7">
        <f>WRs!AJ14</f>
        <v>165.55517241379314</v>
      </c>
      <c r="AM28" s="7">
        <f>AL28-calcs!$E$11</f>
        <v>20.419359605911382</v>
      </c>
      <c r="AN28" t="str">
        <f>TEs!A23</f>
        <v>David LaFleur</v>
      </c>
      <c r="AO28" s="6" t="str">
        <f>TEs!B23</f>
        <v>Dal</v>
      </c>
      <c r="AP28" s="7">
        <f>TEs!T23</f>
        <v>36.24545454545455</v>
      </c>
      <c r="AQ28" s="7">
        <f>AP28-calcs!$E$12</f>
        <v>-25.130303030303033</v>
      </c>
      <c r="AR28" t="str">
        <f>PKs!A21</f>
        <v>Adam Vinatieri</v>
      </c>
      <c r="AS28" s="6" t="str">
        <f>PKs!B21</f>
        <v>NE</v>
      </c>
      <c r="AT28" s="7">
        <f>PKs!W21</f>
        <v>91.520833333333343</v>
      </c>
      <c r="AU28" s="7">
        <f>AT28-calcs!$E$13</f>
        <v>-26.969656539097585</v>
      </c>
      <c r="AV28" t="str">
        <f>Defs!A29</f>
        <v>Arizona Cardinals</v>
      </c>
      <c r="AW28" s="6">
        <f>Defs!I29</f>
        <v>18.28</v>
      </c>
      <c r="AX28" s="7">
        <f>AW28-calcs!$E$14</f>
        <v>-42.94</v>
      </c>
      <c r="AY28" s="6">
        <v>26</v>
      </c>
      <c r="AZ28" t="str">
        <f>QBs!A6</f>
        <v>Steve McNair</v>
      </c>
      <c r="BA28" s="6" t="str">
        <f>QBs!B6</f>
        <v>Ten</v>
      </c>
      <c r="BB28" s="6" t="s">
        <v>13</v>
      </c>
      <c r="BC28" s="7">
        <f>QBs!AL6-calcs!$E$9</f>
        <v>58.635137121986077</v>
      </c>
    </row>
    <row r="29" spans="2:55" x14ac:dyDescent="0.25">
      <c r="B29" s="23" t="s">
        <v>56</v>
      </c>
      <c r="C29" s="15">
        <v>12</v>
      </c>
      <c r="D29" s="15">
        <v>12</v>
      </c>
      <c r="E29" s="15">
        <v>12</v>
      </c>
      <c r="F29" s="57"/>
      <c r="H29" s="31" t="s">
        <v>57</v>
      </c>
      <c r="I29" s="15">
        <v>3</v>
      </c>
      <c r="J29" s="13"/>
      <c r="AA29" s="6">
        <v>27</v>
      </c>
      <c r="AB29" t="str">
        <f>QBs!A26</f>
        <v>Shaun King</v>
      </c>
      <c r="AC29" s="6" t="str">
        <f>QBs!B26</f>
        <v>TB</v>
      </c>
      <c r="AD29" s="7">
        <f>QBs!AL26</f>
        <v>242.30970676691732</v>
      </c>
      <c r="AE29" s="7">
        <f>AD29-calcs!$E$9</f>
        <v>-46.015088695366387</v>
      </c>
      <c r="AF29" t="str">
        <f>RBs!A20</f>
        <v>Jamal Lewis</v>
      </c>
      <c r="AG29" s="6" t="str">
        <f>RBs!B20</f>
        <v>Bal</v>
      </c>
      <c r="AH29" s="7">
        <f>RBs!AJ20</f>
        <v>131.50111888111891</v>
      </c>
      <c r="AI29" s="7">
        <f>AH29-calcs!$E$10</f>
        <v>-15.970815850815853</v>
      </c>
      <c r="AJ29" t="str">
        <f>WRs!A25</f>
        <v>Terance Mathis</v>
      </c>
      <c r="AK29" s="6" t="str">
        <f>WRs!B25</f>
        <v>Atl</v>
      </c>
      <c r="AL29" s="7">
        <f>WRs!AJ25</f>
        <v>161.98025210084035</v>
      </c>
      <c r="AM29" s="7">
        <f>AL29-calcs!$E$11</f>
        <v>16.844439292958583</v>
      </c>
      <c r="AN29" t="str">
        <f>TEs!A29</f>
        <v>Damon Jones</v>
      </c>
      <c r="AO29" s="6" t="str">
        <f>TEs!B29</f>
        <v>Jac</v>
      </c>
      <c r="AP29" s="7">
        <f>TEs!T29</f>
        <v>34.985454545454552</v>
      </c>
      <c r="AQ29" s="7">
        <f>AP29-calcs!$E$12</f>
        <v>-26.390303030303031</v>
      </c>
      <c r="AR29" t="str">
        <f>PKs!A29</f>
        <v>Brad Daluiso</v>
      </c>
      <c r="AS29" s="6" t="str">
        <f>PKs!B29</f>
        <v>NYG</v>
      </c>
      <c r="AT29" s="7">
        <f>PKs!W29</f>
        <v>87.505208333333329</v>
      </c>
      <c r="AU29" s="7">
        <f>AT29-calcs!$E$13</f>
        <v>-30.985281539097599</v>
      </c>
      <c r="AV29" t="str">
        <f>Defs!A26</f>
        <v xml:space="preserve">Indianapolis Colts </v>
      </c>
      <c r="AW29" s="6">
        <f>Defs!I26</f>
        <v>15.439999999999998</v>
      </c>
      <c r="AX29" s="7">
        <f>AW29-calcs!$E$14</f>
        <v>-45.78</v>
      </c>
      <c r="AY29" s="6">
        <v>27</v>
      </c>
      <c r="AZ29" t="str">
        <f>RBs!A18</f>
        <v>Ron Dayne</v>
      </c>
      <c r="BA29" s="6" t="str">
        <f>RBs!B18</f>
        <v>NYG</v>
      </c>
      <c r="BB29" s="6" t="s">
        <v>9</v>
      </c>
      <c r="BC29" s="7">
        <f>RBs!AJ18-calcs!$E$10</f>
        <v>54.04030303030305</v>
      </c>
    </row>
    <row r="30" spans="2:55" ht="13.8" thickBot="1" x14ac:dyDescent="0.3">
      <c r="B30" s="30" t="s">
        <v>58</v>
      </c>
      <c r="C30" s="70">
        <v>3</v>
      </c>
      <c r="D30" s="71">
        <v>3</v>
      </c>
      <c r="E30" s="70">
        <v>3</v>
      </c>
      <c r="F30" s="58"/>
      <c r="H30" s="31" t="s">
        <v>59</v>
      </c>
      <c r="I30" s="15">
        <v>1</v>
      </c>
      <c r="J30" s="13"/>
      <c r="AA30" s="6">
        <v>28</v>
      </c>
      <c r="AB30" t="str">
        <f>QBs!A30</f>
        <v>Kordell Stewart</v>
      </c>
      <c r="AC30" s="6" t="str">
        <f>QBs!B30</f>
        <v>Pit</v>
      </c>
      <c r="AD30" s="7">
        <f>QBs!AL30</f>
        <v>215.0701052631579</v>
      </c>
      <c r="AE30" s="7">
        <f>AD30-calcs!$E$9</f>
        <v>-73.254690199125804</v>
      </c>
      <c r="AF30" t="str">
        <f>RBs!A30</f>
        <v>Raymont Harris</v>
      </c>
      <c r="AG30" s="6" t="str">
        <f>RBs!B30</f>
        <v>NE</v>
      </c>
      <c r="AH30" s="7">
        <f>RBs!AJ30</f>
        <v>125.90734265734265</v>
      </c>
      <c r="AI30" s="7">
        <f>AH30-calcs!$E$10</f>
        <v>-21.564592074592113</v>
      </c>
      <c r="AJ30" t="str">
        <f>WRs!A27</f>
        <v>Plaxico Burress</v>
      </c>
      <c r="AK30" s="6" t="str">
        <f>WRs!B27</f>
        <v>Pit</v>
      </c>
      <c r="AL30" s="7">
        <f>WRs!AJ27</f>
        <v>157.7764705882353</v>
      </c>
      <c r="AM30" s="7">
        <f>AL30-calcs!$E$11</f>
        <v>12.640657780353536</v>
      </c>
      <c r="AN30" t="str">
        <f>TEs!A31</f>
        <v>Dave Moore</v>
      </c>
      <c r="AO30" s="6" t="str">
        <f>TEs!B31</f>
        <v>TB</v>
      </c>
      <c r="AP30" s="7">
        <f>TEs!T31</f>
        <v>30.245454545454542</v>
      </c>
      <c r="AQ30" s="7">
        <f>AP30-calcs!$E$12</f>
        <v>-31.13030303030304</v>
      </c>
      <c r="AR30" t="str">
        <f>PKs!A30</f>
        <v>Morten Andersen</v>
      </c>
      <c r="AS30" s="6" t="str">
        <f>PKs!B30</f>
        <v>Atl</v>
      </c>
      <c r="AT30" s="7">
        <f>PKs!W30</f>
        <v>84.981770833333329</v>
      </c>
      <c r="AU30" s="7">
        <f>AT30-calcs!$E$13</f>
        <v>-33.508719039097599</v>
      </c>
      <c r="AV30" t="str">
        <f>Defs!A25</f>
        <v>San Francisco 49ers</v>
      </c>
      <c r="AW30" s="6">
        <f>Defs!I25</f>
        <v>11.759999999999998</v>
      </c>
      <c r="AX30" s="7">
        <f>AW30-calcs!$E$14</f>
        <v>-49.46</v>
      </c>
      <c r="AY30" s="6">
        <v>28</v>
      </c>
      <c r="AZ30" t="str">
        <f>QBs!A5</f>
        <v>Brett Favre</v>
      </c>
      <c r="BA30" s="6" t="str">
        <f>QBs!B5</f>
        <v>GB</v>
      </c>
      <c r="BB30" s="6" t="s">
        <v>13</v>
      </c>
      <c r="BC30" s="7">
        <f>QBs!AL5-calcs!$E$9</f>
        <v>51.450264688092204</v>
      </c>
    </row>
    <row r="31" spans="2:55" x14ac:dyDescent="0.25">
      <c r="B31" s="23" t="s">
        <v>60</v>
      </c>
      <c r="C31" s="57"/>
      <c r="D31" s="53">
        <v>0</v>
      </c>
      <c r="E31" s="32">
        <v>0</v>
      </c>
      <c r="F31" s="32">
        <v>0</v>
      </c>
      <c r="H31" s="31" t="s">
        <v>61</v>
      </c>
      <c r="I31" s="15">
        <v>1</v>
      </c>
      <c r="J31" s="13"/>
      <c r="AA31" s="6">
        <v>29</v>
      </c>
      <c r="AB31" t="str">
        <f>QBs!A32</f>
        <v>Damon Huard</v>
      </c>
      <c r="AC31" s="6" t="str">
        <f>QBs!B32</f>
        <v>Mia</v>
      </c>
      <c r="AD31" s="7">
        <f>QBs!AL32</f>
        <v>182.15840740740742</v>
      </c>
      <c r="AE31" s="7">
        <f>AD31-calcs!$E$9</f>
        <v>-106.16638805487628</v>
      </c>
      <c r="AF31" t="str">
        <f>RBs!A43</f>
        <v>Michael Pittman</v>
      </c>
      <c r="AG31" s="6" t="str">
        <f>RBs!B43</f>
        <v>Ari</v>
      </c>
      <c r="AH31" s="7">
        <f>RBs!AJ43</f>
        <v>122.92867132867133</v>
      </c>
      <c r="AI31" s="7">
        <f>AH31-calcs!$E$10</f>
        <v>-24.543263403263438</v>
      </c>
      <c r="AJ31" t="str">
        <f>WRs!A43</f>
        <v>Joe Horn</v>
      </c>
      <c r="AK31" s="6" t="str">
        <f>WRs!B43</f>
        <v>NO</v>
      </c>
      <c r="AL31" s="7">
        <f>WRs!AJ43</f>
        <v>154.14268907563024</v>
      </c>
      <c r="AM31" s="7">
        <f>AL31-calcs!$E$11</f>
        <v>9.0068762677484813</v>
      </c>
      <c r="AN31" t="str">
        <f>TEs!A30</f>
        <v>Chris Gedney</v>
      </c>
      <c r="AO31" s="6" t="str">
        <f>TEs!B30</f>
        <v>Ari</v>
      </c>
      <c r="AP31" s="7">
        <f>TEs!T30</f>
        <v>29.872727272727275</v>
      </c>
      <c r="AQ31" s="7">
        <f>AP31-calcs!$E$12</f>
        <v>-31.503030303030307</v>
      </c>
      <c r="AR31" t="str">
        <f>PKs!A32</f>
        <v>Neil Rackers</v>
      </c>
      <c r="AS31" s="6" t="str">
        <f>PKs!B32</f>
        <v>Cin</v>
      </c>
      <c r="AT31" s="7">
        <f>PKs!W32</f>
        <v>79.997395833333329</v>
      </c>
      <c r="AU31" s="7">
        <f>AT31-calcs!$E$13</f>
        <v>-38.493094039097599</v>
      </c>
      <c r="AV31" t="str">
        <f>Defs!A31</f>
        <v xml:space="preserve">Atlanta Falcons </v>
      </c>
      <c r="AW31" s="6">
        <f>Defs!I31</f>
        <v>1.8800000000000026</v>
      </c>
      <c r="AX31" s="7">
        <f>AW31-calcs!$E$14</f>
        <v>-59.339999999999996</v>
      </c>
      <c r="AY31" s="6">
        <v>29</v>
      </c>
      <c r="AZ31" t="str">
        <f>WRs!A11</f>
        <v>Kevin Johnson</v>
      </c>
      <c r="BA31" s="6" t="str">
        <f>WRs!B11</f>
        <v>Cle</v>
      </c>
      <c r="BB31" s="6" t="s">
        <v>18</v>
      </c>
      <c r="BC31" s="7">
        <f>WRs!AJ11-calcs!$E$11</f>
        <v>50.264187192118271</v>
      </c>
    </row>
    <row r="32" spans="2:55" ht="13.8" thickBot="1" x14ac:dyDescent="0.3">
      <c r="B32" s="23" t="s">
        <v>62</v>
      </c>
      <c r="C32" s="57"/>
      <c r="D32" s="54">
        <v>0.1</v>
      </c>
      <c r="E32" s="15">
        <v>0.1</v>
      </c>
      <c r="F32" s="15">
        <v>0.1</v>
      </c>
      <c r="H32" s="33" t="s">
        <v>63</v>
      </c>
      <c r="I32" s="28">
        <v>1</v>
      </c>
      <c r="J32" s="13"/>
      <c r="AA32" s="6">
        <v>30</v>
      </c>
      <c r="AB32" t="str">
        <f>QBs!A31</f>
        <v>Akili Smith</v>
      </c>
      <c r="AC32" s="6" t="str">
        <f>QBs!B31</f>
        <v>Cin</v>
      </c>
      <c r="AD32" s="7">
        <f>QBs!AL31</f>
        <v>172.47750375939853</v>
      </c>
      <c r="AE32" s="7">
        <f>AD32-calcs!$E$9</f>
        <v>-115.84729170288517</v>
      </c>
      <c r="AF32" t="str">
        <f>RBs!A34</f>
        <v>Antowain Smith</v>
      </c>
      <c r="AG32" s="6" t="str">
        <f>RBs!B34</f>
        <v>Buf</v>
      </c>
      <c r="AH32" s="7">
        <f>RBs!AJ34</f>
        <v>121.18111888111889</v>
      </c>
      <c r="AI32" s="7">
        <f>AH32-calcs!$E$10</f>
        <v>-26.290815850815875</v>
      </c>
      <c r="AJ32" t="str">
        <f>WRs!A35</f>
        <v>Keenan McCardell</v>
      </c>
      <c r="AK32" s="6" t="str">
        <f>WRs!B35</f>
        <v>Jac</v>
      </c>
      <c r="AL32" s="7">
        <f>WRs!AJ35</f>
        <v>154.12268907563026</v>
      </c>
      <c r="AM32" s="7">
        <f>AL32-calcs!$E$11</f>
        <v>8.9868762677484995</v>
      </c>
      <c r="AN32" t="str">
        <f>TEs!A28</f>
        <v>Jimmy Kleinsasser</v>
      </c>
      <c r="AO32" s="6" t="str">
        <f>TEs!B28</f>
        <v>Min</v>
      </c>
      <c r="AP32" s="7">
        <f>TEs!T28</f>
        <v>28.145454545454541</v>
      </c>
      <c r="AQ32" s="7">
        <f>AP32-calcs!$E$12</f>
        <v>-33.230303030303041</v>
      </c>
      <c r="AR32" t="str">
        <f>PKs!A17</f>
        <v>Paul Edinger</v>
      </c>
      <c r="AS32" s="6" t="str">
        <f>PKs!B17</f>
        <v>Chi</v>
      </c>
      <c r="AT32" s="7">
        <f>PKs!W17</f>
        <v>70.473958333333329</v>
      </c>
      <c r="AU32" s="7">
        <f>AT32-calcs!$E$13</f>
        <v>-48.016531539097599</v>
      </c>
      <c r="AV32" t="str">
        <f>Defs!A32</f>
        <v xml:space="preserve">Cincinnati Bengals </v>
      </c>
      <c r="AW32" s="6">
        <f>Defs!I32</f>
        <v>-10.800000000000004</v>
      </c>
      <c r="AX32" s="7">
        <f>AW32-calcs!$E$14</f>
        <v>-72.02000000000001</v>
      </c>
      <c r="AY32" s="6">
        <v>30</v>
      </c>
      <c r="AZ32" t="str">
        <f>TEs!A4</f>
        <v>Wesley Walls</v>
      </c>
      <c r="BA32" s="6" t="str">
        <f>TEs!B4</f>
        <v>Car</v>
      </c>
      <c r="BB32" s="6" t="str">
        <f>IF($I$30=0,"WR","TE")</f>
        <v>TE</v>
      </c>
      <c r="BC32" s="7">
        <f>TEs!T4-calcs!$E$12</f>
        <v>50.083333333333307</v>
      </c>
    </row>
    <row r="33" spans="2:55" x14ac:dyDescent="0.25">
      <c r="B33" s="23" t="s">
        <v>64</v>
      </c>
      <c r="C33" s="57"/>
      <c r="D33" s="55">
        <v>6</v>
      </c>
      <c r="E33" s="26">
        <v>6</v>
      </c>
      <c r="F33" s="26">
        <v>6</v>
      </c>
      <c r="AA33" s="6">
        <v>31</v>
      </c>
      <c r="AB33" t="str">
        <f>QBs!A36</f>
        <v>Moses Moreno</v>
      </c>
      <c r="AC33" s="6" t="str">
        <f>QBs!B36</f>
        <v>SD</v>
      </c>
      <c r="AD33" s="7">
        <f>QBs!AL36</f>
        <v>129.13333333333333</v>
      </c>
      <c r="AE33" s="7">
        <f>AD33-calcs!$E$9</f>
        <v>-159.19146212895038</v>
      </c>
      <c r="AF33" t="str">
        <f>RBs!A32</f>
        <v>Shaun Alexander</v>
      </c>
      <c r="AG33" s="6" t="str">
        <f>RBs!B32</f>
        <v>Sea</v>
      </c>
      <c r="AH33" s="7">
        <f>RBs!AJ32</f>
        <v>115.57867132867131</v>
      </c>
      <c r="AI33" s="7">
        <f>AH33-calcs!$E$10</f>
        <v>-31.893263403263461</v>
      </c>
      <c r="AJ33" t="str">
        <f>WRs!A33</f>
        <v>Tony Martin</v>
      </c>
      <c r="AK33" s="6" t="str">
        <f>WRs!B33</f>
        <v>Mia</v>
      </c>
      <c r="AL33" s="7">
        <f>WRs!AJ33</f>
        <v>152.88571428571427</v>
      </c>
      <c r="AM33" s="7">
        <f>AL33-calcs!$E$11</f>
        <v>7.749901477832509</v>
      </c>
      <c r="AN33" t="str">
        <f>TEs!A33</f>
        <v>Kyle Brady</v>
      </c>
      <c r="AO33" s="6" t="str">
        <f>TEs!B33</f>
        <v>Jac</v>
      </c>
      <c r="AP33" s="7">
        <f>TEs!T33</f>
        <v>27.672727272727276</v>
      </c>
      <c r="AQ33" s="7">
        <f>AP33-calcs!$E$12</f>
        <v>-33.703030303030303</v>
      </c>
      <c r="AR33" t="str">
        <f>PKs!A33</f>
        <v>Phil Dawson</v>
      </c>
      <c r="AS33" s="6" t="str">
        <f>PKs!B33</f>
        <v>Cle</v>
      </c>
      <c r="AT33" s="7">
        <f>PKs!W33</f>
        <v>69.458333333333329</v>
      </c>
      <c r="AU33" s="7">
        <f>AT33-calcs!$E$13</f>
        <v>-49.032156539097599</v>
      </c>
      <c r="AV33" t="str">
        <f>Defs!A33</f>
        <v>Cleveland Browns</v>
      </c>
      <c r="AW33" s="6">
        <f>Defs!I33</f>
        <v>-13.960000000000008</v>
      </c>
      <c r="AX33" s="7">
        <f>AW33-calcs!$E$14</f>
        <v>-75.180000000000007</v>
      </c>
      <c r="AY33" s="6">
        <v>31</v>
      </c>
      <c r="AZ33" t="str">
        <f>RBs!A16</f>
        <v>Charlie Garner</v>
      </c>
      <c r="BA33" s="6" t="str">
        <f>RBs!B16</f>
        <v>SF</v>
      </c>
      <c r="BB33" s="6" t="s">
        <v>9</v>
      </c>
      <c r="BC33" s="7">
        <f>RBs!AJ16-calcs!$E$10</f>
        <v>49.832960372960315</v>
      </c>
    </row>
    <row r="34" spans="2:55" x14ac:dyDescent="0.25">
      <c r="B34" s="23" t="s">
        <v>65</v>
      </c>
      <c r="C34" s="57"/>
      <c r="D34" s="55">
        <v>7</v>
      </c>
      <c r="E34" s="26">
        <v>7</v>
      </c>
      <c r="F34" s="26">
        <v>7</v>
      </c>
      <c r="AA34" s="6">
        <v>32</v>
      </c>
      <c r="AB34" t="str">
        <f>QBs!A33</f>
        <v>Jim Harbaugh</v>
      </c>
      <c r="AC34" s="6" t="str">
        <f>QBs!B33</f>
        <v>SD</v>
      </c>
      <c r="AD34" s="7">
        <f>QBs!AL33</f>
        <v>126.96025925925926</v>
      </c>
      <c r="AE34" s="7">
        <f>AD34-calcs!$E$9</f>
        <v>-161.36453620302444</v>
      </c>
      <c r="AF34" t="str">
        <f>RBs!A36</f>
        <v>Kimble Anders</v>
      </c>
      <c r="AG34" s="6" t="str">
        <f>RBs!B36</f>
        <v>KC</v>
      </c>
      <c r="AH34" s="7">
        <f>RBs!AJ36</f>
        <v>113.81867132867131</v>
      </c>
      <c r="AI34" s="7">
        <f>AH34-calcs!$E$10</f>
        <v>-33.653263403263452</v>
      </c>
      <c r="AJ34" t="str">
        <f>WRs!A34</f>
        <v>Tim Dwight</v>
      </c>
      <c r="AK34" s="6" t="str">
        <f>WRs!B34</f>
        <v>Atl</v>
      </c>
      <c r="AL34" s="7">
        <f>WRs!AJ34</f>
        <v>150.84285714285713</v>
      </c>
      <c r="AM34" s="7">
        <f>AL34-calcs!$E$11</f>
        <v>5.7070443349753646</v>
      </c>
      <c r="AN34" t="str">
        <f>TEs!A34</f>
        <v>Terry Hardy</v>
      </c>
      <c r="AO34" s="6" t="str">
        <f>TEs!B34</f>
        <v>Ari</v>
      </c>
      <c r="AP34" s="7">
        <f>TEs!T34</f>
        <v>26.872727272727275</v>
      </c>
      <c r="AQ34" s="7">
        <f>AP34-calcs!$E$12</f>
        <v>-34.503030303030307</v>
      </c>
      <c r="AY34" s="6">
        <v>32</v>
      </c>
      <c r="AZ34" t="str">
        <f>WRs!A13</f>
        <v>Michael Westbrook</v>
      </c>
      <c r="BA34" s="6" t="str">
        <f>WRs!B13</f>
        <v>Was</v>
      </c>
      <c r="BB34" s="6" t="s">
        <v>18</v>
      </c>
      <c r="BC34" s="7">
        <f>WRs!AJ13-calcs!$E$11</f>
        <v>48.648669950738935</v>
      </c>
    </row>
    <row r="35" spans="2:55" x14ac:dyDescent="0.25">
      <c r="B35" s="23" t="s">
        <v>66</v>
      </c>
      <c r="C35" s="57"/>
      <c r="D35" s="55">
        <v>8</v>
      </c>
      <c r="E35" s="26">
        <v>8</v>
      </c>
      <c r="F35" s="26">
        <v>8</v>
      </c>
      <c r="AA35" s="6">
        <v>33</v>
      </c>
      <c r="AB35" t="str">
        <f>QBs!A34</f>
        <v>Jay Fiedler</v>
      </c>
      <c r="AC35" s="6" t="str">
        <f>QBs!B34</f>
        <v>Mia</v>
      </c>
      <c r="AD35" s="7">
        <f>QBs!AL34</f>
        <v>117.3462962962963</v>
      </c>
      <c r="AE35" s="7">
        <f>AD35-calcs!$E$9</f>
        <v>-170.97849916598739</v>
      </c>
      <c r="AF35" t="str">
        <f>RBs!A35</f>
        <v>Fred Beasley</v>
      </c>
      <c r="AG35" s="6" t="str">
        <f>RBs!B35</f>
        <v>SF</v>
      </c>
      <c r="AH35" s="7">
        <f>RBs!AJ35</f>
        <v>113.58111888111888</v>
      </c>
      <c r="AI35" s="7">
        <f>AH35-calcs!$E$10</f>
        <v>-33.890815850815883</v>
      </c>
      <c r="AJ35" t="str">
        <f>WRs!A41</f>
        <v>Derrick Alexander</v>
      </c>
      <c r="AK35" s="6" t="str">
        <f>WRs!B41</f>
        <v>KC</v>
      </c>
      <c r="AL35" s="7">
        <f>WRs!AJ41</f>
        <v>146.88571428571427</v>
      </c>
      <c r="AM35" s="7">
        <f>AL35-calcs!$E$11</f>
        <v>1.749901477832509</v>
      </c>
      <c r="AN35" t="str">
        <f>TEs!A55</f>
        <v>Marco Battaglia</v>
      </c>
      <c r="AO35" s="6" t="str">
        <f>TEs!B55</f>
        <v>Cin</v>
      </c>
      <c r="AP35" s="7">
        <f>TEs!T55</f>
        <v>26.272727272727277</v>
      </c>
      <c r="AQ35" s="7">
        <f>AP35-calcs!$E$12</f>
        <v>-35.103030303030309</v>
      </c>
      <c r="AY35" s="6">
        <v>33</v>
      </c>
      <c r="AZ35" t="str">
        <f>WRs!A12</f>
        <v>Cris Carter</v>
      </c>
      <c r="BA35" s="6" t="str">
        <f>WRs!B12</f>
        <v>Min</v>
      </c>
      <c r="BB35" s="6" t="s">
        <v>18</v>
      </c>
      <c r="BC35" s="7">
        <f>WRs!AJ12-calcs!$E$11</f>
        <v>46.652002318168655</v>
      </c>
    </row>
    <row r="36" spans="2:55" x14ac:dyDescent="0.25">
      <c r="B36" s="23" t="s">
        <v>67</v>
      </c>
      <c r="C36" s="57"/>
      <c r="D36" s="55">
        <v>9</v>
      </c>
      <c r="E36" s="26">
        <v>9</v>
      </c>
      <c r="F36" s="26">
        <v>9</v>
      </c>
      <c r="H36" s="13"/>
      <c r="AA36" s="6">
        <v>34</v>
      </c>
      <c r="AB36" t="str">
        <f>QBs!A35</f>
        <v>Scott Mitchell</v>
      </c>
      <c r="AC36" s="6" t="str">
        <f>QBs!B35</f>
        <v>Cin</v>
      </c>
      <c r="AD36" s="7">
        <f>QBs!AL35</f>
        <v>89.722222222222229</v>
      </c>
      <c r="AE36" s="7">
        <f>AD36-calcs!$E$9</f>
        <v>-198.60257324006147</v>
      </c>
      <c r="AF36" t="str">
        <f>RBs!A31</f>
        <v>Thomas Jones</v>
      </c>
      <c r="AG36" s="6" t="str">
        <f>RBs!B31</f>
        <v>Ari</v>
      </c>
      <c r="AH36" s="7">
        <f>RBs!AJ31</f>
        <v>113.35489510489511</v>
      </c>
      <c r="AI36" s="7">
        <f>AH36-calcs!$E$10</f>
        <v>-34.117039627039659</v>
      </c>
      <c r="AJ36" t="str">
        <f>WRs!A36</f>
        <v>Ike Hilliard</v>
      </c>
      <c r="AK36" s="6" t="str">
        <f>WRs!B36</f>
        <v>NYG</v>
      </c>
      <c r="AL36" s="7">
        <f>WRs!AJ36</f>
        <v>146.12890756302525</v>
      </c>
      <c r="AM36" s="7">
        <f>AL36-calcs!$E$11</f>
        <v>0.99309475514348833</v>
      </c>
      <c r="AN36" t="str">
        <f>TEs!A36</f>
        <v>Mark Campbell</v>
      </c>
      <c r="AO36" s="6" t="str">
        <f>TEs!B36</f>
        <v>Cle</v>
      </c>
      <c r="AP36" s="7">
        <f>TEs!T36</f>
        <v>24.872727272727275</v>
      </c>
      <c r="AQ36" s="7">
        <f>AP36-calcs!$E$12</f>
        <v>-36.503030303030307</v>
      </c>
      <c r="AY36" s="6">
        <v>34</v>
      </c>
      <c r="AZ36" t="str">
        <f>RBs!A17</f>
        <v>Curtis Enis</v>
      </c>
      <c r="BA36" s="6" t="str">
        <f>RBs!B17</f>
        <v>Chi</v>
      </c>
      <c r="BB36" s="6" t="s">
        <v>9</v>
      </c>
      <c r="BC36" s="7">
        <f>RBs!AJ17-calcs!$E$10</f>
        <v>46.009184149184136</v>
      </c>
    </row>
    <row r="37" spans="2:55" x14ac:dyDescent="0.25">
      <c r="B37" s="23" t="s">
        <v>68</v>
      </c>
      <c r="C37" s="57"/>
      <c r="D37" s="55">
        <v>10</v>
      </c>
      <c r="E37" s="26">
        <v>10</v>
      </c>
      <c r="F37" s="26">
        <v>10</v>
      </c>
      <c r="H37" s="13"/>
      <c r="AA37" s="6">
        <v>35</v>
      </c>
      <c r="AB37" t="str">
        <f>QBs!A37</f>
        <v>Kent Graham</v>
      </c>
      <c r="AC37" s="6" t="str">
        <f>QBs!B37</f>
        <v>Pit</v>
      </c>
      <c r="AD37" s="7">
        <f>QBs!AL37</f>
        <v>80.774148148148171</v>
      </c>
      <c r="AE37" s="7">
        <f>AD37-calcs!$E$9</f>
        <v>-207.55064731413552</v>
      </c>
      <c r="AF37" t="str">
        <f>RBs!A37</f>
        <v>Napoleon Kaufman</v>
      </c>
      <c r="AG37" s="6" t="str">
        <f>RBs!B37</f>
        <v>Oak</v>
      </c>
      <c r="AH37" s="7">
        <f>RBs!AJ37</f>
        <v>111.9286713286713</v>
      </c>
      <c r="AI37" s="7">
        <f>AH37-calcs!$E$10</f>
        <v>-35.543263403263467</v>
      </c>
      <c r="AJ37" t="str">
        <f>WRs!A32</f>
        <v>Wayne Chrebet</v>
      </c>
      <c r="AK37" s="6" t="str">
        <f>WRs!B32</f>
        <v>NYJ</v>
      </c>
      <c r="AL37" s="7">
        <f>WRs!AJ32</f>
        <v>145.43586206896549</v>
      </c>
      <c r="AM37" s="7">
        <f>AL37-calcs!$E$11</f>
        <v>0.30004926108372842</v>
      </c>
      <c r="AN37" t="str">
        <f>TEs!A37</f>
        <v>Eric Bjornson</v>
      </c>
      <c r="AO37" s="6" t="str">
        <f>TEs!B37</f>
        <v>NE</v>
      </c>
      <c r="AP37" s="7">
        <f>TEs!T37</f>
        <v>24.872727272727275</v>
      </c>
      <c r="AQ37" s="7">
        <f>AP37-calcs!$E$12</f>
        <v>-36.503030303030307</v>
      </c>
      <c r="AY37" s="6">
        <v>35</v>
      </c>
      <c r="AZ37" t="str">
        <f>WRs!A15</f>
        <v>Germane Crowell</v>
      </c>
      <c r="BA37" s="6" t="str">
        <f>WRs!B15</f>
        <v>Det</v>
      </c>
      <c r="BB37" s="6" t="s">
        <v>18</v>
      </c>
      <c r="BC37" s="7">
        <f>WRs!AJ15-calcs!$E$11</f>
        <v>44.557044334975416</v>
      </c>
    </row>
    <row r="38" spans="2:55" x14ac:dyDescent="0.25">
      <c r="B38" s="23" t="s">
        <v>69</v>
      </c>
      <c r="C38" s="57"/>
      <c r="D38" s="55">
        <v>12</v>
      </c>
      <c r="E38" s="26">
        <v>12</v>
      </c>
      <c r="F38" s="26">
        <v>12</v>
      </c>
      <c r="H38" s="13"/>
      <c r="AA38" s="6">
        <v>36</v>
      </c>
      <c r="AB38" t="str">
        <f>QBs!A38</f>
        <v>Danny Kanell</v>
      </c>
      <c r="AC38" s="6" t="str">
        <f>QBs!B38</f>
        <v>Atl</v>
      </c>
      <c r="AD38" s="7">
        <f>QBs!AL38</f>
        <v>67.423148148148144</v>
      </c>
      <c r="AE38" s="7">
        <f>AD38-calcs!$E$9</f>
        <v>-220.90164731413557</v>
      </c>
      <c r="AF38" t="str">
        <f>RBs!A39</f>
        <v>Richard Huntley</v>
      </c>
      <c r="AG38" s="6" t="str">
        <f>RBs!B39</f>
        <v>Pit</v>
      </c>
      <c r="AH38" s="7">
        <f>RBs!AJ39</f>
        <v>107.27867132867131</v>
      </c>
      <c r="AI38" s="7">
        <f>AH38-calcs!$E$10</f>
        <v>-40.193263403263458</v>
      </c>
      <c r="AJ38" t="str">
        <f>WRs!A39</f>
        <v>Peerless Price</v>
      </c>
      <c r="AK38" s="6" t="str">
        <f>WRs!B39</f>
        <v>Buf</v>
      </c>
      <c r="AL38" s="7">
        <f>WRs!AJ39</f>
        <v>144.48571428571429</v>
      </c>
      <c r="AM38" s="7">
        <f>AL38-calcs!$E$11</f>
        <v>-0.65009852216746822</v>
      </c>
      <c r="AN38" t="str">
        <f>TEs!A38</f>
        <v>Mark Bruener</v>
      </c>
      <c r="AO38" s="6" t="str">
        <f>TEs!B38</f>
        <v>Pit</v>
      </c>
      <c r="AP38" s="7">
        <f>TEs!T38</f>
        <v>24.272727272727277</v>
      </c>
      <c r="AQ38" s="7">
        <f>AP38-calcs!$E$12</f>
        <v>-37.103030303030309</v>
      </c>
      <c r="AY38" s="6">
        <v>36</v>
      </c>
      <c r="AZ38" t="str">
        <f>WRs!A16</f>
        <v>Amani Toomer</v>
      </c>
      <c r="BA38" s="6" t="str">
        <f>WRs!B16</f>
        <v>NYG</v>
      </c>
      <c r="BB38" s="6" t="s">
        <v>18</v>
      </c>
      <c r="BC38" s="7">
        <f>WRs!AJ16-calcs!$E$11</f>
        <v>40.247044334975385</v>
      </c>
    </row>
    <row r="39" spans="2:55" ht="13.8" thickBot="1" x14ac:dyDescent="0.3">
      <c r="B39" s="69" t="s">
        <v>70</v>
      </c>
      <c r="C39" s="58"/>
      <c r="D39" s="56">
        <v>3</v>
      </c>
      <c r="E39" s="28">
        <v>3</v>
      </c>
      <c r="F39" s="28">
        <v>3</v>
      </c>
      <c r="AA39" s="6">
        <v>37</v>
      </c>
      <c r="AB39" t="str">
        <f>QBs!A40</f>
        <v>Trent Dilfer</v>
      </c>
      <c r="AC39" s="6" t="str">
        <f>QBs!B40</f>
        <v>Bal</v>
      </c>
      <c r="AD39" s="7">
        <f>QBs!AL40</f>
        <v>58.860185185185188</v>
      </c>
      <c r="AE39" s="7">
        <f>AD39-calcs!$E$9</f>
        <v>-229.46461027709853</v>
      </c>
      <c r="AF39" t="str">
        <f>RBs!A33</f>
        <v>Corey Dillon</v>
      </c>
      <c r="AG39" s="6" t="str">
        <f>RBs!B33</f>
        <v>Cin</v>
      </c>
      <c r="AH39" s="7">
        <f>RBs!AJ33</f>
        <v>106.00489510489511</v>
      </c>
      <c r="AI39" s="7">
        <f>AH39-calcs!$E$10</f>
        <v>-41.467039627039654</v>
      </c>
      <c r="AJ39" t="str">
        <f>WRs!A38</f>
        <v>Rod Smith</v>
      </c>
      <c r="AK39" s="6" t="str">
        <f>WRs!B38</f>
        <v>Den</v>
      </c>
      <c r="AL39" s="7">
        <f>WRs!AJ38</f>
        <v>143.08586206896553</v>
      </c>
      <c r="AM39" s="7">
        <f>AL39-calcs!$E$11</f>
        <v>-2.0499507389162375</v>
      </c>
      <c r="AN39" t="str">
        <f>TEs!A39</f>
        <v>Reggie Kelly</v>
      </c>
      <c r="AO39" s="6" t="str">
        <f>TEs!B39</f>
        <v>Atl</v>
      </c>
      <c r="AP39" s="7">
        <f>TEs!T39</f>
        <v>23.372727272727275</v>
      </c>
      <c r="AQ39" s="7">
        <f>AP39-calcs!$E$12</f>
        <v>-38.003030303030307</v>
      </c>
      <c r="AY39" s="6">
        <v>37</v>
      </c>
      <c r="AZ39" t="str">
        <f>QBs!A10</f>
        <v>Brad Johnson</v>
      </c>
      <c r="BA39" s="6" t="str">
        <f>QBs!B10</f>
        <v>Was</v>
      </c>
      <c r="BB39" s="6" t="s">
        <v>13</v>
      </c>
      <c r="BC39" s="7">
        <f>QBs!AL10-calcs!$E$9</f>
        <v>36.702857430278243</v>
      </c>
    </row>
    <row r="40" spans="2:55" ht="13.8" thickBot="1" x14ac:dyDescent="0.3">
      <c r="B40" s="212" t="s">
        <v>71</v>
      </c>
      <c r="C40" s="213">
        <v>-1</v>
      </c>
      <c r="D40" s="213">
        <v>-1</v>
      </c>
      <c r="E40" s="213">
        <v>-1</v>
      </c>
      <c r="F40" s="213">
        <v>-1</v>
      </c>
      <c r="AA40" s="6">
        <v>38</v>
      </c>
      <c r="AB40" t="str">
        <f>QBs!A44</f>
        <v>Jim Miller</v>
      </c>
      <c r="AC40" s="6" t="str">
        <f>QBs!B44</f>
        <v>Chi</v>
      </c>
      <c r="AD40" s="7">
        <f>QBs!AL44</f>
        <v>52.548148148148144</v>
      </c>
      <c r="AE40" s="7">
        <f>AD40-calcs!$E$9</f>
        <v>-235.77664731413557</v>
      </c>
      <c r="AF40" t="str">
        <f>RBs!A53</f>
        <v>Priest Holmes</v>
      </c>
      <c r="AG40" s="6" t="str">
        <f>RBs!B53</f>
        <v>Bal</v>
      </c>
      <c r="AH40" s="7">
        <f>RBs!AJ53</f>
        <v>103.1286713286713</v>
      </c>
      <c r="AI40" s="7">
        <f>AH40-calcs!$E$10</f>
        <v>-44.343263403263464</v>
      </c>
      <c r="AJ40" t="str">
        <f>WRs!A40</f>
        <v>Bill Schroeder</v>
      </c>
      <c r="AK40" s="6" t="str">
        <f>WRs!B40</f>
        <v>GB</v>
      </c>
      <c r="AL40" s="7">
        <f>WRs!AJ40</f>
        <v>142.67268907563025</v>
      </c>
      <c r="AM40" s="7">
        <f>AL40-calcs!$E$11</f>
        <v>-2.4631237322515176</v>
      </c>
      <c r="AN40" t="str">
        <f>TEs!A40</f>
        <v>Ernie Conwell</v>
      </c>
      <c r="AO40" s="6" t="str">
        <f>TEs!B40</f>
        <v>StL</v>
      </c>
      <c r="AP40" s="7">
        <f>TEs!T40</f>
        <v>23.372727272727275</v>
      </c>
      <c r="AQ40" s="7">
        <f>AP40-calcs!$E$12</f>
        <v>-38.003030303030307</v>
      </c>
      <c r="AY40" s="6">
        <v>38</v>
      </c>
      <c r="AZ40" t="str">
        <f>WRs!A21</f>
        <v>Tim Brown</v>
      </c>
      <c r="BA40" s="6" t="str">
        <f>WRs!B21</f>
        <v>Oak</v>
      </c>
      <c r="BB40" s="6" t="s">
        <v>18</v>
      </c>
      <c r="BC40" s="7">
        <f>WRs!AJ21-calcs!$E$11</f>
        <v>36.698669950738918</v>
      </c>
    </row>
    <row r="41" spans="2:55" x14ac:dyDescent="0.25">
      <c r="AA41" s="6">
        <v>39</v>
      </c>
      <c r="AB41" t="str">
        <f>QBs!A42</f>
        <v>Mike Tomczak</v>
      </c>
      <c r="AC41" s="6" t="str">
        <f>QBs!B42</f>
        <v>Det</v>
      </c>
      <c r="AD41" s="7">
        <f>QBs!AL42</f>
        <v>51.748148148148147</v>
      </c>
      <c r="AE41" s="7">
        <f>AD41-calcs!$E$9</f>
        <v>-236.57664731413556</v>
      </c>
      <c r="AF41" t="str">
        <f>RBs!A40</f>
        <v>Jonathan Linton</v>
      </c>
      <c r="AG41" s="6" t="str">
        <f>RBs!B40</f>
        <v>Buf</v>
      </c>
      <c r="AH41" s="7">
        <f>RBs!AJ40</f>
        <v>101.07867132867131</v>
      </c>
      <c r="AI41" s="7">
        <f>AH41-calcs!$E$10</f>
        <v>-46.393263403263461</v>
      </c>
      <c r="AJ41" t="str">
        <f>WRs!A37</f>
        <v>Bobby Engram</v>
      </c>
      <c r="AK41" s="6" t="str">
        <f>WRs!B37</f>
        <v>Chi</v>
      </c>
      <c r="AL41" s="7">
        <f>WRs!AJ37</f>
        <v>142.26890756302524</v>
      </c>
      <c r="AM41" s="7">
        <f>AL41-calcs!$E$11</f>
        <v>-2.8669052448565253</v>
      </c>
      <c r="AN41" t="str">
        <f>TEs!A41</f>
        <v>Ryan Wetnight</v>
      </c>
      <c r="AO41" s="6" t="str">
        <f>TEs!B41</f>
        <v>Chi</v>
      </c>
      <c r="AP41" s="7">
        <f>TEs!T41</f>
        <v>22.872727272727275</v>
      </c>
      <c r="AQ41" s="7">
        <f>AP41-calcs!$E$12</f>
        <v>-38.503030303030307</v>
      </c>
      <c r="AY41" s="6">
        <v>39</v>
      </c>
      <c r="AZ41" t="str">
        <f>QBs!A9</f>
        <v>Jeff Garcia</v>
      </c>
      <c r="BA41" s="6" t="str">
        <f>QBs!B9</f>
        <v>SF</v>
      </c>
      <c r="BB41" s="6" t="s">
        <v>13</v>
      </c>
      <c r="BC41" s="7">
        <f>QBs!AL9-calcs!$E$9</f>
        <v>36.260125886030949</v>
      </c>
    </row>
    <row r="42" spans="2:55" x14ac:dyDescent="0.25">
      <c r="C42" s="13"/>
      <c r="AA42" s="6">
        <v>40</v>
      </c>
      <c r="AB42" t="str">
        <f>QBs!A41</f>
        <v>Bubby Brister</v>
      </c>
      <c r="AC42" s="6" t="str">
        <f>QBs!B41</f>
        <v>Min</v>
      </c>
      <c r="AD42" s="7">
        <f>QBs!AL41</f>
        <v>49.148148148148145</v>
      </c>
      <c r="AE42" s="7">
        <f>AD42-calcs!$E$9</f>
        <v>-239.17664731413555</v>
      </c>
      <c r="AF42" t="str">
        <f>RBs!A44</f>
        <v>Chris Warren</v>
      </c>
      <c r="AG42" s="6" t="str">
        <f>RBs!B44</f>
        <v>Dal</v>
      </c>
      <c r="AH42" s="7">
        <f>RBs!AJ44</f>
        <v>93.928671328671314</v>
      </c>
      <c r="AI42" s="7">
        <f>AH42-calcs!$E$10</f>
        <v>-53.543263403263452</v>
      </c>
      <c r="AJ42" t="str">
        <f>WRs!A49</f>
        <v>Sean Dawkins</v>
      </c>
      <c r="AK42" s="6" t="str">
        <f>WRs!B49</f>
        <v>Sea</v>
      </c>
      <c r="AL42" s="7">
        <f>WRs!AJ49</f>
        <v>134.97268907563026</v>
      </c>
      <c r="AM42" s="7">
        <f>AL42-calcs!$E$11</f>
        <v>-10.163123732251506</v>
      </c>
      <c r="AN42" t="str">
        <f>TEs!A42</f>
        <v>Dwayne Carswell</v>
      </c>
      <c r="AO42" s="6" t="str">
        <f>TEs!B42</f>
        <v>Den</v>
      </c>
      <c r="AP42" s="7">
        <f>TEs!T42</f>
        <v>21.572727272727278</v>
      </c>
      <c r="AQ42" s="7">
        <f>AP42-calcs!$E$12</f>
        <v>-39.803030303030305</v>
      </c>
      <c r="AY42" s="6">
        <v>40</v>
      </c>
      <c r="AZ42" t="str">
        <f>WRs!A19</f>
        <v>Ed McCaffrey</v>
      </c>
      <c r="BA42" s="6" t="str">
        <f>WRs!B19</f>
        <v>Den</v>
      </c>
      <c r="BB42" s="6" t="s">
        <v>18</v>
      </c>
      <c r="BC42" s="7">
        <f>WRs!AJ19-calcs!$E$11</f>
        <v>36.148669950738935</v>
      </c>
    </row>
    <row r="43" spans="2:55" x14ac:dyDescent="0.25">
      <c r="C43" s="13"/>
      <c r="AA43" s="6">
        <v>41</v>
      </c>
      <c r="AB43" t="str">
        <f>QBs!A43</f>
        <v>Doug Flutie</v>
      </c>
      <c r="AC43" s="6" t="str">
        <f>QBs!B43</f>
        <v>Buf</v>
      </c>
      <c r="AD43" s="7">
        <f>QBs!AL43</f>
        <v>45.204074074074072</v>
      </c>
      <c r="AE43" s="7">
        <f>AD43-calcs!$E$9</f>
        <v>-243.12072138820963</v>
      </c>
      <c r="AF43" t="str">
        <f>RBs!A41</f>
        <v>Mike Cloud</v>
      </c>
      <c r="AG43" s="6" t="str">
        <f>RBs!B41</f>
        <v>KC</v>
      </c>
      <c r="AH43" s="7">
        <f>RBs!AJ41</f>
        <v>91.30244755244756</v>
      </c>
      <c r="AI43" s="7">
        <f>AH43-calcs!$E$10</f>
        <v>-56.169487179487206</v>
      </c>
      <c r="AJ43" t="str">
        <f>WRs!A44</f>
        <v>Qadry Ismail</v>
      </c>
      <c r="AK43" s="6" t="str">
        <f>WRs!B44</f>
        <v>Bal</v>
      </c>
      <c r="AL43" s="7">
        <f>WRs!AJ44</f>
        <v>133.72268907563026</v>
      </c>
      <c r="AM43" s="7">
        <f>AL43-calcs!$E$11</f>
        <v>-11.413123732251506</v>
      </c>
      <c r="AN43" t="str">
        <f>TEs!A43</f>
        <v>Rod Rutledge</v>
      </c>
      <c r="AO43" s="6" t="str">
        <f>TEs!B43</f>
        <v>NE</v>
      </c>
      <c r="AP43" s="7">
        <f>TEs!T43</f>
        <v>20.972727272727276</v>
      </c>
      <c r="AQ43" s="7">
        <f>AP43-calcs!$E$12</f>
        <v>-40.403030303030306</v>
      </c>
      <c r="AY43" s="6">
        <v>41</v>
      </c>
      <c r="AZ43" t="str">
        <f>WRs!A18</f>
        <v>Muhsin Muhammad</v>
      </c>
      <c r="BA43" s="6" t="str">
        <f>WRs!B18</f>
        <v>Car</v>
      </c>
      <c r="BB43" s="6" t="s">
        <v>18</v>
      </c>
      <c r="BC43" s="7">
        <f>WRs!AJ18-calcs!$E$11</f>
        <v>35.638669950738944</v>
      </c>
    </row>
    <row r="44" spans="2:55" x14ac:dyDescent="0.25">
      <c r="AA44" s="6">
        <v>42</v>
      </c>
      <c r="AB44" t="str">
        <f>QBs!A46</f>
        <v>Dave Brown</v>
      </c>
      <c r="AC44" s="6" t="str">
        <f>QBs!B46</f>
        <v>Ari</v>
      </c>
      <c r="AD44" s="7">
        <f>QBs!AL46</f>
        <v>42.086111111111116</v>
      </c>
      <c r="AE44" s="7">
        <f>AD44-calcs!$E$9</f>
        <v>-246.23868435117259</v>
      </c>
      <c r="AF44" t="str">
        <f>RBs!A42</f>
        <v>Tiki Barber</v>
      </c>
      <c r="AG44" s="6" t="str">
        <f>RBs!B42</f>
        <v>NYG</v>
      </c>
      <c r="AH44" s="7">
        <f>RBs!AJ42</f>
        <v>88.316223776223765</v>
      </c>
      <c r="AI44" s="7">
        <f>AH44-calcs!$E$10</f>
        <v>-59.155710955711001</v>
      </c>
      <c r="AJ44" t="str">
        <f>WRs!A42</f>
        <v>Jerry Rice</v>
      </c>
      <c r="AK44" s="6" t="str">
        <f>WRs!B42</f>
        <v>SF</v>
      </c>
      <c r="AL44" s="7">
        <f>WRs!AJ42</f>
        <v>131.44655172413792</v>
      </c>
      <c r="AM44" s="7">
        <f>AL44-calcs!$E$11</f>
        <v>-13.689261083743844</v>
      </c>
      <c r="AN44" t="str">
        <f>TEs!A45</f>
        <v>James Whalen</v>
      </c>
      <c r="AO44" s="6" t="str">
        <f>TEs!B45</f>
        <v>TB</v>
      </c>
      <c r="AP44" s="7">
        <f>TEs!T45</f>
        <v>18.872727272727275</v>
      </c>
      <c r="AQ44" s="7">
        <f>AP44-calcs!$E$12</f>
        <v>-42.503030303030307</v>
      </c>
      <c r="AY44" s="6">
        <v>42</v>
      </c>
      <c r="AZ44" t="str">
        <f>WRs!A24</f>
        <v>Albert Connell</v>
      </c>
      <c r="BA44" s="6" t="str">
        <f>WRs!B24</f>
        <v>Was</v>
      </c>
      <c r="BB44" s="6" t="s">
        <v>18</v>
      </c>
      <c r="BC44" s="7">
        <f>WRs!AJ24-calcs!$E$11</f>
        <v>35.064187192118254</v>
      </c>
    </row>
    <row r="45" spans="2:55" x14ac:dyDescent="0.25">
      <c r="AA45" s="6">
        <v>43</v>
      </c>
      <c r="AB45" t="str">
        <f>QBs!A39</f>
        <v>Ryan Leaf</v>
      </c>
      <c r="AC45" s="6" t="str">
        <f>QBs!B39</f>
        <v>SD</v>
      </c>
      <c r="AD45" s="7">
        <f>QBs!AL39</f>
        <v>37.824074074074069</v>
      </c>
      <c r="AE45" s="7">
        <f>AD45-calcs!$E$9</f>
        <v>-250.50072138820963</v>
      </c>
      <c r="AF45" t="str">
        <f>RBs!A38</f>
        <v>Natrone Means</v>
      </c>
      <c r="AG45" s="6" t="str">
        <f>RBs!B38</f>
        <v>Car</v>
      </c>
      <c r="AH45" s="7">
        <f>RBs!AJ38</f>
        <v>87.481118881118888</v>
      </c>
      <c r="AI45" s="7">
        <f>AH45-calcs!$E$10</f>
        <v>-59.990815850815878</v>
      </c>
      <c r="AJ45" t="str">
        <f>WRs!A45</f>
        <v>Johnnie Morton</v>
      </c>
      <c r="AK45" s="6" t="str">
        <f>WRs!B45</f>
        <v>Det</v>
      </c>
      <c r="AL45" s="7">
        <f>WRs!AJ45</f>
        <v>130.9951260504202</v>
      </c>
      <c r="AM45" s="7">
        <f>AL45-calcs!$E$11</f>
        <v>-14.140686757461566</v>
      </c>
      <c r="AN45" t="str">
        <f>TEs!A46</f>
        <v>Tyrone Davis</v>
      </c>
      <c r="AO45" s="6" t="str">
        <f>TEs!B46</f>
        <v>GB</v>
      </c>
      <c r="AP45" s="7">
        <f>TEs!T46</f>
        <v>18.672727272727276</v>
      </c>
      <c r="AQ45" s="7">
        <f>AP45-calcs!$E$12</f>
        <v>-42.703030303030303</v>
      </c>
      <c r="AY45" s="6">
        <v>43</v>
      </c>
      <c r="AZ45" t="str">
        <f>WRs!A26</f>
        <v>Torry Holt</v>
      </c>
      <c r="BA45" s="6" t="str">
        <f>WRs!B26</f>
        <v>StL</v>
      </c>
      <c r="BB45" s="6" t="s">
        <v>18</v>
      </c>
      <c r="BC45" s="7">
        <f>WRs!AJ26-calcs!$E$11</f>
        <v>34.268472906403957</v>
      </c>
    </row>
    <row r="46" spans="2:55" x14ac:dyDescent="0.25">
      <c r="AA46" s="6">
        <v>44</v>
      </c>
      <c r="AB46" t="str">
        <f>QBs!A45</f>
        <v>Ray Lucas</v>
      </c>
      <c r="AC46" s="6" t="str">
        <f>QBs!B45</f>
        <v>NYJ</v>
      </c>
      <c r="AD46" s="7">
        <f>QBs!AL45</f>
        <v>34.482037037037031</v>
      </c>
      <c r="AE46" s="7">
        <f>AD46-calcs!$E$9</f>
        <v>-253.84275842524667</v>
      </c>
      <c r="AF46" t="str">
        <f>RBs!A46</f>
        <v>J.R. Redmond</v>
      </c>
      <c r="AG46" s="6" t="str">
        <f>RBs!B46</f>
        <v>NE</v>
      </c>
      <c r="AH46" s="7">
        <f>RBs!AJ46</f>
        <v>84.802447552447546</v>
      </c>
      <c r="AI46" s="7">
        <f>AH46-calcs!$E$10</f>
        <v>-62.66948717948722</v>
      </c>
      <c r="AJ46" t="str">
        <f>WRs!A46</f>
        <v>Oronde Gadsden</v>
      </c>
      <c r="AK46" s="6" t="str">
        <f>WRs!B46</f>
        <v>Mia</v>
      </c>
      <c r="AL46" s="7">
        <f>WRs!AJ46</f>
        <v>125.56890756302522</v>
      </c>
      <c r="AM46" s="7">
        <f>AL46-calcs!$E$11</f>
        <v>-19.566905244856542</v>
      </c>
      <c r="AN46" t="str">
        <f>TEs!A47</f>
        <v>Fred Baxter</v>
      </c>
      <c r="AO46" s="6" t="str">
        <f>TEs!B47</f>
        <v>NYJ</v>
      </c>
      <c r="AP46" s="7">
        <f>TEs!T47</f>
        <v>18.272727272727277</v>
      </c>
      <c r="AQ46" s="7">
        <f>AP46-calcs!$E$12</f>
        <v>-43.103030303030309</v>
      </c>
      <c r="AY46" s="6">
        <v>44</v>
      </c>
      <c r="AZ46" t="str">
        <f>RBs!A22</f>
        <v>Ricky Watters</v>
      </c>
      <c r="BA46" s="6" t="str">
        <f>RBs!B22</f>
        <v>Sea</v>
      </c>
      <c r="BB46" s="6" t="s">
        <v>9</v>
      </c>
      <c r="BC46" s="7">
        <f>RBs!AJ22-calcs!$E$10</f>
        <v>30.909184149184085</v>
      </c>
    </row>
    <row r="47" spans="2:55" x14ac:dyDescent="0.25">
      <c r="AA47" s="6">
        <v>45</v>
      </c>
      <c r="AB47" t="str">
        <f>QBs!A48</f>
        <v>Jeff Lewis</v>
      </c>
      <c r="AC47" s="6" t="str">
        <f>QBs!B48</f>
        <v>Car</v>
      </c>
      <c r="AD47" s="7">
        <f>QBs!AL48</f>
        <v>31.949074074074076</v>
      </c>
      <c r="AE47" s="7">
        <f>AD47-calcs!$E$9</f>
        <v>-256.37572138820963</v>
      </c>
      <c r="AF47" t="str">
        <f>RBs!A47</f>
        <v>Larry Centers</v>
      </c>
      <c r="AG47" s="6" t="str">
        <f>RBs!B47</f>
        <v>Was</v>
      </c>
      <c r="AH47" s="7">
        <f>RBs!AJ47</f>
        <v>84.200000000000017</v>
      </c>
      <c r="AI47" s="7">
        <f>AH47-calcs!$E$10</f>
        <v>-63.271934731934749</v>
      </c>
      <c r="AJ47" t="str">
        <f>WRs!A48</f>
        <v>Jake Reed</v>
      </c>
      <c r="AK47" s="6" t="str">
        <f>WRs!B48</f>
        <v>NO</v>
      </c>
      <c r="AL47" s="7">
        <f>WRs!AJ48</f>
        <v>125.48890756302521</v>
      </c>
      <c r="AM47" s="7">
        <f>AL47-calcs!$E$11</f>
        <v>-19.646905244856555</v>
      </c>
      <c r="AN47" t="str">
        <f>TEs!A48</f>
        <v>Reggie Davis</v>
      </c>
      <c r="AO47" s="6" t="str">
        <f>TEs!B48</f>
        <v>SD</v>
      </c>
      <c r="AP47" s="7">
        <f>TEs!T48</f>
        <v>18.272727272727277</v>
      </c>
      <c r="AQ47" s="7">
        <f>AP47-calcs!$E$12</f>
        <v>-43.103030303030309</v>
      </c>
      <c r="AY47" s="6">
        <v>45</v>
      </c>
      <c r="AZ47" t="str">
        <f>QBs!A11</f>
        <v>Jeff Blake</v>
      </c>
      <c r="BA47" s="6" t="str">
        <f>QBs!B11</f>
        <v>NO</v>
      </c>
      <c r="BB47" s="6" t="s">
        <v>13</v>
      </c>
      <c r="BC47" s="7">
        <f>QBs!AL11-calcs!$E$9</f>
        <v>30.642700405484902</v>
      </c>
    </row>
    <row r="48" spans="2:55" x14ac:dyDescent="0.25">
      <c r="AA48" s="6">
        <v>46</v>
      </c>
      <c r="AB48" t="str">
        <f>QBs!A47</f>
        <v>Gus Frerotte</v>
      </c>
      <c r="AC48" s="6" t="str">
        <f>QBs!B47</f>
        <v>Den</v>
      </c>
      <c r="AD48" s="7">
        <f>QBs!AL47</f>
        <v>28.636111111111109</v>
      </c>
      <c r="AE48" s="7">
        <f>AD48-calcs!$E$9</f>
        <v>-259.68868435117258</v>
      </c>
      <c r="AF48" t="str">
        <f>RBs!A45</f>
        <v>Olandis Gary</v>
      </c>
      <c r="AG48" s="6" t="str">
        <f>RBs!B45</f>
        <v>Den</v>
      </c>
      <c r="AH48" s="7">
        <f>RBs!AJ45</f>
        <v>82.328671328671319</v>
      </c>
      <c r="AI48" s="7">
        <f>AH48-calcs!$E$10</f>
        <v>-65.143263403263447</v>
      </c>
      <c r="AJ48" t="str">
        <f>WRs!A56</f>
        <v>Terrence Wilkins</v>
      </c>
      <c r="AK48" s="6" t="str">
        <f>WRs!B56</f>
        <v>Ind</v>
      </c>
      <c r="AL48" s="7">
        <f>WRs!AJ56</f>
        <v>117.72268907563026</v>
      </c>
      <c r="AM48" s="7">
        <f>AL48-calcs!$E$11</f>
        <v>-27.413123732251506</v>
      </c>
      <c r="AN48" t="str">
        <f>TEs!A49</f>
        <v>Chad Lewis</v>
      </c>
      <c r="AO48" s="6" t="str">
        <f>TEs!B49</f>
        <v>Phi</v>
      </c>
      <c r="AP48" s="7">
        <f>TEs!T49</f>
        <v>17.872727272727275</v>
      </c>
      <c r="AQ48" s="7">
        <f>AP48-calcs!$E$12</f>
        <v>-43.503030303030307</v>
      </c>
      <c r="AY48" s="6">
        <v>46</v>
      </c>
      <c r="AZ48" t="str">
        <f>WRs!A20</f>
        <v>Terrell Owens</v>
      </c>
      <c r="BA48" s="6" t="str">
        <f>WRs!B20</f>
        <v>SF</v>
      </c>
      <c r="BB48" s="6" t="s">
        <v>18</v>
      </c>
      <c r="BC48" s="7">
        <f>WRs!AJ20-calcs!$E$11</f>
        <v>27.59443929295864</v>
      </c>
    </row>
    <row r="49" spans="27:55" x14ac:dyDescent="0.25">
      <c r="AA49" s="6">
        <v>47</v>
      </c>
      <c r="AB49" t="str">
        <f>QBs!A49</f>
        <v>Randall Cunningham</v>
      </c>
      <c r="AC49" s="6" t="str">
        <f>QBs!B49</f>
        <v>Dal</v>
      </c>
      <c r="AD49" s="7">
        <f>QBs!AL49</f>
        <v>27.284074074074073</v>
      </c>
      <c r="AE49" s="7">
        <f>AD49-calcs!$E$9</f>
        <v>-261.04072138820965</v>
      </c>
      <c r="AF49" t="str">
        <f>RBs!A48</f>
        <v>Donnell Bennett</v>
      </c>
      <c r="AG49" s="6" t="str">
        <f>RBs!B48</f>
        <v>KC</v>
      </c>
      <c r="AH49" s="7">
        <f>RBs!AJ48</f>
        <v>75.481118881118888</v>
      </c>
      <c r="AI49" s="7">
        <f>AH49-calcs!$E$10</f>
        <v>-71.990815850815878</v>
      </c>
      <c r="AJ49" t="str">
        <f>WRs!A60</f>
        <v>Jacquez Green</v>
      </c>
      <c r="AK49" s="6" t="str">
        <f>WRs!B60</f>
        <v>TB</v>
      </c>
      <c r="AL49" s="7">
        <f>WRs!AJ60</f>
        <v>115.76512605042018</v>
      </c>
      <c r="AM49" s="7">
        <f>AL49-calcs!$E$11</f>
        <v>-29.370686757461584</v>
      </c>
      <c r="AN49" t="str">
        <f>TEs!A50</f>
        <v>Troy Drayton</v>
      </c>
      <c r="AO49" s="6" t="str">
        <f>TEs!B50</f>
        <v>KC</v>
      </c>
      <c r="AP49" s="7">
        <f>TEs!T50</f>
        <v>15.872727272727271</v>
      </c>
      <c r="AQ49" s="7">
        <f>AP49-calcs!$E$12</f>
        <v>-45.503030303030314</v>
      </c>
      <c r="AY49" s="6">
        <v>47</v>
      </c>
      <c r="AZ49" t="str">
        <f>Defs!A3</f>
        <v>St. Louis Rams</v>
      </c>
      <c r="BB49" s="6" t="s">
        <v>8</v>
      </c>
      <c r="BC49" s="7">
        <f>Defs!I3-calcs!$E$14</f>
        <v>26.100000000000009</v>
      </c>
    </row>
    <row r="50" spans="27:55" x14ac:dyDescent="0.25">
      <c r="AA50" s="6">
        <v>48</v>
      </c>
      <c r="AB50" t="str">
        <f>QBs!A50</f>
        <v>Jonathan Quinn</v>
      </c>
      <c r="AC50" s="6" t="str">
        <f>QBs!B50</f>
        <v>Jac</v>
      </c>
      <c r="AD50" s="7">
        <f>QBs!AL50</f>
        <v>27.124074074074077</v>
      </c>
      <c r="AE50" s="7">
        <f>AD50-calcs!$E$9</f>
        <v>-261.20072138820962</v>
      </c>
      <c r="AF50" t="str">
        <f>RBs!A50</f>
        <v>Terrell Fletcher</v>
      </c>
      <c r="AG50" s="6" t="str">
        <f>RBs!B50</f>
        <v>SD</v>
      </c>
      <c r="AH50" s="7">
        <f>RBs!AJ50</f>
        <v>73.172447552447537</v>
      </c>
      <c r="AI50" s="7">
        <f>AH50-calcs!$E$10</f>
        <v>-74.29948717948723</v>
      </c>
      <c r="AJ50" t="str">
        <f>WRs!A54</f>
        <v>Az-Zahir Hakim</v>
      </c>
      <c r="AK50" s="6" t="str">
        <f>WRs!B54</f>
        <v>StL</v>
      </c>
      <c r="AL50" s="7">
        <f>WRs!AJ54</f>
        <v>114.88571428571427</v>
      </c>
      <c r="AM50" s="7">
        <f>AL50-calcs!$E$11</f>
        <v>-30.250098522167491</v>
      </c>
      <c r="AN50" t="str">
        <f>TEs!A51</f>
        <v>Bobby Collins</v>
      </c>
      <c r="AO50" s="6" t="str">
        <f>TEs!B51</f>
        <v>Buf</v>
      </c>
      <c r="AP50" s="7">
        <f>TEs!T51</f>
        <v>12.9</v>
      </c>
      <c r="AQ50" s="7">
        <f>AP50-calcs!$E$12</f>
        <v>-48.475757575757584</v>
      </c>
      <c r="AY50" s="6">
        <v>48</v>
      </c>
      <c r="AZ50" t="str">
        <f>TEs!A7</f>
        <v>Shannon Sharpe</v>
      </c>
      <c r="BA50" s="6" t="str">
        <f>TEs!B7</f>
        <v>Bal</v>
      </c>
      <c r="BB50" s="6" t="str">
        <f>IF($I$30=0,"WR","TE")</f>
        <v>TE</v>
      </c>
      <c r="BC50" s="7">
        <f>TEs!T7-calcs!$E$12</f>
        <v>26.075151515151511</v>
      </c>
    </row>
    <row r="51" spans="27:55" x14ac:dyDescent="0.25">
      <c r="AA51" s="6">
        <v>49</v>
      </c>
      <c r="AB51" t="str">
        <f>QBs!A54</f>
        <v>Jeff George</v>
      </c>
      <c r="AC51" s="6" t="str">
        <f>QBs!B54</f>
        <v>Was</v>
      </c>
      <c r="AD51" s="7">
        <f>QBs!AL54</f>
        <v>24.124074074074077</v>
      </c>
      <c r="AE51" s="7">
        <f>AD51-calcs!$E$9</f>
        <v>-264.20072138820962</v>
      </c>
      <c r="AF51" t="str">
        <f>RBs!A52</f>
        <v>Robert Holcombe</v>
      </c>
      <c r="AG51" s="6" t="str">
        <f>RBs!B52</f>
        <v>StL</v>
      </c>
      <c r="AH51" s="7">
        <f>RBs!AJ52</f>
        <v>71.804895104895095</v>
      </c>
      <c r="AI51" s="7">
        <f>AH51-calcs!$E$10</f>
        <v>-75.667039627039671</v>
      </c>
      <c r="AJ51" t="str">
        <f>WRs!A57</f>
        <v>Charles Johnson</v>
      </c>
      <c r="AK51" s="6" t="str">
        <f>WRs!B57</f>
        <v>Phi</v>
      </c>
      <c r="AL51" s="7">
        <f>WRs!AJ57</f>
        <v>114.66890756302521</v>
      </c>
      <c r="AM51" s="7">
        <f>AL51-calcs!$E$11</f>
        <v>-30.466905244856548</v>
      </c>
      <c r="AN51" t="str">
        <f>TEs!A44</f>
        <v>Jeremy Brigham</v>
      </c>
      <c r="AO51" s="6" t="str">
        <f>TEs!B44</f>
        <v>Oak</v>
      </c>
      <c r="AP51" s="7">
        <f>TEs!T44</f>
        <v>12.5</v>
      </c>
      <c r="AQ51" s="7">
        <f>AP51-calcs!$E$12</f>
        <v>-48.875757575757582</v>
      </c>
      <c r="AY51" s="6">
        <v>49</v>
      </c>
      <c r="AZ51" t="str">
        <f>TEs!A6</f>
        <v>Freddie Jones</v>
      </c>
      <c r="BA51" s="6" t="str">
        <f>TEs!B6</f>
        <v>SD</v>
      </c>
      <c r="BB51" s="6" t="str">
        <f>IF($I$30=0,"WR","TE")</f>
        <v>TE</v>
      </c>
      <c r="BC51" s="7">
        <f>TEs!T6-calcs!$E$12</f>
        <v>25.915151515151528</v>
      </c>
    </row>
    <row r="52" spans="27:55" x14ac:dyDescent="0.25">
      <c r="AA52" s="6">
        <v>50</v>
      </c>
      <c r="AB52" t="str">
        <f>QBs!A51</f>
        <v>Warren Moon</v>
      </c>
      <c r="AC52" s="6" t="str">
        <f>QBs!B51</f>
        <v>KC</v>
      </c>
      <c r="AD52" s="7">
        <f>QBs!AL51</f>
        <v>23.139537037037037</v>
      </c>
      <c r="AE52" s="7">
        <f>AD52-calcs!$E$9</f>
        <v>-265.18525842524667</v>
      </c>
      <c r="AF52" t="str">
        <f>RBs!A51</f>
        <v>Stanley Pritchett</v>
      </c>
      <c r="AG52" s="6" t="str">
        <f>RBs!B51</f>
        <v>Phi</v>
      </c>
      <c r="AH52" s="7">
        <f>RBs!AJ51</f>
        <v>71.126223776223782</v>
      </c>
      <c r="AI52" s="7">
        <f>AH52-calcs!$E$10</f>
        <v>-76.345710955710985</v>
      </c>
      <c r="AJ52" t="str">
        <f>WRs!A47</f>
        <v>Shawn Jefferson</v>
      </c>
      <c r="AK52" s="6" t="str">
        <f>WRs!B47</f>
        <v>Atl</v>
      </c>
      <c r="AL52" s="7">
        <f>WRs!AJ47</f>
        <v>114.26890756302521</v>
      </c>
      <c r="AM52" s="7">
        <f>AL52-calcs!$E$11</f>
        <v>-30.866905244856554</v>
      </c>
      <c r="AN52" t="str">
        <f>TEs!A52</f>
        <v>Alonzo Mayes</v>
      </c>
      <c r="AO52" s="6" t="str">
        <f>TEs!B52</f>
        <v>Chi</v>
      </c>
      <c r="AP52" s="7">
        <f>TEs!T52</f>
        <v>12.360000000000001</v>
      </c>
      <c r="AQ52" s="7">
        <f>AP52-calcs!$E$12</f>
        <v>-49.015757575757583</v>
      </c>
      <c r="AY52" s="6">
        <v>50</v>
      </c>
      <c r="AZ52" t="str">
        <f>RBs!A23</f>
        <v>Jamal Anderson</v>
      </c>
      <c r="BA52" s="6" t="str">
        <f>RBs!B23</f>
        <v>Atl</v>
      </c>
      <c r="BB52" s="6" t="s">
        <v>9</v>
      </c>
      <c r="BC52" s="7">
        <f>RBs!AJ23-calcs!$E$10</f>
        <v>25.061631701631711</v>
      </c>
    </row>
    <row r="53" spans="27:55" x14ac:dyDescent="0.25">
      <c r="AA53" s="6">
        <v>51</v>
      </c>
      <c r="AB53" t="str">
        <f>QBs!A52</f>
        <v>Neil O'Donnell</v>
      </c>
      <c r="AC53" s="6" t="str">
        <f>QBs!B52</f>
        <v>Ten</v>
      </c>
      <c r="AD53" s="7">
        <f>QBs!AL52</f>
        <v>22.964074074074077</v>
      </c>
      <c r="AE53" s="7">
        <f>AD53-calcs!$E$9</f>
        <v>-265.36072138820964</v>
      </c>
      <c r="AF53" t="str">
        <f>RBs!A111</f>
        <v>Brandon Bennett</v>
      </c>
      <c r="AG53" s="6" t="str">
        <f>RBs!B111</f>
        <v>Cin</v>
      </c>
      <c r="AH53" s="7">
        <f>RBs!AJ111</f>
        <v>70.052447552447546</v>
      </c>
      <c r="AI53" s="7">
        <f>AH53-calcs!$E$10</f>
        <v>-77.41948717948722</v>
      </c>
      <c r="AJ53" t="str">
        <f>WRs!A50</f>
        <v>David Boston</v>
      </c>
      <c r="AK53" s="6" t="str">
        <f>WRs!B50</f>
        <v>Ari</v>
      </c>
      <c r="AL53" s="7">
        <f>WRs!AJ50</f>
        <v>109.66890756302521</v>
      </c>
      <c r="AM53" s="7">
        <f>AL53-calcs!$E$11</f>
        <v>-35.466905244856548</v>
      </c>
      <c r="AN53" t="str">
        <f>TEs!A53</f>
        <v>Hunter Goodwin</v>
      </c>
      <c r="AO53" s="6" t="str">
        <f>TEs!B53</f>
        <v>Mia</v>
      </c>
      <c r="AP53" s="7">
        <f>TEs!T53</f>
        <v>12</v>
      </c>
      <c r="AQ53" s="7">
        <f>AP53-calcs!$E$12</f>
        <v>-49.375757575757582</v>
      </c>
      <c r="AY53" s="6">
        <v>51</v>
      </c>
      <c r="AZ53" t="str">
        <f>WRs!A29</f>
        <v>Raghib Ismail</v>
      </c>
      <c r="BA53" s="6" t="str">
        <f>WRs!B29</f>
        <v>Dal</v>
      </c>
      <c r="BB53" s="6" t="s">
        <v>18</v>
      </c>
      <c r="BC53" s="7">
        <f>WRs!AJ29-calcs!$E$11</f>
        <v>25.027044334975386</v>
      </c>
    </row>
    <row r="54" spans="27:55" x14ac:dyDescent="0.25">
      <c r="AA54" s="6">
        <v>52</v>
      </c>
      <c r="AB54" t="str">
        <f>QBs!A53</f>
        <v>Jason Garrett</v>
      </c>
      <c r="AC54" s="6" t="str">
        <f>QBs!B53</f>
        <v>NYG</v>
      </c>
      <c r="AD54" s="7">
        <f>QBs!AL53</f>
        <v>22.524074074074072</v>
      </c>
      <c r="AE54" s="7">
        <f>AD54-calcs!$E$9</f>
        <v>-265.80072138820964</v>
      </c>
      <c r="AF54" t="str">
        <f>RBs!A65</f>
        <v>Kevin Faulk</v>
      </c>
      <c r="AG54" s="6" t="str">
        <f>RBs!B65</f>
        <v>NE</v>
      </c>
      <c r="AH54" s="7">
        <f>RBs!AJ65</f>
        <v>65.876223776223767</v>
      </c>
      <c r="AI54" s="7">
        <f>AH54-calcs!$E$10</f>
        <v>-81.595710955710999</v>
      </c>
      <c r="AJ54" t="str">
        <f>WRs!A59</f>
        <v>Jeff Graham</v>
      </c>
      <c r="AK54" s="6" t="str">
        <f>WRs!B59</f>
        <v>SD</v>
      </c>
      <c r="AL54" s="7">
        <f>WRs!AJ59</f>
        <v>108.41512605042018</v>
      </c>
      <c r="AM54" s="7">
        <f>AL54-calcs!$E$11</f>
        <v>-36.720686757461579</v>
      </c>
      <c r="AN54" t="str">
        <f>TEs!A54</f>
        <v>Jason Gavadza</v>
      </c>
      <c r="AO54" s="6" t="str">
        <f>TEs!B54</f>
        <v>Pit</v>
      </c>
      <c r="AP54" s="7">
        <f>TEs!T54</f>
        <v>12</v>
      </c>
      <c r="AQ54" s="7">
        <f>AP54-calcs!$E$12</f>
        <v>-49.375757575757582</v>
      </c>
      <c r="AY54" s="6">
        <v>52</v>
      </c>
      <c r="AZ54" t="str">
        <f>WRs!A28</f>
        <v>Joey Galloway</v>
      </c>
      <c r="BA54" s="6" t="str">
        <f>WRs!B28</f>
        <v>Dal</v>
      </c>
      <c r="BB54" s="6" t="s">
        <v>18</v>
      </c>
      <c r="BC54" s="7">
        <f>WRs!AJ28-calcs!$E$11</f>
        <v>25.014187192118271</v>
      </c>
    </row>
    <row r="55" spans="27:55" x14ac:dyDescent="0.25">
      <c r="AA55" s="6">
        <v>53</v>
      </c>
      <c r="AB55" t="str">
        <f>QBs!A55</f>
        <v>Billy Joe Tolliver</v>
      </c>
      <c r="AC55" s="6" t="str">
        <f>QBs!B55</f>
        <v>NO</v>
      </c>
      <c r="AD55" s="7">
        <f>QBs!AL55</f>
        <v>19.222037037037037</v>
      </c>
      <c r="AE55" s="7">
        <f>AD55-calcs!$E$9</f>
        <v>-269.10275842524669</v>
      </c>
      <c r="AF55" t="str">
        <f>RBs!A57</f>
        <v>Ron Rivers</v>
      </c>
      <c r="AG55" s="6" t="str">
        <f>RBs!B57</f>
        <v>Atl</v>
      </c>
      <c r="AH55" s="7">
        <f>RBs!AJ57</f>
        <v>65.352447552447558</v>
      </c>
      <c r="AI55" s="7">
        <f>AH55-calcs!$E$10</f>
        <v>-82.119487179487209</v>
      </c>
      <c r="AJ55" t="str">
        <f>WRs!A58</f>
        <v>Kevin Dyson</v>
      </c>
      <c r="AK55" s="6" t="str">
        <f>WRs!B58</f>
        <v>Ten</v>
      </c>
      <c r="AL55" s="7">
        <f>WRs!AJ58</f>
        <v>107.86890756302522</v>
      </c>
      <c r="AM55" s="7">
        <f>AL55-calcs!$E$11</f>
        <v>-37.266905244856545</v>
      </c>
      <c r="AN55" t="str">
        <f>TEs!A56</f>
        <v>Erron Kinney</v>
      </c>
      <c r="AO55" s="6" t="str">
        <f>TEs!B56</f>
        <v>Ten</v>
      </c>
      <c r="AP55" s="7">
        <f>TEs!T56</f>
        <v>11</v>
      </c>
      <c r="AQ55" s="7">
        <f>AP55-calcs!$E$12</f>
        <v>-50.375757575757582</v>
      </c>
      <c r="AY55" s="6">
        <v>53</v>
      </c>
      <c r="AZ55" t="str">
        <f>RBs!A21</f>
        <v>Jerome Bettis</v>
      </c>
      <c r="BA55" s="6" t="str">
        <f>RBs!B21</f>
        <v>Pit</v>
      </c>
      <c r="BB55" s="6" t="s">
        <v>9</v>
      </c>
      <c r="BC55" s="7">
        <f>RBs!AJ21-calcs!$E$10</f>
        <v>25.011631701631671</v>
      </c>
    </row>
    <row r="56" spans="27:55" x14ac:dyDescent="0.25">
      <c r="AA56" s="6">
        <v>54</v>
      </c>
      <c r="AB56" t="str">
        <f>QBs!A57</f>
        <v>Matt Hasselbeck</v>
      </c>
      <c r="AC56" s="6" t="str">
        <f>QBs!B57</f>
        <v>GB</v>
      </c>
      <c r="AD56" s="7">
        <f>QBs!AL57</f>
        <v>18.962037037037035</v>
      </c>
      <c r="AE56" s="7">
        <f>AD56-calcs!$E$9</f>
        <v>-269.36275842524668</v>
      </c>
      <c r="AF56" t="str">
        <f>RBs!A55</f>
        <v>Adrian Murrell</v>
      </c>
      <c r="AG56" s="6" t="str">
        <f>RBs!B55</f>
        <v>Was</v>
      </c>
      <c r="AH56" s="7">
        <f>RBs!AJ55</f>
        <v>61.752447552447563</v>
      </c>
      <c r="AI56" s="7">
        <f>AH56-calcs!$E$10</f>
        <v>-85.719487179487203</v>
      </c>
      <c r="AJ56" t="str">
        <f>WRs!A51</f>
        <v>Curtis Conway</v>
      </c>
      <c r="AK56" s="6" t="str">
        <f>WRs!B51</f>
        <v>SD</v>
      </c>
      <c r="AL56" s="7">
        <f>WRs!AJ51</f>
        <v>107.45512605042018</v>
      </c>
      <c r="AM56" s="7">
        <f>AL56-calcs!$E$11</f>
        <v>-37.680686757461586</v>
      </c>
      <c r="AN56" t="str">
        <f>TEs!A57</f>
        <v>James Jenkins</v>
      </c>
      <c r="AO56" s="6" t="str">
        <f>TEs!B57</f>
        <v>Was</v>
      </c>
      <c r="AP56" s="7">
        <f>TEs!T57</f>
        <v>11</v>
      </c>
      <c r="AQ56" s="7">
        <f>AP56-calcs!$E$12</f>
        <v>-50.375757575757582</v>
      </c>
      <c r="AY56" s="6">
        <v>54</v>
      </c>
      <c r="AZ56" t="str">
        <f>TEs!A8</f>
        <v>Jay Riemersma</v>
      </c>
      <c r="BA56" s="6" t="str">
        <f>TEs!B8</f>
        <v>Buf</v>
      </c>
      <c r="BB56" s="6" t="str">
        <f>IF($I$30=0,"WR","TE")</f>
        <v>TE</v>
      </c>
      <c r="BC56" s="7">
        <f>TEs!T8-calcs!$E$12</f>
        <v>24.987878787878778</v>
      </c>
    </row>
    <row r="57" spans="27:55" x14ac:dyDescent="0.25">
      <c r="AA57" s="6">
        <v>55</v>
      </c>
      <c r="AB57" t="str">
        <f>QBs!A58</f>
        <v>Doug Pederson</v>
      </c>
      <c r="AC57" s="6" t="str">
        <f>QBs!B58</f>
        <v>Phi</v>
      </c>
      <c r="AD57" s="7">
        <f>QBs!AL58</f>
        <v>18.427037037037035</v>
      </c>
      <c r="AE57" s="7">
        <f>AD57-calcs!$E$9</f>
        <v>-269.89775842524665</v>
      </c>
      <c r="AF57" t="str">
        <f>RBs!A59</f>
        <v>Rob Konrad</v>
      </c>
      <c r="AG57" s="6" t="str">
        <f>RBs!B59</f>
        <v>Mia</v>
      </c>
      <c r="AH57" s="7">
        <f>RBs!AJ59</f>
        <v>59.828671328671334</v>
      </c>
      <c r="AI57" s="7">
        <f>AH57-calcs!$E$10</f>
        <v>-87.643263403263433</v>
      </c>
      <c r="AJ57" t="str">
        <f>WRs!A52</f>
        <v>Darrin Chiaverini</v>
      </c>
      <c r="AK57" s="6" t="str">
        <f>WRs!B52</f>
        <v>Cle</v>
      </c>
      <c r="AL57" s="7">
        <f>WRs!AJ52</f>
        <v>105.41512605042018</v>
      </c>
      <c r="AM57" s="7">
        <f>AL57-calcs!$E$11</f>
        <v>-39.720686757461579</v>
      </c>
      <c r="AN57" t="str">
        <f>TEs!A58</f>
        <v>Carlester Crumpler</v>
      </c>
      <c r="AO57" s="6" t="str">
        <f>TEs!B58</f>
        <v>Min</v>
      </c>
      <c r="AP57" s="7">
        <f>TEs!T58</f>
        <v>10.9</v>
      </c>
      <c r="AQ57" s="7">
        <f>AP57-calcs!$E$12</f>
        <v>-50.475757575757584</v>
      </c>
      <c r="AY57" s="6">
        <v>55</v>
      </c>
      <c r="AZ57" t="str">
        <f>RBs!A19</f>
        <v>Mike Alstott</v>
      </c>
      <c r="BA57" s="6" t="str">
        <f>RBs!B19</f>
        <v>TB</v>
      </c>
      <c r="BB57" s="6" t="s">
        <v>9</v>
      </c>
      <c r="BC57" s="7">
        <f>RBs!AJ19-calcs!$E$10</f>
        <v>24.887855477855538</v>
      </c>
    </row>
    <row r="58" spans="27:55" x14ac:dyDescent="0.25">
      <c r="AA58" s="6">
        <v>56</v>
      </c>
      <c r="AB58" t="str">
        <f>QBs!A59</f>
        <v>Eric Zeier</v>
      </c>
      <c r="AC58" s="6" t="str">
        <f>QBs!B59</f>
        <v>TB</v>
      </c>
      <c r="AD58" s="7">
        <f>QBs!AL59</f>
        <v>18.162037037037035</v>
      </c>
      <c r="AE58" s="7">
        <f>AD58-calcs!$E$9</f>
        <v>-270.16275842524669</v>
      </c>
      <c r="AF58" t="str">
        <f>RBs!A56</f>
        <v>Tony Richardson</v>
      </c>
      <c r="AG58" s="6" t="str">
        <f>RBs!B56</f>
        <v>KC</v>
      </c>
      <c r="AH58" s="7">
        <f>RBs!AJ56</f>
        <v>59.452447552447559</v>
      </c>
      <c r="AI58" s="7">
        <f>AH58-calcs!$E$10</f>
        <v>-88.019487179487214</v>
      </c>
      <c r="AJ58" t="str">
        <f>WRs!A53</f>
        <v>Troy Edwards</v>
      </c>
      <c r="AK58" s="6" t="str">
        <f>WRs!B53</f>
        <v>Pit</v>
      </c>
      <c r="AL58" s="7">
        <f>WRs!AJ53</f>
        <v>104.81512605042019</v>
      </c>
      <c r="AM58" s="7">
        <f>AL58-calcs!$E$11</f>
        <v>-40.320686757461573</v>
      </c>
      <c r="AN58" t="str">
        <f>TEs!A59</f>
        <v>Aaron Shea</v>
      </c>
      <c r="AO58" s="6" t="str">
        <f>TEs!B59</f>
        <v>Cle</v>
      </c>
      <c r="AP58" s="7">
        <f>TEs!T59</f>
        <v>8.8000000000000007</v>
      </c>
      <c r="AQ58" s="7">
        <f>AP58-calcs!$E$12</f>
        <v>-52.575757575757578</v>
      </c>
      <c r="AY58" s="6">
        <v>56</v>
      </c>
      <c r="AZ58" t="str">
        <f>TEs!A5</f>
        <v>Frank Wycheck</v>
      </c>
      <c r="BA58" s="6" t="str">
        <f>TEs!B5</f>
        <v>Ten</v>
      </c>
      <c r="BB58" s="6" t="str">
        <f>IF($I$30=0,"WR","TE")</f>
        <v>TE</v>
      </c>
      <c r="BC58" s="7">
        <f>TEs!T5-calcs!$E$12</f>
        <v>24.742424242424242</v>
      </c>
    </row>
    <row r="59" spans="27:55" x14ac:dyDescent="0.25">
      <c r="AA59" s="6">
        <v>57</v>
      </c>
      <c r="AB59" t="str">
        <f>QBs!A64</f>
        <v>Bobby Hoying</v>
      </c>
      <c r="AC59" s="6" t="str">
        <f>QBs!B64</f>
        <v>Oak</v>
      </c>
      <c r="AD59" s="7">
        <f>QBs!AL64</f>
        <v>17.937037037037037</v>
      </c>
      <c r="AE59" s="7">
        <f>AD59-calcs!$E$9</f>
        <v>-270.38775842524666</v>
      </c>
      <c r="AF59" t="str">
        <f>RBs!A58</f>
        <v>James Allen</v>
      </c>
      <c r="AG59" s="6" t="str">
        <f>RBs!B58</f>
        <v>Chi</v>
      </c>
      <c r="AH59" s="7">
        <f>RBs!AJ58</f>
        <v>58.576223776223777</v>
      </c>
      <c r="AI59" s="7">
        <f>AH59-calcs!$E$10</f>
        <v>-88.895710955710996</v>
      </c>
      <c r="AJ59" t="str">
        <f>WRs!A61</f>
        <v>Herman Moore</v>
      </c>
      <c r="AK59" s="6" t="str">
        <f>WRs!B61</f>
        <v>Det</v>
      </c>
      <c r="AL59" s="7">
        <f>WRs!AJ61</f>
        <v>100.4651260504202</v>
      </c>
      <c r="AM59" s="7">
        <f>AL59-calcs!$E$11</f>
        <v>-44.670686757461567</v>
      </c>
      <c r="AN59" t="str">
        <f>TEs!A60</f>
        <v>Itula Mili</v>
      </c>
      <c r="AO59" s="6" t="str">
        <f>TEs!B60</f>
        <v>Sea</v>
      </c>
      <c r="AP59" s="7">
        <f>TEs!T60</f>
        <v>8</v>
      </c>
      <c r="AQ59" s="7">
        <f>AP59-calcs!$E$12</f>
        <v>-53.375757575757582</v>
      </c>
      <c r="AY59" s="6">
        <v>57</v>
      </c>
      <c r="AZ59" t="str">
        <f>Defs!A4</f>
        <v xml:space="preserve">Washington Redskins </v>
      </c>
      <c r="BB59" s="6" t="s">
        <v>8</v>
      </c>
      <c r="BC59" s="7">
        <f>Defs!I4-calcs!$E$14</f>
        <v>23.759999999999991</v>
      </c>
    </row>
    <row r="60" spans="27:55" x14ac:dyDescent="0.25">
      <c r="AA60" s="6">
        <v>58</v>
      </c>
      <c r="AB60" t="str">
        <f>QBs!A60</f>
        <v>Trent Green</v>
      </c>
      <c r="AC60" s="6" t="str">
        <f>QBs!B60</f>
        <v>StL</v>
      </c>
      <c r="AD60" s="7">
        <f>QBs!AL60</f>
        <v>15.722037037037037</v>
      </c>
      <c r="AE60" s="7">
        <f>AD60-calcs!$E$9</f>
        <v>-272.60275842524669</v>
      </c>
      <c r="AF60" t="str">
        <f>RBs!A61</f>
        <v>Shawn Bryson</v>
      </c>
      <c r="AG60" s="6" t="str">
        <f>RBs!B61</f>
        <v>Buf</v>
      </c>
      <c r="AH60" s="7">
        <f>RBs!AJ61</f>
        <v>57.828671328671334</v>
      </c>
      <c r="AI60" s="7">
        <f>AH60-calcs!$E$10</f>
        <v>-89.643263403263433</v>
      </c>
      <c r="AJ60" t="str">
        <f>WRs!A55</f>
        <v>Carl Pickens</v>
      </c>
      <c r="AK60" s="6" t="str">
        <f>WRs!B55</f>
        <v>Ten</v>
      </c>
      <c r="AL60" s="7">
        <f>WRs!AJ55</f>
        <v>97.418907563025215</v>
      </c>
      <c r="AM60" s="7">
        <f>AL60-calcs!$E$11</f>
        <v>-47.716905244856548</v>
      </c>
      <c r="AN60" t="str">
        <f>TEs!A61</f>
        <v>Ed Perry</v>
      </c>
      <c r="AO60" s="6" t="str">
        <f>TEs!B61</f>
        <v>Mia</v>
      </c>
      <c r="AP60" s="7">
        <f>TEs!T61</f>
        <v>7.9</v>
      </c>
      <c r="AQ60" s="7">
        <f>AP60-calcs!$E$12</f>
        <v>-53.475757575757584</v>
      </c>
      <c r="AY60" s="6">
        <v>58</v>
      </c>
      <c r="AZ60" t="str">
        <f>TEs!A9</f>
        <v>Rickey Dudley</v>
      </c>
      <c r="BA60" s="6" t="str">
        <f>TEs!B9</f>
        <v>Oak</v>
      </c>
      <c r="BB60" s="6" t="str">
        <f>IF($I$30=0,"WR","TE")</f>
        <v>TE</v>
      </c>
      <c r="BC60" s="7">
        <f>TEs!T9-calcs!$E$12</f>
        <v>23.737878787878778</v>
      </c>
    </row>
    <row r="61" spans="27:55" x14ac:dyDescent="0.25">
      <c r="AA61" s="6">
        <v>59</v>
      </c>
      <c r="AB61" t="str">
        <f>QBs!A61</f>
        <v>Ty Detmer</v>
      </c>
      <c r="AC61" s="6" t="str">
        <f>QBs!B61</f>
        <v>Cle</v>
      </c>
      <c r="AD61" s="7">
        <f>QBs!AL61</f>
        <v>15.462037037037037</v>
      </c>
      <c r="AE61" s="7">
        <f>AD61-calcs!$E$9</f>
        <v>-272.86275842524668</v>
      </c>
      <c r="AF61" t="str">
        <f>RBs!A60</f>
        <v>Byron Hanspard</v>
      </c>
      <c r="AG61" s="6" t="str">
        <f>RBs!B60</f>
        <v>Atl</v>
      </c>
      <c r="AH61" s="7">
        <f>RBs!AJ60</f>
        <v>56.476223776223783</v>
      </c>
      <c r="AI61" s="7">
        <f>AH61-calcs!$E$10</f>
        <v>-90.99571095571099</v>
      </c>
      <c r="AJ61" t="str">
        <f>WRs!A80</f>
        <v>Jermaine Lewis</v>
      </c>
      <c r="AK61" s="6" t="str">
        <f>WRs!B80</f>
        <v>Bal</v>
      </c>
      <c r="AL61" s="7">
        <f>WRs!AJ80</f>
        <v>92.56512605042019</v>
      </c>
      <c r="AM61" s="7">
        <f>AL61-calcs!$E$11</f>
        <v>-52.570686757461573</v>
      </c>
      <c r="AN61" t="str">
        <f>TEs!A62</f>
        <v>Brian Kinchen</v>
      </c>
      <c r="AO61" s="6" t="str">
        <f>TEs!B62</f>
        <v>Car</v>
      </c>
      <c r="AP61" s="7">
        <f>TEs!T62</f>
        <v>7.2</v>
      </c>
      <c r="AQ61" s="7">
        <f>AP61-calcs!$E$12</f>
        <v>-54.175757575757579</v>
      </c>
      <c r="AY61" s="6">
        <v>59</v>
      </c>
      <c r="AZ61" t="str">
        <f>QBs!A13</f>
        <v>Steve Beuerlein</v>
      </c>
      <c r="BA61" s="6" t="str">
        <f>QBs!B13</f>
        <v>Car</v>
      </c>
      <c r="BB61" s="6" t="s">
        <v>13</v>
      </c>
      <c r="BC61" s="7">
        <f>QBs!AL13-calcs!$E$9</f>
        <v>23.476777571424179</v>
      </c>
    </row>
    <row r="62" spans="27:55" x14ac:dyDescent="0.25">
      <c r="AA62" s="6">
        <v>60</v>
      </c>
      <c r="AB62" t="str">
        <f>QBs!A56</f>
        <v>Giovanni Carmazzi</v>
      </c>
      <c r="AC62" s="6" t="str">
        <f>QBs!B56</f>
        <v>SF</v>
      </c>
      <c r="AD62" s="7">
        <f>QBs!AL56</f>
        <v>15.162037037037038</v>
      </c>
      <c r="AE62" s="7">
        <f>AD62-calcs!$E$9</f>
        <v>-273.16275842524669</v>
      </c>
      <c r="AF62" t="str">
        <f>RBs!A62</f>
        <v>Terry Kirby</v>
      </c>
      <c r="AG62" s="6" t="str">
        <f>RBs!B62</f>
        <v>Cle</v>
      </c>
      <c r="AH62" s="7">
        <f>RBs!AJ62</f>
        <v>56.076223776223785</v>
      </c>
      <c r="AI62" s="7">
        <f>AH62-calcs!$E$10</f>
        <v>-91.395710955710982</v>
      </c>
      <c r="AJ62" t="str">
        <f>WRs!A64</f>
        <v>Torrance Small</v>
      </c>
      <c r="AK62" s="6" t="str">
        <f>WRs!B64</f>
        <v>Phi</v>
      </c>
      <c r="AL62" s="7">
        <f>WRs!AJ64</f>
        <v>92.361344537815128</v>
      </c>
      <c r="AM62" s="7">
        <f>AL62-calcs!$E$11</f>
        <v>-52.774468270066635</v>
      </c>
      <c r="AN62" t="str">
        <f>TEs!A63</f>
        <v>Howard Cross</v>
      </c>
      <c r="AO62" s="6" t="str">
        <f>TEs!B63</f>
        <v>NYG</v>
      </c>
      <c r="AP62" s="7">
        <f>TEs!T63</f>
        <v>6.7</v>
      </c>
      <c r="AQ62" s="7">
        <f>AP62-calcs!$E$12</f>
        <v>-54.675757575757579</v>
      </c>
      <c r="AY62" s="6">
        <v>60</v>
      </c>
      <c r="AZ62" t="str">
        <f>Defs!A5</f>
        <v xml:space="preserve">Baltimore Ravens </v>
      </c>
      <c r="BB62" s="6" t="s">
        <v>8</v>
      </c>
      <c r="BC62" s="7">
        <f>Defs!I5-calcs!$E$14</f>
        <v>22.78</v>
      </c>
    </row>
    <row r="63" spans="27:55" x14ac:dyDescent="0.25">
      <c r="AA63" s="6">
        <v>61</v>
      </c>
      <c r="AB63" t="str">
        <f>QBs!A62</f>
        <v>Glenn Foley</v>
      </c>
      <c r="AC63" s="6" t="str">
        <f>QBs!B62</f>
        <v>Sea</v>
      </c>
      <c r="AD63" s="7">
        <f>QBs!AL62</f>
        <v>14.902037037037037</v>
      </c>
      <c r="AE63" s="7">
        <f>AD63-calcs!$E$9</f>
        <v>-273.42275842524668</v>
      </c>
      <c r="AF63" t="str">
        <f>RBs!A63</f>
        <v>Thurman Thomas</v>
      </c>
      <c r="AG63" s="6" t="str">
        <f>RBs!B63</f>
        <v>Mia</v>
      </c>
      <c r="AH63" s="7">
        <f>RBs!AJ63</f>
        <v>55.52622377622378</v>
      </c>
      <c r="AI63" s="7">
        <f>AH63-calcs!$E$10</f>
        <v>-91.945710955710979</v>
      </c>
      <c r="AJ63" t="str">
        <f>WRs!A70</f>
        <v>Keith Poole</v>
      </c>
      <c r="AK63" s="6" t="str">
        <f>WRs!B70</f>
        <v>NO</v>
      </c>
      <c r="AL63" s="7">
        <f>WRs!AJ70</f>
        <v>90.711344537815123</v>
      </c>
      <c r="AM63" s="7">
        <f>AL63-calcs!$E$11</f>
        <v>-54.42446827006664</v>
      </c>
      <c r="AN63" t="str">
        <f>TEs!A64</f>
        <v>Shonn Bell</v>
      </c>
      <c r="AO63" s="6" t="str">
        <f>TEs!B64</f>
        <v>SF</v>
      </c>
      <c r="AP63" s="7">
        <f>TEs!T64</f>
        <v>5.5</v>
      </c>
      <c r="AQ63" s="7">
        <f>AP63-calcs!$E$12</f>
        <v>-55.875757575757582</v>
      </c>
      <c r="AY63" s="6">
        <v>61</v>
      </c>
      <c r="AZ63" t="str">
        <f>WRs!A31</f>
        <v>Peter Warrick</v>
      </c>
      <c r="BA63" s="6" t="str">
        <f>WRs!B31</f>
        <v>Cin</v>
      </c>
      <c r="BB63" s="6" t="s">
        <v>18</v>
      </c>
      <c r="BC63" s="7">
        <f>WRs!AJ31-calcs!$E$11</f>
        <v>22.686876267748488</v>
      </c>
    </row>
    <row r="64" spans="27:55" x14ac:dyDescent="0.25">
      <c r="AA64" s="6">
        <v>62</v>
      </c>
      <c r="AB64" t="str">
        <f>QBs!A63</f>
        <v>John Friesz</v>
      </c>
      <c r="AC64" s="6" t="str">
        <f>QBs!B63</f>
        <v>NE</v>
      </c>
      <c r="AD64" s="7">
        <f>QBs!AL63</f>
        <v>14.412037037037038</v>
      </c>
      <c r="AE64" s="7">
        <f>AD64-calcs!$E$9</f>
        <v>-273.91275842524669</v>
      </c>
      <c r="AF64" t="str">
        <f>RBs!A73</f>
        <v>Curtis Keaton</v>
      </c>
      <c r="AG64" s="6" t="str">
        <f>RBs!B73</f>
        <v>Cin</v>
      </c>
      <c r="AH64" s="7">
        <f>RBs!AJ73</f>
        <v>52.976223776223776</v>
      </c>
      <c r="AI64" s="7">
        <f>AH64-calcs!$E$10</f>
        <v>-94.49571095571099</v>
      </c>
      <c r="AJ64" t="str">
        <f>WRs!A66</f>
        <v>Frank Sanders</v>
      </c>
      <c r="AK64" s="6" t="str">
        <f>WRs!B66</f>
        <v>Ari</v>
      </c>
      <c r="AL64" s="7">
        <f>WRs!AJ66</f>
        <v>89.861344537815128</v>
      </c>
      <c r="AM64" s="7">
        <f>AL64-calcs!$E$11</f>
        <v>-55.274468270066635</v>
      </c>
      <c r="AN64" t="str">
        <f>TEs!A65</f>
        <v>Walter Rasby</v>
      </c>
      <c r="AO64" s="6" t="str">
        <f>TEs!B65</f>
        <v>Det</v>
      </c>
      <c r="AP64" s="7">
        <f>TEs!T65</f>
        <v>4.5</v>
      </c>
      <c r="AQ64" s="7">
        <f>AP64-calcs!$E$12</f>
        <v>-56.875757575757582</v>
      </c>
      <c r="AY64" s="6">
        <v>62</v>
      </c>
      <c r="AZ64" t="str">
        <f>WRs!A17</f>
        <v>Keyshawn Johnson</v>
      </c>
      <c r="BA64" s="6" t="str">
        <f>WRs!B17</f>
        <v>TB</v>
      </c>
      <c r="BB64" s="6" t="s">
        <v>18</v>
      </c>
      <c r="BC64" s="7">
        <f>WRs!AJ17-calcs!$E$11</f>
        <v>22.518669950738939</v>
      </c>
    </row>
    <row r="65" spans="27:55" x14ac:dyDescent="0.25">
      <c r="AA65" s="6">
        <v>63</v>
      </c>
      <c r="AB65" t="str">
        <f>QBs!A65</f>
        <v>Kelly Holcomb</v>
      </c>
      <c r="AC65" s="6" t="str">
        <f>QBs!B65</f>
        <v>Ind</v>
      </c>
      <c r="AD65" s="7">
        <f>QBs!AL65</f>
        <v>3.6000000000000005</v>
      </c>
      <c r="AE65" s="7">
        <f>AD65-calcs!$E$9</f>
        <v>-284.72479546228368</v>
      </c>
      <c r="AF65" t="str">
        <f>RBs!A64</f>
        <v>Karim Abdul-Jabbar</v>
      </c>
      <c r="AG65" s="6" t="str">
        <f>RBs!B64</f>
        <v>Ind</v>
      </c>
      <c r="AH65" s="7">
        <f>RBs!AJ64</f>
        <v>50.252447552447549</v>
      </c>
      <c r="AI65" s="7">
        <f>AH65-calcs!$E$10</f>
        <v>-97.219487179487217</v>
      </c>
      <c r="AJ65" t="str">
        <f>WRs!A68</f>
        <v>Corey Bradford</v>
      </c>
      <c r="AK65" s="6" t="str">
        <f>WRs!B68</f>
        <v>GB</v>
      </c>
      <c r="AL65" s="7">
        <f>WRs!AJ68</f>
        <v>88.615126050420201</v>
      </c>
      <c r="AM65" s="7">
        <f>AL65-calcs!$E$11</f>
        <v>-56.520686757461561</v>
      </c>
      <c r="AN65" t="str">
        <f>TEs!A19</f>
        <v>Cam Cleeland</v>
      </c>
      <c r="AO65" s="6" t="str">
        <f>TEs!B19</f>
        <v>NO</v>
      </c>
      <c r="AP65" s="7">
        <f>TEs!T19</f>
        <v>0</v>
      </c>
      <c r="AQ65" s="7">
        <f>AP65-calcs!$E$12</f>
        <v>-61.375757575757582</v>
      </c>
      <c r="AY65" s="6">
        <v>63</v>
      </c>
      <c r="AZ65" t="str">
        <f>WRs!A30</f>
        <v>Patrick Jeffers</v>
      </c>
      <c r="BA65" s="6" t="str">
        <f>WRs!B30</f>
        <v>Car</v>
      </c>
      <c r="BB65" s="6" t="s">
        <v>18</v>
      </c>
      <c r="BC65" s="7">
        <f>WRs!AJ30-calcs!$E$11</f>
        <v>22.007044334975404</v>
      </c>
    </row>
    <row r="66" spans="27:55" x14ac:dyDescent="0.25">
      <c r="AA66" s="6">
        <v>64</v>
      </c>
      <c r="AF66" t="str">
        <f>RBs!A54</f>
        <v>Chris Howard</v>
      </c>
      <c r="AG66" s="6" t="str">
        <f>RBs!B54</f>
        <v>Jac</v>
      </c>
      <c r="AH66" s="7">
        <f>RBs!AJ54</f>
        <v>48.05244755244756</v>
      </c>
      <c r="AI66" s="7">
        <f>AH66-calcs!$E$10</f>
        <v>-99.419487179487206</v>
      </c>
      <c r="AJ66" t="str">
        <f>WRs!A75</f>
        <v>Donald Hayes</v>
      </c>
      <c r="AK66" s="6" t="str">
        <f>WRs!B75</f>
        <v>Car</v>
      </c>
      <c r="AL66" s="7">
        <f>WRs!AJ75</f>
        <v>88.361344537815128</v>
      </c>
      <c r="AM66" s="7">
        <f>AL66-calcs!$E$11</f>
        <v>-56.774468270066635</v>
      </c>
      <c r="AY66" s="6">
        <v>64</v>
      </c>
      <c r="AZ66" t="str">
        <f>WRs!A23</f>
        <v>Rob Moore</v>
      </c>
      <c r="BA66" s="6" t="str">
        <f>WRs!B23</f>
        <v>Ari</v>
      </c>
      <c r="BB66" s="6" t="s">
        <v>18</v>
      </c>
      <c r="BC66" s="7">
        <f>WRs!AJ23-calcs!$E$11</f>
        <v>21.61935960591137</v>
      </c>
    </row>
    <row r="67" spans="27:55" x14ac:dyDescent="0.25">
      <c r="AA67" s="6">
        <v>65</v>
      </c>
      <c r="AF67" t="str">
        <f>RBs!A67</f>
        <v>Trung Canidate</v>
      </c>
      <c r="AG67" s="6" t="str">
        <f>RBs!B67</f>
        <v>StL</v>
      </c>
      <c r="AH67" s="7">
        <f>RBs!AJ67</f>
        <v>46.752447552447563</v>
      </c>
      <c r="AI67" s="7">
        <f>AH67-calcs!$E$10</f>
        <v>-100.7194871794872</v>
      </c>
      <c r="AJ67" t="str">
        <f>WRs!A67</f>
        <v>Dedric Ward</v>
      </c>
      <c r="AK67" s="6" t="str">
        <f>WRs!B67</f>
        <v>NYJ</v>
      </c>
      <c r="AL67" s="7">
        <f>WRs!AJ67</f>
        <v>88.161344537815125</v>
      </c>
      <c r="AM67" s="7">
        <f>AL67-calcs!$E$11</f>
        <v>-56.974468270066637</v>
      </c>
      <c r="AY67" s="6">
        <v>65</v>
      </c>
      <c r="AZ67" t="str">
        <f>QBs!A8</f>
        <v>Rich Gannon</v>
      </c>
      <c r="BA67" s="6" t="str">
        <f>QBs!B8</f>
        <v>Oak</v>
      </c>
      <c r="BB67" s="6" t="s">
        <v>13</v>
      </c>
      <c r="BC67" s="7">
        <f>QBs!AL8-calcs!$E$9</f>
        <v>21.600512808392978</v>
      </c>
    </row>
    <row r="68" spans="27:55" x14ac:dyDescent="0.25">
      <c r="AA68" s="6">
        <v>66</v>
      </c>
      <c r="AF68" t="str">
        <f>RBs!A71</f>
        <v>William Floyd</v>
      </c>
      <c r="AG68" s="6" t="str">
        <f>RBs!B71</f>
        <v>Car</v>
      </c>
      <c r="AH68" s="7">
        <f>RBs!AJ71</f>
        <v>45.052447552447546</v>
      </c>
      <c r="AI68" s="7">
        <f>AH68-calcs!$E$10</f>
        <v>-102.41948717948722</v>
      </c>
      <c r="AJ68" t="str">
        <f>WRs!A65</f>
        <v>James Jett</v>
      </c>
      <c r="AK68" s="6" t="str">
        <f>WRs!B65</f>
        <v>Oak</v>
      </c>
      <c r="AL68" s="7">
        <f>WRs!AJ65</f>
        <v>87.821428571428584</v>
      </c>
      <c r="AM68" s="7">
        <f>AL68-calcs!$E$11</f>
        <v>-57.314384236453179</v>
      </c>
      <c r="AY68" s="6">
        <v>66</v>
      </c>
      <c r="AZ68" t="str">
        <f>WRs!A14</f>
        <v>Derrick Mayes</v>
      </c>
      <c r="BA68" s="6" t="str">
        <f>WRs!B14</f>
        <v>Sea</v>
      </c>
      <c r="BB68" s="6" t="s">
        <v>18</v>
      </c>
      <c r="BC68" s="7">
        <f>WRs!AJ14-calcs!$E$11</f>
        <v>20.419359605911382</v>
      </c>
    </row>
    <row r="69" spans="27:55" x14ac:dyDescent="0.25">
      <c r="AA69" s="6">
        <v>67</v>
      </c>
      <c r="AF69" t="str">
        <f>RBs!A68</f>
        <v>Bernie Parmalee</v>
      </c>
      <c r="AG69" s="6" t="str">
        <f>RBs!B68</f>
        <v>NYJ</v>
      </c>
      <c r="AH69" s="7">
        <f>RBs!AJ68</f>
        <v>44.776223776223773</v>
      </c>
      <c r="AI69" s="7">
        <f>AH69-calcs!$E$10</f>
        <v>-102.69571095571099</v>
      </c>
      <c r="AJ69" t="str">
        <f>WRs!A74</f>
        <v>Tony Simmons</v>
      </c>
      <c r="AK69" s="6" t="str">
        <f>WRs!B74</f>
        <v>NE</v>
      </c>
      <c r="AL69" s="7">
        <f>WRs!AJ74</f>
        <v>86.071428571428584</v>
      </c>
      <c r="AM69" s="7">
        <f>AL69-calcs!$E$11</f>
        <v>-59.064384236453179</v>
      </c>
      <c r="AY69" s="6">
        <v>67</v>
      </c>
      <c r="AZ69" t="str">
        <f>RBs!A27</f>
        <v>Tim Biakabutuka</v>
      </c>
      <c r="BA69" s="6" t="str">
        <f>RBs!B27</f>
        <v>Car</v>
      </c>
      <c r="BB69" s="6" t="s">
        <v>9</v>
      </c>
      <c r="BC69" s="7">
        <f>RBs!AJ27-calcs!$E$10</f>
        <v>20.332960372960429</v>
      </c>
    </row>
    <row r="70" spans="27:55" x14ac:dyDescent="0.25">
      <c r="AA70" s="6">
        <v>68</v>
      </c>
      <c r="AF70" t="str">
        <f>RBs!A72</f>
        <v>Sedrick Irvin</v>
      </c>
      <c r="AG70" s="6" t="str">
        <f>RBs!B72</f>
        <v>Det</v>
      </c>
      <c r="AH70" s="7">
        <f>RBs!AJ72</f>
        <v>43.176223776223779</v>
      </c>
      <c r="AI70" s="7">
        <f>AH70-calcs!$E$10</f>
        <v>-104.29571095571099</v>
      </c>
      <c r="AJ70" t="str">
        <f>WRs!A72</f>
        <v>Kevin Lockett</v>
      </c>
      <c r="AK70" s="6" t="str">
        <f>WRs!B72</f>
        <v>KC</v>
      </c>
      <c r="AL70" s="7">
        <f>WRs!AJ72</f>
        <v>83.861344537815128</v>
      </c>
      <c r="AM70" s="7">
        <f>AL70-calcs!$E$11</f>
        <v>-61.274468270066635</v>
      </c>
      <c r="AY70" s="6">
        <v>68</v>
      </c>
      <c r="AZ70" t="str">
        <f>RBs!A24</f>
        <v>Errict Rhett</v>
      </c>
      <c r="BA70" s="6" t="str">
        <f>RBs!B24</f>
        <v>Cle</v>
      </c>
      <c r="BB70" s="6" t="s">
        <v>9</v>
      </c>
      <c r="BC70" s="7">
        <f>RBs!AJ24-calcs!$E$10</f>
        <v>17.661631701631705</v>
      </c>
    </row>
    <row r="71" spans="27:55" x14ac:dyDescent="0.25">
      <c r="AA71" s="6">
        <v>69</v>
      </c>
      <c r="AF71" t="str">
        <f>RBs!A74</f>
        <v>Terry Jackson</v>
      </c>
      <c r="AG71" s="6" t="str">
        <f>RBs!B74</f>
        <v>SF</v>
      </c>
      <c r="AH71" s="7">
        <f>RBs!AJ74</f>
        <v>41.476223776223776</v>
      </c>
      <c r="AI71" s="7">
        <f>AH71-calcs!$E$10</f>
        <v>-105.99571095571099</v>
      </c>
      <c r="AJ71" t="str">
        <f>WRs!A73</f>
        <v>O.J. McDuffie</v>
      </c>
      <c r="AK71" s="6" t="str">
        <f>WRs!B73</f>
        <v>Mia</v>
      </c>
      <c r="AL71" s="7">
        <f>WRs!AJ73</f>
        <v>81.111344537815114</v>
      </c>
      <c r="AM71" s="7">
        <f>AL71-calcs!$E$11</f>
        <v>-64.024468270066649</v>
      </c>
      <c r="AY71" s="6">
        <v>69</v>
      </c>
      <c r="AZ71" t="str">
        <f>WRs!A25</f>
        <v>Terance Mathis</v>
      </c>
      <c r="BA71" s="6" t="str">
        <f>WRs!B25</f>
        <v>Atl</v>
      </c>
      <c r="BB71" s="6" t="s">
        <v>18</v>
      </c>
      <c r="BC71" s="7">
        <f>WRs!AJ25-calcs!$E$11</f>
        <v>16.844439292958583</v>
      </c>
    </row>
    <row r="72" spans="27:55" x14ac:dyDescent="0.25">
      <c r="AA72" s="6">
        <v>70</v>
      </c>
      <c r="AF72" t="str">
        <f>RBs!A66</f>
        <v>Lamar Smith</v>
      </c>
      <c r="AG72" s="6" t="str">
        <f>RBs!B66</f>
        <v>Mia</v>
      </c>
      <c r="AH72" s="7">
        <f>RBs!AJ66</f>
        <v>40.526223776223773</v>
      </c>
      <c r="AI72" s="7">
        <f>AH72-calcs!$E$10</f>
        <v>-106.94571095571099</v>
      </c>
      <c r="AJ72" t="str">
        <f>WRs!A109</f>
        <v>Craig Yeast</v>
      </c>
      <c r="AK72" s="6" t="str">
        <f>WRs!B109</f>
        <v>Cin</v>
      </c>
      <c r="AL72" s="7">
        <f>WRs!AJ109</f>
        <v>80.861344537815128</v>
      </c>
      <c r="AM72" s="7">
        <f>AL72-calcs!$E$11</f>
        <v>-64.274468270066635</v>
      </c>
      <c r="AY72" s="6">
        <v>70</v>
      </c>
      <c r="AZ72" t="str">
        <f>TEs!A10</f>
        <v>Pete Mitchell</v>
      </c>
      <c r="BA72" s="6" t="str">
        <f>TEs!B10</f>
        <v>NYG</v>
      </c>
      <c r="BB72" s="6" t="str">
        <f>IF($I$30=0,"WR","TE")</f>
        <v>TE</v>
      </c>
      <c r="BC72" s="7">
        <f>TEs!T10-calcs!$E$12</f>
        <v>16.465151515151526</v>
      </c>
    </row>
    <row r="73" spans="27:55" x14ac:dyDescent="0.25">
      <c r="AA73" s="6">
        <v>71</v>
      </c>
      <c r="AF73" t="str">
        <f>RBs!A75</f>
        <v>Mario Bates</v>
      </c>
      <c r="AG73" s="6" t="str">
        <f>RBs!B75</f>
        <v>Ari</v>
      </c>
      <c r="AH73" s="7">
        <f>RBs!AJ75</f>
        <v>40.448671328671331</v>
      </c>
      <c r="AI73" s="7">
        <f>AH73-calcs!$E$10</f>
        <v>-107.02326340326343</v>
      </c>
      <c r="AJ73" t="str">
        <f>WRs!A63</f>
        <v>Yancey Thigpen</v>
      </c>
      <c r="AK73" s="6" t="str">
        <f>WRs!B63</f>
        <v>Ten</v>
      </c>
      <c r="AL73" s="7">
        <f>WRs!AJ63</f>
        <v>77.861344537815114</v>
      </c>
      <c r="AM73" s="7">
        <f>AL73-calcs!$E$11</f>
        <v>-67.274468270066649</v>
      </c>
      <c r="AY73" s="6">
        <v>71</v>
      </c>
      <c r="AZ73" t="str">
        <f>QBs!A12</f>
        <v>Mark Brunell</v>
      </c>
      <c r="BA73" s="6" t="str">
        <f>QBs!B12</f>
        <v>Jac</v>
      </c>
      <c r="BB73" s="6" t="s">
        <v>13</v>
      </c>
      <c r="BC73" s="7">
        <f>QBs!AL12-calcs!$E$9</f>
        <v>15.659911304633624</v>
      </c>
    </row>
    <row r="74" spans="27:55" x14ac:dyDescent="0.25">
      <c r="AA74" s="6">
        <v>72</v>
      </c>
      <c r="AF74" t="str">
        <f>RBs!A77</f>
        <v>William Henderson</v>
      </c>
      <c r="AG74" s="6" t="str">
        <f>RBs!B77</f>
        <v>GB</v>
      </c>
      <c r="AH74" s="7">
        <f>RBs!AJ77</f>
        <v>40.226223776223776</v>
      </c>
      <c r="AI74" s="7">
        <f>AH74-calcs!$E$10</f>
        <v>-107.24571095571099</v>
      </c>
      <c r="AJ74" t="str">
        <f>WRs!A71</f>
        <v>Marty Booker</v>
      </c>
      <c r="AK74" s="6" t="str">
        <f>WRs!B71</f>
        <v>Chi</v>
      </c>
      <c r="AL74" s="7">
        <f>WRs!AJ71</f>
        <v>74.911344537815111</v>
      </c>
      <c r="AM74" s="7">
        <f>AL74-calcs!$E$11</f>
        <v>-70.224468270066652</v>
      </c>
      <c r="AY74" s="6">
        <v>72</v>
      </c>
      <c r="AZ74" t="str">
        <f>PKs!A3</f>
        <v>Mike Vanderjagt</v>
      </c>
      <c r="BA74" s="6" t="str">
        <f>PKs!B3</f>
        <v>Ind</v>
      </c>
      <c r="BB74" s="6" t="s">
        <v>24</v>
      </c>
      <c r="BC74" s="7">
        <f>PKs!W3-calcs!$E$13</f>
        <v>14.806251982205666</v>
      </c>
    </row>
    <row r="75" spans="27:55" x14ac:dyDescent="0.25">
      <c r="AA75" s="6">
        <v>73</v>
      </c>
      <c r="AF75" t="str">
        <f>RBs!A76</f>
        <v>Charles Evans</v>
      </c>
      <c r="AG75" s="6" t="str">
        <f>RBs!B76</f>
        <v>Bal</v>
      </c>
      <c r="AH75" s="7">
        <f>RBs!AJ76</f>
        <v>40.226223776223783</v>
      </c>
      <c r="AI75" s="7">
        <f>AH75-calcs!$E$10</f>
        <v>-107.24571095571099</v>
      </c>
      <c r="AJ75" t="str">
        <f>WRs!A62</f>
        <v>Justin Armour</v>
      </c>
      <c r="AK75" s="6" t="str">
        <f>WRs!B62</f>
        <v>Sea</v>
      </c>
      <c r="AL75" s="7">
        <f>WRs!AJ62</f>
        <v>72.611344537815128</v>
      </c>
      <c r="AM75" s="7">
        <f>AL75-calcs!$E$11</f>
        <v>-72.524468270066635</v>
      </c>
      <c r="AY75" s="6">
        <v>73</v>
      </c>
      <c r="AZ75" t="str">
        <f>RBs!A25</f>
        <v>Tyrone Wheatley</v>
      </c>
      <c r="BA75" s="6" t="str">
        <f>RBs!B25</f>
        <v>Oak</v>
      </c>
      <c r="BB75" s="6" t="s">
        <v>9</v>
      </c>
      <c r="BC75" s="7">
        <f>RBs!AJ25-calcs!$E$10</f>
        <v>14.285407925407952</v>
      </c>
    </row>
    <row r="76" spans="27:55" x14ac:dyDescent="0.25">
      <c r="AA76" s="6">
        <v>74</v>
      </c>
      <c r="AF76" t="str">
        <f>RBs!A69</f>
        <v>Richie Anderson</v>
      </c>
      <c r="AG76" s="6" t="str">
        <f>RBs!B69</f>
        <v>NYJ</v>
      </c>
      <c r="AH76" s="7">
        <f>RBs!AJ69</f>
        <v>40.099999999999994</v>
      </c>
      <c r="AI76" s="7">
        <f>AH76-calcs!$E$10</f>
        <v>-107.37193473193477</v>
      </c>
      <c r="AJ76" t="str">
        <f>WRs!A69</f>
        <v>R. Jay Soward</v>
      </c>
      <c r="AK76" s="6" t="str">
        <f>WRs!B69</f>
        <v>Jac</v>
      </c>
      <c r="AL76" s="7">
        <f>WRs!AJ69</f>
        <v>70.957563025210078</v>
      </c>
      <c r="AM76" s="7">
        <f>AL76-calcs!$E$11</f>
        <v>-74.178249782671685</v>
      </c>
      <c r="AY76" s="6">
        <v>74</v>
      </c>
      <c r="AZ76" t="str">
        <f>WRs!A27</f>
        <v>Plaxico Burress</v>
      </c>
      <c r="BA76" s="6" t="str">
        <f>WRs!B27</f>
        <v>Pit</v>
      </c>
      <c r="BB76" s="6" t="s">
        <v>18</v>
      </c>
      <c r="BC76" s="7">
        <f>WRs!AJ27-calcs!$E$11</f>
        <v>12.640657780353536</v>
      </c>
    </row>
    <row r="77" spans="27:55" x14ac:dyDescent="0.25">
      <c r="AA77" s="6">
        <v>75</v>
      </c>
      <c r="AF77" t="str">
        <f>RBs!A78</f>
        <v>Jon Ritchie</v>
      </c>
      <c r="AG77" s="6" t="str">
        <f>RBs!B78</f>
        <v>Oak</v>
      </c>
      <c r="AH77" s="7">
        <f>RBs!AJ78</f>
        <v>39.160000000000004</v>
      </c>
      <c r="AI77" s="7">
        <f>AH77-calcs!$E$10</f>
        <v>-108.31193473193477</v>
      </c>
      <c r="AJ77" t="str">
        <f>WRs!A78</f>
        <v>Dennis Northcutt</v>
      </c>
      <c r="AK77" s="6" t="str">
        <f>WRs!B78</f>
        <v>Cle</v>
      </c>
      <c r="AL77" s="7">
        <f>WRs!AJ78</f>
        <v>70.361344537815128</v>
      </c>
      <c r="AM77" s="7">
        <f>AL77-calcs!$E$11</f>
        <v>-74.774468270066635</v>
      </c>
      <c r="AY77" s="6">
        <v>75</v>
      </c>
      <c r="AZ77" t="str">
        <f>Defs!A9</f>
        <v>Tampa Bay Buccaneers</v>
      </c>
      <c r="BB77" s="6" t="s">
        <v>8</v>
      </c>
      <c r="BC77" s="7">
        <f>Defs!I9-calcs!$E$14</f>
        <v>10.939999999999998</v>
      </c>
    </row>
    <row r="78" spans="27:55" x14ac:dyDescent="0.25">
      <c r="AA78" s="6">
        <v>76</v>
      </c>
      <c r="AF78" t="str">
        <f>RBs!A79</f>
        <v>Cory Schlesinger</v>
      </c>
      <c r="AG78" s="6" t="str">
        <f>RBs!B79</f>
        <v>Det</v>
      </c>
      <c r="AH78" s="7">
        <f>RBs!AJ79</f>
        <v>37.876223776223782</v>
      </c>
      <c r="AI78" s="7">
        <f>AH78-calcs!$E$10</f>
        <v>-109.59571095571098</v>
      </c>
      <c r="AJ78" t="str">
        <f>WRs!A76</f>
        <v>Vincent Brisby</v>
      </c>
      <c r="AK78" s="6" t="str">
        <f>WRs!B76</f>
        <v>NE</v>
      </c>
      <c r="AL78" s="7">
        <f>WRs!AJ76</f>
        <v>68.507563025210075</v>
      </c>
      <c r="AM78" s="7">
        <f>AL78-calcs!$E$11</f>
        <v>-76.628249782671688</v>
      </c>
      <c r="AY78" s="6">
        <v>76</v>
      </c>
      <c r="AZ78" t="str">
        <f>Defs!A7</f>
        <v>Jacksonville Jaguars</v>
      </c>
      <c r="BB78" s="6" t="s">
        <v>8</v>
      </c>
      <c r="BC78" s="7">
        <f>Defs!I7-calcs!$E$14</f>
        <v>10.319999999999993</v>
      </c>
    </row>
    <row r="79" spans="27:55" x14ac:dyDescent="0.25">
      <c r="AA79" s="6">
        <v>77</v>
      </c>
      <c r="AF79" t="str">
        <f>RBs!A80</f>
        <v>Aaron Craver</v>
      </c>
      <c r="AG79" s="6" t="str">
        <f>RBs!B80</f>
        <v>NO</v>
      </c>
      <c r="AH79" s="7">
        <f>RBs!AJ80</f>
        <v>33.676223776223779</v>
      </c>
      <c r="AI79" s="7">
        <f>AH79-calcs!$E$10</f>
        <v>-113.79571095571099</v>
      </c>
      <c r="AJ79" t="str">
        <f>WRs!A81</f>
        <v>Mathew Hatchette</v>
      </c>
      <c r="AK79" s="6" t="str">
        <f>WRs!B81</f>
        <v>Min</v>
      </c>
      <c r="AL79" s="7">
        <f>WRs!AJ81</f>
        <v>67.407563025210081</v>
      </c>
      <c r="AM79" s="7">
        <f>AL79-calcs!$E$11</f>
        <v>-77.728249782671682</v>
      </c>
      <c r="AY79" s="6">
        <v>77</v>
      </c>
      <c r="AZ79" t="str">
        <f>WRs!A43</f>
        <v>Joe Horn</v>
      </c>
      <c r="BA79" s="6" t="str">
        <f>WRs!B43</f>
        <v>NO</v>
      </c>
      <c r="BB79" s="6" t="s">
        <v>18</v>
      </c>
      <c r="BC79" s="7">
        <f>WRs!AJ43-calcs!$E$11</f>
        <v>9.0068762677484813</v>
      </c>
    </row>
    <row r="80" spans="27:55" x14ac:dyDescent="0.25">
      <c r="AA80" s="6">
        <v>78</v>
      </c>
      <c r="AF80" t="str">
        <f>RBs!A84</f>
        <v>Marc Edwards</v>
      </c>
      <c r="AG80" s="6" t="str">
        <f>RBs!B84</f>
        <v>Cle</v>
      </c>
      <c r="AH80" s="7">
        <f>RBs!AJ84</f>
        <v>33.549999999999997</v>
      </c>
      <c r="AI80" s="7">
        <f>AH80-calcs!$E$10</f>
        <v>-113.92193473193477</v>
      </c>
      <c r="AJ80" t="str">
        <f>WRs!A82</f>
        <v>Andre Reed</v>
      </c>
      <c r="AK80" s="6" t="str">
        <f>WRs!B82</f>
        <v>Den</v>
      </c>
      <c r="AL80" s="7">
        <f>WRs!AJ82</f>
        <v>66.461344537815123</v>
      </c>
      <c r="AM80" s="7">
        <f>AL80-calcs!$E$11</f>
        <v>-78.67446827006664</v>
      </c>
      <c r="AY80" s="6">
        <v>78</v>
      </c>
      <c r="AZ80" t="str">
        <f>WRs!A35</f>
        <v>Keenan McCardell</v>
      </c>
      <c r="BA80" s="6" t="str">
        <f>WRs!B35</f>
        <v>Jac</v>
      </c>
      <c r="BB80" s="6" t="s">
        <v>18</v>
      </c>
      <c r="BC80" s="7">
        <f>WRs!AJ35-calcs!$E$11</f>
        <v>8.9868762677484995</v>
      </c>
    </row>
    <row r="81" spans="27:55" x14ac:dyDescent="0.25">
      <c r="AA81" s="6">
        <v>79</v>
      </c>
      <c r="AF81" t="str">
        <f>RBs!A82</f>
        <v>Robert Chancey</v>
      </c>
      <c r="AG81" s="6" t="str">
        <f>RBs!B82</f>
        <v>SD</v>
      </c>
      <c r="AH81" s="7">
        <f>RBs!AJ82</f>
        <v>32.27622377622378</v>
      </c>
      <c r="AI81" s="7">
        <f>AH81-calcs!$E$10</f>
        <v>-115.19571095571098</v>
      </c>
      <c r="AJ81" t="str">
        <f>WRs!A83</f>
        <v>J.J. Stokes</v>
      </c>
      <c r="AK81" s="6" t="str">
        <f>WRs!B83</f>
        <v>SF</v>
      </c>
      <c r="AL81" s="7">
        <f>WRs!AJ83</f>
        <v>66.461344537815123</v>
      </c>
      <c r="AM81" s="7">
        <f>AL81-calcs!$E$11</f>
        <v>-78.67446827006664</v>
      </c>
      <c r="AY81" s="6">
        <v>79</v>
      </c>
      <c r="AZ81" t="str">
        <f>TEs!A11</f>
        <v>Bubba Franks</v>
      </c>
      <c r="BA81" s="6" t="str">
        <f>TEs!B11</f>
        <v>GB</v>
      </c>
      <c r="BB81" s="6" t="str">
        <f>IF($I$30=0,"WR","TE")</f>
        <v>TE</v>
      </c>
      <c r="BC81" s="7">
        <f>TEs!T11-calcs!$E$12</f>
        <v>8.115151515151517</v>
      </c>
    </row>
    <row r="82" spans="27:55" x14ac:dyDescent="0.25">
      <c r="AA82" s="6">
        <v>80</v>
      </c>
      <c r="AF82" t="str">
        <f>RBs!A70</f>
        <v>Moe Williams</v>
      </c>
      <c r="AG82" s="6" t="str">
        <f>RBs!B70</f>
        <v>Min</v>
      </c>
      <c r="AH82" s="7">
        <f>RBs!AJ70</f>
        <v>31.676223776223782</v>
      </c>
      <c r="AI82" s="7">
        <f>AH82-calcs!$E$10</f>
        <v>-115.79571095571099</v>
      </c>
      <c r="AJ82" t="str">
        <f>WRs!A84</f>
        <v>Hines Ward</v>
      </c>
      <c r="AK82" s="6" t="str">
        <f>WRs!B84</f>
        <v>Pit</v>
      </c>
      <c r="AL82" s="7">
        <f>WRs!AJ84</f>
        <v>65.961344537815123</v>
      </c>
      <c r="AM82" s="7">
        <f>AL82-calcs!$E$11</f>
        <v>-79.17446827006664</v>
      </c>
      <c r="AY82" s="6">
        <v>80</v>
      </c>
      <c r="AZ82" t="str">
        <f>QBs!A14</f>
        <v>Tim Couch</v>
      </c>
      <c r="BA82" s="6" t="str">
        <f>QBs!B14</f>
        <v>Cle</v>
      </c>
      <c r="BB82" s="6" t="s">
        <v>13</v>
      </c>
      <c r="BC82" s="7">
        <f>QBs!AL14-calcs!$E$9</f>
        <v>7.9667004054848576</v>
      </c>
    </row>
    <row r="83" spans="27:55" x14ac:dyDescent="0.25">
      <c r="AA83" s="6">
        <v>81</v>
      </c>
      <c r="AF83" t="str">
        <f>RBs!A83</f>
        <v>Sean Bennett</v>
      </c>
      <c r="AG83" s="6" t="str">
        <f>RBs!B83</f>
        <v>NYG</v>
      </c>
      <c r="AH83" s="7">
        <f>RBs!AJ83</f>
        <v>31.536223776223782</v>
      </c>
      <c r="AI83" s="7">
        <f>AH83-calcs!$E$10</f>
        <v>-115.93571095571099</v>
      </c>
      <c r="AJ83" t="str">
        <f>WRs!A91</f>
        <v>Ron Dugans</v>
      </c>
      <c r="AK83" s="6" t="str">
        <f>WRs!B91</f>
        <v>Cin</v>
      </c>
      <c r="AL83" s="7">
        <f>WRs!AJ91</f>
        <v>64.907563025210095</v>
      </c>
      <c r="AM83" s="7">
        <f>AL83-calcs!$E$11</f>
        <v>-80.228249782671668</v>
      </c>
      <c r="AY83" s="6">
        <v>81</v>
      </c>
      <c r="AZ83" t="str">
        <f>WRs!A33</f>
        <v>Tony Martin</v>
      </c>
      <c r="BA83" s="6" t="str">
        <f>WRs!B33</f>
        <v>Mia</v>
      </c>
      <c r="BB83" s="6" t="s">
        <v>18</v>
      </c>
      <c r="BC83" s="7">
        <f>WRs!AJ33-calcs!$E$11</f>
        <v>7.749901477832509</v>
      </c>
    </row>
    <row r="84" spans="27:55" x14ac:dyDescent="0.25">
      <c r="AA84" s="6">
        <v>82</v>
      </c>
      <c r="AF84" t="str">
        <f>RBs!A85</f>
        <v>Nick Williams</v>
      </c>
      <c r="AG84" s="6" t="str">
        <f>RBs!B85</f>
        <v>Cin</v>
      </c>
      <c r="AH84" s="7">
        <f>RBs!AJ85</f>
        <v>31.352447552447551</v>
      </c>
      <c r="AI84" s="7">
        <f>AH84-calcs!$E$10</f>
        <v>-116.11948717948721</v>
      </c>
      <c r="AJ84" t="str">
        <f>WRs!A85</f>
        <v>Joe Jurevicious</v>
      </c>
      <c r="AK84" s="6" t="str">
        <f>WRs!B85</f>
        <v>NYG</v>
      </c>
      <c r="AL84" s="7">
        <f>WRs!AJ85</f>
        <v>59.907563025210095</v>
      </c>
      <c r="AM84" s="7">
        <f>AL84-calcs!$E$11</f>
        <v>-85.228249782671668</v>
      </c>
      <c r="AY84" s="6">
        <v>82</v>
      </c>
      <c r="AZ84" t="str">
        <f>PKs!A5</f>
        <v>Brett Conway</v>
      </c>
      <c r="BA84" s="6" t="str">
        <f>PKs!B5</f>
        <v>Was</v>
      </c>
      <c r="BB84" s="6" t="s">
        <v>24</v>
      </c>
      <c r="BC84" s="7">
        <f>PKs!W5-calcs!$E$13</f>
        <v>6.612732033071353</v>
      </c>
    </row>
    <row r="85" spans="27:55" x14ac:dyDescent="0.25">
      <c r="AA85" s="6">
        <v>83</v>
      </c>
      <c r="AF85" t="str">
        <f>RBs!A86</f>
        <v>Travis Prentice</v>
      </c>
      <c r="AG85" s="6" t="str">
        <f>RBs!B86</f>
        <v>Cle</v>
      </c>
      <c r="AH85" s="7">
        <f>RBs!AJ86</f>
        <v>29.976223776223783</v>
      </c>
      <c r="AI85" s="7">
        <f>AH85-calcs!$E$10</f>
        <v>-117.49571095571099</v>
      </c>
      <c r="AJ85" t="str">
        <f>WRs!A88</f>
        <v>Andre Rison</v>
      </c>
      <c r="AK85" s="6" t="str">
        <f>WRs!B88</f>
        <v>KC</v>
      </c>
      <c r="AL85" s="7">
        <f>WRs!AJ88</f>
        <v>59.307563025210101</v>
      </c>
      <c r="AM85" s="7">
        <f>AL85-calcs!$E$11</f>
        <v>-85.828249782671662</v>
      </c>
      <c r="AY85" s="6">
        <v>83</v>
      </c>
      <c r="AZ85" t="str">
        <f>RBs!A26</f>
        <v>Warrick Dunn</v>
      </c>
      <c r="BA85" s="6" t="str">
        <f>RBs!B26</f>
        <v>TB</v>
      </c>
      <c r="BB85" s="6" t="s">
        <v>9</v>
      </c>
      <c r="BC85" s="7">
        <f>RBs!AJ26-calcs!$E$10</f>
        <v>6.4805128205127573</v>
      </c>
    </row>
    <row r="86" spans="27:55" x14ac:dyDescent="0.25">
      <c r="AA86" s="6">
        <v>84</v>
      </c>
      <c r="AF86" t="str">
        <f>RBs!A87</f>
        <v>Ahman Green</v>
      </c>
      <c r="AG86" s="6" t="str">
        <f>RBs!B87</f>
        <v>GB</v>
      </c>
      <c r="AH86" s="7">
        <f>RBs!AJ87</f>
        <v>29.376223776223782</v>
      </c>
      <c r="AI86" s="7">
        <f>AH86-calcs!$E$10</f>
        <v>-118.09571095571098</v>
      </c>
      <c r="AJ86" t="str">
        <f>WRs!A89</f>
        <v>Jerry Porter</v>
      </c>
      <c r="AK86" s="6" t="str">
        <f>WRs!B89</f>
        <v>Oak</v>
      </c>
      <c r="AL86" s="7">
        <f>WRs!AJ89</f>
        <v>55.407563025210095</v>
      </c>
      <c r="AM86" s="7">
        <f>AL86-calcs!$E$11</f>
        <v>-89.728249782671668</v>
      </c>
      <c r="AY86" s="6">
        <v>84</v>
      </c>
      <c r="AZ86" t="str">
        <f>QBs!A16</f>
        <v>Brian Griese</v>
      </c>
      <c r="BA86" s="6" t="str">
        <f>QBs!B16</f>
        <v>Den</v>
      </c>
      <c r="BB86" s="6" t="s">
        <v>13</v>
      </c>
      <c r="BC86" s="7">
        <f>QBs!AL16-calcs!$E$9</f>
        <v>6.270462964682622</v>
      </c>
    </row>
    <row r="87" spans="27:55" x14ac:dyDescent="0.25">
      <c r="AA87" s="6">
        <v>85</v>
      </c>
      <c r="AF87" t="str">
        <f>RBs!A88</f>
        <v>Eric Bieniemy</v>
      </c>
      <c r="AG87" s="6" t="str">
        <f>RBs!B88</f>
        <v>Phi</v>
      </c>
      <c r="AH87" s="7">
        <f>RBs!AJ88</f>
        <v>28.876223776223778</v>
      </c>
      <c r="AI87" s="7">
        <f>AH87-calcs!$E$10</f>
        <v>-118.59571095571098</v>
      </c>
      <c r="AJ87" t="str">
        <f>WRs!A86</f>
        <v>Laveranues Coles</v>
      </c>
      <c r="AK87" s="6" t="str">
        <f>WRs!B86</f>
        <v>NYJ</v>
      </c>
      <c r="AL87" s="7">
        <f>WRs!AJ86</f>
        <v>53.907563025210095</v>
      </c>
      <c r="AM87" s="7">
        <f>AL87-calcs!$E$11</f>
        <v>-91.228249782671668</v>
      </c>
      <c r="AY87" s="6">
        <v>85</v>
      </c>
      <c r="AZ87" t="str">
        <f>WRs!A34</f>
        <v>Tim Dwight</v>
      </c>
      <c r="BA87" s="6" t="str">
        <f>WRs!B34</f>
        <v>Atl</v>
      </c>
      <c r="BB87" s="6" t="s">
        <v>18</v>
      </c>
      <c r="BC87" s="7">
        <f>WRs!AJ34-calcs!$E$11</f>
        <v>5.7070443349753646</v>
      </c>
    </row>
    <row r="88" spans="27:55" x14ac:dyDescent="0.25">
      <c r="AA88" s="6">
        <v>86</v>
      </c>
      <c r="AF88" t="str">
        <f>RBs!A89</f>
        <v>Rodney Thomas</v>
      </c>
      <c r="AG88" s="6" t="str">
        <f>RBs!B89</f>
        <v>Ten</v>
      </c>
      <c r="AH88" s="7">
        <f>RBs!AJ89</f>
        <v>28.77622377622378</v>
      </c>
      <c r="AI88" s="7">
        <f>AH88-calcs!$E$10</f>
        <v>-118.69571095571098</v>
      </c>
      <c r="AJ88" t="str">
        <f>WRs!A92</f>
        <v>Troy Brown</v>
      </c>
      <c r="AK88" s="6" t="str">
        <f>WRs!B92</f>
        <v>NE</v>
      </c>
      <c r="AL88" s="7">
        <f>WRs!AJ92</f>
        <v>53.007563025210089</v>
      </c>
      <c r="AM88" s="7">
        <f>AL88-calcs!$E$11</f>
        <v>-92.128249782671674</v>
      </c>
      <c r="AY88" s="6">
        <v>86</v>
      </c>
      <c r="AZ88" t="str">
        <f>PKs!A6</f>
        <v>Jason Elam</v>
      </c>
      <c r="BA88" s="6" t="str">
        <f>PKs!B6</f>
        <v>Den</v>
      </c>
      <c r="BB88" s="6" t="s">
        <v>24</v>
      </c>
      <c r="BC88" s="7">
        <f>PKs!W6-calcs!$E$13</f>
        <v>5.6303531784458016</v>
      </c>
    </row>
    <row r="89" spans="27:55" x14ac:dyDescent="0.25">
      <c r="AA89" s="6">
        <v>87</v>
      </c>
      <c r="AF89" t="str">
        <f>RBs!A90</f>
        <v>Zack Crockett</v>
      </c>
      <c r="AG89" s="6" t="str">
        <f>RBs!B90</f>
        <v>Oak</v>
      </c>
      <c r="AH89" s="7">
        <f>RBs!AJ90</f>
        <v>28.752447552447549</v>
      </c>
      <c r="AI89" s="7">
        <f>AH89-calcs!$E$10</f>
        <v>-118.71948717948722</v>
      </c>
      <c r="AJ89" t="str">
        <f>WRs!A87</f>
        <v>Chris Sanders</v>
      </c>
      <c r="AK89" s="6" t="str">
        <f>WRs!B87</f>
        <v>Ten</v>
      </c>
      <c r="AL89" s="7">
        <f>WRs!AJ87</f>
        <v>50.907563025210095</v>
      </c>
      <c r="AM89" s="7">
        <f>AL89-calcs!$E$11</f>
        <v>-94.228249782671668</v>
      </c>
      <c r="AY89" s="6">
        <v>87</v>
      </c>
      <c r="AZ89" t="str">
        <f>PKs!A4</f>
        <v>Mike Hollis</v>
      </c>
      <c r="BA89" s="6" t="str">
        <f>PKs!B4</f>
        <v>Jac</v>
      </c>
      <c r="BB89" s="6" t="s">
        <v>24</v>
      </c>
      <c r="BC89" s="7">
        <f>PKs!W4-calcs!$E$13</f>
        <v>5.2455376964913825</v>
      </c>
    </row>
    <row r="90" spans="27:55" x14ac:dyDescent="0.25">
      <c r="AA90" s="6">
        <v>88</v>
      </c>
      <c r="AF90" t="str">
        <f>RBs!A91</f>
        <v>Reggie Brown</v>
      </c>
      <c r="AG90" s="6" t="str">
        <f>RBs!B91</f>
        <v>Sea</v>
      </c>
      <c r="AH90" s="7">
        <f>RBs!AJ91</f>
        <v>27.249999999999996</v>
      </c>
      <c r="AI90" s="7">
        <f>AH90-calcs!$E$10</f>
        <v>-120.22193473193477</v>
      </c>
      <c r="AJ90" t="str">
        <f>WRs!A95</f>
        <v>Trevor Gaylor</v>
      </c>
      <c r="AK90" s="6" t="str">
        <f>WRs!B95</f>
        <v>SD</v>
      </c>
      <c r="AL90" s="7">
        <f>WRs!AJ95</f>
        <v>50.907563025210095</v>
      </c>
      <c r="AM90" s="7">
        <f>AL90-calcs!$E$11</f>
        <v>-94.228249782671668</v>
      </c>
      <c r="AY90" s="6">
        <v>88</v>
      </c>
      <c r="AZ90" t="str">
        <f>Defs!A6</f>
        <v xml:space="preserve">Tennessee Titans </v>
      </c>
      <c r="BB90" s="6" t="s">
        <v>8</v>
      </c>
      <c r="BC90" s="7">
        <f>Defs!I6-calcs!$E$14</f>
        <v>5.0600000000000023</v>
      </c>
    </row>
    <row r="91" spans="27:55" x14ac:dyDescent="0.25">
      <c r="AA91" s="6">
        <v>89</v>
      </c>
      <c r="AF91" t="str">
        <f>RBs!A102</f>
        <v>Stacey Mack</v>
      </c>
      <c r="AG91" s="6" t="str">
        <f>RBs!B102</f>
        <v>Jac</v>
      </c>
      <c r="AH91" s="7">
        <f>RBs!AJ102</f>
        <v>25.976223776223783</v>
      </c>
      <c r="AI91" s="7">
        <f>AH91-calcs!$E$10</f>
        <v>-121.49571095571099</v>
      </c>
      <c r="AJ91" t="str">
        <f>WRs!A94</f>
        <v>Jeremey McDaniel</v>
      </c>
      <c r="AK91" s="6" t="str">
        <f>WRs!B94</f>
        <v>Buf</v>
      </c>
      <c r="AL91" s="7">
        <f>WRs!AJ94</f>
        <v>49.45378151260504</v>
      </c>
      <c r="AM91" s="7">
        <f>AL91-calcs!$E$11</f>
        <v>-95.682031295276715</v>
      </c>
      <c r="AY91" s="6">
        <v>89</v>
      </c>
      <c r="AZ91" t="str">
        <f>Defs!A8</f>
        <v xml:space="preserve">Seattle Seahawks </v>
      </c>
      <c r="BB91" s="6" t="s">
        <v>8</v>
      </c>
      <c r="BC91" s="7">
        <f>Defs!I8-calcs!$E$14</f>
        <v>4</v>
      </c>
    </row>
    <row r="92" spans="27:55" x14ac:dyDescent="0.25">
      <c r="AA92" s="6">
        <v>90</v>
      </c>
      <c r="AF92" t="str">
        <f>RBs!A92</f>
        <v>Howard Griffith</v>
      </c>
      <c r="AG92" s="6" t="str">
        <f>RBs!B92</f>
        <v>Den</v>
      </c>
      <c r="AH92" s="7">
        <f>RBs!AJ92</f>
        <v>25.399999999999995</v>
      </c>
      <c r="AI92" s="7">
        <f>AH92-calcs!$E$10</f>
        <v>-122.07193473193477</v>
      </c>
      <c r="AJ92" t="str">
        <f>WRs!A93</f>
        <v>Jerome Pathon</v>
      </c>
      <c r="AK92" s="6" t="str">
        <f>WRs!B93</f>
        <v>Ind</v>
      </c>
      <c r="AL92" s="7">
        <f>WRs!AJ93</f>
        <v>45.903781512605036</v>
      </c>
      <c r="AM92" s="7">
        <f>AL92-calcs!$E$11</f>
        <v>-99.232031295276727</v>
      </c>
      <c r="AY92" s="6">
        <v>90</v>
      </c>
      <c r="AZ92" t="str">
        <f>QBs!A15</f>
        <v>Daunte Culpepper</v>
      </c>
      <c r="BA92" s="6" t="str">
        <f>QBs!B15</f>
        <v>Min</v>
      </c>
      <c r="BB92" s="6" t="s">
        <v>13</v>
      </c>
      <c r="BC92" s="7">
        <f>QBs!AL15-calcs!$E$9</f>
        <v>3.792362432453217</v>
      </c>
    </row>
    <row r="93" spans="27:55" x14ac:dyDescent="0.25">
      <c r="AA93" s="6">
        <v>91</v>
      </c>
      <c r="AF93" t="str">
        <f>RBs!A81</f>
        <v>Doug Chapman</v>
      </c>
      <c r="AG93" s="6" t="str">
        <f>RBs!B81</f>
        <v>Min</v>
      </c>
      <c r="AH93" s="7">
        <f>RBs!AJ81</f>
        <v>24.676223776223782</v>
      </c>
      <c r="AI93" s="7">
        <f>AH93-calcs!$E$10</f>
        <v>-122.79571095571099</v>
      </c>
      <c r="AJ93" t="str">
        <f>WRs!A96</f>
        <v>Windrell Hayes</v>
      </c>
      <c r="AK93" s="6" t="str">
        <f>WRs!B96</f>
        <v>NYJ</v>
      </c>
      <c r="AL93" s="7">
        <f>WRs!AJ96</f>
        <v>44.907563025210095</v>
      </c>
      <c r="AM93" s="7">
        <f>AL93-calcs!$E$11</f>
        <v>-100.22824978267167</v>
      </c>
      <c r="AY93" s="6">
        <v>91</v>
      </c>
      <c r="AZ93" t="str">
        <f>PKs!A8</f>
        <v>Todd Peterson</v>
      </c>
      <c r="BA93" s="6" t="str">
        <f>PKs!B8</f>
        <v>Sea</v>
      </c>
      <c r="BB93" s="6" t="s">
        <v>24</v>
      </c>
      <c r="BC93" s="7">
        <f>PKs!W8-calcs!$E$13</f>
        <v>2.6479743238202502</v>
      </c>
    </row>
    <row r="94" spans="27:55" x14ac:dyDescent="0.25">
      <c r="AA94" s="6">
        <v>92</v>
      </c>
      <c r="AF94" t="str">
        <f>RBs!A93</f>
        <v>Bob Christian</v>
      </c>
      <c r="AG94" s="6" t="str">
        <f>RBs!B93</f>
        <v>Atl</v>
      </c>
      <c r="AH94" s="7">
        <f>RBs!AJ93</f>
        <v>24.526223776223773</v>
      </c>
      <c r="AI94" s="7">
        <f>AH94-calcs!$E$10</f>
        <v>-122.94571095571099</v>
      </c>
      <c r="AJ94" t="str">
        <f>WRs!A97</f>
        <v>Lamar Thomas</v>
      </c>
      <c r="AK94" s="6" t="str">
        <f>WRs!B97</f>
        <v>Mia</v>
      </c>
      <c r="AL94" s="7">
        <f>WRs!AJ97</f>
        <v>43.707563025210092</v>
      </c>
      <c r="AM94" s="7">
        <f>AL94-calcs!$E$11</f>
        <v>-101.42824978267167</v>
      </c>
      <c r="AY94" s="6">
        <v>92</v>
      </c>
      <c r="AZ94" t="str">
        <f>PKs!A7</f>
        <v>Jeff Wilkins</v>
      </c>
      <c r="BA94" s="6" t="str">
        <f>PKs!B7</f>
        <v>StL</v>
      </c>
      <c r="BB94" s="6" t="s">
        <v>24</v>
      </c>
      <c r="BC94" s="7">
        <f>PKs!W7-calcs!$E$13</f>
        <v>1.8312519822056572</v>
      </c>
    </row>
    <row r="95" spans="27:55" x14ac:dyDescent="0.25">
      <c r="AA95" s="6">
        <v>93</v>
      </c>
      <c r="AF95" t="str">
        <f>RBs!A94</f>
        <v>Fred McCrary</v>
      </c>
      <c r="AG95" s="6" t="str">
        <f>RBs!B94</f>
        <v>SD</v>
      </c>
      <c r="AH95" s="7">
        <f>RBs!AJ94</f>
        <v>24.299999999999997</v>
      </c>
      <c r="AI95" s="7">
        <f>AH95-calcs!$E$10</f>
        <v>-123.17193473193477</v>
      </c>
      <c r="AJ95" t="str">
        <f>WRs!A100</f>
        <v>Bert Emanuel</v>
      </c>
      <c r="AK95" s="6" t="str">
        <f>WRs!B100</f>
        <v>Mia</v>
      </c>
      <c r="AL95" s="7">
        <f>WRs!AJ100</f>
        <v>40.907563025210095</v>
      </c>
      <c r="AM95" s="7">
        <f>AL95-calcs!$E$11</f>
        <v>-104.22824978267167</v>
      </c>
      <c r="AY95" s="6">
        <v>93</v>
      </c>
      <c r="AZ95" t="str">
        <f>WRs!A41</f>
        <v>Derrick Alexander</v>
      </c>
      <c r="BA95" s="6" t="str">
        <f>WRs!B41</f>
        <v>KC</v>
      </c>
      <c r="BB95" s="6" t="s">
        <v>18</v>
      </c>
      <c r="BC95" s="7">
        <f>WRs!AJ41-calcs!$E$11</f>
        <v>1.749901477832509</v>
      </c>
    </row>
    <row r="96" spans="27:55" x14ac:dyDescent="0.25">
      <c r="AA96" s="6">
        <v>94</v>
      </c>
      <c r="AF96" t="str">
        <f>RBs!A95</f>
        <v>Wilmont Perry</v>
      </c>
      <c r="AG96" s="6" t="str">
        <f>RBs!B95</f>
        <v>NO</v>
      </c>
      <c r="AH96" s="7">
        <f>RBs!AJ95</f>
        <v>23.376223776223782</v>
      </c>
      <c r="AI96" s="7">
        <f>AH96-calcs!$E$10</f>
        <v>-124.09571095571098</v>
      </c>
      <c r="AJ96" t="str">
        <f>WRs!A98</f>
        <v>E.G. Green</v>
      </c>
      <c r="AK96" s="6" t="str">
        <f>WRs!B98</f>
        <v>Ind</v>
      </c>
      <c r="AL96" s="7">
        <f>WRs!AJ98</f>
        <v>39.70378151260504</v>
      </c>
      <c r="AM96" s="7">
        <f>AL96-calcs!$E$11</f>
        <v>-105.43203129527672</v>
      </c>
      <c r="AY96" s="6">
        <v>94</v>
      </c>
      <c r="AZ96" t="str">
        <f>RBs!A28</f>
        <v>J.J. Johnson</v>
      </c>
      <c r="BA96" s="6" t="str">
        <f>RBs!B28</f>
        <v>Mia</v>
      </c>
      <c r="BB96" s="6" t="s">
        <v>9</v>
      </c>
      <c r="BC96" s="7">
        <f>RBs!AJ28-calcs!$E$10</f>
        <v>1.6854079254079011</v>
      </c>
    </row>
    <row r="97" spans="27:55" x14ac:dyDescent="0.25">
      <c r="AA97" s="6">
        <v>95</v>
      </c>
      <c r="AF97" t="str">
        <f>RBs!A96</f>
        <v>Skip Hicks</v>
      </c>
      <c r="AG97" s="6" t="str">
        <f>RBs!B96</f>
        <v>Was</v>
      </c>
      <c r="AH97" s="7">
        <f>RBs!AJ96</f>
        <v>21.826223776223781</v>
      </c>
      <c r="AI97" s="7">
        <f>AH97-calcs!$E$10</f>
        <v>-125.64571095571098</v>
      </c>
      <c r="AJ97" t="str">
        <f>WRs!A101</f>
        <v>Jajuan Dawson</v>
      </c>
      <c r="AK97" s="6" t="str">
        <f>WRs!B101</f>
        <v>Cle</v>
      </c>
      <c r="AL97" s="7">
        <f>WRs!AJ101</f>
        <v>38.253781512605045</v>
      </c>
      <c r="AM97" s="7">
        <f>AL97-calcs!$E$11</f>
        <v>-106.88203129527672</v>
      </c>
      <c r="AY97" s="6">
        <v>95</v>
      </c>
      <c r="AZ97" t="str">
        <f>PKs!A11</f>
        <v>Sebastian Janikowski</v>
      </c>
      <c r="BA97" s="6" t="str">
        <f>PKs!B11</f>
        <v>Oak</v>
      </c>
      <c r="BB97" s="6" t="s">
        <v>24</v>
      </c>
      <c r="BC97" s="7">
        <f>PKs!W11-calcs!$E$13</f>
        <v>1.6479743238202502</v>
      </c>
    </row>
    <row r="98" spans="27:55" x14ac:dyDescent="0.25">
      <c r="AA98" s="6">
        <v>96</v>
      </c>
      <c r="AF98" t="str">
        <f>RBs!A97</f>
        <v>Joe Montgomery</v>
      </c>
      <c r="AG98" s="6" t="str">
        <f>RBs!B97</f>
        <v>NYG</v>
      </c>
      <c r="AH98" s="7">
        <f>RBs!AJ97</f>
        <v>18.326223776223781</v>
      </c>
      <c r="AI98" s="7">
        <f>AH98-calcs!$E$10</f>
        <v>-129.145710955711</v>
      </c>
      <c r="AJ98" t="str">
        <f>WRs!A105</f>
        <v>Irving Fryar</v>
      </c>
      <c r="AK98" s="6" t="str">
        <f>WRs!B105</f>
        <v>Was</v>
      </c>
      <c r="AL98" s="7">
        <f>WRs!AJ105</f>
        <v>38.107563025210098</v>
      </c>
      <c r="AM98" s="7">
        <f>AL98-calcs!$E$11</f>
        <v>-107.02824978267167</v>
      </c>
      <c r="AY98" s="6">
        <v>96</v>
      </c>
      <c r="AZ98" t="str">
        <f>PKs!A10</f>
        <v>Martin Gramatica</v>
      </c>
      <c r="BA98" s="6" t="str">
        <f>PKs!B10</f>
        <v>TB</v>
      </c>
      <c r="BB98" s="6" t="s">
        <v>24</v>
      </c>
      <c r="BC98" s="7">
        <f>PKs!W10-calcs!$E$13</f>
        <v>1.6303531784458016</v>
      </c>
    </row>
    <row r="99" spans="27:55" x14ac:dyDescent="0.25">
      <c r="AA99" s="6">
        <v>97</v>
      </c>
      <c r="AF99" t="str">
        <f>RBs!A98</f>
        <v>Tony Carter</v>
      </c>
      <c r="AG99" s="6" t="str">
        <f>RBs!B98</f>
        <v>NE</v>
      </c>
      <c r="AH99" s="7">
        <f>RBs!AJ98</f>
        <v>15.760000000000002</v>
      </c>
      <c r="AI99" s="7">
        <f>AH99-calcs!$E$10</f>
        <v>-131.71193473193478</v>
      </c>
      <c r="AJ99" t="str">
        <f>WRs!A103</f>
        <v>Sylvester Morris</v>
      </c>
      <c r="AK99" s="6" t="str">
        <f>WRs!B103</f>
        <v>KC</v>
      </c>
      <c r="AL99" s="7">
        <f>WRs!AJ103</f>
        <v>37.45378151260504</v>
      </c>
      <c r="AM99" s="7">
        <f>AL99-calcs!$E$11</f>
        <v>-107.68203129527672</v>
      </c>
      <c r="AY99" s="6">
        <v>97</v>
      </c>
      <c r="AZ99" t="str">
        <f>WRs!A36</f>
        <v>Ike Hilliard</v>
      </c>
      <c r="BA99" s="6" t="str">
        <f>WRs!B36</f>
        <v>NYG</v>
      </c>
      <c r="BB99" s="6" t="s">
        <v>18</v>
      </c>
      <c r="BC99" s="7">
        <f>WRs!AJ36-calcs!$E$11</f>
        <v>0.99309475514348833</v>
      </c>
    </row>
    <row r="100" spans="27:55" x14ac:dyDescent="0.25">
      <c r="AA100" s="6">
        <v>98</v>
      </c>
      <c r="AF100" t="str">
        <f>RBs!A105</f>
        <v>Jay Graham</v>
      </c>
      <c r="AG100" s="6" t="str">
        <f>RBs!B105</f>
        <v>Bal</v>
      </c>
      <c r="AH100" s="7">
        <f>RBs!AJ105</f>
        <v>14.25</v>
      </c>
      <c r="AI100" s="7">
        <f>AH100-calcs!$E$10</f>
        <v>-133.22193473193477</v>
      </c>
      <c r="AJ100" t="str">
        <f>WRs!A104</f>
        <v>Reidel Anthony</v>
      </c>
      <c r="AK100" s="6" t="str">
        <f>WRs!B104</f>
        <v>TB</v>
      </c>
      <c r="AL100" s="7">
        <f>WRs!AJ104</f>
        <v>37.45378151260504</v>
      </c>
      <c r="AM100" s="7">
        <f>AL100-calcs!$E$11</f>
        <v>-107.68203129527672</v>
      </c>
      <c r="AY100" s="6">
        <v>98</v>
      </c>
      <c r="AZ100" t="str">
        <f>WRs!A32</f>
        <v>Wayne Chrebet</v>
      </c>
      <c r="BA100" s="6" t="str">
        <f>WRs!B32</f>
        <v>NYJ</v>
      </c>
      <c r="BB100" s="6" t="s">
        <v>18</v>
      </c>
      <c r="BC100" s="7">
        <f>WRs!AJ32-calcs!$E$11</f>
        <v>0.30004926108372842</v>
      </c>
    </row>
    <row r="101" spans="27:55" x14ac:dyDescent="0.25">
      <c r="AA101" s="6">
        <v>99</v>
      </c>
      <c r="AF101" t="str">
        <f>RBs!A49</f>
        <v>Michael Basnight</v>
      </c>
      <c r="AG101" s="6" t="str">
        <f>RBs!B49</f>
        <v>Cin</v>
      </c>
      <c r="AH101" s="7">
        <f>RBs!AJ49</f>
        <v>14</v>
      </c>
      <c r="AI101" s="7">
        <f>AH101-calcs!$E$10</f>
        <v>-133.47193473193477</v>
      </c>
      <c r="AJ101" t="str">
        <f>WRs!A106</f>
        <v>Na Brown</v>
      </c>
      <c r="AK101" s="6" t="str">
        <f>WRs!B106</f>
        <v>Phi</v>
      </c>
      <c r="AL101" s="7">
        <f>WRs!AJ106</f>
        <v>34.95378151260504</v>
      </c>
      <c r="AM101" s="7">
        <f>AL101-calcs!$E$11</f>
        <v>-110.18203129527672</v>
      </c>
      <c r="AY101" s="6">
        <v>99</v>
      </c>
      <c r="AZ101" t="str">
        <f>TEs!A13</f>
        <v>Stephen Alexander</v>
      </c>
      <c r="BA101" s="6" t="str">
        <f>TEs!B13</f>
        <v>Was</v>
      </c>
      <c r="BB101" s="6" t="str">
        <f>IF($I$30=0,"WR","TE")</f>
        <v>TE</v>
      </c>
      <c r="BC101" s="7">
        <f>TEs!T13-calcs!$E$12</f>
        <v>0.28242424242424846</v>
      </c>
    </row>
    <row r="102" spans="27:55" x14ac:dyDescent="0.25">
      <c r="AA102" s="6">
        <v>100</v>
      </c>
      <c r="AF102" t="str">
        <f>RBs!A99</f>
        <v>Frank Murphy</v>
      </c>
      <c r="AG102" s="6" t="str">
        <f>RBs!B99</f>
        <v>Chi</v>
      </c>
      <c r="AH102" s="7">
        <f>RBs!AJ99</f>
        <v>11</v>
      </c>
      <c r="AI102" s="7">
        <f>AH102-calcs!$E$10</f>
        <v>-136.47193473193477</v>
      </c>
      <c r="AJ102" t="str">
        <f>WRs!A99</f>
        <v>Charlie Jones</v>
      </c>
      <c r="AK102" s="6" t="str">
        <f>WRs!B99</f>
        <v>SD</v>
      </c>
      <c r="AL102" s="7">
        <f>WRs!AJ99</f>
        <v>34.45378151260504</v>
      </c>
      <c r="AM102" s="7">
        <f>AL102-calcs!$E$11</f>
        <v>-110.68203129527672</v>
      </c>
      <c r="AY102" s="6">
        <v>100</v>
      </c>
      <c r="AZ102" t="str">
        <f>WRs!A39</f>
        <v>Peerless Price</v>
      </c>
      <c r="BA102" s="6" t="str">
        <f>WRs!B39</f>
        <v>Buf</v>
      </c>
      <c r="BB102" s="6" t="s">
        <v>18</v>
      </c>
      <c r="BC102" s="7">
        <f>WRs!AJ39-calcs!$E$11</f>
        <v>-0.65009852216746822</v>
      </c>
    </row>
    <row r="103" spans="27:55" x14ac:dyDescent="0.25">
      <c r="AA103" s="6">
        <v>101</v>
      </c>
      <c r="AF103" t="str">
        <f>RBs!A100</f>
        <v>Daimon Shelton</v>
      </c>
      <c r="AG103" s="6" t="str">
        <f>RBs!B100</f>
        <v>Jac</v>
      </c>
      <c r="AH103" s="7">
        <f>RBs!AJ100</f>
        <v>10.45</v>
      </c>
      <c r="AI103" s="7">
        <f>AH103-calcs!$E$10</f>
        <v>-137.02193473193478</v>
      </c>
      <c r="AJ103" t="str">
        <f>WRs!A107</f>
        <v>James McKnight</v>
      </c>
      <c r="AK103" s="6" t="str">
        <f>WRs!B107</f>
        <v>Dal</v>
      </c>
      <c r="AL103" s="7">
        <f>WRs!AJ107</f>
        <v>34.45378151260504</v>
      </c>
      <c r="AM103" s="7">
        <f>AL103-calcs!$E$11</f>
        <v>-110.68203129527672</v>
      </c>
      <c r="AY103" s="6">
        <v>101</v>
      </c>
      <c r="AZ103" t="str">
        <f>QBs!A19</f>
        <v>Troy Aikman</v>
      </c>
      <c r="BA103" s="6" t="str">
        <f>QBs!B19</f>
        <v>Dal</v>
      </c>
      <c r="BB103" s="6" t="s">
        <v>13</v>
      </c>
      <c r="BC103" s="7">
        <f>QBs!AL19-calcs!$E$9</f>
        <v>-1.5958741139691028</v>
      </c>
    </row>
    <row r="104" spans="27:55" x14ac:dyDescent="0.25">
      <c r="AA104" s="6">
        <v>102</v>
      </c>
      <c r="AF104" t="str">
        <f>RBs!A101</f>
        <v>Jon Witman</v>
      </c>
      <c r="AG104" s="6" t="str">
        <f>RBs!B101</f>
        <v>Pit</v>
      </c>
      <c r="AH104" s="7">
        <f>RBs!AJ101</f>
        <v>9.8000000000000007</v>
      </c>
      <c r="AI104" s="7">
        <f>AH104-calcs!$E$10</f>
        <v>-137.67193473193475</v>
      </c>
      <c r="AJ104" t="str">
        <f>WRs!A77</f>
        <v>Pat Johnson</v>
      </c>
      <c r="AK104" s="6" t="str">
        <f>WRs!B77</f>
        <v>Bal</v>
      </c>
      <c r="AL104" s="7">
        <f>WRs!AJ77</f>
        <v>34.253781512605038</v>
      </c>
      <c r="AM104" s="7">
        <f>AL104-calcs!$E$11</f>
        <v>-110.88203129527673</v>
      </c>
      <c r="AY104" s="6">
        <v>102</v>
      </c>
      <c r="AZ104" t="str">
        <f>Defs!A11</f>
        <v xml:space="preserve">Miami Dolphins </v>
      </c>
      <c r="BB104" s="6" t="s">
        <v>8</v>
      </c>
      <c r="BC104" s="7">
        <f>Defs!I11-calcs!$E$14</f>
        <v>-1.8400000000000034</v>
      </c>
    </row>
    <row r="105" spans="27:55" x14ac:dyDescent="0.25">
      <c r="AA105" s="6">
        <v>103</v>
      </c>
      <c r="AF105" t="str">
        <f>RBs!A103</f>
        <v>Keith Elias</v>
      </c>
      <c r="AG105" s="6" t="str">
        <f>RBs!B103</f>
        <v>Ind</v>
      </c>
      <c r="AH105" s="7">
        <f>RBs!AJ103</f>
        <v>9.35</v>
      </c>
      <c r="AI105" s="7">
        <f>AH105-calcs!$E$10</f>
        <v>-138.12193473193477</v>
      </c>
      <c r="AJ105" t="str">
        <f>WRs!A110</f>
        <v>Willie Jackson</v>
      </c>
      <c r="AK105" s="6" t="str">
        <f>WRs!B110</f>
        <v>NO</v>
      </c>
      <c r="AL105" s="7">
        <f>WRs!AJ110</f>
        <v>33.45378151260504</v>
      </c>
      <c r="AM105" s="7">
        <f>AL105-calcs!$E$11</f>
        <v>-111.68203129527672</v>
      </c>
      <c r="AY105" s="6">
        <v>103</v>
      </c>
      <c r="AZ105" t="str">
        <f>WRs!A38</f>
        <v>Rod Smith</v>
      </c>
      <c r="BA105" s="6" t="str">
        <f>WRs!B38</f>
        <v>Den</v>
      </c>
      <c r="BB105" s="6" t="s">
        <v>18</v>
      </c>
      <c r="BC105" s="7">
        <f>WRs!AJ38-calcs!$E$11</f>
        <v>-2.0499507389162375</v>
      </c>
    </row>
    <row r="106" spans="27:55" x14ac:dyDescent="0.25">
      <c r="AA106" s="6">
        <v>104</v>
      </c>
      <c r="AF106" t="str">
        <f>RBs!A104</f>
        <v>Joel Mackovicka</v>
      </c>
      <c r="AG106" s="6" t="str">
        <f>RBs!B104</f>
        <v>Ari</v>
      </c>
      <c r="AH106" s="7">
        <f>RBs!AJ104</f>
        <v>9</v>
      </c>
      <c r="AI106" s="7">
        <f>AH106-calcs!$E$10</f>
        <v>-138.47193473193477</v>
      </c>
      <c r="AJ106" t="str">
        <f>WRs!A102</f>
        <v>Chris Brazzell</v>
      </c>
      <c r="AK106" s="6" t="str">
        <f>WRs!B102</f>
        <v>Dal</v>
      </c>
      <c r="AL106" s="7">
        <f>WRs!AJ102</f>
        <v>31.453781512605048</v>
      </c>
      <c r="AM106" s="7">
        <f>AL106-calcs!$E$11</f>
        <v>-113.68203129527672</v>
      </c>
      <c r="AY106" s="6">
        <v>104</v>
      </c>
      <c r="AZ106" t="str">
        <f>TEs!A14</f>
        <v>David Sloan</v>
      </c>
      <c r="BA106" s="6" t="str">
        <f>TEs!B14</f>
        <v>Det</v>
      </c>
      <c r="BB106" s="6" t="str">
        <f>IF($I$30=0,"WR","TE")</f>
        <v>TE</v>
      </c>
      <c r="BC106" s="7">
        <f>TEs!T14-calcs!$E$12</f>
        <v>-2.3575757575757521</v>
      </c>
    </row>
    <row r="107" spans="27:55" x14ac:dyDescent="0.25">
      <c r="AA107" s="6">
        <v>105</v>
      </c>
      <c r="AF107" t="str">
        <f>RBs!A106</f>
        <v>Rabih Abdullah</v>
      </c>
      <c r="AG107" s="6" t="str">
        <f>RBs!B106</f>
        <v>TB</v>
      </c>
      <c r="AH107" s="7">
        <f>RBs!AJ106</f>
        <v>6.65</v>
      </c>
      <c r="AI107" s="7">
        <f>AH107-calcs!$E$10</f>
        <v>-140.82193473193476</v>
      </c>
      <c r="AJ107" t="str">
        <f>WRs!A113</f>
        <v>Dez White</v>
      </c>
      <c r="AK107" s="6" t="str">
        <f>WRs!B113</f>
        <v>Chi</v>
      </c>
      <c r="AL107" s="7">
        <f>WRs!AJ113</f>
        <v>31.453781512605048</v>
      </c>
      <c r="AM107" s="7">
        <f>AL107-calcs!$E$11</f>
        <v>-113.68203129527672</v>
      </c>
      <c r="AY107" s="6">
        <v>105</v>
      </c>
      <c r="AZ107" t="str">
        <f>PKs!A14</f>
        <v>Olindo Mare</v>
      </c>
      <c r="BA107" s="6" t="str">
        <f>PKs!B14</f>
        <v>Mia</v>
      </c>
      <c r="BB107" s="6" t="s">
        <v>24</v>
      </c>
      <c r="BC107" s="7">
        <f>PKs!W14-calcs!$E$13</f>
        <v>-2.3696468215541984</v>
      </c>
    </row>
    <row r="108" spans="27:55" x14ac:dyDescent="0.25">
      <c r="AA108" s="6">
        <v>106</v>
      </c>
      <c r="AF108" t="str">
        <f>RBs!A107</f>
        <v>Reuben Droughns</v>
      </c>
      <c r="AG108" s="6" t="str">
        <f>RBs!B107</f>
        <v>Det</v>
      </c>
      <c r="AH108" s="7">
        <f>RBs!AJ107</f>
        <v>6.48</v>
      </c>
      <c r="AI108" s="7">
        <f>AH108-calcs!$E$10</f>
        <v>-140.99193473193478</v>
      </c>
      <c r="AJ108" t="str">
        <f>WRs!A114</f>
        <v>Jason Tucker</v>
      </c>
      <c r="AK108" s="6" t="str">
        <f>WRs!B114</f>
        <v>Dal</v>
      </c>
      <c r="AL108" s="7">
        <f>WRs!AJ114</f>
        <v>31.453781512605048</v>
      </c>
      <c r="AM108" s="7">
        <f>AL108-calcs!$E$11</f>
        <v>-113.68203129527672</v>
      </c>
      <c r="AY108" s="6">
        <v>106</v>
      </c>
      <c r="AZ108" t="str">
        <f>WRs!A40</f>
        <v>Bill Schroeder</v>
      </c>
      <c r="BA108" s="6" t="str">
        <f>WRs!B40</f>
        <v>GB</v>
      </c>
      <c r="BB108" s="6" t="s">
        <v>18</v>
      </c>
      <c r="BC108" s="7">
        <f>WRs!AJ40-calcs!$E$11</f>
        <v>-2.4631237322515176</v>
      </c>
    </row>
    <row r="109" spans="27:55" x14ac:dyDescent="0.25">
      <c r="AA109" s="6">
        <v>107</v>
      </c>
      <c r="AF109" t="str">
        <f>RBs!A108</f>
        <v>Amos Zereoue</v>
      </c>
      <c r="AG109" s="6" t="str">
        <f>RBs!B108</f>
        <v>Pit</v>
      </c>
      <c r="AH109" s="7">
        <f>RBs!AJ108</f>
        <v>6.2</v>
      </c>
      <c r="AI109" s="7">
        <f>AH109-calcs!$E$10</f>
        <v>-141.27193473193478</v>
      </c>
      <c r="AJ109" t="str">
        <f>WRs!A115</f>
        <v>Macey Brooks</v>
      </c>
      <c r="AK109" s="6" t="str">
        <f>WRs!B115</f>
        <v>Chi</v>
      </c>
      <c r="AL109" s="7">
        <f>WRs!AJ115</f>
        <v>31.407563025210084</v>
      </c>
      <c r="AM109" s="7">
        <f>AL109-calcs!$E$11</f>
        <v>-113.72824978267168</v>
      </c>
      <c r="AY109" s="6">
        <v>107</v>
      </c>
      <c r="AZ109" t="str">
        <f>Defs!A10</f>
        <v xml:space="preserve">Oakland Raiders </v>
      </c>
      <c r="BB109" s="6" t="s">
        <v>8</v>
      </c>
      <c r="BC109" s="7">
        <f>Defs!I10-calcs!$E$14</f>
        <v>-2.6199999999999974</v>
      </c>
    </row>
    <row r="110" spans="27:55" x14ac:dyDescent="0.25">
      <c r="AA110" s="6">
        <v>108</v>
      </c>
      <c r="AF110" t="str">
        <f>RBs!A109</f>
        <v>Lorenzo Neal</v>
      </c>
      <c r="AG110" s="6" t="str">
        <f>RBs!B109</f>
        <v>Ten</v>
      </c>
      <c r="AH110" s="7">
        <f>RBs!AJ109</f>
        <v>5.95</v>
      </c>
      <c r="AI110" s="7">
        <f>AH110-calcs!$E$10</f>
        <v>-141.52193473193478</v>
      </c>
      <c r="AJ110" t="str">
        <f>WRs!A116</f>
        <v>Ricky Proehl</v>
      </c>
      <c r="AK110" s="6" t="str">
        <f>WRs!B116</f>
        <v>StL</v>
      </c>
      <c r="AL110" s="7">
        <f>WRs!AJ116</f>
        <v>29.453781512605048</v>
      </c>
      <c r="AM110" s="7">
        <f>AL110-calcs!$E$11</f>
        <v>-115.68203129527672</v>
      </c>
      <c r="AY110" s="6">
        <v>108</v>
      </c>
      <c r="AZ110" t="str">
        <f>QBs!A21</f>
        <v>Elvis Grbac</v>
      </c>
      <c r="BA110" s="6" t="str">
        <f>QBs!B21</f>
        <v>KC</v>
      </c>
      <c r="BB110" s="6" t="s">
        <v>13</v>
      </c>
      <c r="BC110" s="7">
        <f>QBs!AL21-calcs!$E$9</f>
        <v>-2.7624318259200322</v>
      </c>
    </row>
    <row r="111" spans="27:55" x14ac:dyDescent="0.25">
      <c r="AA111" s="6">
        <v>109</v>
      </c>
      <c r="AI111" s="7"/>
      <c r="AJ111" t="str">
        <f>WRs!A79</f>
        <v>Darrell Jackson</v>
      </c>
      <c r="AK111" s="6" t="str">
        <f>WRs!B79</f>
        <v>Sea</v>
      </c>
      <c r="AL111" s="7">
        <f>WRs!AJ79</f>
        <v>27.703781512605048</v>
      </c>
      <c r="AM111" s="7">
        <f>AL111-calcs!$E$11</f>
        <v>-117.43203129527672</v>
      </c>
      <c r="AY111" s="6">
        <v>109</v>
      </c>
      <c r="AZ111" t="str">
        <f>WRs!A37</f>
        <v>Bobby Engram</v>
      </c>
      <c r="BA111" s="6" t="str">
        <f>WRs!B37</f>
        <v>Chi</v>
      </c>
      <c r="BB111" s="6" t="s">
        <v>18</v>
      </c>
      <c r="BC111" s="7">
        <f>WRs!AJ37-calcs!$E$11</f>
        <v>-2.8669052448565253</v>
      </c>
    </row>
    <row r="112" spans="27:55" x14ac:dyDescent="0.25">
      <c r="AA112" s="6">
        <v>110</v>
      </c>
      <c r="AJ112" t="str">
        <f>WRs!A90</f>
        <v>Travis Taylor</v>
      </c>
      <c r="AK112" s="6" t="str">
        <f>WRs!B90</f>
        <v>Bal</v>
      </c>
      <c r="AL112" s="7">
        <f>WRs!AJ90</f>
        <v>27.553781512605049</v>
      </c>
      <c r="AM112" s="7">
        <f>AL112-calcs!$E$11</f>
        <v>-117.58203129527672</v>
      </c>
      <c r="AY112" s="6">
        <v>110</v>
      </c>
      <c r="AZ112" t="str">
        <f>TEs!A15</f>
        <v>Ben Coates</v>
      </c>
      <c r="BA112" s="6" t="str">
        <f>TEs!B15</f>
        <v>Bal</v>
      </c>
      <c r="BB112" s="6" t="str">
        <f>IF($I$30=0,"WR","TE")</f>
        <v>TE</v>
      </c>
      <c r="BC112" s="7">
        <f>TEs!T15-calcs!$E$12</f>
        <v>-2.9575757575757535</v>
      </c>
    </row>
    <row r="113" spans="27:55" x14ac:dyDescent="0.25">
      <c r="AA113" s="6">
        <v>111</v>
      </c>
      <c r="AJ113" t="str">
        <f>WRs!A117</f>
        <v>Eddie Kennison</v>
      </c>
      <c r="AK113" s="6" t="str">
        <f>WRs!B117</f>
        <v>Chi</v>
      </c>
      <c r="AL113" s="7">
        <f>WRs!AJ117</f>
        <v>26.953781512605048</v>
      </c>
      <c r="AM113" s="7">
        <f>AL113-calcs!$E$11</f>
        <v>-118.18203129527672</v>
      </c>
      <c r="AY113" s="6">
        <v>111</v>
      </c>
      <c r="AZ113" t="str">
        <f>Defs!A20</f>
        <v xml:space="preserve">Carolina Panthers </v>
      </c>
      <c r="BB113" s="6" t="s">
        <v>8</v>
      </c>
      <c r="BC113" s="7">
        <f>Defs!I20-calcs!$E$14</f>
        <v>-3.2199999999999989</v>
      </c>
    </row>
    <row r="114" spans="27:55" x14ac:dyDescent="0.25">
      <c r="AA114" s="6">
        <v>112</v>
      </c>
      <c r="AJ114" t="str">
        <f>WRs!A118</f>
        <v>Avion Black</v>
      </c>
      <c r="AK114" s="6" t="str">
        <f>WRs!B118</f>
        <v>Buf</v>
      </c>
      <c r="AL114" s="7">
        <f>WRs!AJ118</f>
        <v>26.65378151260505</v>
      </c>
      <c r="AM114" s="7">
        <f>AL114-calcs!$E$11</f>
        <v>-118.48203129527671</v>
      </c>
      <c r="AY114" s="6">
        <v>112</v>
      </c>
      <c r="AZ114" t="str">
        <f>PKs!A12</f>
        <v>Ryan Longwell</v>
      </c>
      <c r="BA114" s="6" t="str">
        <f>PKs!B12</f>
        <v>GB</v>
      </c>
      <c r="BB114" s="6" t="s">
        <v>24</v>
      </c>
      <c r="BC114" s="7">
        <f>PKs!W12-calcs!$E$13</f>
        <v>-3.4616051606514873</v>
      </c>
    </row>
    <row r="115" spans="27:55" x14ac:dyDescent="0.25">
      <c r="AA115" s="6">
        <v>113</v>
      </c>
      <c r="AJ115" t="str">
        <f>WRs!A119</f>
        <v>Courtney Hawkins</v>
      </c>
      <c r="AK115" s="6" t="str">
        <f>WRs!B119</f>
        <v>Pit</v>
      </c>
      <c r="AL115" s="7">
        <f>WRs!AJ119</f>
        <v>25.453781512605048</v>
      </c>
      <c r="AM115" s="7">
        <f>AL115-calcs!$E$11</f>
        <v>-119.68203129527672</v>
      </c>
      <c r="AY115" s="6">
        <v>113</v>
      </c>
      <c r="AZ115" t="str">
        <f>QBs!A22</f>
        <v>Drew Bledsoe</v>
      </c>
      <c r="BA115" s="6" t="str">
        <f>QBs!B22</f>
        <v>NE</v>
      </c>
      <c r="BB115" s="6" t="s">
        <v>13</v>
      </c>
      <c r="BC115" s="7">
        <f>QBs!AL22-calcs!$E$9</f>
        <v>-4.6745888507134623</v>
      </c>
    </row>
    <row r="116" spans="27:55" x14ac:dyDescent="0.25">
      <c r="AA116" s="6">
        <v>114</v>
      </c>
      <c r="AJ116" t="str">
        <f>WRs!A120</f>
        <v>Danny Farmer</v>
      </c>
      <c r="AK116" s="6" t="str">
        <f>WRs!B120</f>
        <v>Pit</v>
      </c>
      <c r="AL116" s="7">
        <f>WRs!AJ120</f>
        <v>25.453781512605048</v>
      </c>
      <c r="AM116" s="7">
        <f>AL116-calcs!$E$11</f>
        <v>-119.68203129527672</v>
      </c>
      <c r="AY116" s="6">
        <v>114</v>
      </c>
      <c r="AZ116" t="str">
        <f>PKs!A16</f>
        <v>Jason Hanson</v>
      </c>
      <c r="BA116" s="6" t="str">
        <f>PKs!B16</f>
        <v>Det</v>
      </c>
      <c r="BB116" s="6" t="s">
        <v>24</v>
      </c>
      <c r="BC116" s="7">
        <f>PKs!W16-calcs!$E$13</f>
        <v>-5.387267966928647</v>
      </c>
    </row>
    <row r="117" spans="27:55" x14ac:dyDescent="0.25">
      <c r="AA117" s="6">
        <v>115</v>
      </c>
      <c r="AJ117" t="str">
        <f>WRs!A108</f>
        <v>Brett Bech</v>
      </c>
      <c r="AK117" s="6" t="str">
        <f>WRs!B108</f>
        <v>NO</v>
      </c>
      <c r="AL117" s="7">
        <f>WRs!AJ108</f>
        <v>24.953781512605048</v>
      </c>
      <c r="AM117" s="7">
        <f>AL117-calcs!$E$11</f>
        <v>-120.18203129527672</v>
      </c>
      <c r="AY117" s="6">
        <v>115</v>
      </c>
      <c r="AZ117" t="str">
        <f>TEs!A16</f>
        <v>Marcus Pollard</v>
      </c>
      <c r="BA117" s="6" t="str">
        <f>TEs!B16</f>
        <v>Ind</v>
      </c>
      <c r="BB117" s="6" t="str">
        <f>IF($I$30=0,"WR","TE")</f>
        <v>TE</v>
      </c>
      <c r="BC117" s="7">
        <f>TEs!T16-calcs!$E$12</f>
        <v>-5.7575757575757578</v>
      </c>
    </row>
    <row r="118" spans="27:55" x14ac:dyDescent="0.25">
      <c r="AA118" s="6">
        <v>116</v>
      </c>
      <c r="AJ118" t="str">
        <f>WRs!A121</f>
        <v>Tai Streets</v>
      </c>
      <c r="AK118" s="6" t="str">
        <f>WRs!B121</f>
        <v>SF</v>
      </c>
      <c r="AL118" s="7">
        <f>WRs!AJ121</f>
        <v>23.703781512605048</v>
      </c>
      <c r="AM118" s="7">
        <f>AL118-calcs!$E$11</f>
        <v>-121.43203129527672</v>
      </c>
      <c r="AY118" s="6">
        <v>116</v>
      </c>
      <c r="AZ118" t="str">
        <f>TEs!A17</f>
        <v>Greg Clark</v>
      </c>
      <c r="BA118" s="6" t="str">
        <f>TEs!B17</f>
        <v>SF</v>
      </c>
      <c r="BB118" s="6" t="str">
        <f>IF($I$30=0,"WR","TE")</f>
        <v>TE</v>
      </c>
      <c r="BC118" s="7">
        <f>TEs!T17-calcs!$E$12</f>
        <v>-6.4303030303030297</v>
      </c>
    </row>
    <row r="119" spans="27:55" x14ac:dyDescent="0.25">
      <c r="AA119" s="6">
        <v>117</v>
      </c>
      <c r="AJ119" t="str">
        <f>WRs!A123</f>
        <v>Jim Turner</v>
      </c>
      <c r="AK119" s="6" t="str">
        <f>WRs!B123</f>
        <v>Car</v>
      </c>
      <c r="AL119" s="7">
        <f>WRs!AJ123</f>
        <v>20.453781512605048</v>
      </c>
      <c r="AM119" s="7">
        <f>AL119-calcs!$E$11</f>
        <v>-124.68203129527672</v>
      </c>
      <c r="AY119" s="6">
        <v>117</v>
      </c>
      <c r="AZ119" t="str">
        <f>TEs!A22</f>
        <v>Tony McGee</v>
      </c>
      <c r="BA119" s="6" t="str">
        <f>TEs!B22</f>
        <v>Cin</v>
      </c>
      <c r="BB119" s="6" t="str">
        <f>IF($I$30=0,"WR","TE")</f>
        <v>TE</v>
      </c>
      <c r="BC119" s="7">
        <f>TEs!T22-calcs!$E$12</f>
        <v>-7.1303030303030326</v>
      </c>
    </row>
    <row r="120" spans="27:55" x14ac:dyDescent="0.25">
      <c r="AA120" s="6">
        <v>118</v>
      </c>
      <c r="AJ120" t="str">
        <f>WRs!A124</f>
        <v>Yatil Green</v>
      </c>
      <c r="AK120" s="6" t="str">
        <f>WRs!B124</f>
        <v>NYJ</v>
      </c>
      <c r="AL120" s="7">
        <f>WRs!AJ124</f>
        <v>20.453781512605048</v>
      </c>
      <c r="AM120" s="7">
        <f>AL120-calcs!$E$11</f>
        <v>-124.68203129527672</v>
      </c>
      <c r="AY120" s="6">
        <v>118</v>
      </c>
      <c r="AZ120" t="str">
        <f>QBs!A17</f>
        <v>Jon Kitna</v>
      </c>
      <c r="BA120" s="6" t="str">
        <f>QBs!B17</f>
        <v>Sea</v>
      </c>
      <c r="BB120" s="6" t="s">
        <v>13</v>
      </c>
      <c r="BC120" s="7">
        <f>QBs!AL17-calcs!$E$9</f>
        <v>-7.9254871916070329</v>
      </c>
    </row>
    <row r="121" spans="27:55" x14ac:dyDescent="0.25">
      <c r="AA121" s="6">
        <v>119</v>
      </c>
      <c r="AJ121" t="str">
        <f>WRs!A125</f>
        <v>Todd Pinkston</v>
      </c>
      <c r="AK121" s="6" t="str">
        <f>WRs!B125</f>
        <v>Phi</v>
      </c>
      <c r="AL121" s="7">
        <f>WRs!AJ125</f>
        <v>18</v>
      </c>
      <c r="AM121" s="7">
        <f>AL121-calcs!$E$11</f>
        <v>-127.13581280788176</v>
      </c>
      <c r="AY121" s="6">
        <v>119</v>
      </c>
      <c r="AZ121" t="str">
        <f>TEs!A12</f>
        <v>Ken Dilger</v>
      </c>
      <c r="BA121" s="6" t="str">
        <f>TEs!B12</f>
        <v>Ind</v>
      </c>
      <c r="BB121" s="6" t="str">
        <f>IF($I$30=0,"WR","TE")</f>
        <v>TE</v>
      </c>
      <c r="BC121" s="7">
        <f>TEs!T12-calcs!$E$12</f>
        <v>-8.5903030303030334</v>
      </c>
    </row>
    <row r="122" spans="27:55" x14ac:dyDescent="0.25">
      <c r="AA122" s="6">
        <v>120</v>
      </c>
      <c r="AJ122" t="str">
        <f>WRs!A127</f>
        <v>D'Wayne Bates</v>
      </c>
      <c r="AK122" s="6" t="str">
        <f>WRs!B127</f>
        <v>Chi</v>
      </c>
      <c r="AL122" s="7">
        <f>WRs!AJ127</f>
        <v>17.45378151260504</v>
      </c>
      <c r="AM122" s="7">
        <f>AL122-calcs!$E$11</f>
        <v>-127.68203129527672</v>
      </c>
      <c r="AY122" s="6">
        <v>120</v>
      </c>
      <c r="AZ122" t="str">
        <f>Defs!A12</f>
        <v xml:space="preserve">Philadelphia Eagles </v>
      </c>
      <c r="BB122" s="6" t="s">
        <v>8</v>
      </c>
      <c r="BC122" s="7">
        <f>Defs!I12-calcs!$E$14</f>
        <v>-8.86</v>
      </c>
    </row>
    <row r="123" spans="27:55" x14ac:dyDescent="0.25">
      <c r="AA123" s="6">
        <v>121</v>
      </c>
      <c r="AJ123" t="str">
        <f>WRs!A128</f>
        <v>Brian Stablein</v>
      </c>
      <c r="AK123" s="6" t="str">
        <f>WRs!B128</f>
        <v>Det</v>
      </c>
      <c r="AL123" s="7">
        <f>WRs!AJ128</f>
        <v>17.443781512605042</v>
      </c>
      <c r="AM123" s="7">
        <f>AL123-calcs!$E$11</f>
        <v>-127.69203129527672</v>
      </c>
      <c r="AY123" s="6">
        <v>121</v>
      </c>
      <c r="AZ123" t="str">
        <f>QBs!A18</f>
        <v>Kerry Collins</v>
      </c>
      <c r="BA123" s="6" t="str">
        <f>QBs!B18</f>
        <v>NYG</v>
      </c>
      <c r="BB123" s="6" t="s">
        <v>13</v>
      </c>
      <c r="BC123" s="7">
        <f>QBs!AL18-calcs!$E$9</f>
        <v>-9.4395257993623432</v>
      </c>
    </row>
    <row r="124" spans="27:55" x14ac:dyDescent="0.25">
      <c r="AA124" s="6">
        <v>122</v>
      </c>
      <c r="AJ124" t="str">
        <f>WRs!A112</f>
        <v>Isaac Byrd</v>
      </c>
      <c r="AK124" s="6" t="str">
        <f>WRs!B112</f>
        <v>Ten</v>
      </c>
      <c r="AL124" s="7">
        <f>WRs!AJ112</f>
        <v>16.600000000000001</v>
      </c>
      <c r="AM124" s="7">
        <f>AL124-calcs!$E$11</f>
        <v>-128.53581280788177</v>
      </c>
      <c r="AY124" s="6">
        <v>122</v>
      </c>
      <c r="AZ124" t="str">
        <f>PKs!A26</f>
        <v>John Kasay</v>
      </c>
      <c r="BA124" s="6" t="str">
        <f>PKs!B26</f>
        <v>Car</v>
      </c>
      <c r="BB124" s="6" t="s">
        <v>24</v>
      </c>
      <c r="BC124" s="7">
        <f>PKs!W26-calcs!$E$13</f>
        <v>-9.4577525484264271</v>
      </c>
    </row>
    <row r="125" spans="27:55" x14ac:dyDescent="0.25">
      <c r="AA125" s="6">
        <v>123</v>
      </c>
      <c r="AJ125" t="str">
        <f>WRs!A126</f>
        <v>James Thrash</v>
      </c>
      <c r="AK125" s="6" t="str">
        <f>WRs!B126</f>
        <v>Was</v>
      </c>
      <c r="AL125" s="7">
        <f>WRs!AJ126</f>
        <v>16.2</v>
      </c>
      <c r="AM125" s="7">
        <f>AL125-calcs!$E$11</f>
        <v>-128.93581280788177</v>
      </c>
      <c r="AY125" s="6">
        <v>123</v>
      </c>
      <c r="AZ125" t="str">
        <f>PKs!A15</f>
        <v>John Hall</v>
      </c>
      <c r="BA125" s="6" t="str">
        <f>PKs!B15</f>
        <v>NYJ</v>
      </c>
      <c r="BB125" s="6" t="s">
        <v>24</v>
      </c>
      <c r="BC125" s="7">
        <f>PKs!W15-calcs!$E$13</f>
        <v>-9.4616051606514873</v>
      </c>
    </row>
    <row r="126" spans="27:55" x14ac:dyDescent="0.25">
      <c r="AA126" s="6">
        <v>124</v>
      </c>
      <c r="AJ126" t="str">
        <f>WRs!A129</f>
        <v>Eugene Baker</v>
      </c>
      <c r="AK126" s="6" t="str">
        <f>WRs!B129</f>
        <v>Atl</v>
      </c>
      <c r="AL126" s="7">
        <f>WRs!AJ129</f>
        <v>14.5</v>
      </c>
      <c r="AM126" s="7">
        <f>AL126-calcs!$E$11</f>
        <v>-130.63581280788176</v>
      </c>
      <c r="AY126" s="6">
        <v>124</v>
      </c>
      <c r="AZ126" t="str">
        <f>TEs!A18</f>
        <v>Christian Fauria</v>
      </c>
      <c r="BA126" s="6" t="str">
        <f>TEs!B18</f>
        <v>Sea</v>
      </c>
      <c r="BB126" s="6" t="str">
        <f>IF($I$30=0,"WR","TE")</f>
        <v>TE</v>
      </c>
      <c r="BC126" s="7">
        <f>TEs!T18-calcs!$E$12</f>
        <v>-9.8303030303030283</v>
      </c>
    </row>
    <row r="127" spans="27:55" x14ac:dyDescent="0.25">
      <c r="AA127" s="6">
        <v>125</v>
      </c>
      <c r="AJ127" t="str">
        <f>WRs!A130</f>
        <v>Reggie Barlow</v>
      </c>
      <c r="AK127" s="6" t="str">
        <f>WRs!B130</f>
        <v>Jac</v>
      </c>
      <c r="AL127" s="7">
        <f>WRs!AJ130</f>
        <v>13.700000000000001</v>
      </c>
      <c r="AM127" s="7">
        <f>AL127-calcs!$E$11</f>
        <v>-131.43581280788177</v>
      </c>
      <c r="AY127" s="6">
        <v>125</v>
      </c>
      <c r="AZ127" t="str">
        <f>WRs!A49</f>
        <v>Sean Dawkins</v>
      </c>
      <c r="BA127" s="6" t="str">
        <f>WRs!B49</f>
        <v>Sea</v>
      </c>
      <c r="BB127" s="6" t="s">
        <v>18</v>
      </c>
      <c r="BC127" s="7">
        <f>WRs!AJ49-calcs!$E$11</f>
        <v>-10.163123732251506</v>
      </c>
    </row>
    <row r="128" spans="27:55" x14ac:dyDescent="0.25">
      <c r="AA128" s="6">
        <v>126</v>
      </c>
      <c r="AJ128" t="str">
        <f>WRs!A122</f>
        <v>Terry Mickens</v>
      </c>
      <c r="AK128" s="6" t="str">
        <f>WRs!B122</f>
        <v>Oak</v>
      </c>
      <c r="AL128" s="7">
        <f>WRs!AJ122</f>
        <v>13.600000000000001</v>
      </c>
      <c r="AM128" s="7">
        <f>AL128-calcs!$E$11</f>
        <v>-131.53581280788177</v>
      </c>
      <c r="AY128" s="6">
        <v>126</v>
      </c>
      <c r="AZ128" t="str">
        <f>PKs!A20</f>
        <v>Matt Stover</v>
      </c>
      <c r="BA128" s="6" t="str">
        <f>PKs!B20</f>
        <v>Bal</v>
      </c>
      <c r="BB128" s="6" t="s">
        <v>24</v>
      </c>
      <c r="BC128" s="7">
        <f>PKs!W20-calcs!$E$13</f>
        <v>-10.168748017794343</v>
      </c>
    </row>
    <row r="129" spans="27:55" x14ac:dyDescent="0.25">
      <c r="AA129" s="6">
        <v>127</v>
      </c>
      <c r="AJ129" t="str">
        <f>WRs!A131</f>
        <v>Mikhael Ricks</v>
      </c>
      <c r="AK129" s="6" t="str">
        <f>WRs!B131</f>
        <v>SD</v>
      </c>
      <c r="AL129" s="7">
        <f>WRs!AJ131</f>
        <v>12.600000000000001</v>
      </c>
      <c r="AM129" s="7">
        <f>AL129-calcs!$E$11</f>
        <v>-132.53581280788177</v>
      </c>
      <c r="AY129" s="6">
        <v>127</v>
      </c>
      <c r="AZ129" t="str">
        <f>TEs!A21</f>
        <v>Luther Broughton</v>
      </c>
      <c r="BA129" s="6" t="str">
        <f>TEs!B21</f>
        <v>Phi</v>
      </c>
      <c r="BB129" s="6" t="str">
        <f>IF($I$30=0,"WR","TE")</f>
        <v>TE</v>
      </c>
      <c r="BC129" s="7">
        <f>TEs!T21-calcs!$E$12</f>
        <v>-10.757575757575758</v>
      </c>
    </row>
    <row r="130" spans="27:55" x14ac:dyDescent="0.25">
      <c r="AA130" s="6">
        <v>128</v>
      </c>
      <c r="AJ130" t="str">
        <f>WRs!A132</f>
        <v>Andy McCullough</v>
      </c>
      <c r="AK130" s="6" t="str">
        <f>WRs!B132</f>
        <v>Ari</v>
      </c>
      <c r="AL130" s="7">
        <f>WRs!AJ132</f>
        <v>12</v>
      </c>
      <c r="AM130" s="7">
        <f>AL130-calcs!$E$11</f>
        <v>-133.13581280788176</v>
      </c>
      <c r="AY130" s="6">
        <v>128</v>
      </c>
      <c r="AZ130" t="str">
        <f>Defs!A17</f>
        <v xml:space="preserve">Chicago Bears </v>
      </c>
      <c r="BB130" s="6" t="s">
        <v>8</v>
      </c>
      <c r="BC130" s="7">
        <f>Defs!I17-calcs!$E$14</f>
        <v>-10.920000000000009</v>
      </c>
    </row>
    <row r="131" spans="27:55" x14ac:dyDescent="0.25">
      <c r="AA131" s="6">
        <v>129</v>
      </c>
      <c r="AJ131" t="str">
        <f>WRs!A133</f>
        <v>Wane McGarity</v>
      </c>
      <c r="AK131" s="6" t="str">
        <f>WRs!B133</f>
        <v>Dal</v>
      </c>
      <c r="AL131" s="7">
        <f>WRs!AJ133</f>
        <v>12</v>
      </c>
      <c r="AM131" s="7">
        <f>AL131-calcs!$E$11</f>
        <v>-133.13581280788176</v>
      </c>
      <c r="AY131" s="6">
        <v>129</v>
      </c>
      <c r="AZ131" t="str">
        <f>Defs!A14</f>
        <v>Kansas City Chiefs</v>
      </c>
      <c r="BB131" s="6" t="s">
        <v>8</v>
      </c>
      <c r="BC131" s="7">
        <f>Defs!I14-calcs!$E$14</f>
        <v>-11.000000000000014</v>
      </c>
    </row>
    <row r="132" spans="27:55" x14ac:dyDescent="0.25">
      <c r="AA132" s="6">
        <v>130</v>
      </c>
      <c r="AJ132" t="str">
        <f>WRs!A134</f>
        <v>Chris Cole</v>
      </c>
      <c r="AK132" s="6" t="str">
        <f>WRs!B134</f>
        <v>Den</v>
      </c>
      <c r="AL132" s="7">
        <f>WRs!AJ134</f>
        <v>12</v>
      </c>
      <c r="AM132" s="7">
        <f>AL132-calcs!$E$11</f>
        <v>-133.13581280788176</v>
      </c>
      <c r="AY132" s="6">
        <v>130</v>
      </c>
      <c r="AZ132" t="str">
        <f>WRs!A44</f>
        <v>Qadry Ismail</v>
      </c>
      <c r="BA132" s="6" t="str">
        <f>WRs!B44</f>
        <v>Bal</v>
      </c>
      <c r="BB132" s="6" t="s">
        <v>18</v>
      </c>
      <c r="BC132" s="7">
        <f>WRs!AJ44-calcs!$E$11</f>
        <v>-11.413123732251506</v>
      </c>
    </row>
    <row r="133" spans="27:55" x14ac:dyDescent="0.25">
      <c r="AA133" s="6">
        <v>131</v>
      </c>
      <c r="AJ133" t="str">
        <f>WRs!A135</f>
        <v>Anthony Lucas</v>
      </c>
      <c r="AK133" s="6" t="str">
        <f>WRs!B135</f>
        <v>GB</v>
      </c>
      <c r="AL133" s="7">
        <f>WRs!AJ135</f>
        <v>12</v>
      </c>
      <c r="AM133" s="7">
        <f>AL133-calcs!$E$11</f>
        <v>-133.13581280788176</v>
      </c>
      <c r="AY133" s="6">
        <v>131</v>
      </c>
      <c r="AZ133" t="str">
        <f>TEs!A20</f>
        <v>Byron Chamberlain</v>
      </c>
      <c r="BA133" s="6" t="str">
        <f>TEs!B20</f>
        <v>Den</v>
      </c>
      <c r="BB133" s="6" t="str">
        <f>IF($I$30=0,"WR","TE")</f>
        <v>TE</v>
      </c>
      <c r="BC133" s="7">
        <f>TEs!T20-calcs!$E$12</f>
        <v>-11.630303030303033</v>
      </c>
    </row>
    <row r="134" spans="27:55" x14ac:dyDescent="0.25">
      <c r="AA134" s="6">
        <v>132</v>
      </c>
      <c r="AJ134" t="str">
        <f>WRs!A136</f>
        <v>Chris Walsh</v>
      </c>
      <c r="AK134" s="6" t="str">
        <f>WRs!B136</f>
        <v>Min</v>
      </c>
      <c r="AL134" s="7">
        <f>WRs!AJ136</f>
        <v>11</v>
      </c>
      <c r="AM134" s="7">
        <f>AL134-calcs!$E$11</f>
        <v>-134.13581280788176</v>
      </c>
      <c r="AY134" s="6">
        <v>132</v>
      </c>
      <c r="AZ134" t="str">
        <f>PKs!A9</f>
        <v>Steve Christie</v>
      </c>
      <c r="BA134" s="6" t="str">
        <f>PKs!B9</f>
        <v>Buf</v>
      </c>
      <c r="BB134" s="6" t="s">
        <v>24</v>
      </c>
      <c r="BC134" s="7">
        <f>PKs!W9-calcs!$E$13</f>
        <v>-11.938406539097585</v>
      </c>
    </row>
    <row r="135" spans="27:55" x14ac:dyDescent="0.25">
      <c r="AA135" s="6">
        <v>133</v>
      </c>
      <c r="AJ135" t="str">
        <f>WRs!A137</f>
        <v>Karl Williams</v>
      </c>
      <c r="AK135" s="6" t="str">
        <f>WRs!B137</f>
        <v>TB</v>
      </c>
      <c r="AL135" s="7">
        <f>WRs!AJ137</f>
        <v>11</v>
      </c>
      <c r="AM135" s="7">
        <f>AL135-calcs!$E$11</f>
        <v>-134.13581280788176</v>
      </c>
      <c r="AY135" s="6">
        <v>133</v>
      </c>
      <c r="AZ135" t="str">
        <f>PKs!A23</f>
        <v>Kris Brown</v>
      </c>
      <c r="BA135" s="6" t="str">
        <f>PKs!B23</f>
        <v>Pit</v>
      </c>
      <c r="BB135" s="6" t="s">
        <v>24</v>
      </c>
      <c r="BC135" s="7">
        <f>PKs!W23-calcs!$E$13</f>
        <v>-12.422510257677544</v>
      </c>
    </row>
    <row r="136" spans="27:55" x14ac:dyDescent="0.25">
      <c r="AA136" s="6">
        <v>134</v>
      </c>
      <c r="AJ136" t="str">
        <f>WRs!A111</f>
        <v>Karsten Bailey</v>
      </c>
      <c r="AK136" s="6" t="str">
        <f>WRs!B111</f>
        <v>Sea</v>
      </c>
      <c r="AL136" s="7">
        <f>WRs!AJ111</f>
        <v>6.25</v>
      </c>
      <c r="AM136" s="7">
        <f>AL136-calcs!$E$11</f>
        <v>-138.88581280788176</v>
      </c>
      <c r="AY136" s="6">
        <v>134</v>
      </c>
      <c r="AZ136" t="str">
        <f>PKs!A13</f>
        <v>Al Del Greco</v>
      </c>
      <c r="BA136" s="6" t="str">
        <f>PKs!B13</f>
        <v>Ten</v>
      </c>
      <c r="BB136" s="6" t="s">
        <v>24</v>
      </c>
      <c r="BC136" s="7">
        <f>PKs!W13-calcs!$E$13</f>
        <v>-13.446219039097585</v>
      </c>
    </row>
    <row r="137" spans="27:55" x14ac:dyDescent="0.25">
      <c r="AA137" s="6">
        <v>135</v>
      </c>
      <c r="AJ137" t="str">
        <f>WRs!A138</f>
        <v>Brian Alford</v>
      </c>
      <c r="AK137" s="6" t="str">
        <f>WRs!B138</f>
        <v>NYG</v>
      </c>
      <c r="AL137" s="7">
        <f>WRs!AJ138</f>
        <v>4.7</v>
      </c>
      <c r="AM137" s="7">
        <f>AL137-calcs!$E$11</f>
        <v>-140.43581280788177</v>
      </c>
      <c r="AY137" s="6">
        <v>135</v>
      </c>
      <c r="AZ137" t="str">
        <f>PKs!A19</f>
        <v>John Carney</v>
      </c>
      <c r="BA137" s="6" t="str">
        <f>PKs!B19</f>
        <v>SD</v>
      </c>
      <c r="BB137" s="6" t="s">
        <v>24</v>
      </c>
      <c r="BC137" s="7">
        <f>PKs!W19-calcs!$E$13</f>
        <v>-13.461605160651487</v>
      </c>
    </row>
    <row r="138" spans="27:55" x14ac:dyDescent="0.25">
      <c r="AA138" s="6">
        <v>136</v>
      </c>
      <c r="AJ138" t="str">
        <f>WRs!A22</f>
        <v>Darnay Scott</v>
      </c>
      <c r="AK138" s="6" t="str">
        <f>WRs!B22</f>
        <v>Cin</v>
      </c>
      <c r="AL138" s="7">
        <f>WRs!AJ22</f>
        <v>0</v>
      </c>
      <c r="AM138" s="7">
        <f>AL138-calcs!$E$11</f>
        <v>-145.13581280788176</v>
      </c>
      <c r="AY138" s="6">
        <v>136</v>
      </c>
      <c r="AZ138" t="str">
        <f>Defs!A13</f>
        <v xml:space="preserve">Denver Broncos </v>
      </c>
      <c r="BB138" s="6" t="s">
        <v>8</v>
      </c>
      <c r="BC138" s="7">
        <f>Defs!I13-calcs!$E$14</f>
        <v>-13.579999999999998</v>
      </c>
    </row>
    <row r="139" spans="27:55" x14ac:dyDescent="0.25">
      <c r="AA139" s="6">
        <v>137</v>
      </c>
      <c r="AY139" s="6">
        <v>137</v>
      </c>
      <c r="AZ139" t="str">
        <f>WRs!A42</f>
        <v>Jerry Rice</v>
      </c>
      <c r="BA139" s="6" t="str">
        <f>WRs!B42</f>
        <v>SF</v>
      </c>
      <c r="BB139" s="6" t="s">
        <v>18</v>
      </c>
      <c r="BC139" s="7">
        <f>WRs!AJ42-calcs!$E$11</f>
        <v>-13.689261083743844</v>
      </c>
    </row>
    <row r="140" spans="27:55" x14ac:dyDescent="0.25">
      <c r="AA140" s="6">
        <v>138</v>
      </c>
      <c r="AY140" s="6">
        <v>138</v>
      </c>
      <c r="AZ140" t="str">
        <f>PKs!A22</f>
        <v>Pete Stoyanovich</v>
      </c>
      <c r="BA140" s="6" t="str">
        <f>PKs!B22</f>
        <v>KC</v>
      </c>
      <c r="BB140" s="6" t="s">
        <v>24</v>
      </c>
      <c r="BC140" s="7">
        <f>PKs!W22-calcs!$E$13</f>
        <v>-14.022319446365771</v>
      </c>
    </row>
    <row r="141" spans="27:55" x14ac:dyDescent="0.25">
      <c r="AA141" s="6">
        <v>139</v>
      </c>
      <c r="AY141" s="6">
        <v>139</v>
      </c>
      <c r="AZ141" t="str">
        <f>WRs!A45</f>
        <v>Johnnie Morton</v>
      </c>
      <c r="BA141" s="6" t="str">
        <f>WRs!B45</f>
        <v>Det</v>
      </c>
      <c r="BB141" s="6" t="s">
        <v>18</v>
      </c>
      <c r="BC141" s="7">
        <f>WRs!AJ45-calcs!$E$11</f>
        <v>-14.140686757461566</v>
      </c>
    </row>
    <row r="142" spans="27:55" x14ac:dyDescent="0.25">
      <c r="AA142" s="6">
        <v>140</v>
      </c>
      <c r="AY142" s="6">
        <v>140</v>
      </c>
      <c r="AZ142" t="str">
        <f>RBs!A29</f>
        <v>Jermaine Fazande</v>
      </c>
      <c r="BA142" s="6" t="str">
        <f>RBs!B29</f>
        <v>SD</v>
      </c>
      <c r="BB142" s="6" t="s">
        <v>9</v>
      </c>
      <c r="BC142" s="7">
        <f>RBs!AJ29-calcs!$E$10</f>
        <v>-14.464592074592105</v>
      </c>
    </row>
    <row r="143" spans="27:55" x14ac:dyDescent="0.25">
      <c r="AA143" s="6">
        <v>141</v>
      </c>
      <c r="AY143" s="6">
        <v>141</v>
      </c>
      <c r="AZ143" t="str">
        <f>TEs!A35</f>
        <v>Andrew Glover</v>
      </c>
      <c r="BA143" s="6" t="str">
        <f>TEs!B35</f>
        <v>NO</v>
      </c>
      <c r="BB143" s="6" t="str">
        <f>IF($I$30=0,"WR","TE")</f>
        <v>TE</v>
      </c>
      <c r="BC143" s="7">
        <f>TEs!T35-calcs!$E$12</f>
        <v>-15.880303030303033</v>
      </c>
    </row>
    <row r="144" spans="27:55" x14ac:dyDescent="0.25">
      <c r="AA144" s="6">
        <v>142</v>
      </c>
      <c r="AY144" s="6">
        <v>142</v>
      </c>
      <c r="AZ144" t="str">
        <f>RBs!A20</f>
        <v>Jamal Lewis</v>
      </c>
      <c r="BA144" s="6" t="str">
        <f>RBs!B20</f>
        <v>Bal</v>
      </c>
      <c r="BB144" s="6" t="s">
        <v>9</v>
      </c>
      <c r="BC144" s="7">
        <f>RBs!AJ20-calcs!$E$10</f>
        <v>-15.970815850815853</v>
      </c>
    </row>
    <row r="145" spans="27:55" x14ac:dyDescent="0.25">
      <c r="AA145" s="6">
        <v>143</v>
      </c>
      <c r="AY145" s="6">
        <v>143</v>
      </c>
      <c r="AZ145" t="str">
        <f>TEs!A24</f>
        <v>OJ Santiago</v>
      </c>
      <c r="BA145" s="6" t="str">
        <f>TEs!B24</f>
        <v>Atl</v>
      </c>
      <c r="BB145" s="6" t="str">
        <f>IF($I$30=0,"WR","TE")</f>
        <v>TE</v>
      </c>
      <c r="BC145" s="7">
        <f>TEs!T24-calcs!$E$12</f>
        <v>-16.380303030303033</v>
      </c>
    </row>
    <row r="146" spans="27:55" x14ac:dyDescent="0.25">
      <c r="AA146" s="6">
        <v>144</v>
      </c>
      <c r="AY146" s="6">
        <v>144</v>
      </c>
      <c r="AZ146" t="str">
        <f>TEs!A32</f>
        <v>Jackie Harris</v>
      </c>
      <c r="BA146" s="6" t="str">
        <f>TEs!B32</f>
        <v>Dal</v>
      </c>
      <c r="BB146" s="6" t="str">
        <f>IF($I$30=0,"WR","TE")</f>
        <v>TE</v>
      </c>
      <c r="BC146" s="7">
        <f>TEs!T32-calcs!$E$12</f>
        <v>-16.43030303030303</v>
      </c>
    </row>
    <row r="147" spans="27:55" x14ac:dyDescent="0.25">
      <c r="AA147" s="6">
        <v>145</v>
      </c>
      <c r="AY147" s="6">
        <v>145</v>
      </c>
      <c r="AZ147" t="str">
        <f>Defs!A16</f>
        <v>Green Bay Packers</v>
      </c>
      <c r="BB147" s="6" t="s">
        <v>8</v>
      </c>
      <c r="BC147" s="7">
        <f>Defs!I16-calcs!$E$14</f>
        <v>-16.619999999999997</v>
      </c>
    </row>
    <row r="148" spans="27:55" x14ac:dyDescent="0.25">
      <c r="AA148" s="6">
        <v>146</v>
      </c>
      <c r="AY148" s="6">
        <v>146</v>
      </c>
      <c r="AZ148" t="str">
        <f>Defs!A18</f>
        <v>New England Patriots</v>
      </c>
      <c r="BB148" s="6" t="s">
        <v>8</v>
      </c>
      <c r="BC148" s="7">
        <f>Defs!I18-calcs!$E$14</f>
        <v>-17</v>
      </c>
    </row>
    <row r="149" spans="27:55" x14ac:dyDescent="0.25">
      <c r="AA149" s="6">
        <v>147</v>
      </c>
      <c r="AY149" s="6">
        <v>147</v>
      </c>
      <c r="AZ149" t="str">
        <f>PKs!A25</f>
        <v>Wade Richey</v>
      </c>
      <c r="BA149" s="6" t="str">
        <f>PKs!B25</f>
        <v>SF</v>
      </c>
      <c r="BB149" s="6" t="s">
        <v>24</v>
      </c>
      <c r="BC149" s="7">
        <f>PKs!W25-calcs!$E$13</f>
        <v>-17.022319446365771</v>
      </c>
    </row>
    <row r="150" spans="27:55" x14ac:dyDescent="0.25">
      <c r="AA150" s="6">
        <v>148</v>
      </c>
      <c r="AY150" s="6">
        <v>148</v>
      </c>
      <c r="AZ150" t="str">
        <f>QBs!A20</f>
        <v>Donovan McNabb</v>
      </c>
      <c r="BA150" s="6" t="str">
        <f>QBs!B20</f>
        <v>Phi</v>
      </c>
      <c r="BB150" s="6" t="s">
        <v>13</v>
      </c>
      <c r="BC150" s="7">
        <f>QBs!AL20-calcs!$E$9</f>
        <v>-17.984389447246144</v>
      </c>
    </row>
    <row r="151" spans="27:55" x14ac:dyDescent="0.25">
      <c r="AA151" s="6">
        <v>149</v>
      </c>
      <c r="AY151" s="6">
        <v>149</v>
      </c>
      <c r="AZ151" t="str">
        <f>QBs!A23</f>
        <v>Rob Johnson</v>
      </c>
      <c r="BA151" s="6" t="str">
        <f>QBs!B23</f>
        <v>Buf</v>
      </c>
      <c r="BB151" s="6" t="s">
        <v>13</v>
      </c>
      <c r="BC151" s="7">
        <f>QBs!AL23-calcs!$E$9</f>
        <v>-18.455938319426593</v>
      </c>
    </row>
    <row r="152" spans="27:55" x14ac:dyDescent="0.25">
      <c r="AA152" s="6">
        <v>150</v>
      </c>
      <c r="AY152" s="6">
        <v>150</v>
      </c>
      <c r="AZ152" t="str">
        <f>WRs!A46</f>
        <v>Oronde Gadsden</v>
      </c>
      <c r="BA152" s="6" t="str">
        <f>WRs!B46</f>
        <v>Mia</v>
      </c>
      <c r="BB152" s="6" t="s">
        <v>18</v>
      </c>
      <c r="BC152" s="7">
        <f>WRs!AJ46-calcs!$E$11</f>
        <v>-19.566905244856542</v>
      </c>
    </row>
    <row r="153" spans="27:55" x14ac:dyDescent="0.25">
      <c r="AY153" s="6">
        <v>151</v>
      </c>
      <c r="AZ153" t="str">
        <f>WRs!A48</f>
        <v>Jake Reed</v>
      </c>
      <c r="BA153" s="6" t="str">
        <f>WRs!B48</f>
        <v>NO</v>
      </c>
      <c r="BB153" s="6" t="s">
        <v>18</v>
      </c>
      <c r="BC153" s="7">
        <f>WRs!AJ48-calcs!$E$11</f>
        <v>-19.646905244856555</v>
      </c>
    </row>
    <row r="154" spans="27:55" x14ac:dyDescent="0.25">
      <c r="AY154" s="6">
        <v>152</v>
      </c>
      <c r="AZ154" t="str">
        <f>PKs!A27</f>
        <v>Doug Brien</v>
      </c>
      <c r="BA154" s="6" t="str">
        <f>PKs!B27</f>
        <v>NO</v>
      </c>
      <c r="BB154" s="6" t="s">
        <v>24</v>
      </c>
      <c r="BC154" s="7">
        <f>PKs!W27-calcs!$E$13</f>
        <v>-20.875890874937184</v>
      </c>
    </row>
    <row r="155" spans="27:55" x14ac:dyDescent="0.25">
      <c r="AY155" s="6">
        <v>153</v>
      </c>
      <c r="AZ155" t="str">
        <f>PKs!A18</f>
        <v>Gary Anderson</v>
      </c>
      <c r="BA155" s="6" t="str">
        <f>PKs!B18</f>
        <v>Min</v>
      </c>
      <c r="BB155" s="6" t="s">
        <v>24</v>
      </c>
      <c r="BC155" s="7">
        <f>PKs!W18-calcs!$E$13</f>
        <v>-20.969656539097585</v>
      </c>
    </row>
    <row r="156" spans="27:55" x14ac:dyDescent="0.25">
      <c r="AY156" s="6">
        <v>154</v>
      </c>
      <c r="AZ156" t="str">
        <f>QBs!A27</f>
        <v>Tony Banks</v>
      </c>
      <c r="BA156" s="6" t="str">
        <f>QBs!B27</f>
        <v>Bal</v>
      </c>
      <c r="BB156" s="6" t="s">
        <v>13</v>
      </c>
      <c r="BC156" s="7">
        <f>QBs!AL27-calcs!$E$9</f>
        <v>-21.198588850713463</v>
      </c>
    </row>
    <row r="157" spans="27:55" x14ac:dyDescent="0.25">
      <c r="AY157" s="6">
        <v>155</v>
      </c>
      <c r="AZ157" t="str">
        <f>RBs!A30</f>
        <v>Raymont Harris</v>
      </c>
      <c r="BA157" s="6" t="str">
        <f>RBs!B30</f>
        <v>NE</v>
      </c>
      <c r="BB157" s="6" t="s">
        <v>9</v>
      </c>
      <c r="BC157" s="7">
        <f>RBs!AJ30-calcs!$E$10</f>
        <v>-21.564592074592113</v>
      </c>
    </row>
    <row r="158" spans="27:55" x14ac:dyDescent="0.25">
      <c r="AY158" s="6">
        <v>156</v>
      </c>
      <c r="AZ158" t="str">
        <f>PKs!A28</f>
        <v>Cary Blanchard</v>
      </c>
      <c r="BA158" s="6" t="str">
        <f>PKs!B28</f>
        <v>Ari</v>
      </c>
      <c r="BB158" s="6" t="s">
        <v>24</v>
      </c>
      <c r="BC158" s="7">
        <f>PKs!W28-calcs!$E$13</f>
        <v>-21.875890874937184</v>
      </c>
    </row>
    <row r="159" spans="27:55" x14ac:dyDescent="0.25">
      <c r="AY159" s="6">
        <v>157</v>
      </c>
      <c r="AZ159" t="str">
        <f>Defs!A15</f>
        <v>New Orleans Saints</v>
      </c>
      <c r="BB159" s="6" t="s">
        <v>8</v>
      </c>
      <c r="BC159" s="7">
        <f>Defs!I15-calcs!$E$14</f>
        <v>-22.1</v>
      </c>
    </row>
    <row r="160" spans="27:55" x14ac:dyDescent="0.25">
      <c r="AY160" s="6">
        <v>158</v>
      </c>
      <c r="AZ160" t="str">
        <f>TEs!A25</f>
        <v>Roland Williams</v>
      </c>
      <c r="BA160" s="6" t="str">
        <f>TEs!B25</f>
        <v>StL</v>
      </c>
      <c r="BB160" s="6" t="str">
        <f>IF($I$30=0,"WR","TE")</f>
        <v>TE</v>
      </c>
      <c r="BC160" s="7">
        <f>TEs!T25-calcs!$E$12</f>
        <v>-22.757575757575758</v>
      </c>
    </row>
    <row r="161" spans="51:55" x14ac:dyDescent="0.25">
      <c r="AY161" s="6">
        <v>159</v>
      </c>
      <c r="AZ161" t="str">
        <f>PKs!A24</f>
        <v>Eddie Murray</v>
      </c>
      <c r="BA161" s="6" t="str">
        <f>PKs!B24</f>
        <v>Dal</v>
      </c>
      <c r="BB161" s="6" t="s">
        <v>24</v>
      </c>
      <c r="BC161" s="7">
        <f>PKs!W24-calcs!$E$13</f>
        <v>-23.985281539097599</v>
      </c>
    </row>
    <row r="162" spans="51:55" x14ac:dyDescent="0.25">
      <c r="AY162" s="6">
        <v>160</v>
      </c>
      <c r="AZ162" t="str">
        <f>TEs!A27</f>
        <v>Anthony Becht</v>
      </c>
      <c r="BA162" s="6" t="str">
        <f>TEs!B27</f>
        <v>NYJ</v>
      </c>
      <c r="BB162" s="6" t="str">
        <f>IF($I$30=0,"WR","TE")</f>
        <v>TE</v>
      </c>
      <c r="BC162" s="7">
        <f>TEs!T27-calcs!$E$12</f>
        <v>-24.43030303030303</v>
      </c>
    </row>
    <row r="163" spans="51:55" x14ac:dyDescent="0.25">
      <c r="AY163" s="6">
        <v>161</v>
      </c>
      <c r="AZ163" t="str">
        <f>RBs!A43</f>
        <v>Michael Pittman</v>
      </c>
      <c r="BA163" s="6" t="str">
        <f>RBs!B43</f>
        <v>Ari</v>
      </c>
      <c r="BB163" s="6" t="s">
        <v>9</v>
      </c>
      <c r="BC163" s="7">
        <f>RBs!AJ43-calcs!$E$10</f>
        <v>-24.543263403263438</v>
      </c>
    </row>
    <row r="164" spans="51:55" x14ac:dyDescent="0.25">
      <c r="AY164" s="6">
        <v>162</v>
      </c>
      <c r="AZ164" t="str">
        <f>TEs!A26</f>
        <v>Billy Miller</v>
      </c>
      <c r="BA164" s="6" t="str">
        <f>TEs!B26</f>
        <v>Den</v>
      </c>
      <c r="BB164" s="6" t="str">
        <f>IF($I$30=0,"WR","TE")</f>
        <v>TE</v>
      </c>
      <c r="BC164" s="7">
        <f>TEs!T26-calcs!$E$12</f>
        <v>-25.003030303030314</v>
      </c>
    </row>
    <row r="165" spans="51:55" x14ac:dyDescent="0.25">
      <c r="AY165" s="6">
        <v>163</v>
      </c>
      <c r="AZ165" t="str">
        <f>TEs!A23</f>
        <v>David LaFleur</v>
      </c>
      <c r="BA165" s="6" t="str">
        <f>TEs!B23</f>
        <v>Dal</v>
      </c>
      <c r="BB165" s="6" t="str">
        <f>IF($I$30=0,"WR","TE")</f>
        <v>TE</v>
      </c>
      <c r="BC165" s="7">
        <f>TEs!T23-calcs!$E$12</f>
        <v>-25.130303030303033</v>
      </c>
    </row>
    <row r="166" spans="51:55" x14ac:dyDescent="0.25">
      <c r="AY166" s="6">
        <v>164</v>
      </c>
      <c r="AZ166" t="str">
        <f>Defs!A22</f>
        <v>San Diego Chargers</v>
      </c>
      <c r="BB166" s="6" t="s">
        <v>8</v>
      </c>
      <c r="BC166" s="7">
        <f>Defs!I22-calcs!$E$14</f>
        <v>-26</v>
      </c>
    </row>
    <row r="167" spans="51:55" x14ac:dyDescent="0.25">
      <c r="AY167" s="6">
        <v>165</v>
      </c>
      <c r="AZ167" t="str">
        <f>RBs!A34</f>
        <v>Antowain Smith</v>
      </c>
      <c r="BA167" s="6" t="str">
        <f>RBs!B34</f>
        <v>Buf</v>
      </c>
      <c r="BB167" s="6" t="s">
        <v>9</v>
      </c>
      <c r="BC167" s="7">
        <f>RBs!AJ34-calcs!$E$10</f>
        <v>-26.290815850815875</v>
      </c>
    </row>
    <row r="168" spans="51:55" x14ac:dyDescent="0.25">
      <c r="AY168" s="6">
        <v>166</v>
      </c>
      <c r="AZ168" t="str">
        <f>TEs!A29</f>
        <v>Damon Jones</v>
      </c>
      <c r="BA168" s="6" t="str">
        <f>TEs!B29</f>
        <v>Jac</v>
      </c>
      <c r="BB168" s="6" t="str">
        <f>IF($I$30=0,"WR","TE")</f>
        <v>TE</v>
      </c>
      <c r="BC168" s="7">
        <f>TEs!T29-calcs!$E$12</f>
        <v>-26.390303030303031</v>
      </c>
    </row>
    <row r="169" spans="51:55" x14ac:dyDescent="0.25">
      <c r="AY169" s="6">
        <v>167</v>
      </c>
      <c r="AZ169" t="str">
        <f>PKs!A31</f>
        <v>David Akers</v>
      </c>
      <c r="BA169" s="6" t="str">
        <f>PKs!B31</f>
        <v>Phi</v>
      </c>
      <c r="BB169" s="6" t="s">
        <v>24</v>
      </c>
      <c r="BC169" s="7">
        <f>PKs!W31-calcs!$E$13</f>
        <v>-26.492994839175338</v>
      </c>
    </row>
    <row r="170" spans="51:55" x14ac:dyDescent="0.25">
      <c r="AY170" s="6">
        <v>168</v>
      </c>
      <c r="AZ170" t="str">
        <f>Defs!A23</f>
        <v xml:space="preserve">Pittsburgh Steelers </v>
      </c>
      <c r="BB170" s="6" t="s">
        <v>8</v>
      </c>
      <c r="BC170" s="7">
        <f>Defs!I23-calcs!$E$14</f>
        <v>-26.680000000000007</v>
      </c>
    </row>
    <row r="171" spans="51:55" x14ac:dyDescent="0.25">
      <c r="AY171" s="6">
        <v>169</v>
      </c>
      <c r="AZ171" t="str">
        <f>PKs!A21</f>
        <v>Adam Vinatieri</v>
      </c>
      <c r="BA171" s="6" t="str">
        <f>PKs!B21</f>
        <v>NE</v>
      </c>
      <c r="BB171" s="6" t="s">
        <v>24</v>
      </c>
      <c r="BC171" s="7">
        <f>PKs!W21-calcs!$E$13</f>
        <v>-26.969656539097585</v>
      </c>
    </row>
    <row r="172" spans="51:55" x14ac:dyDescent="0.25">
      <c r="AY172" s="6">
        <v>170</v>
      </c>
      <c r="AZ172" t="str">
        <f>WRs!A56</f>
        <v>Terrence Wilkins</v>
      </c>
      <c r="BA172" s="6" t="str">
        <f>WRs!B56</f>
        <v>Ind</v>
      </c>
      <c r="BB172" s="6" t="s">
        <v>18</v>
      </c>
      <c r="BC172" s="7">
        <f>WRs!AJ56-calcs!$E$11</f>
        <v>-27.413123732251506</v>
      </c>
    </row>
    <row r="173" spans="51:55" x14ac:dyDescent="0.25">
      <c r="AY173" s="6">
        <v>171</v>
      </c>
      <c r="AZ173" t="str">
        <f>Defs!A19</f>
        <v xml:space="preserve">Detroit Lions </v>
      </c>
      <c r="BB173" s="6" t="s">
        <v>8</v>
      </c>
      <c r="BC173" s="7">
        <f>Defs!I19-calcs!$E$14</f>
        <v>-28.640000000000008</v>
      </c>
    </row>
    <row r="174" spans="51:55" x14ac:dyDescent="0.25">
      <c r="AY174" s="6">
        <v>172</v>
      </c>
      <c r="AZ174" t="str">
        <f>WRs!A60</f>
        <v>Jacquez Green</v>
      </c>
      <c r="BA174" s="6" t="str">
        <f>WRs!B60</f>
        <v>TB</v>
      </c>
      <c r="BB174" s="6" t="s">
        <v>18</v>
      </c>
      <c r="BC174" s="7">
        <f>WRs!AJ60-calcs!$E$11</f>
        <v>-29.370686757461584</v>
      </c>
    </row>
    <row r="175" spans="51:55" x14ac:dyDescent="0.25">
      <c r="AY175" s="6">
        <v>173</v>
      </c>
      <c r="AZ175" t="str">
        <f>Defs!A27</f>
        <v>New York Jets</v>
      </c>
      <c r="BB175" s="6" t="s">
        <v>8</v>
      </c>
      <c r="BC175" s="7">
        <f>Defs!I27-calcs!$E$14</f>
        <v>-29.4</v>
      </c>
    </row>
    <row r="176" spans="51:55" x14ac:dyDescent="0.25">
      <c r="AY176" s="6">
        <v>174</v>
      </c>
      <c r="AZ176" t="str">
        <f>WRs!A54</f>
        <v>Az-Zahir Hakim</v>
      </c>
      <c r="BA176" s="6" t="str">
        <f>WRs!B54</f>
        <v>StL</v>
      </c>
      <c r="BB176" s="6" t="s">
        <v>18</v>
      </c>
      <c r="BC176" s="7">
        <f>WRs!AJ54-calcs!$E$11</f>
        <v>-30.250098522167491</v>
      </c>
    </row>
    <row r="177" spans="51:55" x14ac:dyDescent="0.25">
      <c r="AY177" s="6">
        <v>175</v>
      </c>
      <c r="AZ177" t="str">
        <f>WRs!A57</f>
        <v>Charles Johnson</v>
      </c>
      <c r="BA177" s="6" t="str">
        <f>WRs!B57</f>
        <v>Phi</v>
      </c>
      <c r="BB177" s="6" t="s">
        <v>18</v>
      </c>
      <c r="BC177" s="7">
        <f>WRs!AJ57-calcs!$E$11</f>
        <v>-30.466905244856548</v>
      </c>
    </row>
    <row r="178" spans="51:55" x14ac:dyDescent="0.25">
      <c r="AY178" s="6">
        <v>176</v>
      </c>
      <c r="AZ178" t="str">
        <f>Defs!A21</f>
        <v>New York Giants</v>
      </c>
      <c r="BB178" s="6" t="s">
        <v>8</v>
      </c>
      <c r="BC178" s="7">
        <f>Defs!I21-calcs!$E$14</f>
        <v>-30.54</v>
      </c>
    </row>
    <row r="179" spans="51:55" x14ac:dyDescent="0.25">
      <c r="AY179" s="6">
        <v>177</v>
      </c>
      <c r="AZ179" t="str">
        <f>WRs!A47</f>
        <v>Shawn Jefferson</v>
      </c>
      <c r="BA179" s="6" t="str">
        <f>WRs!B47</f>
        <v>Atl</v>
      </c>
      <c r="BB179" s="6" t="s">
        <v>18</v>
      </c>
      <c r="BC179" s="7">
        <f>WRs!AJ47-calcs!$E$11</f>
        <v>-30.866905244856554</v>
      </c>
    </row>
    <row r="180" spans="51:55" x14ac:dyDescent="0.25">
      <c r="AY180" s="6">
        <v>178</v>
      </c>
      <c r="AZ180" t="str">
        <f>PKs!A29</f>
        <v>Brad Daluiso</v>
      </c>
      <c r="BA180" s="6" t="str">
        <f>PKs!B29</f>
        <v>NYG</v>
      </c>
      <c r="BB180" s="6" t="s">
        <v>24</v>
      </c>
      <c r="BC180" s="7">
        <f>PKs!W29-calcs!$E$13</f>
        <v>-30.985281539097599</v>
      </c>
    </row>
    <row r="181" spans="51:55" x14ac:dyDescent="0.25">
      <c r="AY181" s="6">
        <v>179</v>
      </c>
      <c r="AZ181" t="str">
        <f>TEs!A31</f>
        <v>Dave Moore</v>
      </c>
      <c r="BA181" s="6" t="str">
        <f>TEs!B31</f>
        <v>TB</v>
      </c>
      <c r="BB181" s="6" t="str">
        <f>IF($I$30=0,"WR","TE")</f>
        <v>TE</v>
      </c>
      <c r="BC181" s="7">
        <f>TEs!T31-calcs!$E$12</f>
        <v>-31.13030303030304</v>
      </c>
    </row>
    <row r="182" spans="51:55" x14ac:dyDescent="0.25">
      <c r="AY182" s="6">
        <v>180</v>
      </c>
      <c r="AZ182" t="str">
        <f>TEs!A30</f>
        <v>Chris Gedney</v>
      </c>
      <c r="BA182" s="6" t="str">
        <f>TEs!B30</f>
        <v>Ari</v>
      </c>
      <c r="BB182" s="6" t="str">
        <f>IF($I$30=0,"WR","TE")</f>
        <v>TE</v>
      </c>
      <c r="BC182" s="7">
        <f>TEs!T30-calcs!$E$12</f>
        <v>-31.503030303030307</v>
      </c>
    </row>
    <row r="183" spans="51:55" x14ac:dyDescent="0.25">
      <c r="AY183" s="6">
        <v>181</v>
      </c>
      <c r="AZ183" t="str">
        <f>RBs!A32</f>
        <v>Shaun Alexander</v>
      </c>
      <c r="BA183" s="6" t="str">
        <f>RBs!B32</f>
        <v>Sea</v>
      </c>
      <c r="BB183" s="6" t="s">
        <v>9</v>
      </c>
      <c r="BC183" s="7">
        <f>RBs!AJ32-calcs!$E$10</f>
        <v>-31.893263403263461</v>
      </c>
    </row>
    <row r="184" spans="51:55" x14ac:dyDescent="0.25">
      <c r="AY184" s="6">
        <v>182</v>
      </c>
      <c r="AZ184" t="str">
        <f>QBs!A29</f>
        <v>Charlie Batch</v>
      </c>
      <c r="BA184" s="6" t="str">
        <f>QBs!B29</f>
        <v>Det</v>
      </c>
      <c r="BB184" s="6" t="s">
        <v>13</v>
      </c>
      <c r="BC184" s="7">
        <f>QBs!AL29-calcs!$E$9</f>
        <v>-31.964525799362377</v>
      </c>
    </row>
    <row r="185" spans="51:55" x14ac:dyDescent="0.25">
      <c r="AY185" s="6">
        <v>183</v>
      </c>
      <c r="AZ185" t="str">
        <f>QBs!A25</f>
        <v>Jake Plummer</v>
      </c>
      <c r="BA185" s="6" t="str">
        <f>QBs!B25</f>
        <v>Ari</v>
      </c>
      <c r="BB185" s="6" t="s">
        <v>13</v>
      </c>
      <c r="BC185" s="7">
        <f>QBs!AL25-calcs!$E$9</f>
        <v>-32.300239071306237</v>
      </c>
    </row>
    <row r="186" spans="51:55" x14ac:dyDescent="0.25">
      <c r="AY186" s="6">
        <v>184</v>
      </c>
      <c r="AZ186" t="str">
        <f>TEs!A28</f>
        <v>Jimmy Kleinsasser</v>
      </c>
      <c r="BA186" s="6" t="str">
        <f>TEs!B28</f>
        <v>Min</v>
      </c>
      <c r="BB186" s="6" t="str">
        <f>IF($I$30=0,"WR","TE")</f>
        <v>TE</v>
      </c>
      <c r="BC186" s="7">
        <f>TEs!T28-calcs!$E$12</f>
        <v>-33.230303030303041</v>
      </c>
    </row>
    <row r="187" spans="51:55" x14ac:dyDescent="0.25">
      <c r="AY187" s="6">
        <v>185</v>
      </c>
      <c r="AZ187" t="str">
        <f>PKs!A30</f>
        <v>Morten Andersen</v>
      </c>
      <c r="BA187" s="6" t="str">
        <f>PKs!B30</f>
        <v>Atl</v>
      </c>
      <c r="BB187" s="6" t="s">
        <v>24</v>
      </c>
      <c r="BC187" s="7">
        <f>PKs!W30-calcs!$E$13</f>
        <v>-33.508719039097599</v>
      </c>
    </row>
    <row r="188" spans="51:55" x14ac:dyDescent="0.25">
      <c r="AY188" s="6">
        <v>186</v>
      </c>
      <c r="AZ188" t="str">
        <f>RBs!A36</f>
        <v>Kimble Anders</v>
      </c>
      <c r="BA188" s="6" t="str">
        <f>RBs!B36</f>
        <v>KC</v>
      </c>
      <c r="BB188" s="6" t="s">
        <v>9</v>
      </c>
      <c r="BC188" s="7">
        <f>RBs!AJ36-calcs!$E$10</f>
        <v>-33.653263403263452</v>
      </c>
    </row>
    <row r="189" spans="51:55" x14ac:dyDescent="0.25">
      <c r="AY189" s="6">
        <v>187</v>
      </c>
      <c r="AZ189" t="str">
        <f>TEs!A33</f>
        <v>Kyle Brady</v>
      </c>
      <c r="BA189" s="6" t="str">
        <f>TEs!B33</f>
        <v>Jac</v>
      </c>
      <c r="BB189" s="6" t="str">
        <f>IF($I$30=0,"WR","TE")</f>
        <v>TE</v>
      </c>
      <c r="BC189" s="7">
        <f>TEs!T33-calcs!$E$12</f>
        <v>-33.703030303030303</v>
      </c>
    </row>
    <row r="190" spans="51:55" x14ac:dyDescent="0.25">
      <c r="AY190" s="6">
        <v>188</v>
      </c>
      <c r="AZ190" t="str">
        <f>RBs!A35</f>
        <v>Fred Beasley</v>
      </c>
      <c r="BA190" s="6" t="str">
        <f>RBs!B35</f>
        <v>SF</v>
      </c>
      <c r="BB190" s="6" t="s">
        <v>9</v>
      </c>
      <c r="BC190" s="7">
        <f>RBs!AJ35-calcs!$E$10</f>
        <v>-33.890815850815883</v>
      </c>
    </row>
    <row r="191" spans="51:55" x14ac:dyDescent="0.25">
      <c r="AY191" s="6">
        <v>189</v>
      </c>
      <c r="AZ191" t="str">
        <f>RBs!A31</f>
        <v>Thomas Jones</v>
      </c>
      <c r="BA191" s="6" t="str">
        <f>RBs!B31</f>
        <v>Ari</v>
      </c>
      <c r="BB191" s="6" t="s">
        <v>9</v>
      </c>
      <c r="BC191" s="7">
        <f>RBs!AJ31-calcs!$E$10</f>
        <v>-34.117039627039659</v>
      </c>
    </row>
    <row r="192" spans="51:55" x14ac:dyDescent="0.25">
      <c r="AY192" s="6">
        <v>190</v>
      </c>
      <c r="AZ192" t="str">
        <f>TEs!A34</f>
        <v>Terry Hardy</v>
      </c>
      <c r="BA192" s="6" t="str">
        <f>TEs!B34</f>
        <v>Ari</v>
      </c>
      <c r="BB192" s="6" t="str">
        <f>IF($I$30=0,"WR","TE")</f>
        <v>TE</v>
      </c>
      <c r="BC192" s="7">
        <f>TEs!T34-calcs!$E$12</f>
        <v>-34.503030303030307</v>
      </c>
    </row>
    <row r="193" spans="51:55" x14ac:dyDescent="0.25">
      <c r="AY193" s="6">
        <v>191</v>
      </c>
      <c r="AZ193" t="str">
        <f>Defs!A24</f>
        <v xml:space="preserve">Dallas Cowboys </v>
      </c>
      <c r="BB193" s="6" t="s">
        <v>8</v>
      </c>
      <c r="BC193" s="7">
        <f>Defs!I24-calcs!$E$14</f>
        <v>-34.700000000000003</v>
      </c>
    </row>
    <row r="194" spans="51:55" x14ac:dyDescent="0.25">
      <c r="AY194" s="6">
        <v>192</v>
      </c>
      <c r="AZ194" t="str">
        <f>TEs!A55</f>
        <v>Marco Battaglia</v>
      </c>
      <c r="BA194" s="6" t="str">
        <f>TEs!B55</f>
        <v>Cin</v>
      </c>
      <c r="BB194" s="6" t="str">
        <f>IF($I$30=0,"WR","TE")</f>
        <v>TE</v>
      </c>
      <c r="BC194" s="7">
        <f>TEs!T55-calcs!$E$12</f>
        <v>-35.103030303030309</v>
      </c>
    </row>
    <row r="195" spans="51:55" x14ac:dyDescent="0.25">
      <c r="AY195" s="6">
        <v>193</v>
      </c>
      <c r="AZ195" t="str">
        <f>WRs!A50</f>
        <v>David Boston</v>
      </c>
      <c r="BA195" s="6" t="str">
        <f>WRs!B50</f>
        <v>Ari</v>
      </c>
      <c r="BB195" s="6" t="s">
        <v>18</v>
      </c>
      <c r="BC195" s="7">
        <f>WRs!AJ50-calcs!$E$11</f>
        <v>-35.466905244856548</v>
      </c>
    </row>
    <row r="196" spans="51:55" x14ac:dyDescent="0.25">
      <c r="AY196" s="6">
        <v>194</v>
      </c>
      <c r="AZ196" t="str">
        <f>Defs!A28</f>
        <v xml:space="preserve">Minnesota Vikings </v>
      </c>
      <c r="BB196" s="6" t="s">
        <v>8</v>
      </c>
      <c r="BC196" s="7">
        <f>Defs!I28-calcs!$E$14</f>
        <v>-35.54</v>
      </c>
    </row>
    <row r="197" spans="51:55" x14ac:dyDescent="0.25">
      <c r="AY197" s="6">
        <v>195</v>
      </c>
      <c r="AZ197" t="str">
        <f>RBs!A37</f>
        <v>Napoleon Kaufman</v>
      </c>
      <c r="BA197" s="6" t="str">
        <f>RBs!B37</f>
        <v>Oak</v>
      </c>
      <c r="BB197" s="6" t="s">
        <v>9</v>
      </c>
      <c r="BC197" s="7">
        <f>RBs!AJ37-calcs!$E$10</f>
        <v>-35.543263403263467</v>
      </c>
    </row>
    <row r="198" spans="51:55" x14ac:dyDescent="0.25">
      <c r="AY198" s="6">
        <v>196</v>
      </c>
      <c r="AZ198" t="str">
        <f>TEs!A36</f>
        <v>Mark Campbell</v>
      </c>
      <c r="BA198" s="6" t="str">
        <f>TEs!B36</f>
        <v>Cle</v>
      </c>
      <c r="BB198" s="6" t="str">
        <f>IF($I$30=0,"WR","TE")</f>
        <v>TE</v>
      </c>
      <c r="BC198" s="7">
        <f>TEs!T36-calcs!$E$12</f>
        <v>-36.503030303030307</v>
      </c>
    </row>
    <row r="199" spans="51:55" x14ac:dyDescent="0.25">
      <c r="AY199" s="6">
        <v>197</v>
      </c>
      <c r="AZ199" t="str">
        <f>TEs!A37</f>
        <v>Eric Bjornson</v>
      </c>
      <c r="BA199" s="6" t="str">
        <f>TEs!B37</f>
        <v>NE</v>
      </c>
      <c r="BB199" s="6" t="str">
        <f>IF($I$30=0,"WR","TE")</f>
        <v>TE</v>
      </c>
      <c r="BC199" s="7">
        <f>TEs!T37-calcs!$E$12</f>
        <v>-36.503030303030307</v>
      </c>
    </row>
    <row r="200" spans="51:55" x14ac:dyDescent="0.25">
      <c r="AY200" s="6">
        <v>198</v>
      </c>
      <c r="AZ200" t="str">
        <f>WRs!A59</f>
        <v>Jeff Graham</v>
      </c>
      <c r="BA200" s="6" t="str">
        <f>WRs!B59</f>
        <v>SD</v>
      </c>
      <c r="BB200" s="6" t="s">
        <v>18</v>
      </c>
      <c r="BC200" s="7">
        <f>WRs!AJ59-calcs!$E$11</f>
        <v>-36.720686757461579</v>
      </c>
    </row>
    <row r="201" spans="51:55" x14ac:dyDescent="0.25">
      <c r="AY201" s="6">
        <v>199</v>
      </c>
      <c r="AZ201" t="str">
        <f>TEs!A38</f>
        <v>Mark Bruener</v>
      </c>
      <c r="BA201" s="6" t="str">
        <f>TEs!B38</f>
        <v>Pit</v>
      </c>
      <c r="BB201" s="6" t="str">
        <f>IF($I$30=0,"WR","TE")</f>
        <v>TE</v>
      </c>
      <c r="BC201" s="7">
        <f>TEs!T38-calcs!$E$12</f>
        <v>-37.103030303030309</v>
      </c>
    </row>
    <row r="202" spans="51:55" x14ac:dyDescent="0.25">
      <c r="AY202" s="6">
        <v>200</v>
      </c>
      <c r="AZ202" t="str">
        <f>WRs!A58</f>
        <v>Kevin Dyson</v>
      </c>
      <c r="BA202" s="6" t="str">
        <f>WRs!B58</f>
        <v>Ten</v>
      </c>
      <c r="BB202" s="6" t="s">
        <v>18</v>
      </c>
      <c r="BC202" s="7">
        <f>WRs!AJ58-calcs!$E$11</f>
        <v>-37.266905244856545</v>
      </c>
    </row>
    <row r="203" spans="51:55" x14ac:dyDescent="0.25">
      <c r="AY203" s="6">
        <v>201</v>
      </c>
      <c r="AZ203" t="str">
        <f>WRs!A51</f>
        <v>Curtis Conway</v>
      </c>
      <c r="BA203" s="6" t="str">
        <f>WRs!B51</f>
        <v>SD</v>
      </c>
      <c r="BB203" s="6" t="s">
        <v>18</v>
      </c>
      <c r="BC203" s="7">
        <f>WRs!AJ51-calcs!$E$11</f>
        <v>-37.680686757461586</v>
      </c>
    </row>
    <row r="204" spans="51:55" x14ac:dyDescent="0.25">
      <c r="AY204" s="6">
        <v>202</v>
      </c>
      <c r="AZ204" t="str">
        <f>TEs!A39</f>
        <v>Reggie Kelly</v>
      </c>
      <c r="BA204" s="6" t="str">
        <f>TEs!B39</f>
        <v>Atl</v>
      </c>
      <c r="BB204" s="6" t="str">
        <f>IF($I$30=0,"WR","TE")</f>
        <v>TE</v>
      </c>
      <c r="BC204" s="7">
        <f>TEs!T39-calcs!$E$12</f>
        <v>-38.003030303030307</v>
      </c>
    </row>
    <row r="205" spans="51:55" x14ac:dyDescent="0.25">
      <c r="AY205" s="6">
        <v>203</v>
      </c>
      <c r="AZ205" t="str">
        <f>TEs!A40</f>
        <v>Ernie Conwell</v>
      </c>
      <c r="BA205" s="6" t="str">
        <f>TEs!B40</f>
        <v>StL</v>
      </c>
      <c r="BB205" s="6" t="str">
        <f>IF($I$30=0,"WR","TE")</f>
        <v>TE</v>
      </c>
      <c r="BC205" s="7">
        <f>TEs!T40-calcs!$E$12</f>
        <v>-38.003030303030307</v>
      </c>
    </row>
    <row r="206" spans="51:55" x14ac:dyDescent="0.25">
      <c r="AY206" s="6">
        <v>204</v>
      </c>
      <c r="AZ206" t="str">
        <f>PKs!A32</f>
        <v>Neil Rackers</v>
      </c>
      <c r="BA206" s="6" t="str">
        <f>PKs!B32</f>
        <v>Cin</v>
      </c>
      <c r="BB206" s="6" t="s">
        <v>24</v>
      </c>
      <c r="BC206" s="7">
        <f>PKs!W32-calcs!$E$13</f>
        <v>-38.493094039097599</v>
      </c>
    </row>
    <row r="207" spans="51:55" x14ac:dyDescent="0.25">
      <c r="AY207" s="6">
        <v>205</v>
      </c>
      <c r="AZ207" t="str">
        <f>TEs!A41</f>
        <v>Ryan Wetnight</v>
      </c>
      <c r="BA207" s="6" t="str">
        <f>TEs!B41</f>
        <v>Chi</v>
      </c>
      <c r="BB207" s="6" t="str">
        <f>IF($I$30=0,"WR","TE")</f>
        <v>TE</v>
      </c>
      <c r="BC207" s="7">
        <f>TEs!T41-calcs!$E$12</f>
        <v>-38.503030303030307</v>
      </c>
    </row>
    <row r="208" spans="51:55" x14ac:dyDescent="0.25">
      <c r="AY208" s="6">
        <v>206</v>
      </c>
      <c r="AZ208" t="str">
        <f>WRs!A52</f>
        <v>Darrin Chiaverini</v>
      </c>
      <c r="BA208" s="6" t="str">
        <f>WRs!B52</f>
        <v>Cle</v>
      </c>
      <c r="BB208" s="6" t="s">
        <v>18</v>
      </c>
      <c r="BC208" s="7">
        <f>WRs!AJ52-calcs!$E$11</f>
        <v>-39.720686757461579</v>
      </c>
    </row>
    <row r="209" spans="51:55" x14ac:dyDescent="0.25">
      <c r="AY209" s="6">
        <v>207</v>
      </c>
      <c r="AZ209" t="str">
        <f>TEs!A42</f>
        <v>Dwayne Carswell</v>
      </c>
      <c r="BA209" s="6" t="str">
        <f>TEs!B42</f>
        <v>Den</v>
      </c>
      <c r="BB209" s="6" t="str">
        <f>IF($I$30=0,"WR","TE")</f>
        <v>TE</v>
      </c>
      <c r="BC209" s="7">
        <f>TEs!T42-calcs!$E$12</f>
        <v>-39.803030303030305</v>
      </c>
    </row>
    <row r="210" spans="51:55" x14ac:dyDescent="0.25">
      <c r="AY210" s="6">
        <v>208</v>
      </c>
      <c r="AZ210" t="str">
        <f>QBs!A28</f>
        <v>Chris Chandler</v>
      </c>
      <c r="BA210" s="6" t="str">
        <f>QBs!B28</f>
        <v>Atl</v>
      </c>
      <c r="BB210" s="6" t="s">
        <v>13</v>
      </c>
      <c r="BC210" s="7">
        <f>QBs!AL28-calcs!$E$9</f>
        <v>-40.135637567546866</v>
      </c>
    </row>
    <row r="211" spans="51:55" x14ac:dyDescent="0.25">
      <c r="AY211" s="6">
        <v>209</v>
      </c>
      <c r="AZ211" t="str">
        <f>RBs!A39</f>
        <v>Richard Huntley</v>
      </c>
      <c r="BA211" s="6" t="str">
        <f>RBs!B39</f>
        <v>Pit</v>
      </c>
      <c r="BB211" s="6" t="s">
        <v>9</v>
      </c>
      <c r="BC211" s="7">
        <f>RBs!AJ39-calcs!$E$10</f>
        <v>-40.193263403263458</v>
      </c>
    </row>
    <row r="212" spans="51:55" x14ac:dyDescent="0.25">
      <c r="AY212" s="6">
        <v>210</v>
      </c>
      <c r="AZ212" t="str">
        <f>WRs!A53</f>
        <v>Troy Edwards</v>
      </c>
      <c r="BA212" s="6" t="str">
        <f>WRs!B53</f>
        <v>Pit</v>
      </c>
      <c r="BB212" s="6" t="s">
        <v>18</v>
      </c>
      <c r="BC212" s="7">
        <f>WRs!AJ53-calcs!$E$11</f>
        <v>-40.320686757461573</v>
      </c>
    </row>
    <row r="213" spans="51:55" x14ac:dyDescent="0.25">
      <c r="AY213" s="6">
        <v>211</v>
      </c>
      <c r="AZ213" t="str">
        <f>TEs!A43</f>
        <v>Rod Rutledge</v>
      </c>
      <c r="BA213" s="6" t="str">
        <f>TEs!B43</f>
        <v>NE</v>
      </c>
      <c r="BB213" s="6" t="str">
        <f>IF($I$30=0,"WR","TE")</f>
        <v>TE</v>
      </c>
      <c r="BC213" s="7">
        <f>TEs!T43-calcs!$E$12</f>
        <v>-40.403030303030306</v>
      </c>
    </row>
    <row r="214" spans="51:55" x14ac:dyDescent="0.25">
      <c r="AY214" s="6">
        <v>212</v>
      </c>
      <c r="AZ214" t="str">
        <f>Defs!A30</f>
        <v xml:space="preserve">Buffalo Bills </v>
      </c>
      <c r="BB214" s="6" t="s">
        <v>8</v>
      </c>
      <c r="BC214" s="7">
        <f>Defs!I30-calcs!$E$14</f>
        <v>-41</v>
      </c>
    </row>
    <row r="215" spans="51:55" x14ac:dyDescent="0.25">
      <c r="AY215" s="6">
        <v>213</v>
      </c>
      <c r="AZ215" t="str">
        <f>RBs!A33</f>
        <v>Corey Dillon</v>
      </c>
      <c r="BA215" s="6" t="str">
        <f>RBs!B33</f>
        <v>Cin</v>
      </c>
      <c r="BB215" s="6" t="s">
        <v>9</v>
      </c>
      <c r="BC215" s="7">
        <f>RBs!AJ33-calcs!$E$10</f>
        <v>-41.467039627039654</v>
      </c>
    </row>
    <row r="216" spans="51:55" x14ac:dyDescent="0.25">
      <c r="AY216" s="6">
        <v>214</v>
      </c>
      <c r="AZ216" t="str">
        <f>TEs!A45</f>
        <v>James Whalen</v>
      </c>
      <c r="BA216" s="6" t="str">
        <f>TEs!B45</f>
        <v>TB</v>
      </c>
      <c r="BB216" s="6" t="str">
        <f>IF($I$30=0,"WR","TE")</f>
        <v>TE</v>
      </c>
      <c r="BC216" s="7">
        <f>TEs!T45-calcs!$E$12</f>
        <v>-42.503030303030307</v>
      </c>
    </row>
    <row r="217" spans="51:55" x14ac:dyDescent="0.25">
      <c r="AY217" s="6">
        <v>215</v>
      </c>
      <c r="AZ217" t="str">
        <f>TEs!A46</f>
        <v>Tyrone Davis</v>
      </c>
      <c r="BA217" s="6" t="str">
        <f>TEs!B46</f>
        <v>GB</v>
      </c>
      <c r="BB217" s="6" t="str">
        <f>IF($I$30=0,"WR","TE")</f>
        <v>TE</v>
      </c>
      <c r="BC217" s="7">
        <f>TEs!T46-calcs!$E$12</f>
        <v>-42.703030303030303</v>
      </c>
    </row>
    <row r="218" spans="51:55" x14ac:dyDescent="0.25">
      <c r="AY218" s="6">
        <v>216</v>
      </c>
      <c r="AZ218" t="str">
        <f>Defs!A29</f>
        <v>Arizona Cardinals</v>
      </c>
      <c r="BB218" s="6" t="s">
        <v>8</v>
      </c>
      <c r="BC218" s="7">
        <f>Defs!I29-calcs!$E$14</f>
        <v>-42.94</v>
      </c>
    </row>
    <row r="219" spans="51:55" x14ac:dyDescent="0.25">
      <c r="AY219" s="6">
        <v>217</v>
      </c>
      <c r="AZ219" t="str">
        <f>TEs!A47</f>
        <v>Fred Baxter</v>
      </c>
      <c r="BA219" s="6" t="str">
        <f>TEs!B47</f>
        <v>NYJ</v>
      </c>
      <c r="BB219" s="6" t="str">
        <f>IF($I$30=0,"WR","TE")</f>
        <v>TE</v>
      </c>
      <c r="BC219" s="7">
        <f>TEs!T47-calcs!$E$12</f>
        <v>-43.103030303030309</v>
      </c>
    </row>
    <row r="220" spans="51:55" x14ac:dyDescent="0.25">
      <c r="AY220" s="6">
        <v>218</v>
      </c>
      <c r="AZ220" t="str">
        <f>TEs!A48</f>
        <v>Reggie Davis</v>
      </c>
      <c r="BA220" s="6" t="str">
        <f>TEs!B48</f>
        <v>SD</v>
      </c>
      <c r="BB220" s="6" t="str">
        <f>IF($I$30=0,"WR","TE")</f>
        <v>TE</v>
      </c>
      <c r="BC220" s="7">
        <f>TEs!T48-calcs!$E$12</f>
        <v>-43.103030303030309</v>
      </c>
    </row>
    <row r="221" spans="51:55" x14ac:dyDescent="0.25">
      <c r="AY221" s="6">
        <v>219</v>
      </c>
      <c r="AZ221" t="str">
        <f>QBs!A24</f>
        <v>Vinny Testaverde</v>
      </c>
      <c r="BA221" s="6" t="str">
        <f>QBs!B24</f>
        <v>NYJ</v>
      </c>
      <c r="BB221" s="6" t="s">
        <v>13</v>
      </c>
      <c r="BC221" s="7">
        <f>QBs!AL24-calcs!$E$9</f>
        <v>-43.255938319426576</v>
      </c>
    </row>
    <row r="222" spans="51:55" x14ac:dyDescent="0.25">
      <c r="AY222" s="6">
        <v>220</v>
      </c>
      <c r="AZ222" t="str">
        <f>TEs!A49</f>
        <v>Chad Lewis</v>
      </c>
      <c r="BA222" s="6" t="str">
        <f>TEs!B49</f>
        <v>Phi</v>
      </c>
      <c r="BB222" s="6" t="str">
        <f>IF($I$30=0,"WR","TE")</f>
        <v>TE</v>
      </c>
      <c r="BC222" s="7">
        <f>TEs!T49-calcs!$E$12</f>
        <v>-43.503030303030307</v>
      </c>
    </row>
    <row r="223" spans="51:55" x14ac:dyDescent="0.25">
      <c r="AY223" s="6">
        <v>221</v>
      </c>
      <c r="AZ223" t="str">
        <f>RBs!A53</f>
        <v>Priest Holmes</v>
      </c>
      <c r="BA223" s="6" t="str">
        <f>RBs!B53</f>
        <v>Bal</v>
      </c>
      <c r="BB223" s="6" t="s">
        <v>9</v>
      </c>
      <c r="BC223" s="7">
        <f>RBs!AJ53-calcs!$E$10</f>
        <v>-44.343263403263464</v>
      </c>
    </row>
    <row r="224" spans="51:55" x14ac:dyDescent="0.25">
      <c r="AY224" s="6">
        <v>222</v>
      </c>
      <c r="AZ224" t="str">
        <f>WRs!A61</f>
        <v>Herman Moore</v>
      </c>
      <c r="BA224" s="6" t="str">
        <f>WRs!B61</f>
        <v>Det</v>
      </c>
      <c r="BB224" s="6" t="s">
        <v>18</v>
      </c>
      <c r="BC224" s="7">
        <f>WRs!AJ61-calcs!$E$11</f>
        <v>-44.670686757461567</v>
      </c>
    </row>
    <row r="225" spans="51:55" x14ac:dyDescent="0.25">
      <c r="AY225" s="6">
        <v>223</v>
      </c>
      <c r="AZ225" t="str">
        <f>TEs!A50</f>
        <v>Troy Drayton</v>
      </c>
      <c r="BA225" s="6" t="str">
        <f>TEs!B50</f>
        <v>KC</v>
      </c>
      <c r="BB225" s="6" t="str">
        <f>IF($I$30=0,"WR","TE")</f>
        <v>TE</v>
      </c>
      <c r="BC225" s="7">
        <f>TEs!T50-calcs!$E$12</f>
        <v>-45.503030303030314</v>
      </c>
    </row>
    <row r="226" spans="51:55" x14ac:dyDescent="0.25">
      <c r="AY226" s="6">
        <v>224</v>
      </c>
      <c r="AZ226" t="str">
        <f>Defs!A26</f>
        <v xml:space="preserve">Indianapolis Colts </v>
      </c>
      <c r="BB226" s="6" t="s">
        <v>8</v>
      </c>
      <c r="BC226" s="7">
        <f>Defs!I26-calcs!$E$14</f>
        <v>-45.78</v>
      </c>
    </row>
    <row r="227" spans="51:55" x14ac:dyDescent="0.25">
      <c r="AY227" s="6">
        <v>225</v>
      </c>
      <c r="AZ227" t="str">
        <f>QBs!A26</f>
        <v>Shaun King</v>
      </c>
      <c r="BA227" s="6" t="str">
        <f>QBs!B26</f>
        <v>TB</v>
      </c>
      <c r="BB227" s="6" t="s">
        <v>13</v>
      </c>
      <c r="BC227" s="7">
        <f>QBs!AL26-calcs!$E$9</f>
        <v>-46.015088695366387</v>
      </c>
    </row>
    <row r="228" spans="51:55" x14ac:dyDescent="0.25">
      <c r="AY228" s="6">
        <v>226</v>
      </c>
      <c r="AZ228" t="str">
        <f>RBs!A40</f>
        <v>Jonathan Linton</v>
      </c>
      <c r="BA228" s="6" t="str">
        <f>RBs!B40</f>
        <v>Buf</v>
      </c>
      <c r="BB228" s="6" t="s">
        <v>9</v>
      </c>
      <c r="BC228" s="7">
        <f>RBs!AJ40-calcs!$E$10</f>
        <v>-46.393263403263461</v>
      </c>
    </row>
    <row r="229" spans="51:55" x14ac:dyDescent="0.25">
      <c r="AY229" s="6">
        <v>227</v>
      </c>
      <c r="AZ229" t="str">
        <f>WRs!A55</f>
        <v>Carl Pickens</v>
      </c>
      <c r="BA229" s="6" t="str">
        <f>WRs!B55</f>
        <v>Ten</v>
      </c>
      <c r="BB229" s="6" t="s">
        <v>18</v>
      </c>
      <c r="BC229" s="7">
        <f>WRs!AJ55-calcs!$E$11</f>
        <v>-47.716905244856548</v>
      </c>
    </row>
    <row r="230" spans="51:55" x14ac:dyDescent="0.25">
      <c r="AY230" s="6">
        <v>228</v>
      </c>
      <c r="AZ230" t="str">
        <f>PKs!A17</f>
        <v>Paul Edinger</v>
      </c>
      <c r="BA230" s="6" t="str">
        <f>PKs!B17</f>
        <v>Chi</v>
      </c>
      <c r="BB230" s="6" t="s">
        <v>24</v>
      </c>
      <c r="BC230" s="7">
        <f>PKs!W17-calcs!$E$13</f>
        <v>-48.016531539097599</v>
      </c>
    </row>
    <row r="231" spans="51:55" x14ac:dyDescent="0.25">
      <c r="AY231" s="6">
        <v>229</v>
      </c>
      <c r="AZ231" t="str">
        <f>TEs!A51</f>
        <v>Bobby Collins</v>
      </c>
      <c r="BA231" s="6" t="str">
        <f>TEs!B51</f>
        <v>Buf</v>
      </c>
      <c r="BB231" s="6" t="str">
        <f>IF($I$30=0,"WR","TE")</f>
        <v>TE</v>
      </c>
      <c r="BC231" s="7">
        <f>TEs!T51-calcs!$E$12</f>
        <v>-48.475757575757584</v>
      </c>
    </row>
    <row r="232" spans="51:55" x14ac:dyDescent="0.25">
      <c r="AY232" s="6">
        <v>230</v>
      </c>
      <c r="AZ232" t="str">
        <f>TEs!A44</f>
        <v>Jeremy Brigham</v>
      </c>
      <c r="BA232" s="6" t="str">
        <f>TEs!B44</f>
        <v>Oak</v>
      </c>
      <c r="BB232" s="6" t="str">
        <f>IF($I$30=0,"WR","TE")</f>
        <v>TE</v>
      </c>
      <c r="BC232" s="7">
        <f>TEs!T44-calcs!$E$12</f>
        <v>-48.875757575757582</v>
      </c>
    </row>
    <row r="233" spans="51:55" x14ac:dyDescent="0.25">
      <c r="AY233" s="6">
        <v>231</v>
      </c>
      <c r="AZ233" t="str">
        <f>TEs!A52</f>
        <v>Alonzo Mayes</v>
      </c>
      <c r="BA233" s="6" t="str">
        <f>TEs!B52</f>
        <v>Chi</v>
      </c>
      <c r="BB233" s="6" t="str">
        <f>IF($I$30=0,"WR","TE")</f>
        <v>TE</v>
      </c>
      <c r="BC233" s="7">
        <f>TEs!T52-calcs!$E$12</f>
        <v>-49.015757575757583</v>
      </c>
    </row>
    <row r="234" spans="51:55" x14ac:dyDescent="0.25">
      <c r="AY234" s="6">
        <v>232</v>
      </c>
      <c r="AZ234" t="str">
        <f>PKs!A33</f>
        <v>Phil Dawson</v>
      </c>
      <c r="BA234" s="6" t="str">
        <f>PKs!B33</f>
        <v>Cle</v>
      </c>
      <c r="BB234" s="6" t="s">
        <v>24</v>
      </c>
      <c r="BC234" s="7">
        <f>PKs!W33-calcs!$E$13</f>
        <v>-49.032156539097599</v>
      </c>
    </row>
    <row r="235" spans="51:55" x14ac:dyDescent="0.25">
      <c r="AY235" s="6">
        <v>233</v>
      </c>
      <c r="AZ235" t="str">
        <f>TEs!A53</f>
        <v>Hunter Goodwin</v>
      </c>
      <c r="BA235" s="6" t="str">
        <f>TEs!B53</f>
        <v>Mia</v>
      </c>
      <c r="BB235" s="6" t="str">
        <f>IF($I$30=0,"WR","TE")</f>
        <v>TE</v>
      </c>
      <c r="BC235" s="7">
        <f>TEs!T53-calcs!$E$12</f>
        <v>-49.375757575757582</v>
      </c>
    </row>
    <row r="236" spans="51:55" x14ac:dyDescent="0.25">
      <c r="AY236" s="6">
        <v>234</v>
      </c>
      <c r="AZ236" t="str">
        <f>TEs!A54</f>
        <v>Jason Gavadza</v>
      </c>
      <c r="BA236" s="6" t="str">
        <f>TEs!B54</f>
        <v>Pit</v>
      </c>
      <c r="BB236" s="6" t="str">
        <f>IF($I$30=0,"WR","TE")</f>
        <v>TE</v>
      </c>
      <c r="BC236" s="7">
        <f>TEs!T54-calcs!$E$12</f>
        <v>-49.375757575757582</v>
      </c>
    </row>
    <row r="237" spans="51:55" x14ac:dyDescent="0.25">
      <c r="AY237" s="6">
        <v>235</v>
      </c>
      <c r="AZ237" t="str">
        <f>Defs!A25</f>
        <v>San Francisco 49ers</v>
      </c>
      <c r="BB237" s="6" t="s">
        <v>8</v>
      </c>
      <c r="BC237" s="7">
        <f>Defs!I25-calcs!$E$14</f>
        <v>-49.46</v>
      </c>
    </row>
    <row r="238" spans="51:55" x14ac:dyDescent="0.25">
      <c r="AY238" s="6">
        <v>236</v>
      </c>
      <c r="AZ238" t="str">
        <f>TEs!A56</f>
        <v>Erron Kinney</v>
      </c>
      <c r="BA238" s="6" t="str">
        <f>TEs!B56</f>
        <v>Ten</v>
      </c>
      <c r="BB238" s="6" t="str">
        <f>IF($I$30=0,"WR","TE")</f>
        <v>TE</v>
      </c>
      <c r="BC238" s="7">
        <f>TEs!T56-calcs!$E$12</f>
        <v>-50.375757575757582</v>
      </c>
    </row>
    <row r="239" spans="51:55" x14ac:dyDescent="0.25">
      <c r="AY239" s="6">
        <v>237</v>
      </c>
      <c r="AZ239" t="str">
        <f>TEs!A57</f>
        <v>James Jenkins</v>
      </c>
      <c r="BA239" s="6" t="str">
        <f>TEs!B57</f>
        <v>Was</v>
      </c>
      <c r="BB239" s="6" t="str">
        <f>IF($I$30=0,"WR","TE")</f>
        <v>TE</v>
      </c>
      <c r="BC239" s="7">
        <f>TEs!T57-calcs!$E$12</f>
        <v>-50.375757575757582</v>
      </c>
    </row>
    <row r="240" spans="51:55" x14ac:dyDescent="0.25">
      <c r="AY240" s="6">
        <v>238</v>
      </c>
      <c r="AZ240" t="str">
        <f>TEs!A58</f>
        <v>Carlester Crumpler</v>
      </c>
      <c r="BA240" s="6" t="str">
        <f>TEs!B58</f>
        <v>Min</v>
      </c>
      <c r="BB240" s="6" t="str">
        <f t="shared" ref="BB240:BB249" si="0">IF($I$30=0,"WR","TE")</f>
        <v>TE</v>
      </c>
      <c r="BC240" s="7">
        <f>TEs!T58-calcs!$E$12</f>
        <v>-50.475757575757584</v>
      </c>
    </row>
    <row r="241" spans="51:55" x14ac:dyDescent="0.25">
      <c r="AY241" s="6">
        <v>239</v>
      </c>
      <c r="AZ241" t="str">
        <f>WRs!A80</f>
        <v>Jermaine Lewis</v>
      </c>
      <c r="BA241" s="6" t="str">
        <f>WRs!B80</f>
        <v>Bal</v>
      </c>
      <c r="BB241" s="6" t="s">
        <v>18</v>
      </c>
      <c r="BC241" s="7">
        <f>WRs!AJ80-calcs!$E$11</f>
        <v>-52.570686757461573</v>
      </c>
    </row>
    <row r="242" spans="51:55" x14ac:dyDescent="0.25">
      <c r="AY242" s="6">
        <v>240</v>
      </c>
      <c r="AZ242" t="str">
        <f>TEs!A59</f>
        <v>Aaron Shea</v>
      </c>
      <c r="BA242" s="6" t="str">
        <f>TEs!B59</f>
        <v>Cle</v>
      </c>
      <c r="BB242" s="6" t="str">
        <f t="shared" si="0"/>
        <v>TE</v>
      </c>
      <c r="BC242" s="7">
        <f>TEs!T59-calcs!$E$12</f>
        <v>-52.575757575757578</v>
      </c>
    </row>
    <row r="243" spans="51:55" x14ac:dyDescent="0.25">
      <c r="AY243" s="6">
        <v>241</v>
      </c>
      <c r="AZ243" t="str">
        <f>WRs!A64</f>
        <v>Torrance Small</v>
      </c>
      <c r="BA243" s="6" t="str">
        <f>WRs!B64</f>
        <v>Phi</v>
      </c>
      <c r="BB243" s="6" t="s">
        <v>18</v>
      </c>
      <c r="BC243" s="7">
        <f>WRs!AJ64-calcs!$E$11</f>
        <v>-52.774468270066635</v>
      </c>
    </row>
    <row r="244" spans="51:55" x14ac:dyDescent="0.25">
      <c r="AY244" s="6">
        <v>242</v>
      </c>
      <c r="AZ244" t="str">
        <f>TEs!A60</f>
        <v>Itula Mili</v>
      </c>
      <c r="BA244" s="6" t="str">
        <f>TEs!B60</f>
        <v>Sea</v>
      </c>
      <c r="BB244" s="6" t="str">
        <f t="shared" si="0"/>
        <v>TE</v>
      </c>
      <c r="BC244" s="7">
        <f>TEs!T60-calcs!$E$12</f>
        <v>-53.375757575757582</v>
      </c>
    </row>
    <row r="245" spans="51:55" x14ac:dyDescent="0.25">
      <c r="AY245" s="6">
        <v>243</v>
      </c>
      <c r="AZ245" t="str">
        <f>TEs!A61</f>
        <v>Ed Perry</v>
      </c>
      <c r="BA245" s="6" t="str">
        <f>TEs!B61</f>
        <v>Mia</v>
      </c>
      <c r="BB245" s="6" t="str">
        <f t="shared" si="0"/>
        <v>TE</v>
      </c>
      <c r="BC245" s="7">
        <f>TEs!T61-calcs!$E$12</f>
        <v>-53.475757575757584</v>
      </c>
    </row>
    <row r="246" spans="51:55" x14ac:dyDescent="0.25">
      <c r="AY246" s="6">
        <v>244</v>
      </c>
      <c r="AZ246" t="str">
        <f>RBs!A44</f>
        <v>Chris Warren</v>
      </c>
      <c r="BA246" s="6" t="str">
        <f>RBs!B44</f>
        <v>Dal</v>
      </c>
      <c r="BB246" s="6" t="s">
        <v>9</v>
      </c>
      <c r="BC246" s="7">
        <f>RBs!AJ44-calcs!$E$10</f>
        <v>-53.543263403263452</v>
      </c>
    </row>
    <row r="247" spans="51:55" x14ac:dyDescent="0.25">
      <c r="AY247" s="6">
        <v>245</v>
      </c>
      <c r="AZ247" t="str">
        <f>TEs!A62</f>
        <v>Brian Kinchen</v>
      </c>
      <c r="BA247" s="6" t="str">
        <f>TEs!B62</f>
        <v>Car</v>
      </c>
      <c r="BB247" s="6" t="str">
        <f t="shared" si="0"/>
        <v>TE</v>
      </c>
      <c r="BC247" s="7">
        <f>TEs!T62-calcs!$E$12</f>
        <v>-54.175757575757579</v>
      </c>
    </row>
    <row r="248" spans="51:55" x14ac:dyDescent="0.25">
      <c r="AY248" s="6">
        <v>246</v>
      </c>
      <c r="AZ248" t="str">
        <f>WRs!A70</f>
        <v>Keith Poole</v>
      </c>
      <c r="BA248" s="6" t="str">
        <f>WRs!B70</f>
        <v>NO</v>
      </c>
      <c r="BB248" s="6" t="s">
        <v>18</v>
      </c>
      <c r="BC248" s="7">
        <f>WRs!AJ70-calcs!$E$11</f>
        <v>-54.42446827006664</v>
      </c>
    </row>
    <row r="249" spans="51:55" x14ac:dyDescent="0.25">
      <c r="AY249" s="6">
        <v>247</v>
      </c>
      <c r="AZ249" t="str">
        <f>TEs!A63</f>
        <v>Howard Cross</v>
      </c>
      <c r="BA249" s="6" t="str">
        <f>TEs!B63</f>
        <v>NYG</v>
      </c>
      <c r="BB249" s="6" t="str">
        <f t="shared" si="0"/>
        <v>TE</v>
      </c>
      <c r="BC249" s="7">
        <f>TEs!T63-calcs!$E$12</f>
        <v>-54.675757575757579</v>
      </c>
    </row>
    <row r="250" spans="51:55" x14ac:dyDescent="0.25">
      <c r="AY250" s="6">
        <v>248</v>
      </c>
      <c r="AZ250" t="str">
        <f>WRs!A66</f>
        <v>Frank Sanders</v>
      </c>
      <c r="BA250" s="6" t="str">
        <f>WRs!B66</f>
        <v>Ari</v>
      </c>
      <c r="BB250" s="6" t="s">
        <v>18</v>
      </c>
      <c r="BC250" s="7">
        <f>WRs!AJ66-calcs!$E$11</f>
        <v>-55.274468270066635</v>
      </c>
    </row>
    <row r="251" spans="51:55" x14ac:dyDescent="0.25">
      <c r="AY251" s="6">
        <v>249</v>
      </c>
      <c r="AZ251" t="str">
        <f>TEs!A64</f>
        <v>Shonn Bell</v>
      </c>
      <c r="BA251" s="6" t="str">
        <f>TEs!B64</f>
        <v>SF</v>
      </c>
      <c r="BB251" s="6" t="str">
        <f>IF($I$30=0,"WR","TE")</f>
        <v>TE</v>
      </c>
      <c r="BC251" s="7">
        <f>TEs!T64-calcs!$E$12</f>
        <v>-55.875757575757582</v>
      </c>
    </row>
    <row r="252" spans="51:55" x14ac:dyDescent="0.25">
      <c r="AY252" s="6">
        <v>250</v>
      </c>
      <c r="AZ252" t="str">
        <f>RBs!A41</f>
        <v>Mike Cloud</v>
      </c>
      <c r="BA252" s="6" t="str">
        <f>RBs!B41</f>
        <v>KC</v>
      </c>
      <c r="BB252" s="6" t="s">
        <v>9</v>
      </c>
      <c r="BC252" s="7">
        <f>RBs!AJ41-calcs!$E$10</f>
        <v>-56.169487179487206</v>
      </c>
    </row>
    <row r="253" spans="51:55" x14ac:dyDescent="0.25">
      <c r="AY253" s="6">
        <v>251</v>
      </c>
      <c r="AZ253" t="str">
        <f>WRs!A68</f>
        <v>Corey Bradford</v>
      </c>
      <c r="BA253" s="6" t="str">
        <f>WRs!B68</f>
        <v>GB</v>
      </c>
      <c r="BB253" s="6" t="s">
        <v>18</v>
      </c>
      <c r="BC253" s="7">
        <f>WRs!AJ68-calcs!$E$11</f>
        <v>-56.520686757461561</v>
      </c>
    </row>
    <row r="254" spans="51:55" x14ac:dyDescent="0.25">
      <c r="AY254" s="6">
        <v>252</v>
      </c>
      <c r="AZ254" t="str">
        <f>WRs!A75</f>
        <v>Donald Hayes</v>
      </c>
      <c r="BA254" s="6" t="str">
        <f>WRs!B75</f>
        <v>Car</v>
      </c>
      <c r="BB254" s="6" t="s">
        <v>18</v>
      </c>
      <c r="BC254" s="7">
        <f>WRs!AJ75-calcs!$E$11</f>
        <v>-56.774468270066635</v>
      </c>
    </row>
    <row r="255" spans="51:55" x14ac:dyDescent="0.25">
      <c r="AY255" s="6">
        <v>253</v>
      </c>
      <c r="AZ255" t="str">
        <f>TEs!A65</f>
        <v>Walter Rasby</v>
      </c>
      <c r="BA255" s="6" t="str">
        <f>TEs!B65</f>
        <v>Det</v>
      </c>
      <c r="BB255" s="6" t="str">
        <f>IF($I$30=0,"WR","TE")</f>
        <v>TE</v>
      </c>
      <c r="BC255" s="7">
        <f>TEs!T65-calcs!$E$12</f>
        <v>-56.875757575757582</v>
      </c>
    </row>
    <row r="256" spans="51:55" x14ac:dyDescent="0.25">
      <c r="AY256" s="6">
        <v>254</v>
      </c>
      <c r="AZ256" t="str">
        <f>WRs!A67</f>
        <v>Dedric Ward</v>
      </c>
      <c r="BA256" s="6" t="str">
        <f>WRs!B67</f>
        <v>NYJ</v>
      </c>
      <c r="BB256" s="6" t="s">
        <v>18</v>
      </c>
      <c r="BC256" s="7">
        <f>WRs!AJ67-calcs!$E$11</f>
        <v>-56.974468270066637</v>
      </c>
    </row>
    <row r="257" spans="51:55" x14ac:dyDescent="0.25">
      <c r="AY257" s="6">
        <v>255</v>
      </c>
      <c r="AZ257" t="str">
        <f>WRs!A65</f>
        <v>James Jett</v>
      </c>
      <c r="BA257" s="6" t="str">
        <f>WRs!B65</f>
        <v>Oak</v>
      </c>
      <c r="BB257" s="6" t="s">
        <v>18</v>
      </c>
      <c r="BC257" s="7">
        <f>WRs!AJ65-calcs!$E$11</f>
        <v>-57.314384236453179</v>
      </c>
    </row>
    <row r="258" spans="51:55" x14ac:dyDescent="0.25">
      <c r="AY258" s="6">
        <v>256</v>
      </c>
      <c r="AZ258" t="str">
        <f>WRs!A74</f>
        <v>Tony Simmons</v>
      </c>
      <c r="BA258" s="6" t="str">
        <f>WRs!B74</f>
        <v>NE</v>
      </c>
      <c r="BB258" s="6" t="s">
        <v>18</v>
      </c>
      <c r="BC258" s="7">
        <f>WRs!AJ74-calcs!$E$11</f>
        <v>-59.064384236453179</v>
      </c>
    </row>
    <row r="259" spans="51:55" x14ac:dyDescent="0.25">
      <c r="AY259" s="6">
        <v>257</v>
      </c>
      <c r="AZ259" t="str">
        <f>RBs!A42</f>
        <v>Tiki Barber</v>
      </c>
      <c r="BA259" s="6" t="str">
        <f>RBs!B42</f>
        <v>NYG</v>
      </c>
      <c r="BB259" s="6" t="s">
        <v>9</v>
      </c>
      <c r="BC259" s="7">
        <f>RBs!AJ42-calcs!$E$10</f>
        <v>-59.155710955711001</v>
      </c>
    </row>
    <row r="260" spans="51:55" x14ac:dyDescent="0.25">
      <c r="AY260" s="6">
        <v>258</v>
      </c>
      <c r="AZ260" t="str">
        <f>Defs!A31</f>
        <v xml:space="preserve">Atlanta Falcons </v>
      </c>
      <c r="BB260" s="6" t="s">
        <v>8</v>
      </c>
      <c r="BC260" s="7">
        <f>Defs!I31-calcs!$E$14</f>
        <v>-59.339999999999996</v>
      </c>
    </row>
    <row r="261" spans="51:55" x14ac:dyDescent="0.25">
      <c r="AY261" s="6">
        <v>259</v>
      </c>
      <c r="AZ261" t="str">
        <f>RBs!A38</f>
        <v>Natrone Means</v>
      </c>
      <c r="BA261" s="6" t="str">
        <f>RBs!B38</f>
        <v>Car</v>
      </c>
      <c r="BB261" s="6" t="s">
        <v>9</v>
      </c>
      <c r="BC261" s="7">
        <f>RBs!AJ38-calcs!$E$10</f>
        <v>-59.990815850815878</v>
      </c>
    </row>
    <row r="262" spans="51:55" x14ac:dyDescent="0.25">
      <c r="AY262" s="6">
        <v>260</v>
      </c>
      <c r="AZ262" t="str">
        <f>WRs!A72</f>
        <v>Kevin Lockett</v>
      </c>
      <c r="BA262" s="6" t="str">
        <f>WRs!B72</f>
        <v>KC</v>
      </c>
      <c r="BB262" s="6" t="s">
        <v>18</v>
      </c>
      <c r="BC262" s="7">
        <f>WRs!AJ72-calcs!$E$11</f>
        <v>-61.274468270066635</v>
      </c>
    </row>
    <row r="263" spans="51:55" x14ac:dyDescent="0.25">
      <c r="AY263" s="6">
        <v>261</v>
      </c>
      <c r="AZ263" t="str">
        <f>TEs!A19</f>
        <v>Cam Cleeland</v>
      </c>
      <c r="BA263" s="6" t="str">
        <f>TEs!B19</f>
        <v>NO</v>
      </c>
      <c r="BB263" s="6" t="str">
        <f>IF($I$30=0,"WR","TE")</f>
        <v>TE</v>
      </c>
      <c r="BC263" s="7">
        <f>TEs!T19-calcs!$E$12</f>
        <v>-61.375757575757582</v>
      </c>
    </row>
    <row r="264" spans="51:55" x14ac:dyDescent="0.25">
      <c r="AY264" s="6">
        <v>262</v>
      </c>
      <c r="AZ264" t="str">
        <f>RBs!A46</f>
        <v>J.R. Redmond</v>
      </c>
      <c r="BA264" s="6" t="str">
        <f>RBs!B46</f>
        <v>NE</v>
      </c>
      <c r="BB264" s="6" t="s">
        <v>9</v>
      </c>
      <c r="BC264" s="7">
        <f>RBs!AJ46-calcs!$E$10</f>
        <v>-62.66948717948722</v>
      </c>
    </row>
    <row r="265" spans="51:55" x14ac:dyDescent="0.25">
      <c r="AY265" s="6">
        <v>263</v>
      </c>
      <c r="AZ265" t="str">
        <f>RBs!A47</f>
        <v>Larry Centers</v>
      </c>
      <c r="BA265" s="6" t="str">
        <f>RBs!B47</f>
        <v>Was</v>
      </c>
      <c r="BB265" s="6" t="s">
        <v>9</v>
      </c>
      <c r="BC265" s="7">
        <f>RBs!AJ47-calcs!$E$10</f>
        <v>-63.271934731934749</v>
      </c>
    </row>
    <row r="266" spans="51:55" x14ac:dyDescent="0.25">
      <c r="AY266" s="6">
        <v>264</v>
      </c>
      <c r="AZ266" t="str">
        <f>WRs!A73</f>
        <v>O.J. McDuffie</v>
      </c>
      <c r="BA266" s="6" t="str">
        <f>WRs!B73</f>
        <v>Mia</v>
      </c>
      <c r="BB266" s="6" t="s">
        <v>18</v>
      </c>
      <c r="BC266" s="7">
        <f>WRs!AJ73-calcs!$E$11</f>
        <v>-64.024468270066649</v>
      </c>
    </row>
    <row r="267" spans="51:55" x14ac:dyDescent="0.25">
      <c r="AY267" s="6">
        <v>265</v>
      </c>
      <c r="AZ267" t="str">
        <f>WRs!A109</f>
        <v>Craig Yeast</v>
      </c>
      <c r="BA267" s="6" t="str">
        <f>WRs!B109</f>
        <v>Cin</v>
      </c>
      <c r="BB267" s="6" t="s">
        <v>18</v>
      </c>
      <c r="BC267" s="7">
        <f>WRs!AJ109-calcs!$E$11</f>
        <v>-64.274468270066635</v>
      </c>
    </row>
    <row r="268" spans="51:55" x14ac:dyDescent="0.25">
      <c r="AY268" s="6">
        <v>266</v>
      </c>
      <c r="AZ268" t="str">
        <f>RBs!A45</f>
        <v>Olandis Gary</v>
      </c>
      <c r="BA268" s="6" t="str">
        <f>RBs!B45</f>
        <v>Den</v>
      </c>
      <c r="BB268" s="6" t="s">
        <v>9</v>
      </c>
      <c r="BC268" s="7">
        <f>RBs!AJ45-calcs!$E$10</f>
        <v>-65.143263403263447</v>
      </c>
    </row>
    <row r="269" spans="51:55" x14ac:dyDescent="0.25">
      <c r="AY269" s="6">
        <v>267</v>
      </c>
      <c r="AZ269" t="str">
        <f>WRs!A63</f>
        <v>Yancey Thigpen</v>
      </c>
      <c r="BA269" s="6" t="str">
        <f>WRs!B63</f>
        <v>Ten</v>
      </c>
      <c r="BB269" s="6" t="s">
        <v>18</v>
      </c>
      <c r="BC269" s="7">
        <f>WRs!AJ63-calcs!$E$11</f>
        <v>-67.274468270066649</v>
      </c>
    </row>
    <row r="270" spans="51:55" x14ac:dyDescent="0.25">
      <c r="AY270" s="6">
        <v>268</v>
      </c>
      <c r="AZ270" t="str">
        <f>WRs!A71</f>
        <v>Marty Booker</v>
      </c>
      <c r="BA270" s="6" t="str">
        <f>WRs!B71</f>
        <v>Chi</v>
      </c>
      <c r="BB270" s="6" t="s">
        <v>18</v>
      </c>
      <c r="BC270" s="7">
        <f>WRs!AJ71-calcs!$E$11</f>
        <v>-70.224468270066652</v>
      </c>
    </row>
    <row r="271" spans="51:55" x14ac:dyDescent="0.25">
      <c r="AY271" s="6">
        <v>269</v>
      </c>
      <c r="AZ271" t="str">
        <f>RBs!A48</f>
        <v>Donnell Bennett</v>
      </c>
      <c r="BA271" s="6" t="str">
        <f>RBs!B48</f>
        <v>KC</v>
      </c>
      <c r="BB271" s="6" t="s">
        <v>9</v>
      </c>
      <c r="BC271" s="7">
        <f>RBs!AJ48-calcs!$E$10</f>
        <v>-71.990815850815878</v>
      </c>
    </row>
    <row r="272" spans="51:55" x14ac:dyDescent="0.25">
      <c r="AY272" s="6">
        <v>270</v>
      </c>
      <c r="AZ272" t="str">
        <f>Defs!A32</f>
        <v xml:space="preserve">Cincinnati Bengals </v>
      </c>
      <c r="BB272" s="6" t="s">
        <v>8</v>
      </c>
      <c r="BC272" s="7">
        <f>Defs!I32-calcs!$E$14</f>
        <v>-72.02000000000001</v>
      </c>
    </row>
    <row r="273" spans="51:55" x14ac:dyDescent="0.25">
      <c r="AY273" s="6">
        <v>271</v>
      </c>
      <c r="AZ273" t="str">
        <f>WRs!A62</f>
        <v>Justin Armour</v>
      </c>
      <c r="BA273" s="6" t="str">
        <f>WRs!B62</f>
        <v>Sea</v>
      </c>
      <c r="BB273" s="6" t="s">
        <v>18</v>
      </c>
      <c r="BC273" s="7">
        <f>WRs!AJ62-calcs!$E$11</f>
        <v>-72.524468270066635</v>
      </c>
    </row>
    <row r="274" spans="51:55" x14ac:dyDescent="0.25">
      <c r="AY274" s="6">
        <v>272</v>
      </c>
      <c r="AZ274" t="str">
        <f>QBs!A30</f>
        <v>Kordell Stewart</v>
      </c>
      <c r="BA274" s="6" t="str">
        <f>QBs!B30</f>
        <v>Pit</v>
      </c>
      <c r="BB274" s="6" t="s">
        <v>13</v>
      </c>
      <c r="BC274" s="7">
        <f>QBs!AL30-calcs!$E$9</f>
        <v>-73.254690199125804</v>
      </c>
    </row>
    <row r="275" spans="51:55" x14ac:dyDescent="0.25">
      <c r="AY275" s="6">
        <v>273</v>
      </c>
      <c r="AZ275" t="str">
        <f>WRs!A69</f>
        <v>R. Jay Soward</v>
      </c>
      <c r="BA275" s="6" t="str">
        <f>WRs!B69</f>
        <v>Jac</v>
      </c>
      <c r="BB275" s="6" t="s">
        <v>18</v>
      </c>
      <c r="BC275" s="7">
        <f>WRs!AJ69-calcs!$E$11</f>
        <v>-74.178249782671685</v>
      </c>
    </row>
    <row r="276" spans="51:55" x14ac:dyDescent="0.25">
      <c r="AY276" s="6">
        <v>274</v>
      </c>
      <c r="AZ276" t="str">
        <f>RBs!A50</f>
        <v>Terrell Fletcher</v>
      </c>
      <c r="BA276" s="6" t="str">
        <f>RBs!B50</f>
        <v>SD</v>
      </c>
      <c r="BB276" s="6" t="s">
        <v>9</v>
      </c>
      <c r="BC276" s="7">
        <f>RBs!AJ50-calcs!$E$10</f>
        <v>-74.29948717948723</v>
      </c>
    </row>
    <row r="277" spans="51:55" x14ac:dyDescent="0.25">
      <c r="AY277" s="6">
        <v>275</v>
      </c>
      <c r="AZ277" t="str">
        <f>WRs!A78</f>
        <v>Dennis Northcutt</v>
      </c>
      <c r="BA277" s="6" t="str">
        <f>WRs!B78</f>
        <v>Cle</v>
      </c>
      <c r="BB277" s="6" t="s">
        <v>18</v>
      </c>
      <c r="BC277" s="7">
        <f>WRs!AJ78-calcs!$E$11</f>
        <v>-74.774468270066635</v>
      </c>
    </row>
    <row r="278" spans="51:55" x14ac:dyDescent="0.25">
      <c r="AY278" s="6">
        <v>276</v>
      </c>
      <c r="AZ278" t="str">
        <f>Defs!A33</f>
        <v>Cleveland Browns</v>
      </c>
      <c r="BB278" s="6" t="s">
        <v>8</v>
      </c>
      <c r="BC278" s="7">
        <f>Defs!I33-calcs!$E$14</f>
        <v>-75.180000000000007</v>
      </c>
    </row>
    <row r="279" spans="51:55" x14ac:dyDescent="0.25">
      <c r="AY279" s="6">
        <v>277</v>
      </c>
      <c r="AZ279" t="str">
        <f>RBs!A52</f>
        <v>Robert Holcombe</v>
      </c>
      <c r="BA279" s="6" t="str">
        <f>RBs!B52</f>
        <v>StL</v>
      </c>
      <c r="BB279" s="6" t="s">
        <v>9</v>
      </c>
      <c r="BC279" s="7">
        <f>RBs!AJ52-calcs!$E$10</f>
        <v>-75.667039627039671</v>
      </c>
    </row>
    <row r="280" spans="51:55" x14ac:dyDescent="0.25">
      <c r="AY280" s="6">
        <v>278</v>
      </c>
      <c r="AZ280" t="str">
        <f>RBs!A51</f>
        <v>Stanley Pritchett</v>
      </c>
      <c r="BA280" s="6" t="str">
        <f>RBs!B51</f>
        <v>Phi</v>
      </c>
      <c r="BB280" s="6" t="s">
        <v>9</v>
      </c>
      <c r="BC280" s="7">
        <f>RBs!AJ51-calcs!$E$10</f>
        <v>-76.345710955710985</v>
      </c>
    </row>
    <row r="281" spans="51:55" x14ac:dyDescent="0.25">
      <c r="AY281" s="6">
        <v>279</v>
      </c>
      <c r="AZ281" t="str">
        <f>WRs!A76</f>
        <v>Vincent Brisby</v>
      </c>
      <c r="BA281" s="6" t="str">
        <f>WRs!B76</f>
        <v>NE</v>
      </c>
      <c r="BB281" s="6" t="s">
        <v>18</v>
      </c>
      <c r="BC281" s="7">
        <f>WRs!AJ76-calcs!$E$11</f>
        <v>-76.628249782671688</v>
      </c>
    </row>
    <row r="282" spans="51:55" x14ac:dyDescent="0.25">
      <c r="AY282" s="6">
        <v>280</v>
      </c>
      <c r="AZ282" t="str">
        <f>RBs!A111</f>
        <v>Brandon Bennett</v>
      </c>
      <c r="BA282" s="6" t="str">
        <f>RBs!B111</f>
        <v>Cin</v>
      </c>
      <c r="BB282" s="6" t="s">
        <v>9</v>
      </c>
      <c r="BC282" s="7">
        <f>RBs!AJ111-calcs!$E$10</f>
        <v>-77.41948717948722</v>
      </c>
    </row>
    <row r="283" spans="51:55" x14ac:dyDescent="0.25">
      <c r="AY283" s="6">
        <v>281</v>
      </c>
      <c r="AZ283" t="str">
        <f>WRs!A81</f>
        <v>Mathew Hatchette</v>
      </c>
      <c r="BA283" s="6" t="str">
        <f>WRs!B81</f>
        <v>Min</v>
      </c>
      <c r="BB283" s="6" t="s">
        <v>18</v>
      </c>
      <c r="BC283" s="7">
        <f>WRs!AJ81-calcs!$E$11</f>
        <v>-77.728249782671682</v>
      </c>
    </row>
    <row r="284" spans="51:55" x14ac:dyDescent="0.25">
      <c r="AY284" s="6">
        <v>282</v>
      </c>
      <c r="AZ284" t="str">
        <f>WRs!A82</f>
        <v>Andre Reed</v>
      </c>
      <c r="BA284" s="6" t="str">
        <f>WRs!B82</f>
        <v>Den</v>
      </c>
      <c r="BB284" s="6" t="s">
        <v>18</v>
      </c>
      <c r="BC284" s="7">
        <f>WRs!AJ82-calcs!$E$11</f>
        <v>-78.67446827006664</v>
      </c>
    </row>
    <row r="285" spans="51:55" x14ac:dyDescent="0.25">
      <c r="AY285" s="6">
        <v>283</v>
      </c>
      <c r="AZ285" t="str">
        <f>WRs!A83</f>
        <v>J.J. Stokes</v>
      </c>
      <c r="BA285" s="6" t="str">
        <f>WRs!B83</f>
        <v>SF</v>
      </c>
      <c r="BB285" s="6" t="s">
        <v>18</v>
      </c>
      <c r="BC285" s="7">
        <f>WRs!AJ83-calcs!$E$11</f>
        <v>-78.67446827006664</v>
      </c>
    </row>
    <row r="286" spans="51:55" x14ac:dyDescent="0.25">
      <c r="AY286" s="6">
        <v>284</v>
      </c>
      <c r="AZ286" t="str">
        <f>WRs!A84</f>
        <v>Hines Ward</v>
      </c>
      <c r="BA286" s="6" t="str">
        <f>WRs!B84</f>
        <v>Pit</v>
      </c>
      <c r="BB286" s="6" t="s">
        <v>18</v>
      </c>
      <c r="BC286" s="7">
        <f>WRs!AJ84-calcs!$E$11</f>
        <v>-79.17446827006664</v>
      </c>
    </row>
    <row r="287" spans="51:55" x14ac:dyDescent="0.25">
      <c r="AY287" s="6">
        <v>285</v>
      </c>
      <c r="AZ287" t="str">
        <f>WRs!A91</f>
        <v>Ron Dugans</v>
      </c>
      <c r="BA287" s="6" t="str">
        <f>WRs!B91</f>
        <v>Cin</v>
      </c>
      <c r="BB287" s="6" t="s">
        <v>18</v>
      </c>
      <c r="BC287" s="7">
        <f>WRs!AJ91-calcs!$E$11</f>
        <v>-80.228249782671668</v>
      </c>
    </row>
    <row r="288" spans="51:55" x14ac:dyDescent="0.25">
      <c r="AY288" s="6">
        <v>286</v>
      </c>
      <c r="AZ288" t="str">
        <f>RBs!A65</f>
        <v>Kevin Faulk</v>
      </c>
      <c r="BA288" s="6" t="str">
        <f>RBs!B65</f>
        <v>NE</v>
      </c>
      <c r="BB288" s="6" t="s">
        <v>9</v>
      </c>
      <c r="BC288" s="7">
        <f>RBs!AJ65-calcs!$E$10</f>
        <v>-81.595710955710999</v>
      </c>
    </row>
    <row r="289" spans="51:55" x14ac:dyDescent="0.25">
      <c r="AY289" s="6">
        <v>287</v>
      </c>
      <c r="AZ289" t="str">
        <f>RBs!A57</f>
        <v>Ron Rivers</v>
      </c>
      <c r="BA289" s="6" t="str">
        <f>RBs!B57</f>
        <v>Atl</v>
      </c>
      <c r="BB289" s="6" t="s">
        <v>9</v>
      </c>
      <c r="BC289" s="7">
        <f>RBs!AJ57-calcs!$E$10</f>
        <v>-82.119487179487209</v>
      </c>
    </row>
    <row r="290" spans="51:55" x14ac:dyDescent="0.25">
      <c r="AY290" s="6">
        <v>288</v>
      </c>
      <c r="AZ290" t="str">
        <f>WRs!A85</f>
        <v>Joe Jurevicious</v>
      </c>
      <c r="BA290" s="6" t="str">
        <f>WRs!B85</f>
        <v>NYG</v>
      </c>
      <c r="BB290" s="6" t="s">
        <v>18</v>
      </c>
      <c r="BC290" s="7">
        <f>WRs!AJ85-calcs!$E$11</f>
        <v>-85.228249782671668</v>
      </c>
    </row>
    <row r="291" spans="51:55" x14ac:dyDescent="0.25">
      <c r="AY291" s="6">
        <v>289</v>
      </c>
      <c r="AZ291" t="str">
        <f>RBs!A55</f>
        <v>Adrian Murrell</v>
      </c>
      <c r="BA291" s="6" t="str">
        <f>RBs!B55</f>
        <v>Was</v>
      </c>
      <c r="BB291" s="6" t="s">
        <v>9</v>
      </c>
      <c r="BC291" s="7">
        <f>RBs!AJ55-calcs!$E$10</f>
        <v>-85.719487179487203</v>
      </c>
    </row>
    <row r="292" spans="51:55" x14ac:dyDescent="0.25">
      <c r="AY292" s="6">
        <v>290</v>
      </c>
      <c r="AZ292" t="str">
        <f>WRs!A88</f>
        <v>Andre Rison</v>
      </c>
      <c r="BA292" s="6" t="str">
        <f>WRs!B88</f>
        <v>KC</v>
      </c>
      <c r="BB292" s="6" t="s">
        <v>18</v>
      </c>
      <c r="BC292" s="7">
        <f>WRs!AJ88-calcs!$E$11</f>
        <v>-85.828249782671662</v>
      </c>
    </row>
    <row r="293" spans="51:55" x14ac:dyDescent="0.25">
      <c r="AY293" s="6">
        <v>291</v>
      </c>
      <c r="AZ293" t="str">
        <f>RBs!A59</f>
        <v>Rob Konrad</v>
      </c>
      <c r="BA293" s="6" t="str">
        <f>RBs!B59</f>
        <v>Mia</v>
      </c>
      <c r="BB293" s="6" t="s">
        <v>9</v>
      </c>
      <c r="BC293" s="7">
        <f>RBs!AJ59-calcs!$E$10</f>
        <v>-87.643263403263433</v>
      </c>
    </row>
    <row r="294" spans="51:55" x14ac:dyDescent="0.25">
      <c r="AY294" s="6">
        <v>292</v>
      </c>
      <c r="AZ294" t="str">
        <f>RBs!A56</f>
        <v>Tony Richardson</v>
      </c>
      <c r="BA294" s="6" t="str">
        <f>RBs!B56</f>
        <v>KC</v>
      </c>
      <c r="BB294" s="6" t="s">
        <v>9</v>
      </c>
      <c r="BC294" s="7">
        <f>RBs!AJ56-calcs!$E$10</f>
        <v>-88.019487179487214</v>
      </c>
    </row>
    <row r="295" spans="51:55" x14ac:dyDescent="0.25">
      <c r="AY295" s="6">
        <v>293</v>
      </c>
      <c r="AZ295" t="str">
        <f>RBs!A58</f>
        <v>James Allen</v>
      </c>
      <c r="BA295" s="6" t="str">
        <f>RBs!B58</f>
        <v>Chi</v>
      </c>
      <c r="BB295" s="6" t="s">
        <v>9</v>
      </c>
      <c r="BC295" s="7">
        <f>RBs!AJ58-calcs!$E$10</f>
        <v>-88.895710955710996</v>
      </c>
    </row>
    <row r="296" spans="51:55" x14ac:dyDescent="0.25">
      <c r="AY296" s="6">
        <v>294</v>
      </c>
      <c r="AZ296" t="str">
        <f>RBs!A61</f>
        <v>Shawn Bryson</v>
      </c>
      <c r="BA296" s="6" t="str">
        <f>RBs!B61</f>
        <v>Buf</v>
      </c>
      <c r="BB296" s="6" t="s">
        <v>9</v>
      </c>
      <c r="BC296" s="7">
        <f>RBs!AJ61-calcs!$E$10</f>
        <v>-89.643263403263433</v>
      </c>
    </row>
    <row r="297" spans="51:55" x14ac:dyDescent="0.25">
      <c r="AY297" s="6">
        <v>295</v>
      </c>
      <c r="AZ297" t="str">
        <f>WRs!A89</f>
        <v>Jerry Porter</v>
      </c>
      <c r="BA297" s="6" t="str">
        <f>WRs!B89</f>
        <v>Oak</v>
      </c>
      <c r="BB297" s="6" t="s">
        <v>18</v>
      </c>
      <c r="BC297" s="7">
        <f>WRs!AJ89-calcs!$E$11</f>
        <v>-89.728249782671668</v>
      </c>
    </row>
    <row r="298" spans="51:55" x14ac:dyDescent="0.25">
      <c r="AY298" s="6">
        <v>296</v>
      </c>
      <c r="AZ298" t="str">
        <f>RBs!A60</f>
        <v>Byron Hanspard</v>
      </c>
      <c r="BA298" s="6" t="str">
        <f>RBs!B60</f>
        <v>Atl</v>
      </c>
      <c r="BB298" s="6" t="s">
        <v>9</v>
      </c>
      <c r="BC298" s="7">
        <f>RBs!AJ60-calcs!$E$10</f>
        <v>-90.99571095571099</v>
      </c>
    </row>
    <row r="299" spans="51:55" x14ac:dyDescent="0.25">
      <c r="AY299" s="6">
        <v>297</v>
      </c>
      <c r="AZ299" t="str">
        <f>WRs!A86</f>
        <v>Laveranues Coles</v>
      </c>
      <c r="BA299" s="6" t="str">
        <f>WRs!B86</f>
        <v>NYJ</v>
      </c>
      <c r="BB299" s="6" t="s">
        <v>18</v>
      </c>
      <c r="BC299" s="7">
        <f>WRs!AJ86-calcs!$E$11</f>
        <v>-91.228249782671668</v>
      </c>
    </row>
    <row r="300" spans="51:55" x14ac:dyDescent="0.25">
      <c r="AY300" s="6">
        <v>298</v>
      </c>
      <c r="AZ300" t="str">
        <f>RBs!A62</f>
        <v>Terry Kirby</v>
      </c>
      <c r="BA300" s="6" t="str">
        <f>RBs!B62</f>
        <v>Cle</v>
      </c>
      <c r="BB300" s="6" t="s">
        <v>9</v>
      </c>
      <c r="BC300" s="7">
        <f>RBs!AJ62-calcs!$E$10</f>
        <v>-91.395710955710982</v>
      </c>
    </row>
    <row r="301" spans="51:55" x14ac:dyDescent="0.25">
      <c r="AY301" s="6">
        <v>299</v>
      </c>
      <c r="AZ301" t="str">
        <f>RBs!A63</f>
        <v>Thurman Thomas</v>
      </c>
      <c r="BA301" s="6" t="str">
        <f>RBs!B63</f>
        <v>Mia</v>
      </c>
      <c r="BB301" s="6" t="s">
        <v>9</v>
      </c>
      <c r="BC301" s="7">
        <f>RBs!AJ63-calcs!$E$10</f>
        <v>-91.945710955710979</v>
      </c>
    </row>
    <row r="302" spans="51:55" x14ac:dyDescent="0.25">
      <c r="AY302" s="6">
        <v>300</v>
      </c>
      <c r="AZ302" t="str">
        <f>WRs!A92</f>
        <v>Troy Brown</v>
      </c>
      <c r="BA302" s="6" t="str">
        <f>WRs!B92</f>
        <v>NE</v>
      </c>
      <c r="BB302" s="6" t="s">
        <v>18</v>
      </c>
      <c r="BC302" s="7">
        <f>WRs!AJ92-calcs!$E$11</f>
        <v>-92.128249782671674</v>
      </c>
    </row>
    <row r="303" spans="51:55" x14ac:dyDescent="0.25">
      <c r="AY303" s="6">
        <v>301</v>
      </c>
      <c r="AZ303" t="str">
        <f>WRs!A87</f>
        <v>Chris Sanders</v>
      </c>
      <c r="BA303" s="6" t="str">
        <f>WRs!B87</f>
        <v>Ten</v>
      </c>
      <c r="BB303" s="6" t="s">
        <v>18</v>
      </c>
      <c r="BC303" s="7">
        <f>WRs!AJ87-calcs!$E$11</f>
        <v>-94.228249782671668</v>
      </c>
    </row>
    <row r="304" spans="51:55" x14ac:dyDescent="0.25">
      <c r="AY304" s="6">
        <v>302</v>
      </c>
      <c r="AZ304" t="str">
        <f>WRs!A95</f>
        <v>Trevor Gaylor</v>
      </c>
      <c r="BA304" s="6" t="str">
        <f>WRs!B95</f>
        <v>SD</v>
      </c>
      <c r="BB304" s="6" t="s">
        <v>18</v>
      </c>
      <c r="BC304" s="7">
        <f>WRs!AJ95-calcs!$E$11</f>
        <v>-94.228249782671668</v>
      </c>
    </row>
    <row r="305" spans="51:55" x14ac:dyDescent="0.25">
      <c r="AY305" s="6">
        <v>303</v>
      </c>
      <c r="AZ305" t="str">
        <f>RBs!A73</f>
        <v>Curtis Keaton</v>
      </c>
      <c r="BA305" s="6" t="str">
        <f>RBs!B73</f>
        <v>Cin</v>
      </c>
      <c r="BB305" s="6" t="s">
        <v>9</v>
      </c>
      <c r="BC305" s="7">
        <f>RBs!AJ73-calcs!$E$10</f>
        <v>-94.49571095571099</v>
      </c>
    </row>
    <row r="306" spans="51:55" x14ac:dyDescent="0.25">
      <c r="AY306" s="6">
        <v>304</v>
      </c>
      <c r="AZ306" t="str">
        <f>WRs!A94</f>
        <v>Jeremey McDaniel</v>
      </c>
      <c r="BA306" s="6" t="str">
        <f>WRs!B94</f>
        <v>Buf</v>
      </c>
      <c r="BB306" s="6" t="s">
        <v>18</v>
      </c>
      <c r="BC306" s="7">
        <f>WRs!AJ94-calcs!$E$11</f>
        <v>-95.682031295276715</v>
      </c>
    </row>
    <row r="307" spans="51:55" x14ac:dyDescent="0.25">
      <c r="AY307" s="6">
        <v>305</v>
      </c>
      <c r="AZ307" t="str">
        <f>RBs!A64</f>
        <v>Karim Abdul-Jabbar</v>
      </c>
      <c r="BA307" s="6" t="str">
        <f>RBs!B64</f>
        <v>Ind</v>
      </c>
      <c r="BB307" s="6" t="s">
        <v>9</v>
      </c>
      <c r="BC307" s="7">
        <f>RBs!AJ64-calcs!$E$10</f>
        <v>-97.219487179487217</v>
      </c>
    </row>
    <row r="308" spans="51:55" x14ac:dyDescent="0.25">
      <c r="AY308" s="6">
        <v>306</v>
      </c>
      <c r="AZ308" t="str">
        <f>WRs!A93</f>
        <v>Jerome Pathon</v>
      </c>
      <c r="BA308" s="6" t="str">
        <f>WRs!B93</f>
        <v>Ind</v>
      </c>
      <c r="BB308" s="6" t="s">
        <v>18</v>
      </c>
      <c r="BC308" s="7">
        <f>WRs!AJ93-calcs!$E$11</f>
        <v>-99.232031295276727</v>
      </c>
    </row>
    <row r="309" spans="51:55" x14ac:dyDescent="0.25">
      <c r="AY309" s="6">
        <v>307</v>
      </c>
      <c r="AZ309" t="str">
        <f>RBs!A54</f>
        <v>Chris Howard</v>
      </c>
      <c r="BA309" s="6" t="str">
        <f>RBs!B54</f>
        <v>Jac</v>
      </c>
      <c r="BB309" s="6" t="s">
        <v>9</v>
      </c>
      <c r="BC309" s="7">
        <f>RBs!AJ54-calcs!$E$10</f>
        <v>-99.419487179487206</v>
      </c>
    </row>
    <row r="310" spans="51:55" x14ac:dyDescent="0.25">
      <c r="AY310" s="6">
        <v>308</v>
      </c>
      <c r="AZ310" t="str">
        <f>WRs!A96</f>
        <v>Windrell Hayes</v>
      </c>
      <c r="BA310" s="6" t="str">
        <f>WRs!B96</f>
        <v>NYJ</v>
      </c>
      <c r="BB310" s="6" t="s">
        <v>18</v>
      </c>
      <c r="BC310" s="7">
        <f>WRs!AJ96-calcs!$E$11</f>
        <v>-100.22824978267167</v>
      </c>
    </row>
    <row r="311" spans="51:55" x14ac:dyDescent="0.25">
      <c r="AY311" s="6">
        <v>309</v>
      </c>
      <c r="AZ311" t="str">
        <f>RBs!A67</f>
        <v>Trung Canidate</v>
      </c>
      <c r="BA311" s="6" t="str">
        <f>RBs!B67</f>
        <v>StL</v>
      </c>
      <c r="BB311" s="6" t="s">
        <v>9</v>
      </c>
      <c r="BC311" s="7">
        <f>RBs!AJ67-calcs!$E$10</f>
        <v>-100.7194871794872</v>
      </c>
    </row>
    <row r="312" spans="51:55" x14ac:dyDescent="0.25">
      <c r="AY312" s="6">
        <v>310</v>
      </c>
      <c r="AZ312" t="str">
        <f>WRs!A97</f>
        <v>Lamar Thomas</v>
      </c>
      <c r="BA312" s="6" t="str">
        <f>WRs!B97</f>
        <v>Mia</v>
      </c>
      <c r="BB312" s="6" t="s">
        <v>18</v>
      </c>
      <c r="BC312" s="7">
        <f>WRs!AJ97-calcs!$E$11</f>
        <v>-101.42824978267167</v>
      </c>
    </row>
    <row r="313" spans="51:55" x14ac:dyDescent="0.25">
      <c r="AY313" s="6">
        <v>311</v>
      </c>
      <c r="AZ313" t="str">
        <f>RBs!A71</f>
        <v>William Floyd</v>
      </c>
      <c r="BA313" s="6" t="str">
        <f>RBs!B71</f>
        <v>Car</v>
      </c>
      <c r="BB313" s="6" t="s">
        <v>9</v>
      </c>
      <c r="BC313" s="7">
        <f>RBs!AJ71-calcs!$E$10</f>
        <v>-102.41948717948722</v>
      </c>
    </row>
    <row r="314" spans="51:55" x14ac:dyDescent="0.25">
      <c r="AY314" s="6">
        <v>312</v>
      </c>
      <c r="AZ314" t="str">
        <f>RBs!A68</f>
        <v>Bernie Parmalee</v>
      </c>
      <c r="BA314" s="6" t="str">
        <f>RBs!B68</f>
        <v>NYJ</v>
      </c>
      <c r="BB314" s="6" t="s">
        <v>9</v>
      </c>
      <c r="BC314" s="7">
        <f>RBs!AJ68-calcs!$E$10</f>
        <v>-102.69571095571099</v>
      </c>
    </row>
    <row r="315" spans="51:55" x14ac:dyDescent="0.25">
      <c r="AY315" s="6">
        <v>313</v>
      </c>
      <c r="AZ315" t="str">
        <f>WRs!A100</f>
        <v>Bert Emanuel</v>
      </c>
      <c r="BA315" s="6" t="str">
        <f>WRs!B100</f>
        <v>Mia</v>
      </c>
      <c r="BB315" s="6" t="s">
        <v>18</v>
      </c>
      <c r="BC315" s="7">
        <f>WRs!AJ100-calcs!$E$11</f>
        <v>-104.22824978267167</v>
      </c>
    </row>
    <row r="316" spans="51:55" x14ac:dyDescent="0.25">
      <c r="AY316" s="6">
        <v>314</v>
      </c>
      <c r="AZ316" t="str">
        <f>RBs!A72</f>
        <v>Sedrick Irvin</v>
      </c>
      <c r="BA316" s="6" t="str">
        <f>RBs!B72</f>
        <v>Det</v>
      </c>
      <c r="BB316" s="6" t="s">
        <v>9</v>
      </c>
      <c r="BC316" s="7">
        <f>RBs!AJ72-calcs!$E$10</f>
        <v>-104.29571095571099</v>
      </c>
    </row>
    <row r="317" spans="51:55" x14ac:dyDescent="0.25">
      <c r="AY317" s="6">
        <v>315</v>
      </c>
      <c r="AZ317" t="str">
        <f>WRs!A98</f>
        <v>E.G. Green</v>
      </c>
      <c r="BA317" s="6" t="str">
        <f>WRs!B98</f>
        <v>Ind</v>
      </c>
      <c r="BB317" s="6" t="s">
        <v>18</v>
      </c>
      <c r="BC317" s="7">
        <f>WRs!AJ98-calcs!$E$11</f>
        <v>-105.43203129527672</v>
      </c>
    </row>
    <row r="318" spans="51:55" x14ac:dyDescent="0.25">
      <c r="AY318" s="6">
        <v>316</v>
      </c>
      <c r="AZ318" t="str">
        <f>RBs!A74</f>
        <v>Terry Jackson</v>
      </c>
      <c r="BA318" s="6" t="str">
        <f>RBs!B74</f>
        <v>SF</v>
      </c>
      <c r="BB318" s="6" t="s">
        <v>9</v>
      </c>
      <c r="BC318" s="7">
        <f>RBs!AJ74-calcs!$E$10</f>
        <v>-105.99571095571099</v>
      </c>
    </row>
    <row r="319" spans="51:55" x14ac:dyDescent="0.25">
      <c r="AY319" s="6">
        <v>317</v>
      </c>
      <c r="AZ319" t="str">
        <f>QBs!A32</f>
        <v>Damon Huard</v>
      </c>
      <c r="BA319" s="6" t="str">
        <f>QBs!B32</f>
        <v>Mia</v>
      </c>
      <c r="BB319" s="6" t="s">
        <v>13</v>
      </c>
      <c r="BC319" s="7">
        <f>QBs!AL32-calcs!$E$9</f>
        <v>-106.16638805487628</v>
      </c>
    </row>
    <row r="320" spans="51:55" x14ac:dyDescent="0.25">
      <c r="AY320" s="6">
        <v>318</v>
      </c>
      <c r="AZ320" t="str">
        <f>WRs!A101</f>
        <v>Jajuan Dawson</v>
      </c>
      <c r="BA320" s="6" t="str">
        <f>WRs!B101</f>
        <v>Cle</v>
      </c>
      <c r="BB320" s="6" t="s">
        <v>18</v>
      </c>
      <c r="BC320" s="7">
        <f>WRs!AJ101-calcs!$E$11</f>
        <v>-106.88203129527672</v>
      </c>
    </row>
    <row r="321" spans="51:55" x14ac:dyDescent="0.25">
      <c r="AY321" s="6">
        <v>319</v>
      </c>
      <c r="AZ321" t="str">
        <f>RBs!A66</f>
        <v>Lamar Smith</v>
      </c>
      <c r="BA321" s="6" t="str">
        <f>RBs!B66</f>
        <v>Mia</v>
      </c>
      <c r="BB321" s="6" t="s">
        <v>9</v>
      </c>
      <c r="BC321" s="7">
        <f>RBs!AJ66-calcs!$E$10</f>
        <v>-106.94571095571099</v>
      </c>
    </row>
    <row r="322" spans="51:55" x14ac:dyDescent="0.25">
      <c r="AY322" s="6">
        <v>320</v>
      </c>
      <c r="AZ322" t="str">
        <f>RBs!A75</f>
        <v>Mario Bates</v>
      </c>
      <c r="BA322" s="6" t="str">
        <f>RBs!B75</f>
        <v>Ari</v>
      </c>
      <c r="BB322" s="6" t="s">
        <v>9</v>
      </c>
      <c r="BC322" s="7">
        <f>RBs!AJ75-calcs!$E$10</f>
        <v>-107.02326340326343</v>
      </c>
    </row>
    <row r="323" spans="51:55" x14ac:dyDescent="0.25">
      <c r="AY323" s="6">
        <v>321</v>
      </c>
      <c r="AZ323" t="str">
        <f>WRs!A105</f>
        <v>Irving Fryar</v>
      </c>
      <c r="BA323" s="6" t="str">
        <f>WRs!B105</f>
        <v>Was</v>
      </c>
      <c r="BB323" s="6" t="s">
        <v>18</v>
      </c>
      <c r="BC323" s="7">
        <f>WRs!AJ105-calcs!$E$11</f>
        <v>-107.02824978267167</v>
      </c>
    </row>
    <row r="324" spans="51:55" x14ac:dyDescent="0.25">
      <c r="AY324" s="6">
        <v>322</v>
      </c>
      <c r="AZ324" t="str">
        <f>RBs!A77</f>
        <v>William Henderson</v>
      </c>
      <c r="BA324" s="6" t="str">
        <f>RBs!B77</f>
        <v>GB</v>
      </c>
      <c r="BB324" s="6" t="s">
        <v>9</v>
      </c>
      <c r="BC324" s="7">
        <f>RBs!AJ77-calcs!$E$10</f>
        <v>-107.24571095571099</v>
      </c>
    </row>
    <row r="325" spans="51:55" x14ac:dyDescent="0.25">
      <c r="AY325" s="6">
        <v>323</v>
      </c>
      <c r="AZ325" t="str">
        <f>RBs!A76</f>
        <v>Charles Evans</v>
      </c>
      <c r="BA325" s="6" t="str">
        <f>RBs!B76</f>
        <v>Bal</v>
      </c>
      <c r="BB325" s="6" t="s">
        <v>9</v>
      </c>
      <c r="BC325" s="7">
        <f>RBs!AJ76-calcs!$E$10</f>
        <v>-107.24571095571099</v>
      </c>
    </row>
    <row r="326" spans="51:55" x14ac:dyDescent="0.25">
      <c r="AY326" s="6">
        <v>324</v>
      </c>
      <c r="AZ326" t="str">
        <f>RBs!A69</f>
        <v>Richie Anderson</v>
      </c>
      <c r="BA326" s="6" t="str">
        <f>RBs!B69</f>
        <v>NYJ</v>
      </c>
      <c r="BB326" s="6" t="s">
        <v>9</v>
      </c>
      <c r="BC326" s="7">
        <f>RBs!AJ69-calcs!$E$10</f>
        <v>-107.37193473193477</v>
      </c>
    </row>
    <row r="327" spans="51:55" x14ac:dyDescent="0.25">
      <c r="AY327" s="6">
        <v>325</v>
      </c>
      <c r="AZ327" t="str">
        <f>WRs!A103</f>
        <v>Sylvester Morris</v>
      </c>
      <c r="BA327" s="6" t="str">
        <f>WRs!B103</f>
        <v>KC</v>
      </c>
      <c r="BB327" s="6" t="s">
        <v>18</v>
      </c>
      <c r="BC327" s="7">
        <f>WRs!AJ103-calcs!$E$11</f>
        <v>-107.68203129527672</v>
      </c>
    </row>
    <row r="328" spans="51:55" x14ac:dyDescent="0.25">
      <c r="AY328" s="6">
        <v>326</v>
      </c>
      <c r="AZ328" t="str">
        <f>WRs!A104</f>
        <v>Reidel Anthony</v>
      </c>
      <c r="BA328" s="6" t="str">
        <f>WRs!B104</f>
        <v>TB</v>
      </c>
      <c r="BB328" s="6" t="s">
        <v>18</v>
      </c>
      <c r="BC328" s="7">
        <f>WRs!AJ104-calcs!$E$11</f>
        <v>-107.68203129527672</v>
      </c>
    </row>
    <row r="329" spans="51:55" x14ac:dyDescent="0.25">
      <c r="AY329" s="6">
        <v>327</v>
      </c>
      <c r="AZ329" t="str">
        <f>RBs!A78</f>
        <v>Jon Ritchie</v>
      </c>
      <c r="BA329" s="6" t="str">
        <f>RBs!B78</f>
        <v>Oak</v>
      </c>
      <c r="BB329" s="6" t="s">
        <v>9</v>
      </c>
      <c r="BC329" s="7">
        <f>RBs!AJ78-calcs!$E$10</f>
        <v>-108.31193473193477</v>
      </c>
    </row>
    <row r="330" spans="51:55" x14ac:dyDescent="0.25">
      <c r="AY330" s="6">
        <v>328</v>
      </c>
      <c r="AZ330" t="str">
        <f>RBs!A79</f>
        <v>Cory Schlesinger</v>
      </c>
      <c r="BA330" s="6" t="str">
        <f>RBs!B79</f>
        <v>Det</v>
      </c>
      <c r="BB330" s="6" t="s">
        <v>9</v>
      </c>
      <c r="BC330" s="7">
        <f>RBs!AJ79-calcs!$E$10</f>
        <v>-109.59571095571098</v>
      </c>
    </row>
    <row r="331" spans="51:55" x14ac:dyDescent="0.25">
      <c r="AY331" s="6">
        <v>329</v>
      </c>
      <c r="AZ331" t="str">
        <f>WRs!A106</f>
        <v>Na Brown</v>
      </c>
      <c r="BA331" s="6" t="str">
        <f>WRs!B106</f>
        <v>Phi</v>
      </c>
      <c r="BB331" s="6" t="s">
        <v>18</v>
      </c>
      <c r="BC331" s="7">
        <f>WRs!AJ106-calcs!$E$11</f>
        <v>-110.18203129527672</v>
      </c>
    </row>
    <row r="332" spans="51:55" x14ac:dyDescent="0.25">
      <c r="AY332" s="6">
        <v>330</v>
      </c>
      <c r="AZ332" t="str">
        <f>WRs!A99</f>
        <v>Charlie Jones</v>
      </c>
      <c r="BA332" s="6" t="str">
        <f>WRs!B99</f>
        <v>SD</v>
      </c>
      <c r="BB332" s="6" t="s">
        <v>18</v>
      </c>
      <c r="BC332" s="7">
        <f>WRs!AJ99-calcs!$E$11</f>
        <v>-110.68203129527672</v>
      </c>
    </row>
    <row r="333" spans="51:55" x14ac:dyDescent="0.25">
      <c r="AY333" s="6">
        <v>331</v>
      </c>
      <c r="AZ333" t="str">
        <f>WRs!A107</f>
        <v>James McKnight</v>
      </c>
      <c r="BA333" s="6" t="str">
        <f>WRs!B107</f>
        <v>Dal</v>
      </c>
      <c r="BB333" s="6" t="s">
        <v>18</v>
      </c>
      <c r="BC333" s="7">
        <f>WRs!AJ107-calcs!$E$11</f>
        <v>-110.68203129527672</v>
      </c>
    </row>
    <row r="334" spans="51:55" x14ac:dyDescent="0.25">
      <c r="AY334" s="6">
        <v>332</v>
      </c>
      <c r="AZ334" t="str">
        <f>WRs!A77</f>
        <v>Pat Johnson</v>
      </c>
      <c r="BA334" s="6" t="str">
        <f>WRs!B77</f>
        <v>Bal</v>
      </c>
      <c r="BB334" s="6" t="s">
        <v>18</v>
      </c>
      <c r="BC334" s="7">
        <f>WRs!AJ77-calcs!$E$11</f>
        <v>-110.88203129527673</v>
      </c>
    </row>
    <row r="335" spans="51:55" x14ac:dyDescent="0.25">
      <c r="AY335" s="6">
        <v>333</v>
      </c>
      <c r="AZ335" t="str">
        <f>WRs!A110</f>
        <v>Willie Jackson</v>
      </c>
      <c r="BA335" s="6" t="str">
        <f>WRs!B110</f>
        <v>NO</v>
      </c>
      <c r="BB335" s="6" t="s">
        <v>18</v>
      </c>
      <c r="BC335" s="7">
        <f>WRs!AJ110-calcs!$E$11</f>
        <v>-111.68203129527672</v>
      </c>
    </row>
    <row r="336" spans="51:55" x14ac:dyDescent="0.25">
      <c r="AY336" s="6">
        <v>334</v>
      </c>
      <c r="AZ336" t="str">
        <f>WRs!A102</f>
        <v>Chris Brazzell</v>
      </c>
      <c r="BA336" s="6" t="str">
        <f>WRs!B102</f>
        <v>Dal</v>
      </c>
      <c r="BB336" s="6" t="s">
        <v>18</v>
      </c>
      <c r="BC336" s="7">
        <f>WRs!AJ102-calcs!$E$11</f>
        <v>-113.68203129527672</v>
      </c>
    </row>
    <row r="337" spans="51:55" x14ac:dyDescent="0.25">
      <c r="AY337" s="6">
        <v>335</v>
      </c>
      <c r="AZ337" t="str">
        <f>WRs!A113</f>
        <v>Dez White</v>
      </c>
      <c r="BA337" s="6" t="str">
        <f>WRs!B113</f>
        <v>Chi</v>
      </c>
      <c r="BB337" s="6" t="s">
        <v>18</v>
      </c>
      <c r="BC337" s="7">
        <f>WRs!AJ113-calcs!$E$11</f>
        <v>-113.68203129527672</v>
      </c>
    </row>
    <row r="338" spans="51:55" x14ac:dyDescent="0.25">
      <c r="AY338" s="6">
        <v>336</v>
      </c>
      <c r="AZ338" t="str">
        <f>WRs!A114</f>
        <v>Jason Tucker</v>
      </c>
      <c r="BA338" s="6" t="str">
        <f>WRs!B114</f>
        <v>Dal</v>
      </c>
      <c r="BB338" s="6" t="s">
        <v>18</v>
      </c>
      <c r="BC338" s="7">
        <f>WRs!AJ114-calcs!$E$11</f>
        <v>-113.68203129527672</v>
      </c>
    </row>
    <row r="339" spans="51:55" x14ac:dyDescent="0.25">
      <c r="AY339" s="6">
        <v>337</v>
      </c>
      <c r="AZ339" t="str">
        <f>WRs!A115</f>
        <v>Macey Brooks</v>
      </c>
      <c r="BA339" s="6" t="str">
        <f>WRs!B115</f>
        <v>Chi</v>
      </c>
      <c r="BB339" s="6" t="s">
        <v>18</v>
      </c>
      <c r="BC339" s="7">
        <f>WRs!AJ115-calcs!$E$11</f>
        <v>-113.72824978267168</v>
      </c>
    </row>
    <row r="340" spans="51:55" x14ac:dyDescent="0.25">
      <c r="AY340" s="6">
        <v>338</v>
      </c>
      <c r="AZ340" t="str">
        <f>RBs!A80</f>
        <v>Aaron Craver</v>
      </c>
      <c r="BA340" s="6" t="str">
        <f>RBs!B80</f>
        <v>NO</v>
      </c>
      <c r="BB340" s="6" t="s">
        <v>9</v>
      </c>
      <c r="BC340" s="7">
        <f>RBs!AJ80-calcs!$E$10</f>
        <v>-113.79571095571099</v>
      </c>
    </row>
    <row r="341" spans="51:55" x14ac:dyDescent="0.25">
      <c r="AY341" s="6">
        <v>339</v>
      </c>
      <c r="AZ341" t="str">
        <f>RBs!A84</f>
        <v>Marc Edwards</v>
      </c>
      <c r="BA341" s="6" t="str">
        <f>RBs!B84</f>
        <v>Cle</v>
      </c>
      <c r="BB341" s="6" t="s">
        <v>9</v>
      </c>
      <c r="BC341" s="7">
        <f>RBs!AJ84-calcs!$E$10</f>
        <v>-113.92193473193477</v>
      </c>
    </row>
    <row r="342" spans="51:55" x14ac:dyDescent="0.25">
      <c r="AY342" s="6">
        <v>340</v>
      </c>
      <c r="AZ342" t="str">
        <f>RBs!A82</f>
        <v>Robert Chancey</v>
      </c>
      <c r="BA342" s="6" t="str">
        <f>RBs!B82</f>
        <v>SD</v>
      </c>
      <c r="BB342" s="6" t="s">
        <v>9</v>
      </c>
      <c r="BC342" s="7">
        <f>RBs!AJ82-calcs!$E$10</f>
        <v>-115.19571095571098</v>
      </c>
    </row>
    <row r="343" spans="51:55" x14ac:dyDescent="0.25">
      <c r="AY343" s="6">
        <v>341</v>
      </c>
      <c r="AZ343" t="str">
        <f>WRs!A116</f>
        <v>Ricky Proehl</v>
      </c>
      <c r="BA343" s="6" t="str">
        <f>WRs!B116</f>
        <v>StL</v>
      </c>
      <c r="BB343" s="6" t="s">
        <v>18</v>
      </c>
      <c r="BC343" s="7">
        <f>WRs!AJ116-calcs!$E$11</f>
        <v>-115.68203129527672</v>
      </c>
    </row>
    <row r="344" spans="51:55" x14ac:dyDescent="0.25">
      <c r="AY344" s="6">
        <v>342</v>
      </c>
      <c r="AZ344" t="str">
        <f>RBs!A70</f>
        <v>Moe Williams</v>
      </c>
      <c r="BA344" s="6" t="str">
        <f>RBs!B70</f>
        <v>Min</v>
      </c>
      <c r="BB344" s="6" t="s">
        <v>9</v>
      </c>
      <c r="BC344" s="7">
        <f>RBs!AJ70-calcs!$E$10</f>
        <v>-115.79571095571099</v>
      </c>
    </row>
    <row r="345" spans="51:55" x14ac:dyDescent="0.25">
      <c r="AY345" s="6">
        <v>343</v>
      </c>
      <c r="AZ345" t="str">
        <f>QBs!A31</f>
        <v>Akili Smith</v>
      </c>
      <c r="BA345" s="6" t="str">
        <f>QBs!B31</f>
        <v>Cin</v>
      </c>
      <c r="BB345" s="6" t="s">
        <v>13</v>
      </c>
      <c r="BC345" s="7">
        <f>QBs!AL31-calcs!$E$9</f>
        <v>-115.84729170288517</v>
      </c>
    </row>
    <row r="346" spans="51:55" x14ac:dyDescent="0.25">
      <c r="AY346" s="6">
        <v>344</v>
      </c>
      <c r="AZ346" t="str">
        <f>RBs!A83</f>
        <v>Sean Bennett</v>
      </c>
      <c r="BA346" s="6" t="str">
        <f>RBs!B83</f>
        <v>NYG</v>
      </c>
      <c r="BB346" s="6" t="s">
        <v>9</v>
      </c>
      <c r="BC346" s="7">
        <f>RBs!AJ83-calcs!$E$10</f>
        <v>-115.93571095571099</v>
      </c>
    </row>
    <row r="347" spans="51:55" x14ac:dyDescent="0.25">
      <c r="AY347" s="6">
        <v>345</v>
      </c>
      <c r="AZ347" t="str">
        <f>RBs!A85</f>
        <v>Nick Williams</v>
      </c>
      <c r="BA347" s="6" t="str">
        <f>RBs!B85</f>
        <v>Cin</v>
      </c>
      <c r="BB347" s="6" t="s">
        <v>9</v>
      </c>
      <c r="BC347" s="7">
        <f>RBs!AJ85-calcs!$E$10</f>
        <v>-116.11948717948721</v>
      </c>
    </row>
    <row r="348" spans="51:55" x14ac:dyDescent="0.25">
      <c r="AY348" s="6">
        <v>346</v>
      </c>
      <c r="AZ348" t="str">
        <f>WRs!A79</f>
        <v>Darrell Jackson</v>
      </c>
      <c r="BA348" s="6" t="str">
        <f>WRs!B79</f>
        <v>Sea</v>
      </c>
      <c r="BB348" s="6" t="s">
        <v>18</v>
      </c>
      <c r="BC348" s="7">
        <f>WRs!AJ79-calcs!$E$11</f>
        <v>-117.43203129527672</v>
      </c>
    </row>
    <row r="349" spans="51:55" x14ac:dyDescent="0.25">
      <c r="AY349" s="6">
        <v>347</v>
      </c>
      <c r="AZ349" t="str">
        <f>RBs!A86</f>
        <v>Travis Prentice</v>
      </c>
      <c r="BA349" s="6" t="str">
        <f>RBs!B86</f>
        <v>Cle</v>
      </c>
      <c r="BB349" s="6" t="s">
        <v>9</v>
      </c>
      <c r="BC349" s="7">
        <f>RBs!AJ86-calcs!$E$10</f>
        <v>-117.49571095571099</v>
      </c>
    </row>
    <row r="350" spans="51:55" x14ac:dyDescent="0.25">
      <c r="AY350" s="6">
        <v>348</v>
      </c>
      <c r="AZ350" t="str">
        <f>WRs!A90</f>
        <v>Travis Taylor</v>
      </c>
      <c r="BA350" s="6" t="str">
        <f>WRs!B90</f>
        <v>Bal</v>
      </c>
      <c r="BB350" s="6" t="s">
        <v>18</v>
      </c>
      <c r="BC350" s="7">
        <f>WRs!AJ90-calcs!$E$11</f>
        <v>-117.58203129527672</v>
      </c>
    </row>
    <row r="351" spans="51:55" x14ac:dyDescent="0.25">
      <c r="AY351" s="6">
        <v>349</v>
      </c>
      <c r="AZ351" t="str">
        <f>RBs!A87</f>
        <v>Ahman Green</v>
      </c>
      <c r="BA351" s="6" t="str">
        <f>RBs!B87</f>
        <v>GB</v>
      </c>
      <c r="BB351" s="6" t="s">
        <v>9</v>
      </c>
      <c r="BC351" s="7">
        <f>RBs!AJ87-calcs!$E$10</f>
        <v>-118.09571095571098</v>
      </c>
    </row>
    <row r="352" spans="51:55" x14ac:dyDescent="0.25">
      <c r="AY352" s="6">
        <v>350</v>
      </c>
      <c r="AZ352" t="str">
        <f>WRs!A117</f>
        <v>Eddie Kennison</v>
      </c>
      <c r="BA352" s="6" t="str">
        <f>WRs!B117</f>
        <v>Chi</v>
      </c>
      <c r="BB352" s="6" t="s">
        <v>18</v>
      </c>
      <c r="BC352" s="7">
        <f>WRs!AJ117-calcs!$E$11</f>
        <v>-118.18203129527672</v>
      </c>
    </row>
    <row r="353" spans="51:55" x14ac:dyDescent="0.25">
      <c r="AY353" s="6">
        <v>351</v>
      </c>
      <c r="AZ353" t="str">
        <f>WRs!A118</f>
        <v>Avion Black</v>
      </c>
      <c r="BA353" s="6" t="str">
        <f>WRs!B118</f>
        <v>Buf</v>
      </c>
      <c r="BB353" s="6" t="s">
        <v>18</v>
      </c>
      <c r="BC353" s="7">
        <f>WRs!AJ118-calcs!$E$11</f>
        <v>-118.48203129527671</v>
      </c>
    </row>
    <row r="354" spans="51:55" x14ac:dyDescent="0.25">
      <c r="AY354" s="6">
        <v>352</v>
      </c>
      <c r="AZ354" t="str">
        <f>RBs!A88</f>
        <v>Eric Bieniemy</v>
      </c>
      <c r="BA354" s="6" t="str">
        <f>RBs!B88</f>
        <v>Phi</v>
      </c>
      <c r="BB354" s="6" t="s">
        <v>9</v>
      </c>
      <c r="BC354" s="7">
        <f>RBs!AJ88-calcs!$E$10</f>
        <v>-118.59571095571098</v>
      </c>
    </row>
    <row r="355" spans="51:55" x14ac:dyDescent="0.25">
      <c r="AY355" s="6">
        <v>353</v>
      </c>
      <c r="AZ355" t="str">
        <f>RBs!A89</f>
        <v>Rodney Thomas</v>
      </c>
      <c r="BA355" s="6" t="str">
        <f>RBs!B89</f>
        <v>Ten</v>
      </c>
      <c r="BB355" s="6" t="s">
        <v>9</v>
      </c>
      <c r="BC355" s="7">
        <f>RBs!AJ89-calcs!$E$10</f>
        <v>-118.69571095571098</v>
      </c>
    </row>
    <row r="356" spans="51:55" x14ac:dyDescent="0.25">
      <c r="AY356" s="6">
        <v>354</v>
      </c>
      <c r="AZ356" t="str">
        <f>RBs!A90</f>
        <v>Zack Crockett</v>
      </c>
      <c r="BA356" s="6" t="str">
        <f>RBs!B90</f>
        <v>Oak</v>
      </c>
      <c r="BB356" s="6" t="s">
        <v>9</v>
      </c>
      <c r="BC356" s="7">
        <f>RBs!AJ90-calcs!$E$10</f>
        <v>-118.71948717948722</v>
      </c>
    </row>
    <row r="357" spans="51:55" x14ac:dyDescent="0.25">
      <c r="AY357" s="6">
        <v>355</v>
      </c>
      <c r="AZ357" t="str">
        <f>WRs!A119</f>
        <v>Courtney Hawkins</v>
      </c>
      <c r="BA357" s="6" t="str">
        <f>WRs!B119</f>
        <v>Pit</v>
      </c>
      <c r="BB357" s="6" t="s">
        <v>18</v>
      </c>
      <c r="BC357" s="7">
        <f>WRs!AJ119-calcs!$E$11</f>
        <v>-119.68203129527672</v>
      </c>
    </row>
    <row r="358" spans="51:55" x14ac:dyDescent="0.25">
      <c r="AY358" s="6">
        <v>356</v>
      </c>
      <c r="AZ358" t="str">
        <f>WRs!A120</f>
        <v>Danny Farmer</v>
      </c>
      <c r="BA358" s="6" t="str">
        <f>WRs!B120</f>
        <v>Pit</v>
      </c>
      <c r="BB358" s="6" t="s">
        <v>18</v>
      </c>
      <c r="BC358" s="7">
        <f>WRs!AJ120-calcs!$E$11</f>
        <v>-119.68203129527672</v>
      </c>
    </row>
    <row r="359" spans="51:55" x14ac:dyDescent="0.25">
      <c r="AY359" s="6">
        <v>357</v>
      </c>
      <c r="AZ359" t="str">
        <f>WRs!A108</f>
        <v>Brett Bech</v>
      </c>
      <c r="BA359" s="6" t="str">
        <f>WRs!B108</f>
        <v>NO</v>
      </c>
      <c r="BB359" s="6" t="s">
        <v>18</v>
      </c>
      <c r="BC359" s="7">
        <f>WRs!AJ108-calcs!$E$11</f>
        <v>-120.18203129527672</v>
      </c>
    </row>
    <row r="360" spans="51:55" x14ac:dyDescent="0.25">
      <c r="AY360" s="6">
        <v>358</v>
      </c>
      <c r="AZ360" t="str">
        <f>RBs!A91</f>
        <v>Reggie Brown</v>
      </c>
      <c r="BA360" s="6" t="str">
        <f>RBs!B91</f>
        <v>Sea</v>
      </c>
      <c r="BB360" s="6" t="s">
        <v>9</v>
      </c>
      <c r="BC360" s="7">
        <f>RBs!AJ91-calcs!$E$10</f>
        <v>-120.22193473193477</v>
      </c>
    </row>
    <row r="361" spans="51:55" x14ac:dyDescent="0.25">
      <c r="AY361" s="6">
        <v>359</v>
      </c>
      <c r="AZ361" t="str">
        <f>WRs!A121</f>
        <v>Tai Streets</v>
      </c>
      <c r="BA361" s="6" t="str">
        <f>WRs!B121</f>
        <v>SF</v>
      </c>
      <c r="BB361" s="6" t="s">
        <v>18</v>
      </c>
      <c r="BC361" s="7">
        <f>WRs!AJ121-calcs!$E$11</f>
        <v>-121.43203129527672</v>
      </c>
    </row>
    <row r="362" spans="51:55" x14ac:dyDescent="0.25">
      <c r="AY362" s="6">
        <v>360</v>
      </c>
      <c r="AZ362" t="str">
        <f>RBs!A102</f>
        <v>Stacey Mack</v>
      </c>
      <c r="BA362" s="6" t="str">
        <f>RBs!B102</f>
        <v>Jac</v>
      </c>
      <c r="BB362" s="6" t="s">
        <v>9</v>
      </c>
      <c r="BC362" s="7">
        <f>RBs!AJ102-calcs!$E$10</f>
        <v>-121.49571095571099</v>
      </c>
    </row>
    <row r="363" spans="51:55" x14ac:dyDescent="0.25">
      <c r="AY363" s="6">
        <v>361</v>
      </c>
      <c r="AZ363" t="str">
        <f>RBs!A92</f>
        <v>Howard Griffith</v>
      </c>
      <c r="BA363" s="6" t="str">
        <f>RBs!B92</f>
        <v>Den</v>
      </c>
      <c r="BB363" s="6" t="s">
        <v>9</v>
      </c>
      <c r="BC363" s="7">
        <f>RBs!AJ92-calcs!$E$10</f>
        <v>-122.07193473193477</v>
      </c>
    </row>
    <row r="364" spans="51:55" x14ac:dyDescent="0.25">
      <c r="AY364" s="6">
        <v>362</v>
      </c>
      <c r="AZ364" t="str">
        <f>RBs!A81</f>
        <v>Doug Chapman</v>
      </c>
      <c r="BA364" s="6" t="str">
        <f>RBs!B81</f>
        <v>Min</v>
      </c>
      <c r="BB364" s="6" t="s">
        <v>9</v>
      </c>
      <c r="BC364" s="7">
        <f>RBs!AJ81-calcs!$E$10</f>
        <v>-122.79571095571099</v>
      </c>
    </row>
    <row r="365" spans="51:55" x14ac:dyDescent="0.25">
      <c r="AY365" s="6">
        <v>363</v>
      </c>
      <c r="AZ365" t="str">
        <f>RBs!A93</f>
        <v>Bob Christian</v>
      </c>
      <c r="BA365" s="6" t="str">
        <f>RBs!B93</f>
        <v>Atl</v>
      </c>
      <c r="BB365" s="6" t="s">
        <v>9</v>
      </c>
      <c r="BC365" s="7">
        <f>RBs!AJ93-calcs!$E$10</f>
        <v>-122.94571095571099</v>
      </c>
    </row>
    <row r="366" spans="51:55" x14ac:dyDescent="0.25">
      <c r="AY366" s="6">
        <v>364</v>
      </c>
      <c r="AZ366" t="str">
        <f>RBs!A94</f>
        <v>Fred McCrary</v>
      </c>
      <c r="BA366" s="6" t="str">
        <f>RBs!B94</f>
        <v>SD</v>
      </c>
      <c r="BB366" s="6" t="s">
        <v>9</v>
      </c>
      <c r="BC366" s="7">
        <f>RBs!AJ94-calcs!$E$10</f>
        <v>-123.17193473193477</v>
      </c>
    </row>
    <row r="367" spans="51:55" x14ac:dyDescent="0.25">
      <c r="AY367" s="6">
        <v>365</v>
      </c>
      <c r="AZ367" t="str">
        <f>RBs!A95</f>
        <v>Wilmont Perry</v>
      </c>
      <c r="BA367" s="6" t="str">
        <f>RBs!B95</f>
        <v>NO</v>
      </c>
      <c r="BB367" s="6" t="s">
        <v>9</v>
      </c>
      <c r="BC367" s="7">
        <f>RBs!AJ95-calcs!$E$10</f>
        <v>-124.09571095571098</v>
      </c>
    </row>
    <row r="368" spans="51:55" x14ac:dyDescent="0.25">
      <c r="AY368" s="6">
        <v>366</v>
      </c>
      <c r="AZ368" t="str">
        <f>WRs!A123</f>
        <v>Jim Turner</v>
      </c>
      <c r="BA368" s="6" t="str">
        <f>WRs!B123</f>
        <v>Car</v>
      </c>
      <c r="BB368" s="6" t="s">
        <v>18</v>
      </c>
      <c r="BC368" s="7">
        <f>WRs!AJ123-calcs!$E$11</f>
        <v>-124.68203129527672</v>
      </c>
    </row>
    <row r="369" spans="51:55" x14ac:dyDescent="0.25">
      <c r="AY369" s="6">
        <v>367</v>
      </c>
      <c r="AZ369" t="str">
        <f>WRs!A124</f>
        <v>Yatil Green</v>
      </c>
      <c r="BA369" s="6" t="str">
        <f>WRs!B124</f>
        <v>NYJ</v>
      </c>
      <c r="BB369" s="6" t="s">
        <v>18</v>
      </c>
      <c r="BC369" s="7">
        <f>WRs!AJ124-calcs!$E$11</f>
        <v>-124.68203129527672</v>
      </c>
    </row>
    <row r="370" spans="51:55" x14ac:dyDescent="0.25">
      <c r="AY370" s="6">
        <v>368</v>
      </c>
      <c r="AZ370" t="str">
        <f>RBs!A96</f>
        <v>Skip Hicks</v>
      </c>
      <c r="BA370" s="6" t="str">
        <f>RBs!B96</f>
        <v>Was</v>
      </c>
      <c r="BB370" s="6" t="s">
        <v>9</v>
      </c>
      <c r="BC370" s="7">
        <f>RBs!AJ96-calcs!$E$10</f>
        <v>-125.64571095571098</v>
      </c>
    </row>
    <row r="371" spans="51:55" x14ac:dyDescent="0.25">
      <c r="AY371" s="6">
        <v>369</v>
      </c>
      <c r="AZ371" t="str">
        <f>WRs!A125</f>
        <v>Todd Pinkston</v>
      </c>
      <c r="BA371" s="6" t="str">
        <f>WRs!B125</f>
        <v>Phi</v>
      </c>
      <c r="BB371" s="6" t="s">
        <v>18</v>
      </c>
      <c r="BC371" s="7">
        <f>WRs!AJ125-calcs!$E$11</f>
        <v>-127.13581280788176</v>
      </c>
    </row>
    <row r="372" spans="51:55" x14ac:dyDescent="0.25">
      <c r="AY372" s="6">
        <v>370</v>
      </c>
      <c r="AZ372" t="str">
        <f>WRs!A127</f>
        <v>D'Wayne Bates</v>
      </c>
      <c r="BA372" s="6" t="str">
        <f>WRs!B127</f>
        <v>Chi</v>
      </c>
      <c r="BB372" s="6" t="s">
        <v>18</v>
      </c>
      <c r="BC372" s="7">
        <f>WRs!AJ127-calcs!$E$11</f>
        <v>-127.68203129527672</v>
      </c>
    </row>
    <row r="373" spans="51:55" x14ac:dyDescent="0.25">
      <c r="AY373" s="6">
        <v>371</v>
      </c>
      <c r="AZ373" t="str">
        <f>WRs!A128</f>
        <v>Brian Stablein</v>
      </c>
      <c r="BA373" s="6" t="str">
        <f>WRs!B128</f>
        <v>Det</v>
      </c>
      <c r="BB373" s="6" t="s">
        <v>18</v>
      </c>
      <c r="BC373" s="7">
        <f>WRs!AJ128-calcs!$E$11</f>
        <v>-127.69203129527672</v>
      </c>
    </row>
    <row r="374" spans="51:55" x14ac:dyDescent="0.25">
      <c r="AY374" s="6">
        <v>372</v>
      </c>
      <c r="AZ374" t="str">
        <f>WRs!A112</f>
        <v>Isaac Byrd</v>
      </c>
      <c r="BA374" s="6" t="str">
        <f>WRs!B112</f>
        <v>Ten</v>
      </c>
      <c r="BB374" s="6" t="s">
        <v>18</v>
      </c>
      <c r="BC374" s="7">
        <f>WRs!AJ112-calcs!$E$11</f>
        <v>-128.53581280788177</v>
      </c>
    </row>
    <row r="375" spans="51:55" x14ac:dyDescent="0.25">
      <c r="AY375" s="6">
        <v>373</v>
      </c>
      <c r="AZ375" t="str">
        <f>WRs!A126</f>
        <v>James Thrash</v>
      </c>
      <c r="BA375" s="6" t="str">
        <f>WRs!B126</f>
        <v>Was</v>
      </c>
      <c r="BB375" s="6" t="s">
        <v>18</v>
      </c>
      <c r="BC375" s="7">
        <f>WRs!AJ126-calcs!$E$11</f>
        <v>-128.93581280788177</v>
      </c>
    </row>
    <row r="376" spans="51:55" x14ac:dyDescent="0.25">
      <c r="AY376" s="6">
        <v>374</v>
      </c>
      <c r="AZ376" t="str">
        <f>RBs!A97</f>
        <v>Joe Montgomery</v>
      </c>
      <c r="BA376" s="6" t="str">
        <f>RBs!B97</f>
        <v>NYG</v>
      </c>
      <c r="BB376" s="6" t="s">
        <v>9</v>
      </c>
      <c r="BC376" s="7">
        <f>RBs!AJ97-calcs!$E$10</f>
        <v>-129.145710955711</v>
      </c>
    </row>
    <row r="377" spans="51:55" x14ac:dyDescent="0.25">
      <c r="AY377" s="6">
        <v>375</v>
      </c>
      <c r="AZ377" t="str">
        <f>WRs!A129</f>
        <v>Eugene Baker</v>
      </c>
      <c r="BA377" s="6" t="str">
        <f>WRs!B129</f>
        <v>Atl</v>
      </c>
      <c r="BB377" s="6" t="s">
        <v>18</v>
      </c>
      <c r="BC377" s="7">
        <f>WRs!AJ129-calcs!$E$11</f>
        <v>-130.63581280788176</v>
      </c>
    </row>
    <row r="378" spans="51:55" x14ac:dyDescent="0.25">
      <c r="AY378" s="6">
        <v>376</v>
      </c>
      <c r="AZ378" t="str">
        <f>WRs!A130</f>
        <v>Reggie Barlow</v>
      </c>
      <c r="BA378" s="6" t="str">
        <f>WRs!B130</f>
        <v>Jac</v>
      </c>
      <c r="BB378" s="6" t="s">
        <v>18</v>
      </c>
      <c r="BC378" s="7">
        <f>WRs!AJ130-calcs!$E$11</f>
        <v>-131.43581280788177</v>
      </c>
    </row>
    <row r="379" spans="51:55" x14ac:dyDescent="0.25">
      <c r="AY379" s="6">
        <v>377</v>
      </c>
      <c r="AZ379" t="str">
        <f>WRs!A122</f>
        <v>Terry Mickens</v>
      </c>
      <c r="BA379" s="6" t="str">
        <f>WRs!B122</f>
        <v>Oak</v>
      </c>
      <c r="BB379" s="6" t="s">
        <v>18</v>
      </c>
      <c r="BC379" s="7">
        <f>WRs!AJ122-calcs!$E$11</f>
        <v>-131.53581280788177</v>
      </c>
    </row>
    <row r="380" spans="51:55" x14ac:dyDescent="0.25">
      <c r="AY380" s="6">
        <v>378</v>
      </c>
      <c r="AZ380" t="str">
        <f>RBs!A98</f>
        <v>Tony Carter</v>
      </c>
      <c r="BA380" s="6" t="str">
        <f>RBs!B98</f>
        <v>NE</v>
      </c>
      <c r="BB380" s="6" t="s">
        <v>9</v>
      </c>
      <c r="BC380" s="7">
        <f>RBs!AJ98-calcs!$E$10</f>
        <v>-131.71193473193478</v>
      </c>
    </row>
    <row r="381" spans="51:55" x14ac:dyDescent="0.25">
      <c r="AY381" s="6">
        <v>379</v>
      </c>
      <c r="AZ381" t="str">
        <f>WRs!A131</f>
        <v>Mikhael Ricks</v>
      </c>
      <c r="BA381" s="6" t="str">
        <f>WRs!B131</f>
        <v>SD</v>
      </c>
      <c r="BB381" s="6" t="s">
        <v>18</v>
      </c>
      <c r="BC381" s="7">
        <f>WRs!AJ131-calcs!$E$11</f>
        <v>-132.53581280788177</v>
      </c>
    </row>
    <row r="382" spans="51:55" x14ac:dyDescent="0.25">
      <c r="AY382" s="6">
        <v>380</v>
      </c>
      <c r="AZ382" t="str">
        <f>WRs!A132</f>
        <v>Andy McCullough</v>
      </c>
      <c r="BA382" s="6" t="str">
        <f>WRs!B132</f>
        <v>Ari</v>
      </c>
      <c r="BB382" s="6" t="s">
        <v>18</v>
      </c>
      <c r="BC382" s="7">
        <f>WRs!AJ132-calcs!$E$11</f>
        <v>-133.13581280788176</v>
      </c>
    </row>
    <row r="383" spans="51:55" x14ac:dyDescent="0.25">
      <c r="AY383" s="6">
        <v>381</v>
      </c>
      <c r="AZ383" t="str">
        <f>WRs!A133</f>
        <v>Wane McGarity</v>
      </c>
      <c r="BA383" s="6" t="str">
        <f>WRs!B133</f>
        <v>Dal</v>
      </c>
      <c r="BB383" s="6" t="s">
        <v>18</v>
      </c>
      <c r="BC383" s="7">
        <f>WRs!AJ133-calcs!$E$11</f>
        <v>-133.13581280788176</v>
      </c>
    </row>
    <row r="384" spans="51:55" x14ac:dyDescent="0.25">
      <c r="AY384" s="6">
        <v>382</v>
      </c>
      <c r="AZ384" t="str">
        <f>WRs!A134</f>
        <v>Chris Cole</v>
      </c>
      <c r="BA384" s="6" t="str">
        <f>WRs!B134</f>
        <v>Den</v>
      </c>
      <c r="BB384" s="6" t="s">
        <v>18</v>
      </c>
      <c r="BC384" s="7">
        <f>WRs!AJ134-calcs!$E$11</f>
        <v>-133.13581280788176</v>
      </c>
    </row>
    <row r="385" spans="51:55" x14ac:dyDescent="0.25">
      <c r="AY385" s="6">
        <v>383</v>
      </c>
      <c r="AZ385" t="str">
        <f>WRs!A135</f>
        <v>Anthony Lucas</v>
      </c>
      <c r="BA385" s="6" t="str">
        <f>WRs!B135</f>
        <v>GB</v>
      </c>
      <c r="BB385" s="6" t="s">
        <v>18</v>
      </c>
      <c r="BC385" s="7">
        <f>WRs!AJ135-calcs!$E$11</f>
        <v>-133.13581280788176</v>
      </c>
    </row>
    <row r="386" spans="51:55" x14ac:dyDescent="0.25">
      <c r="AY386" s="6">
        <v>384</v>
      </c>
      <c r="AZ386" t="str">
        <f>RBs!A105</f>
        <v>Jay Graham</v>
      </c>
      <c r="BA386" s="6" t="str">
        <f>RBs!B105</f>
        <v>Bal</v>
      </c>
      <c r="BB386" s="6" t="s">
        <v>9</v>
      </c>
      <c r="BC386" s="7">
        <f>RBs!AJ105-calcs!$E$10</f>
        <v>-133.22193473193477</v>
      </c>
    </row>
    <row r="387" spans="51:55" x14ac:dyDescent="0.25">
      <c r="AY387" s="6">
        <v>385</v>
      </c>
      <c r="AZ387" t="str">
        <f>RBs!A49</f>
        <v>Michael Basnight</v>
      </c>
      <c r="BA387" s="6" t="str">
        <f>RBs!B49</f>
        <v>Cin</v>
      </c>
      <c r="BB387" s="6" t="s">
        <v>9</v>
      </c>
      <c r="BC387" s="7">
        <f>RBs!AJ49-calcs!$E$10</f>
        <v>-133.47193473193477</v>
      </c>
    </row>
    <row r="388" spans="51:55" x14ac:dyDescent="0.25">
      <c r="AY388" s="6">
        <v>386</v>
      </c>
      <c r="AZ388" t="str">
        <f>WRs!A136</f>
        <v>Chris Walsh</v>
      </c>
      <c r="BA388" s="6" t="str">
        <f>WRs!B136</f>
        <v>Min</v>
      </c>
      <c r="BB388" s="6" t="s">
        <v>18</v>
      </c>
      <c r="BC388" s="7">
        <f>WRs!AJ136-calcs!$E$11</f>
        <v>-134.13581280788176</v>
      </c>
    </row>
    <row r="389" spans="51:55" x14ac:dyDescent="0.25">
      <c r="AY389" s="6">
        <v>387</v>
      </c>
      <c r="AZ389" t="str">
        <f>WRs!A137</f>
        <v>Karl Williams</v>
      </c>
      <c r="BA389" s="6" t="str">
        <f>WRs!B137</f>
        <v>TB</v>
      </c>
      <c r="BB389" s="6" t="s">
        <v>18</v>
      </c>
      <c r="BC389" s="7">
        <f>WRs!AJ137-calcs!$E$11</f>
        <v>-134.13581280788176</v>
      </c>
    </row>
    <row r="390" spans="51:55" x14ac:dyDescent="0.25">
      <c r="AY390" s="6">
        <v>388</v>
      </c>
      <c r="AZ390" t="str">
        <f>RBs!A99</f>
        <v>Frank Murphy</v>
      </c>
      <c r="BA390" s="6" t="str">
        <f>RBs!B99</f>
        <v>Chi</v>
      </c>
      <c r="BB390" s="6" t="s">
        <v>9</v>
      </c>
      <c r="BC390" s="7">
        <f>RBs!AJ99-calcs!$E$10</f>
        <v>-136.47193473193477</v>
      </c>
    </row>
    <row r="391" spans="51:55" x14ac:dyDescent="0.25">
      <c r="AY391" s="6">
        <v>389</v>
      </c>
      <c r="AZ391" t="str">
        <f>RBs!A100</f>
        <v>Daimon Shelton</v>
      </c>
      <c r="BA391" s="6" t="str">
        <f>RBs!B100</f>
        <v>Jac</v>
      </c>
      <c r="BB391" s="6" t="s">
        <v>9</v>
      </c>
      <c r="BC391" s="7">
        <f>RBs!AJ100-calcs!$E$10</f>
        <v>-137.02193473193478</v>
      </c>
    </row>
    <row r="392" spans="51:55" x14ac:dyDescent="0.25">
      <c r="AY392" s="6">
        <v>390</v>
      </c>
      <c r="AZ392" t="str">
        <f>RBs!A101</f>
        <v>Jon Witman</v>
      </c>
      <c r="BA392" s="6" t="str">
        <f>RBs!B101</f>
        <v>Pit</v>
      </c>
      <c r="BB392" s="6" t="s">
        <v>9</v>
      </c>
      <c r="BC392" s="7">
        <f>RBs!AJ101-calcs!$E$10</f>
        <v>-137.67193473193475</v>
      </c>
    </row>
    <row r="393" spans="51:55" x14ac:dyDescent="0.25">
      <c r="AY393" s="6">
        <v>391</v>
      </c>
      <c r="AZ393" t="str">
        <f>RBs!A103</f>
        <v>Keith Elias</v>
      </c>
      <c r="BA393" s="6" t="str">
        <f>RBs!B103</f>
        <v>Ind</v>
      </c>
      <c r="BB393" s="6" t="s">
        <v>9</v>
      </c>
      <c r="BC393" s="7">
        <f>RBs!AJ103-calcs!$E$10</f>
        <v>-138.12193473193477</v>
      </c>
    </row>
    <row r="394" spans="51:55" x14ac:dyDescent="0.25">
      <c r="AY394" s="6">
        <v>392</v>
      </c>
      <c r="AZ394" t="str">
        <f>RBs!A104</f>
        <v>Joel Mackovicka</v>
      </c>
      <c r="BA394" s="6" t="str">
        <f>RBs!B104</f>
        <v>Ari</v>
      </c>
      <c r="BB394" s="6" t="s">
        <v>9</v>
      </c>
      <c r="BC394" s="7">
        <f>RBs!AJ104-calcs!$E$10</f>
        <v>-138.47193473193477</v>
      </c>
    </row>
    <row r="395" spans="51:55" x14ac:dyDescent="0.25">
      <c r="AY395" s="6">
        <v>393</v>
      </c>
      <c r="AZ395" t="str">
        <f>WRs!A111</f>
        <v>Karsten Bailey</v>
      </c>
      <c r="BA395" s="6" t="str">
        <f>WRs!B111</f>
        <v>Sea</v>
      </c>
      <c r="BB395" s="6" t="s">
        <v>18</v>
      </c>
      <c r="BC395" s="7">
        <f>WRs!AJ111-calcs!$E$11</f>
        <v>-138.88581280788176</v>
      </c>
    </row>
    <row r="396" spans="51:55" x14ac:dyDescent="0.25">
      <c r="AY396" s="6">
        <v>394</v>
      </c>
      <c r="AZ396" t="str">
        <f>WRs!A138</f>
        <v>Brian Alford</v>
      </c>
      <c r="BA396" s="6" t="str">
        <f>WRs!B138</f>
        <v>NYG</v>
      </c>
      <c r="BB396" s="6" t="s">
        <v>18</v>
      </c>
      <c r="BC396" s="7">
        <f>WRs!AJ138-calcs!$E$11</f>
        <v>-140.43581280788177</v>
      </c>
    </row>
    <row r="397" spans="51:55" x14ac:dyDescent="0.25">
      <c r="AY397" s="6">
        <v>395</v>
      </c>
      <c r="AZ397" t="str">
        <f>RBs!A106</f>
        <v>Rabih Abdullah</v>
      </c>
      <c r="BA397" s="6" t="str">
        <f>RBs!B106</f>
        <v>TB</v>
      </c>
      <c r="BB397" s="6" t="s">
        <v>9</v>
      </c>
      <c r="BC397" s="7">
        <f>RBs!AJ106-calcs!$E$10</f>
        <v>-140.82193473193476</v>
      </c>
    </row>
    <row r="398" spans="51:55" x14ac:dyDescent="0.25">
      <c r="AY398" s="6">
        <v>396</v>
      </c>
      <c r="AZ398" t="str">
        <f>RBs!A107</f>
        <v>Reuben Droughns</v>
      </c>
      <c r="BA398" s="6" t="str">
        <f>RBs!B107</f>
        <v>Det</v>
      </c>
      <c r="BB398" s="6" t="s">
        <v>9</v>
      </c>
      <c r="BC398" s="7">
        <f>RBs!AJ107-calcs!$E$10</f>
        <v>-140.99193473193478</v>
      </c>
    </row>
    <row r="399" spans="51:55" x14ac:dyDescent="0.25">
      <c r="AY399" s="6">
        <v>397</v>
      </c>
      <c r="AZ399" t="str">
        <f>RBs!A108</f>
        <v>Amos Zereoue</v>
      </c>
      <c r="BA399" s="6" t="str">
        <f>RBs!B108</f>
        <v>Pit</v>
      </c>
      <c r="BB399" s="6" t="s">
        <v>9</v>
      </c>
      <c r="BC399" s="7">
        <f>RBs!AJ108-calcs!$E$10</f>
        <v>-141.27193473193478</v>
      </c>
    </row>
    <row r="400" spans="51:55" x14ac:dyDescent="0.25">
      <c r="AY400" s="6">
        <v>398</v>
      </c>
      <c r="AZ400" t="str">
        <f>RBs!A109</f>
        <v>Lorenzo Neal</v>
      </c>
      <c r="BA400" s="6" t="str">
        <f>RBs!B109</f>
        <v>Ten</v>
      </c>
      <c r="BB400" s="6" t="s">
        <v>9</v>
      </c>
      <c r="BC400" s="7">
        <f>RBs!AJ109-calcs!$E$10</f>
        <v>-141.52193473193478</v>
      </c>
    </row>
    <row r="401" spans="51:55" x14ac:dyDescent="0.25">
      <c r="AY401" s="6">
        <v>399</v>
      </c>
      <c r="AZ401" t="str">
        <f>RBs!A110</f>
        <v>Robert Thomas</v>
      </c>
      <c r="BA401" s="6" t="str">
        <f>RBs!B110</f>
        <v>Dal</v>
      </c>
      <c r="BB401" s="6" t="s">
        <v>9</v>
      </c>
      <c r="BC401" s="7">
        <f>RBs!AJ110-calcs!$E$10</f>
        <v>-142.57193473193476</v>
      </c>
    </row>
    <row r="402" spans="51:55" x14ac:dyDescent="0.25">
      <c r="AY402" s="6">
        <v>400</v>
      </c>
      <c r="AZ402" t="str">
        <f>WRs!A22</f>
        <v>Darnay Scott</v>
      </c>
      <c r="BA402" s="6" t="str">
        <f>WRs!B22</f>
        <v>Cin</v>
      </c>
      <c r="BB402" s="6" t="s">
        <v>18</v>
      </c>
      <c r="BC402" s="7">
        <f>WRs!AJ22-calcs!$E$11</f>
        <v>-145.13581280788176</v>
      </c>
    </row>
    <row r="403" spans="51:55" x14ac:dyDescent="0.25">
      <c r="AY403" s="6">
        <v>401</v>
      </c>
      <c r="AZ403" t="str">
        <f>QBs!A36</f>
        <v>Moses Moreno</v>
      </c>
      <c r="BA403" s="6" t="str">
        <f>QBs!B36</f>
        <v>SD</v>
      </c>
      <c r="BB403" s="6" t="s">
        <v>13</v>
      </c>
      <c r="BC403" s="7">
        <f>QBs!AL36-calcs!$E$9</f>
        <v>-159.19146212895038</v>
      </c>
    </row>
    <row r="404" spans="51:55" x14ac:dyDescent="0.25">
      <c r="AY404" s="6">
        <v>402</v>
      </c>
      <c r="AZ404" t="str">
        <f>QBs!A33</f>
        <v>Jim Harbaugh</v>
      </c>
      <c r="BA404" s="6" t="str">
        <f>QBs!B33</f>
        <v>SD</v>
      </c>
      <c r="BB404" s="6" t="s">
        <v>13</v>
      </c>
      <c r="BC404" s="7">
        <f>QBs!AL33-calcs!$E$9</f>
        <v>-161.36453620302444</v>
      </c>
    </row>
    <row r="405" spans="51:55" x14ac:dyDescent="0.25">
      <c r="AY405" s="6">
        <v>403</v>
      </c>
      <c r="AZ405" t="str">
        <f>QBs!A34</f>
        <v>Jay Fiedler</v>
      </c>
      <c r="BA405" s="6" t="str">
        <f>QBs!B34</f>
        <v>Mia</v>
      </c>
      <c r="BB405" s="6" t="s">
        <v>13</v>
      </c>
      <c r="BC405" s="7">
        <f>QBs!AL34-calcs!$E$9</f>
        <v>-170.97849916598739</v>
      </c>
    </row>
    <row r="406" spans="51:55" x14ac:dyDescent="0.25">
      <c r="AY406" s="6">
        <v>404</v>
      </c>
      <c r="AZ406" t="str">
        <f>QBs!A35</f>
        <v>Scott Mitchell</v>
      </c>
      <c r="BA406" s="6" t="str">
        <f>QBs!B35</f>
        <v>Cin</v>
      </c>
      <c r="BB406" s="6" t="s">
        <v>13</v>
      </c>
      <c r="BC406" s="7">
        <f>QBs!AL35-calcs!$E$9</f>
        <v>-198.60257324006147</v>
      </c>
    </row>
    <row r="407" spans="51:55" x14ac:dyDescent="0.25">
      <c r="AY407" s="6">
        <v>405</v>
      </c>
      <c r="AZ407" t="str">
        <f>QBs!A37</f>
        <v>Kent Graham</v>
      </c>
      <c r="BA407" s="6" t="str">
        <f>QBs!B37</f>
        <v>Pit</v>
      </c>
      <c r="BB407" s="6" t="s">
        <v>13</v>
      </c>
      <c r="BC407" s="7">
        <f>QBs!AL37-calcs!$E$9</f>
        <v>-207.55064731413552</v>
      </c>
    </row>
    <row r="408" spans="51:55" x14ac:dyDescent="0.25">
      <c r="AY408" s="6">
        <v>406</v>
      </c>
      <c r="AZ408" t="str">
        <f>QBs!A38</f>
        <v>Danny Kanell</v>
      </c>
      <c r="BA408" s="6" t="str">
        <f>QBs!B38</f>
        <v>Atl</v>
      </c>
      <c r="BB408" s="6" t="s">
        <v>13</v>
      </c>
      <c r="BC408" s="7">
        <f>QBs!AL38-calcs!$E$9</f>
        <v>-220.90164731413557</v>
      </c>
    </row>
    <row r="409" spans="51:55" x14ac:dyDescent="0.25">
      <c r="AY409" s="6">
        <v>407</v>
      </c>
      <c r="AZ409" t="str">
        <f>QBs!A40</f>
        <v>Trent Dilfer</v>
      </c>
      <c r="BA409" s="6" t="str">
        <f>QBs!B40</f>
        <v>Bal</v>
      </c>
      <c r="BB409" s="6" t="s">
        <v>13</v>
      </c>
      <c r="BC409" s="7">
        <f>QBs!AL40-calcs!$E$9</f>
        <v>-229.46461027709853</v>
      </c>
    </row>
    <row r="410" spans="51:55" x14ac:dyDescent="0.25">
      <c r="AY410" s="6">
        <v>408</v>
      </c>
      <c r="AZ410" t="str">
        <f>QBs!A44</f>
        <v>Jim Miller</v>
      </c>
      <c r="BA410" s="6" t="str">
        <f>QBs!B44</f>
        <v>Chi</v>
      </c>
      <c r="BB410" s="6" t="s">
        <v>13</v>
      </c>
      <c r="BC410" s="7">
        <f>QBs!AL44-calcs!$E$9</f>
        <v>-235.77664731413557</v>
      </c>
    </row>
    <row r="411" spans="51:55" x14ac:dyDescent="0.25">
      <c r="AY411" s="6">
        <v>409</v>
      </c>
      <c r="AZ411" t="str">
        <f>QBs!A42</f>
        <v>Mike Tomczak</v>
      </c>
      <c r="BA411" s="6" t="str">
        <f>QBs!B42</f>
        <v>Det</v>
      </c>
      <c r="BB411" s="6" t="s">
        <v>13</v>
      </c>
      <c r="BC411" s="7">
        <f>QBs!AL42-calcs!$E$9</f>
        <v>-236.57664731413556</v>
      </c>
    </row>
    <row r="412" spans="51:55" x14ac:dyDescent="0.25">
      <c r="AY412" s="6">
        <v>410</v>
      </c>
      <c r="AZ412" t="str">
        <f>QBs!A41</f>
        <v>Bubby Brister</v>
      </c>
      <c r="BA412" s="6" t="str">
        <f>QBs!B41</f>
        <v>Min</v>
      </c>
      <c r="BB412" s="6" t="s">
        <v>13</v>
      </c>
      <c r="BC412" s="7">
        <f>QBs!AL41-calcs!$E$9</f>
        <v>-239.17664731413555</v>
      </c>
    </row>
    <row r="413" spans="51:55" x14ac:dyDescent="0.25">
      <c r="AY413" s="6">
        <v>411</v>
      </c>
      <c r="AZ413" t="str">
        <f>QBs!A43</f>
        <v>Doug Flutie</v>
      </c>
      <c r="BA413" s="6" t="str">
        <f>QBs!B43</f>
        <v>Buf</v>
      </c>
      <c r="BB413" s="6" t="s">
        <v>13</v>
      </c>
      <c r="BC413" s="7">
        <f>QBs!AL43-calcs!$E$9</f>
        <v>-243.12072138820963</v>
      </c>
    </row>
    <row r="414" spans="51:55" x14ac:dyDescent="0.25">
      <c r="AY414" s="6">
        <v>412</v>
      </c>
      <c r="AZ414" t="str">
        <f>QBs!A46</f>
        <v>Dave Brown</v>
      </c>
      <c r="BA414" s="6" t="str">
        <f>QBs!B46</f>
        <v>Ari</v>
      </c>
      <c r="BB414" s="6" t="s">
        <v>13</v>
      </c>
      <c r="BC414" s="7">
        <f>QBs!AL46-calcs!$E$9</f>
        <v>-246.23868435117259</v>
      </c>
    </row>
    <row r="415" spans="51:55" x14ac:dyDescent="0.25">
      <c r="AY415" s="6">
        <v>413</v>
      </c>
      <c r="AZ415" t="str">
        <f>QBs!A39</f>
        <v>Ryan Leaf</v>
      </c>
      <c r="BA415" s="6" t="str">
        <f>QBs!B39</f>
        <v>SD</v>
      </c>
      <c r="BB415" s="6" t="s">
        <v>13</v>
      </c>
      <c r="BC415" s="7">
        <f>QBs!AL39-calcs!$E$9</f>
        <v>-250.50072138820963</v>
      </c>
    </row>
    <row r="416" spans="51:55" x14ac:dyDescent="0.25">
      <c r="AY416" s="6">
        <v>414</v>
      </c>
      <c r="AZ416" t="str">
        <f>QBs!A45</f>
        <v>Ray Lucas</v>
      </c>
      <c r="BA416" s="6" t="str">
        <f>QBs!B45</f>
        <v>NYJ</v>
      </c>
      <c r="BB416" s="6" t="s">
        <v>13</v>
      </c>
      <c r="BC416" s="7">
        <f>QBs!AL45-calcs!$E$9</f>
        <v>-253.84275842524667</v>
      </c>
    </row>
    <row r="417" spans="51:55" x14ac:dyDescent="0.25">
      <c r="AY417" s="6">
        <v>415</v>
      </c>
      <c r="AZ417" t="str">
        <f>QBs!A48</f>
        <v>Jeff Lewis</v>
      </c>
      <c r="BA417" s="6" t="str">
        <f>QBs!B48</f>
        <v>Car</v>
      </c>
      <c r="BB417" s="6" t="s">
        <v>13</v>
      </c>
      <c r="BC417" s="7">
        <f>QBs!AL48-calcs!$E$9</f>
        <v>-256.37572138820963</v>
      </c>
    </row>
    <row r="418" spans="51:55" x14ac:dyDescent="0.25">
      <c r="AY418" s="6">
        <v>416</v>
      </c>
      <c r="AZ418" t="str">
        <f>QBs!A47</f>
        <v>Gus Frerotte</v>
      </c>
      <c r="BA418" s="6" t="str">
        <f>QBs!B47</f>
        <v>Den</v>
      </c>
      <c r="BB418" s="6" t="s">
        <v>13</v>
      </c>
      <c r="BC418" s="7">
        <f>QBs!AL47-calcs!$E$9</f>
        <v>-259.68868435117258</v>
      </c>
    </row>
    <row r="419" spans="51:55" x14ac:dyDescent="0.25">
      <c r="AY419" s="6">
        <v>417</v>
      </c>
      <c r="AZ419" t="str">
        <f>QBs!A49</f>
        <v>Randall Cunningham</v>
      </c>
      <c r="BA419" s="6" t="str">
        <f>QBs!B49</f>
        <v>Dal</v>
      </c>
      <c r="BB419" s="6" t="s">
        <v>13</v>
      </c>
      <c r="BC419" s="7">
        <f>QBs!AL49-calcs!$E$9</f>
        <v>-261.04072138820965</v>
      </c>
    </row>
    <row r="420" spans="51:55" x14ac:dyDescent="0.25">
      <c r="AY420" s="6">
        <v>418</v>
      </c>
      <c r="AZ420" t="str">
        <f>QBs!A50</f>
        <v>Jonathan Quinn</v>
      </c>
      <c r="BA420" s="6" t="str">
        <f>QBs!B50</f>
        <v>Jac</v>
      </c>
      <c r="BB420" s="6" t="s">
        <v>13</v>
      </c>
      <c r="BC420" s="7">
        <f>QBs!AL50-calcs!$E$9</f>
        <v>-261.20072138820962</v>
      </c>
    </row>
    <row r="421" spans="51:55" x14ac:dyDescent="0.25">
      <c r="AY421" s="6">
        <v>419</v>
      </c>
      <c r="AZ421" t="str">
        <f>QBs!A54</f>
        <v>Jeff George</v>
      </c>
      <c r="BA421" s="6" t="str">
        <f>QBs!B54</f>
        <v>Was</v>
      </c>
      <c r="BB421" s="6" t="s">
        <v>13</v>
      </c>
      <c r="BC421" s="7">
        <f>QBs!AL54-calcs!$E$9</f>
        <v>-264.20072138820962</v>
      </c>
    </row>
    <row r="422" spans="51:55" x14ac:dyDescent="0.25">
      <c r="AY422" s="6">
        <v>420</v>
      </c>
      <c r="AZ422" t="str">
        <f>QBs!A51</f>
        <v>Warren Moon</v>
      </c>
      <c r="BA422" s="6" t="str">
        <f>QBs!B51</f>
        <v>KC</v>
      </c>
      <c r="BB422" s="6" t="s">
        <v>13</v>
      </c>
      <c r="BC422" s="7">
        <f>QBs!AL51-calcs!$E$9</f>
        <v>-265.18525842524667</v>
      </c>
    </row>
    <row r="423" spans="51:55" x14ac:dyDescent="0.25">
      <c r="AY423" s="6">
        <v>421</v>
      </c>
      <c r="AZ423" t="str">
        <f>QBs!A52</f>
        <v>Neil O'Donnell</v>
      </c>
      <c r="BA423" s="6" t="str">
        <f>QBs!B52</f>
        <v>Ten</v>
      </c>
      <c r="BB423" s="6" t="s">
        <v>13</v>
      </c>
      <c r="BC423" s="7">
        <f>QBs!AL52-calcs!$E$9</f>
        <v>-265.36072138820964</v>
      </c>
    </row>
    <row r="424" spans="51:55" x14ac:dyDescent="0.25">
      <c r="AY424" s="6">
        <v>422</v>
      </c>
      <c r="AZ424" t="str">
        <f>QBs!A53</f>
        <v>Jason Garrett</v>
      </c>
      <c r="BA424" s="6" t="str">
        <f>QBs!B53</f>
        <v>NYG</v>
      </c>
      <c r="BB424" s="6" t="s">
        <v>13</v>
      </c>
      <c r="BC424" s="7">
        <f>QBs!AL53-calcs!$E$9</f>
        <v>-265.80072138820964</v>
      </c>
    </row>
    <row r="425" spans="51:55" x14ac:dyDescent="0.25">
      <c r="AY425" s="6">
        <v>423</v>
      </c>
      <c r="AZ425" t="str">
        <f>QBs!A55</f>
        <v>Billy Joe Tolliver</v>
      </c>
      <c r="BA425" s="6" t="str">
        <f>QBs!B55</f>
        <v>NO</v>
      </c>
      <c r="BB425" s="6" t="s">
        <v>13</v>
      </c>
      <c r="BC425" s="7">
        <f>QBs!AL55-calcs!$E$9</f>
        <v>-269.10275842524669</v>
      </c>
    </row>
    <row r="426" spans="51:55" x14ac:dyDescent="0.25">
      <c r="AY426" s="6">
        <v>424</v>
      </c>
      <c r="AZ426" t="str">
        <f>QBs!A57</f>
        <v>Matt Hasselbeck</v>
      </c>
      <c r="BA426" s="6" t="str">
        <f>QBs!B57</f>
        <v>GB</v>
      </c>
      <c r="BB426" s="6" t="s">
        <v>13</v>
      </c>
      <c r="BC426" s="7">
        <f>QBs!AL57-calcs!$E$9</f>
        <v>-269.36275842524668</v>
      </c>
    </row>
    <row r="427" spans="51:55" x14ac:dyDescent="0.25">
      <c r="AY427" s="6">
        <v>425</v>
      </c>
      <c r="AZ427" t="str">
        <f>QBs!A58</f>
        <v>Doug Pederson</v>
      </c>
      <c r="BA427" s="6" t="str">
        <f>QBs!B58</f>
        <v>Phi</v>
      </c>
      <c r="BB427" s="6" t="s">
        <v>13</v>
      </c>
      <c r="BC427" s="7">
        <f>QBs!AL58-calcs!$E$9</f>
        <v>-269.89775842524665</v>
      </c>
    </row>
    <row r="428" spans="51:55" x14ac:dyDescent="0.25">
      <c r="AY428" s="6">
        <v>426</v>
      </c>
      <c r="AZ428" t="str">
        <f>QBs!A59</f>
        <v>Eric Zeier</v>
      </c>
      <c r="BA428" s="6" t="str">
        <f>QBs!B59</f>
        <v>TB</v>
      </c>
      <c r="BB428" s="6" t="s">
        <v>13</v>
      </c>
      <c r="BC428" s="7">
        <f>QBs!AL59-calcs!$E$9</f>
        <v>-270.16275842524669</v>
      </c>
    </row>
    <row r="429" spans="51:55" x14ac:dyDescent="0.25">
      <c r="AY429" s="6">
        <v>427</v>
      </c>
      <c r="AZ429" t="str">
        <f>QBs!A64</f>
        <v>Bobby Hoying</v>
      </c>
      <c r="BA429" s="6" t="str">
        <f>QBs!B64</f>
        <v>Oak</v>
      </c>
      <c r="BB429" s="6" t="s">
        <v>13</v>
      </c>
      <c r="BC429" s="7">
        <f>QBs!AL64-calcs!$E$9</f>
        <v>-270.38775842524666</v>
      </c>
    </row>
    <row r="430" spans="51:55" x14ac:dyDescent="0.25">
      <c r="AY430" s="6">
        <v>428</v>
      </c>
      <c r="AZ430" t="str">
        <f>QBs!A60</f>
        <v>Trent Green</v>
      </c>
      <c r="BA430" s="6" t="str">
        <f>QBs!B60</f>
        <v>StL</v>
      </c>
      <c r="BB430" s="6" t="s">
        <v>13</v>
      </c>
      <c r="BC430" s="7">
        <f>QBs!AL60-calcs!$E$9</f>
        <v>-272.60275842524669</v>
      </c>
    </row>
    <row r="431" spans="51:55" x14ac:dyDescent="0.25">
      <c r="AY431" s="6">
        <v>429</v>
      </c>
      <c r="AZ431" t="str">
        <f>QBs!A61</f>
        <v>Ty Detmer</v>
      </c>
      <c r="BA431" s="6" t="str">
        <f>QBs!B61</f>
        <v>Cle</v>
      </c>
      <c r="BB431" s="6" t="s">
        <v>13</v>
      </c>
      <c r="BC431" s="7">
        <f>QBs!AL61-calcs!$E$9</f>
        <v>-272.86275842524668</v>
      </c>
    </row>
    <row r="432" spans="51:55" x14ac:dyDescent="0.25">
      <c r="AY432" s="6">
        <v>430</v>
      </c>
      <c r="AZ432" t="str">
        <f>QBs!A56</f>
        <v>Giovanni Carmazzi</v>
      </c>
      <c r="BA432" s="6" t="str">
        <f>QBs!B56</f>
        <v>SF</v>
      </c>
      <c r="BB432" s="6" t="s">
        <v>13</v>
      </c>
      <c r="BC432" s="7">
        <f>QBs!AL56-calcs!$E$9</f>
        <v>-273.16275842524669</v>
      </c>
    </row>
    <row r="433" spans="51:55" x14ac:dyDescent="0.25">
      <c r="AY433" s="6">
        <v>431</v>
      </c>
      <c r="AZ433" t="str">
        <f>QBs!A62</f>
        <v>Glenn Foley</v>
      </c>
      <c r="BA433" s="6" t="str">
        <f>QBs!B62</f>
        <v>Sea</v>
      </c>
      <c r="BB433" s="6" t="s">
        <v>13</v>
      </c>
      <c r="BC433" s="7">
        <f>QBs!AL62-calcs!$E$9</f>
        <v>-273.42275842524668</v>
      </c>
    </row>
    <row r="434" spans="51:55" x14ac:dyDescent="0.25">
      <c r="AY434" s="6">
        <v>432</v>
      </c>
      <c r="AZ434" t="str">
        <f>QBs!A63</f>
        <v>John Friesz</v>
      </c>
      <c r="BA434" s="6" t="str">
        <f>QBs!B63</f>
        <v>NE</v>
      </c>
      <c r="BB434" s="6" t="s">
        <v>13</v>
      </c>
      <c r="BC434" s="7">
        <f>QBs!AL63-calcs!$E$9</f>
        <v>-273.91275842524669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Line="0" autoPict="0" macro="[0]!cheat3">
                <anchor moveWithCells="1" sizeWithCells="1">
                  <from>
                    <xdr:col>7</xdr:col>
                    <xdr:colOff>518160</xdr:colOff>
                    <xdr:row>33</xdr:row>
                    <xdr:rowOff>0</xdr:rowOff>
                  </from>
                  <to>
                    <xdr:col>7</xdr:col>
                    <xdr:colOff>1470660</xdr:colOff>
                    <xdr:row>34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9.109375" defaultRowHeight="13.2" x14ac:dyDescent="0.25"/>
  <cols>
    <col min="1" max="1" width="13.5546875" style="208" customWidth="1"/>
    <col min="2" max="2" width="14" style="209" customWidth="1"/>
    <col min="3" max="3" width="9.109375" style="210"/>
    <col min="4" max="4" width="9.109375" style="209"/>
    <col min="5" max="5" width="9.109375" style="211"/>
    <col min="6" max="16384" width="9.109375" style="208"/>
  </cols>
  <sheetData>
    <row r="1" spans="1:5" x14ac:dyDescent="0.25">
      <c r="A1" s="194"/>
      <c r="B1" s="195" t="s">
        <v>602</v>
      </c>
      <c r="C1" s="195"/>
      <c r="D1" s="195"/>
      <c r="E1" s="195"/>
    </row>
    <row r="2" spans="1:5" x14ac:dyDescent="0.25">
      <c r="A2" s="194" t="s">
        <v>603</v>
      </c>
      <c r="B2" s="195">
        <f>IF(Input!I27=1,INT(1.4*Input!I26*Input!I27),INT(1.15*Input!I26*Input!I27))</f>
        <v>16</v>
      </c>
      <c r="C2" s="195">
        <f t="shared" ref="C2:C7" si="0">B2-2</f>
        <v>14</v>
      </c>
      <c r="D2" s="195">
        <f t="shared" ref="D2:D7" si="1">B2+2</f>
        <v>18</v>
      </c>
      <c r="E2" s="195"/>
    </row>
    <row r="3" spans="1:5" x14ac:dyDescent="0.25">
      <c r="A3" s="194" t="s">
        <v>604</v>
      </c>
      <c r="B3" s="195">
        <f>INT(1.1*Input!I28*Input!I26)</f>
        <v>26</v>
      </c>
      <c r="C3" s="195">
        <f t="shared" si="0"/>
        <v>24</v>
      </c>
      <c r="D3" s="195">
        <f t="shared" si="1"/>
        <v>28</v>
      </c>
      <c r="E3" s="195"/>
    </row>
    <row r="4" spans="1:5" x14ac:dyDescent="0.25">
      <c r="A4" s="194" t="s">
        <v>605</v>
      </c>
      <c r="B4" s="195">
        <f>INT(Input!I26*Input!I30)</f>
        <v>12</v>
      </c>
      <c r="C4" s="195">
        <f t="shared" si="0"/>
        <v>10</v>
      </c>
      <c r="D4" s="195">
        <f t="shared" si="1"/>
        <v>14</v>
      </c>
      <c r="E4" s="195"/>
    </row>
    <row r="5" spans="1:5" x14ac:dyDescent="0.25">
      <c r="A5" s="194" t="s">
        <v>606</v>
      </c>
      <c r="B5" s="195">
        <f>INT(0.8*Input!I26*Input!I31)</f>
        <v>9</v>
      </c>
      <c r="C5" s="195">
        <f t="shared" si="0"/>
        <v>7</v>
      </c>
      <c r="D5" s="195">
        <f t="shared" si="1"/>
        <v>11</v>
      </c>
      <c r="E5" s="195"/>
    </row>
    <row r="6" spans="1:5" x14ac:dyDescent="0.25">
      <c r="A6" s="194" t="s">
        <v>607</v>
      </c>
      <c r="B6" s="195">
        <f>INT(0.8*Input!I26*Input!I32)</f>
        <v>9</v>
      </c>
      <c r="C6" s="195">
        <f t="shared" si="0"/>
        <v>7</v>
      </c>
      <c r="D6" s="195">
        <f t="shared" si="1"/>
        <v>11</v>
      </c>
      <c r="E6" s="195"/>
    </row>
    <row r="7" spans="1:5" x14ac:dyDescent="0.25">
      <c r="A7" s="194" t="s">
        <v>608</v>
      </c>
      <c r="B7" s="195">
        <f>INT(Input!I26*Input!I29)</f>
        <v>36</v>
      </c>
      <c r="C7" s="195">
        <f t="shared" si="0"/>
        <v>34</v>
      </c>
      <c r="D7" s="195">
        <f t="shared" si="1"/>
        <v>38</v>
      </c>
      <c r="E7" s="195"/>
    </row>
    <row r="8" spans="1:5" x14ac:dyDescent="0.25">
      <c r="A8" s="194"/>
      <c r="B8" s="195"/>
      <c r="C8" s="195"/>
      <c r="D8" s="195"/>
      <c r="E8" s="195" t="s">
        <v>609</v>
      </c>
    </row>
    <row r="9" spans="1:5" x14ac:dyDescent="0.25">
      <c r="A9" s="194" t="s">
        <v>610</v>
      </c>
      <c r="B9" s="195">
        <f>INDEX(Input!$AD:$AD,1+B2)</f>
        <v>286.7289213483146</v>
      </c>
      <c r="C9" s="195">
        <f>INDEX(Input!$AD:$AD,1+C2)</f>
        <v>294.59525842696632</v>
      </c>
      <c r="D9" s="195">
        <f>INDEX(Input!$AD:$AD,1+D2)</f>
        <v>283.65020661157024</v>
      </c>
      <c r="E9" s="195">
        <f t="shared" ref="E9:E14" si="2">SUM(B9:D9)/3</f>
        <v>288.3247954622837</v>
      </c>
    </row>
    <row r="10" spans="1:5" x14ac:dyDescent="0.25">
      <c r="A10" s="194" t="s">
        <v>611</v>
      </c>
      <c r="B10" s="195">
        <f>INDEX(Input!$AH:$AH,1+B3)</f>
        <v>149.15734265734267</v>
      </c>
      <c r="C10" s="195">
        <f>INDEX(Input!$AH:$AH,1+C3)</f>
        <v>161.75734265734272</v>
      </c>
      <c r="D10" s="195">
        <f>INDEX(Input!$AH:$AH,1+D3)</f>
        <v>131.50111888111891</v>
      </c>
      <c r="E10" s="195">
        <f t="shared" si="2"/>
        <v>147.47193473193477</v>
      </c>
    </row>
    <row r="11" spans="1:5" x14ac:dyDescent="0.25">
      <c r="A11" s="194" t="s">
        <v>612</v>
      </c>
      <c r="B11" s="195">
        <f>INDEX(Input!$AL:$AL,1+calcs!B7)</f>
        <v>145.43586206896549</v>
      </c>
      <c r="C11" s="195">
        <f>INDEX(Input!$AL:$AL,1+calcs!C7)</f>
        <v>146.88571428571427</v>
      </c>
      <c r="D11" s="195">
        <f>INDEX(Input!$AL:$AL,1+calcs!D7)</f>
        <v>143.08586206896553</v>
      </c>
      <c r="E11" s="195">
        <f t="shared" si="2"/>
        <v>145.13581280788176</v>
      </c>
    </row>
    <row r="12" spans="1:5" x14ac:dyDescent="0.25">
      <c r="A12" s="194" t="s">
        <v>613</v>
      </c>
      <c r="B12" s="195">
        <f>IF(Input!$I$30=0,0.9*B11,INDEX(Input!$AP:$AP,1+B4))</f>
        <v>59.01818181818183</v>
      </c>
      <c r="C12" s="195">
        <f>IF(Input!$I$30=0,0.9*C11,INDEX(Input!$AP:$AP,1+C4))</f>
        <v>69.490909090909099</v>
      </c>
      <c r="D12" s="195">
        <f>IF(Input!$I$30=0,0.9*D11,INDEX(Input!$AP:$AP,1+D4))</f>
        <v>55.618181818181824</v>
      </c>
      <c r="E12" s="195">
        <f t="shared" si="2"/>
        <v>61.375757575757582</v>
      </c>
    </row>
    <row r="13" spans="1:5" x14ac:dyDescent="0.25">
      <c r="A13" s="194" t="s">
        <v>614</v>
      </c>
      <c r="B13" s="195">
        <f>IF(Input!$I$31=0,2000,INDEX(Input!$AT:$AT,1+B5))</f>
        <v>120.12084305087673</v>
      </c>
      <c r="C13" s="195">
        <f>IF(Input!$I$31=0,2000,INDEX(Input!$AT:$AT,1+C5))</f>
        <v>120.32174185463658</v>
      </c>
      <c r="D13" s="195">
        <f>IF(Input!$I$31=0,2000,INDEX(Input!$AT:$AT,1+D5))</f>
        <v>115.02888471177944</v>
      </c>
      <c r="E13" s="195">
        <f t="shared" si="2"/>
        <v>118.49048987243093</v>
      </c>
    </row>
    <row r="14" spans="1:5" x14ac:dyDescent="0.25">
      <c r="A14" s="194" t="s">
        <v>615</v>
      </c>
      <c r="B14" s="195">
        <f>IF(Input!$I$32=0,2000,INDEX(Input!$AW:$AW,1+B6))</f>
        <v>59.379999999999995</v>
      </c>
      <c r="C14" s="195">
        <f>IF(Input!$I$32=0,2000,INDEX(Input!$AW:$AW,1+C6))</f>
        <v>66.28</v>
      </c>
      <c r="D14" s="195">
        <f>IF(Input!$I$32=0,2000,INDEX(Input!$AW:$AW,1+D6))</f>
        <v>58</v>
      </c>
      <c r="E14" s="195">
        <f t="shared" si="2"/>
        <v>61.22</v>
      </c>
    </row>
  </sheetData>
  <sheetCalcPr fullCalcOnLoad="1"/>
  <sheetProtection password="E182" sheet="1" objects="1" scenario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V113"/>
  <sheetViews>
    <sheetView showGridLines="0" showZeros="0" workbookViewId="0">
      <selection activeCell="H1" sqref="H1"/>
    </sheetView>
  </sheetViews>
  <sheetFormatPr defaultColWidth="9.109375" defaultRowHeight="10.199999999999999" x14ac:dyDescent="0.2"/>
  <cols>
    <col min="1" max="1" width="0.5546875" style="13" customWidth="1"/>
    <col min="2" max="2" width="4.33203125" style="10" customWidth="1"/>
    <col min="3" max="3" width="14.33203125" style="178" customWidth="1"/>
    <col min="4" max="4" width="4.33203125" style="178" customWidth="1"/>
    <col min="5" max="5" width="4.5546875" style="10" customWidth="1"/>
    <col min="6" max="6" width="0.5546875" style="13" customWidth="1"/>
    <col min="7" max="7" width="4.5546875" style="10" customWidth="1"/>
    <col min="8" max="8" width="15.88671875" style="178" customWidth="1"/>
    <col min="9" max="9" width="4.5546875" style="178" customWidth="1"/>
    <col min="10" max="10" width="4.5546875" style="10" customWidth="1"/>
    <col min="11" max="11" width="0.5546875" style="13" customWidth="1"/>
    <col min="12" max="12" width="4.44140625" style="10" customWidth="1"/>
    <col min="13" max="13" width="14.88671875" style="178" customWidth="1"/>
    <col min="14" max="14" width="4.5546875" style="178" customWidth="1"/>
    <col min="15" max="15" width="4.5546875" style="10" customWidth="1"/>
    <col min="16" max="16" width="0.5546875" style="13" customWidth="1"/>
    <col min="17" max="17" width="4.44140625" style="10" customWidth="1"/>
    <col min="18" max="18" width="15.6640625" style="178" customWidth="1"/>
    <col min="19" max="19" width="3.44140625" style="10" customWidth="1"/>
    <col min="20" max="21" width="4.5546875" style="13" customWidth="1"/>
    <col min="22" max="22" width="0.5546875" style="13" customWidth="1"/>
    <col min="23" max="16384" width="9.109375" style="13"/>
  </cols>
  <sheetData>
    <row r="5" spans="1:22" ht="15" x14ac:dyDescent="0.25">
      <c r="R5" s="193" t="s">
        <v>72</v>
      </c>
      <c r="S5" s="192"/>
      <c r="T5" s="192"/>
      <c r="U5" s="179"/>
      <c r="V5" s="179"/>
    </row>
    <row r="7" spans="1:22" ht="13.2" x14ac:dyDescent="0.25">
      <c r="A7" s="180"/>
      <c r="B7" s="191" t="s">
        <v>73</v>
      </c>
      <c r="C7" s="191"/>
      <c r="D7" s="191"/>
      <c r="E7" s="191" t="s">
        <v>4</v>
      </c>
      <c r="F7" s="184"/>
      <c r="G7" s="181" t="s">
        <v>74</v>
      </c>
      <c r="H7" s="182"/>
      <c r="I7" s="182"/>
      <c r="J7" s="183" t="s">
        <v>4</v>
      </c>
      <c r="K7" s="184"/>
      <c r="L7" s="181" t="s">
        <v>75</v>
      </c>
      <c r="M7" s="182"/>
      <c r="N7" s="182"/>
      <c r="O7" s="183" t="s">
        <v>4</v>
      </c>
      <c r="P7" s="184"/>
      <c r="Q7" s="181" t="s">
        <v>76</v>
      </c>
      <c r="R7" s="181"/>
      <c r="S7" s="182"/>
      <c r="T7" s="182"/>
      <c r="U7" s="182" t="s">
        <v>5</v>
      </c>
      <c r="V7" s="180"/>
    </row>
    <row r="8" spans="1:22" x14ac:dyDescent="0.2">
      <c r="A8" s="185"/>
      <c r="B8" s="10">
        <v>1</v>
      </c>
      <c r="C8" s="178" t="str">
        <f>Input!AB3</f>
        <v>Kurt Warner</v>
      </c>
      <c r="D8" s="178" t="str">
        <f>Input!AC3</f>
        <v>StL</v>
      </c>
      <c r="E8" s="186">
        <f>Input!AD3</f>
        <v>397.26420224719101</v>
      </c>
      <c r="F8" s="185"/>
      <c r="G8" s="10">
        <v>1</v>
      </c>
      <c r="H8" s="178" t="str">
        <f>Input!AF3</f>
        <v>Edgerrin James</v>
      </c>
      <c r="I8" s="178" t="str">
        <f>Input!AG3</f>
        <v>Ind</v>
      </c>
      <c r="J8" s="186">
        <f>Input!AH3</f>
        <v>317.94090909090897</v>
      </c>
      <c r="K8" s="185"/>
      <c r="L8" s="10">
        <v>1</v>
      </c>
      <c r="M8" s="178" t="str">
        <f>Input!AJ3</f>
        <v>Marvin Harrison</v>
      </c>
      <c r="N8" s="178" t="str">
        <f>Input!AK3</f>
        <v>Ind</v>
      </c>
      <c r="O8" s="186">
        <f>Input!AL3</f>
        <v>240.07241379310346</v>
      </c>
      <c r="P8" s="185"/>
      <c r="Q8" s="10">
        <v>1</v>
      </c>
      <c r="R8" s="178" t="str">
        <f>Input!AZ3</f>
        <v>Edgerrin James</v>
      </c>
      <c r="S8" s="178" t="str">
        <f>Input!BA3</f>
        <v>Ind</v>
      </c>
      <c r="T8" s="10" t="str">
        <f>Input!BB3</f>
        <v>RB</v>
      </c>
      <c r="U8" s="186">
        <f>Input!BC3</f>
        <v>170.46897435897421</v>
      </c>
      <c r="V8" s="180"/>
    </row>
    <row r="9" spans="1:22" x14ac:dyDescent="0.2">
      <c r="A9" s="185"/>
      <c r="B9" s="10">
        <v>2</v>
      </c>
      <c r="C9" s="178" t="str">
        <f>Input!AB4</f>
        <v>Peyton Manning</v>
      </c>
      <c r="D9" s="178" t="str">
        <f>Input!AC4</f>
        <v>Ind</v>
      </c>
      <c r="E9" s="186">
        <f>Input!AD4</f>
        <v>359.27656179775278</v>
      </c>
      <c r="F9" s="185"/>
      <c r="G9" s="10">
        <v>2</v>
      </c>
      <c r="H9" s="178" t="str">
        <f>Input!AF4</f>
        <v>Marshall Faulk</v>
      </c>
      <c r="I9" s="178" t="str">
        <f>Input!AG4</f>
        <v>StL</v>
      </c>
      <c r="J9" s="186">
        <f>Input!AH4</f>
        <v>305.35734265734271</v>
      </c>
      <c r="K9" s="185"/>
      <c r="L9" s="10">
        <v>2</v>
      </c>
      <c r="M9" s="178" t="str">
        <f>Input!AJ4</f>
        <v>Randy Moss</v>
      </c>
      <c r="N9" s="178" t="str">
        <f>Input!AK4</f>
        <v>Min</v>
      </c>
      <c r="O9" s="186">
        <f>Input!AL4</f>
        <v>236.64142857142855</v>
      </c>
      <c r="P9" s="185"/>
      <c r="Q9" s="10">
        <v>2</v>
      </c>
      <c r="R9" s="178" t="str">
        <f>Input!AZ4</f>
        <v>Marshall Faulk</v>
      </c>
      <c r="S9" s="178" t="str">
        <f>Input!BA4</f>
        <v>StL</v>
      </c>
      <c r="T9" s="10" t="str">
        <f>Input!BB4</f>
        <v>RB</v>
      </c>
      <c r="U9" s="186">
        <f>Input!BC4</f>
        <v>157.88540792540795</v>
      </c>
      <c r="V9" s="180"/>
    </row>
    <row r="10" spans="1:22" x14ac:dyDescent="0.2">
      <c r="A10" s="185"/>
      <c r="B10" s="10">
        <v>3</v>
      </c>
      <c r="C10" s="178" t="str">
        <f>Input!AB5</f>
        <v>Cade McNown</v>
      </c>
      <c r="D10" s="178" t="str">
        <f>Input!AC5</f>
        <v>Chi</v>
      </c>
      <c r="E10" s="186">
        <f>Input!AD5</f>
        <v>348.48836363636366</v>
      </c>
      <c r="F10" s="185"/>
      <c r="G10" s="10">
        <v>3</v>
      </c>
      <c r="H10" s="178" t="str">
        <f>Input!AF5</f>
        <v>Stephen Davis</v>
      </c>
      <c r="I10" s="178" t="str">
        <f>Input!AG5</f>
        <v>Was</v>
      </c>
      <c r="J10" s="186">
        <f>Input!AH5</f>
        <v>263.71468531468525</v>
      </c>
      <c r="K10" s="185"/>
      <c r="L10" s="10">
        <v>3</v>
      </c>
      <c r="M10" s="178" t="str">
        <f>Input!AJ5</f>
        <v>Marcus Robinson</v>
      </c>
      <c r="N10" s="178" t="str">
        <f>Input!AK5</f>
        <v>Chi</v>
      </c>
      <c r="O10" s="186">
        <f>Input!AL5</f>
        <v>227.25714285714287</v>
      </c>
      <c r="P10" s="185"/>
      <c r="Q10" s="10">
        <v>3</v>
      </c>
      <c r="R10" s="178" t="str">
        <f>Input!AZ5</f>
        <v>Stephen Davis</v>
      </c>
      <c r="S10" s="178" t="str">
        <f>Input!BA5</f>
        <v>Was</v>
      </c>
      <c r="T10" s="10" t="str">
        <f>Input!BB5</f>
        <v>RB</v>
      </c>
      <c r="U10" s="186">
        <f>Input!BC5</f>
        <v>116.24275058275049</v>
      </c>
      <c r="V10" s="180"/>
    </row>
    <row r="11" spans="1:22" x14ac:dyDescent="0.2">
      <c r="A11" s="185"/>
      <c r="B11" s="10">
        <v>4</v>
      </c>
      <c r="C11" s="178" t="str">
        <f>Input!AB6</f>
        <v>Steve McNair</v>
      </c>
      <c r="D11" s="178" t="str">
        <f>Input!AC6</f>
        <v>Ten</v>
      </c>
      <c r="E11" s="186">
        <f>Input!AD6</f>
        <v>346.95993258426978</v>
      </c>
      <c r="F11" s="185"/>
      <c r="G11" s="10">
        <v>4</v>
      </c>
      <c r="H11" s="178" t="str">
        <f>Input!AF6</f>
        <v>Emmitt Smith</v>
      </c>
      <c r="I11" s="178" t="str">
        <f>Input!AG6</f>
        <v>Dal</v>
      </c>
      <c r="J11" s="186">
        <f>Input!AH6</f>
        <v>254.03846153846155</v>
      </c>
      <c r="K11" s="185"/>
      <c r="L11" s="10">
        <v>4</v>
      </c>
      <c r="M11" s="178" t="str">
        <f>Input!AJ6</f>
        <v>Eric Moulds</v>
      </c>
      <c r="N11" s="178" t="str">
        <f>Input!AK6</f>
        <v>Buf</v>
      </c>
      <c r="O11" s="186">
        <f>Input!AL6</f>
        <v>216.45714285714286</v>
      </c>
      <c r="P11" s="185"/>
      <c r="Q11" s="10">
        <v>4</v>
      </c>
      <c r="R11" s="178" t="str">
        <f>Input!AZ6</f>
        <v>Kurt Warner</v>
      </c>
      <c r="S11" s="178" t="str">
        <f>Input!BA6</f>
        <v>StL</v>
      </c>
      <c r="T11" s="10" t="str">
        <f>Input!BB6</f>
        <v>QB</v>
      </c>
      <c r="U11" s="186">
        <f>Input!BC6</f>
        <v>108.93940678490731</v>
      </c>
      <c r="V11" s="180"/>
    </row>
    <row r="12" spans="1:22" x14ac:dyDescent="0.2">
      <c r="A12" s="185"/>
      <c r="B12" s="10">
        <v>5</v>
      </c>
      <c r="C12" s="178" t="str">
        <f>Input!AB7</f>
        <v>Brett Favre</v>
      </c>
      <c r="D12" s="178" t="str">
        <f>Input!AC7</f>
        <v>GB</v>
      </c>
      <c r="E12" s="186">
        <f>Input!AD7</f>
        <v>339.77506015037591</v>
      </c>
      <c r="F12" s="185"/>
      <c r="G12" s="10">
        <v>5</v>
      </c>
      <c r="H12" s="178" t="str">
        <f>Input!AF7</f>
        <v>Fred Taylor</v>
      </c>
      <c r="I12" s="178" t="str">
        <f>Input!AG7</f>
        <v>Jac</v>
      </c>
      <c r="J12" s="186">
        <f>Input!AH7</f>
        <v>253.38223776223776</v>
      </c>
      <c r="K12" s="185"/>
      <c r="L12" s="10">
        <v>5</v>
      </c>
      <c r="M12" s="178" t="str">
        <f>Input!AJ7</f>
        <v>Jimmy Smith</v>
      </c>
      <c r="N12" s="178" t="str">
        <f>Input!AK7</f>
        <v>Jac</v>
      </c>
      <c r="O12" s="186">
        <f>Input!AL7</f>
        <v>214.15517241379311</v>
      </c>
      <c r="P12" s="185"/>
      <c r="Q12" s="10">
        <v>5</v>
      </c>
      <c r="R12" s="178" t="str">
        <f>Input!AZ7</f>
        <v>Emmitt Smith</v>
      </c>
      <c r="S12" s="178" t="str">
        <f>Input!BA7</f>
        <v>Dal</v>
      </c>
      <c r="T12" s="10" t="str">
        <f>Input!BB7</f>
        <v>RB</v>
      </c>
      <c r="U12" s="186">
        <f>Input!BC7</f>
        <v>106.56652680652678</v>
      </c>
      <c r="V12" s="180"/>
    </row>
    <row r="13" spans="1:22" x14ac:dyDescent="0.2">
      <c r="A13" s="185"/>
      <c r="B13" s="10">
        <v>6</v>
      </c>
      <c r="C13" s="178" t="str">
        <f>Input!AB8</f>
        <v>Brad Johnson</v>
      </c>
      <c r="D13" s="178" t="str">
        <f>Input!AC8</f>
        <v>Was</v>
      </c>
      <c r="E13" s="186">
        <f>Input!AD8</f>
        <v>325.02765289256195</v>
      </c>
      <c r="F13" s="185"/>
      <c r="G13" s="10">
        <v>6</v>
      </c>
      <c r="H13" s="178" t="str">
        <f>Input!AF8</f>
        <v>Terrell Davis</v>
      </c>
      <c r="I13" s="178" t="str">
        <f>Input!AG8</f>
        <v>Den</v>
      </c>
      <c r="J13" s="186">
        <f>Input!AH8</f>
        <v>251.01468531468535</v>
      </c>
      <c r="K13" s="185"/>
      <c r="L13" s="10">
        <v>6</v>
      </c>
      <c r="M13" s="178" t="str">
        <f>Input!AJ8</f>
        <v>Antonio Freeman</v>
      </c>
      <c r="N13" s="178" t="str">
        <f>Input!AK8</f>
        <v>GB</v>
      </c>
      <c r="O13" s="186">
        <f>Input!AL8</f>
        <v>206.81379310344829</v>
      </c>
      <c r="P13" s="185"/>
      <c r="Q13" s="10">
        <v>6</v>
      </c>
      <c r="R13" s="178" t="str">
        <f>Input!AZ8</f>
        <v>Fred Taylor</v>
      </c>
      <c r="S13" s="178" t="str">
        <f>Input!BA8</f>
        <v>Jac</v>
      </c>
      <c r="T13" s="10" t="str">
        <f>Input!BB8</f>
        <v>RB</v>
      </c>
      <c r="U13" s="186">
        <f>Input!BC8</f>
        <v>105.910303030303</v>
      </c>
      <c r="V13" s="180"/>
    </row>
    <row r="14" spans="1:22" x14ac:dyDescent="0.2">
      <c r="A14" s="185"/>
      <c r="B14" s="10">
        <v>7</v>
      </c>
      <c r="C14" s="178" t="str">
        <f>Input!AB9</f>
        <v>Jeff Garcia</v>
      </c>
      <c r="D14" s="178" t="str">
        <f>Input!AC9</f>
        <v>SF</v>
      </c>
      <c r="E14" s="186">
        <f>Input!AD9</f>
        <v>324.58492134831465</v>
      </c>
      <c r="F14" s="185"/>
      <c r="G14" s="10">
        <v>7</v>
      </c>
      <c r="H14" s="178" t="str">
        <f>Input!AF9</f>
        <v>Eddie George</v>
      </c>
      <c r="I14" s="178" t="str">
        <f>Input!AG9</f>
        <v>Ten</v>
      </c>
      <c r="J14" s="186">
        <f>Input!AH9</f>
        <v>247.90979020979023</v>
      </c>
      <c r="K14" s="185"/>
      <c r="L14" s="10">
        <v>7</v>
      </c>
      <c r="M14" s="178" t="str">
        <f>Input!AJ9</f>
        <v>Isaac Bruce</v>
      </c>
      <c r="N14" s="178" t="str">
        <f>Input!AK9</f>
        <v>StL</v>
      </c>
      <c r="O14" s="186">
        <f>Input!AL9</f>
        <v>206.56241379310345</v>
      </c>
      <c r="P14" s="185"/>
      <c r="Q14" s="10">
        <v>7</v>
      </c>
      <c r="R14" s="178" t="str">
        <f>Input!AZ9</f>
        <v>Terrell Davis</v>
      </c>
      <c r="S14" s="178" t="str">
        <f>Input!BA9</f>
        <v>Den</v>
      </c>
      <c r="T14" s="10" t="str">
        <f>Input!BB9</f>
        <v>RB</v>
      </c>
      <c r="U14" s="186">
        <f>Input!BC9</f>
        <v>103.54275058275059</v>
      </c>
      <c r="V14" s="180"/>
    </row>
    <row r="15" spans="1:22" x14ac:dyDescent="0.2">
      <c r="A15" s="185"/>
      <c r="B15" s="10">
        <v>8</v>
      </c>
      <c r="C15" s="178" t="str">
        <f>Input!AB10</f>
        <v>Jeff Blake</v>
      </c>
      <c r="D15" s="178" t="str">
        <f>Input!AC10</f>
        <v>NO</v>
      </c>
      <c r="E15" s="186">
        <f>Input!AD10</f>
        <v>318.9674958677686</v>
      </c>
      <c r="F15" s="185"/>
      <c r="G15" s="10">
        <v>8</v>
      </c>
      <c r="H15" s="178" t="str">
        <f>Input!AF10</f>
        <v>Dorsey Levens</v>
      </c>
      <c r="I15" s="178" t="str">
        <f>Input!AG10</f>
        <v>GB</v>
      </c>
      <c r="J15" s="186">
        <f>Input!AH10</f>
        <v>242.83356643356643</v>
      </c>
      <c r="K15" s="185"/>
      <c r="L15" s="10">
        <v>8</v>
      </c>
      <c r="M15" s="178" t="str">
        <f>Input!AJ10</f>
        <v>Terry Glenn</v>
      </c>
      <c r="N15" s="178" t="str">
        <f>Input!AK10</f>
        <v>NE</v>
      </c>
      <c r="O15" s="186">
        <f>Input!AL10</f>
        <v>204.20000000000002</v>
      </c>
      <c r="P15" s="185"/>
      <c r="Q15" s="10">
        <v>8</v>
      </c>
      <c r="R15" s="178" t="str">
        <f>Input!AZ10</f>
        <v>Eddie George</v>
      </c>
      <c r="S15" s="178" t="str">
        <f>Input!BA10</f>
        <v>Ten</v>
      </c>
      <c r="T15" s="10" t="str">
        <f>Input!BB10</f>
        <v>RB</v>
      </c>
      <c r="U15" s="186">
        <f>Input!BC10</f>
        <v>100.43785547785546</v>
      </c>
      <c r="V15" s="180"/>
    </row>
    <row r="16" spans="1:22" x14ac:dyDescent="0.2">
      <c r="A16" s="185"/>
      <c r="B16" s="10">
        <v>9</v>
      </c>
      <c r="C16" s="178" t="str">
        <f>Input!AB11</f>
        <v>Steve Beuerlein</v>
      </c>
      <c r="D16" s="178" t="str">
        <f>Input!AC11</f>
        <v>Car</v>
      </c>
      <c r="E16" s="186">
        <f>Input!AD11</f>
        <v>311.80157303370788</v>
      </c>
      <c r="F16" s="185"/>
      <c r="G16" s="10">
        <v>9</v>
      </c>
      <c r="H16" s="178" t="str">
        <f>Input!AF11</f>
        <v>Curtis Martin</v>
      </c>
      <c r="I16" s="178" t="str">
        <f>Input!AG11</f>
        <v>NYJ</v>
      </c>
      <c r="J16" s="186">
        <f>Input!AH11</f>
        <v>230.15734265734264</v>
      </c>
      <c r="K16" s="185"/>
      <c r="L16" s="10">
        <v>9</v>
      </c>
      <c r="M16" s="178" t="str">
        <f>Input!AJ11</f>
        <v>Kevin Johnson</v>
      </c>
      <c r="N16" s="178" t="str">
        <f>Input!AK11</f>
        <v>Cle</v>
      </c>
      <c r="O16" s="186">
        <f>Input!AL11</f>
        <v>195.40000000000003</v>
      </c>
      <c r="P16" s="185"/>
      <c r="Q16" s="10">
        <v>9</v>
      </c>
      <c r="R16" s="178" t="str">
        <f>Input!AZ11</f>
        <v>Dorsey Levens</v>
      </c>
      <c r="S16" s="178" t="str">
        <f>Input!BA11</f>
        <v>GB</v>
      </c>
      <c r="T16" s="10" t="str">
        <f>Input!BB11</f>
        <v>RB</v>
      </c>
      <c r="U16" s="186">
        <f>Input!BC11</f>
        <v>95.361631701631666</v>
      </c>
      <c r="V16" s="180"/>
    </row>
    <row r="17" spans="1:22" x14ac:dyDescent="0.2">
      <c r="A17" s="185"/>
      <c r="B17" s="10">
        <v>10</v>
      </c>
      <c r="C17" s="178" t="str">
        <f>Input!AB12</f>
        <v>Rich Gannon</v>
      </c>
      <c r="D17" s="178" t="str">
        <f>Input!AC12</f>
        <v>Oak</v>
      </c>
      <c r="E17" s="186">
        <f>Input!AD12</f>
        <v>309.92530827067668</v>
      </c>
      <c r="F17" s="185"/>
      <c r="G17" s="10">
        <v>10</v>
      </c>
      <c r="H17" s="178" t="str">
        <f>Input!AF12</f>
        <v>James Stewart</v>
      </c>
      <c r="I17" s="178" t="str">
        <f>Input!AG12</f>
        <v>Det</v>
      </c>
      <c r="J17" s="186">
        <f>Input!AH12</f>
        <v>214.96223776223786</v>
      </c>
      <c r="K17" s="185"/>
      <c r="L17" s="10">
        <v>10</v>
      </c>
      <c r="M17" s="178" t="str">
        <f>Input!AJ12</f>
        <v>Michael Westbrook</v>
      </c>
      <c r="N17" s="178" t="str">
        <f>Input!AK12</f>
        <v>Was</v>
      </c>
      <c r="O17" s="186">
        <f>Input!AL12</f>
        <v>193.7844827586207</v>
      </c>
      <c r="P17" s="185"/>
      <c r="Q17" s="10">
        <v>10</v>
      </c>
      <c r="R17" s="178" t="str">
        <f>Input!AZ12</f>
        <v>Marvin Harrison</v>
      </c>
      <c r="S17" s="178" t="str">
        <f>Input!BA12</f>
        <v>Ind</v>
      </c>
      <c r="T17" s="10" t="str">
        <f>Input!BB12</f>
        <v>WR</v>
      </c>
      <c r="U17" s="186">
        <f>Input!BC12</f>
        <v>94.936600985221702</v>
      </c>
      <c r="V17" s="180"/>
    </row>
    <row r="18" spans="1:22" x14ac:dyDescent="0.2">
      <c r="A18" s="185"/>
      <c r="B18" s="10">
        <v>11</v>
      </c>
      <c r="C18" s="178" t="str">
        <f>Input!AB13</f>
        <v>Mark Brunell</v>
      </c>
      <c r="D18" s="178" t="str">
        <f>Input!AC13</f>
        <v>Jac</v>
      </c>
      <c r="E18" s="186">
        <f>Input!AD13</f>
        <v>303.98470676691733</v>
      </c>
      <c r="F18" s="185"/>
      <c r="G18" s="10">
        <v>11</v>
      </c>
      <c r="H18" s="178" t="str">
        <f>Input!AF13</f>
        <v>Ricky Williams</v>
      </c>
      <c r="I18" s="178" t="str">
        <f>Input!AG13</f>
        <v>NO</v>
      </c>
      <c r="J18" s="186">
        <f>Input!AH13</f>
        <v>211.23356643356647</v>
      </c>
      <c r="K18" s="185"/>
      <c r="L18" s="10">
        <v>11</v>
      </c>
      <c r="M18" s="178" t="str">
        <f>Input!AJ13</f>
        <v>Cris Carter</v>
      </c>
      <c r="N18" s="178" t="str">
        <f>Input!AK13</f>
        <v>Min</v>
      </c>
      <c r="O18" s="186">
        <f>Input!AL13</f>
        <v>191.78781512605042</v>
      </c>
      <c r="P18" s="185"/>
      <c r="Q18" s="10">
        <v>11</v>
      </c>
      <c r="R18" s="178" t="str">
        <f>Input!AZ13</f>
        <v>Randy Moss</v>
      </c>
      <c r="S18" s="178" t="str">
        <f>Input!BA13</f>
        <v>Min</v>
      </c>
      <c r="T18" s="10" t="str">
        <f>Input!BB13</f>
        <v>WR</v>
      </c>
      <c r="U18" s="186">
        <f>Input!BC13</f>
        <v>91.505615763546786</v>
      </c>
      <c r="V18" s="180"/>
    </row>
    <row r="19" spans="1:22" x14ac:dyDescent="0.2">
      <c r="A19" s="185"/>
      <c r="B19" s="10">
        <v>12</v>
      </c>
      <c r="C19" s="178" t="str">
        <f>Input!AB14</f>
        <v>Tim Couch</v>
      </c>
      <c r="D19" s="178" t="str">
        <f>Input!AC14</f>
        <v>Cle</v>
      </c>
      <c r="E19" s="186">
        <f>Input!AD14</f>
        <v>296.29149586776856</v>
      </c>
      <c r="F19" s="185"/>
      <c r="G19" s="10">
        <v>12</v>
      </c>
      <c r="H19" s="178" t="str">
        <f>Input!AF14</f>
        <v>Robert Smith</v>
      </c>
      <c r="I19" s="178" t="str">
        <f>Input!AG14</f>
        <v>Min</v>
      </c>
      <c r="J19" s="186">
        <f>Input!AH14</f>
        <v>208.23111888111893</v>
      </c>
      <c r="K19" s="185"/>
      <c r="L19" s="10">
        <v>12</v>
      </c>
      <c r="M19" s="178" t="str">
        <f>Input!AJ14</f>
        <v>Germane Crowell</v>
      </c>
      <c r="N19" s="178" t="str">
        <f>Input!AK14</f>
        <v>Det</v>
      </c>
      <c r="O19" s="186">
        <f>Input!AL14</f>
        <v>189.69285714285718</v>
      </c>
      <c r="P19" s="185"/>
      <c r="Q19" s="10">
        <v>12</v>
      </c>
      <c r="R19" s="178" t="str">
        <f>Input!AZ14</f>
        <v>Curtis Martin</v>
      </c>
      <c r="S19" s="178" t="str">
        <f>Input!BA14</f>
        <v>NYJ</v>
      </c>
      <c r="T19" s="10" t="str">
        <f>Input!BB14</f>
        <v>RB</v>
      </c>
      <c r="U19" s="186">
        <f>Input!BC14</f>
        <v>82.685407925407873</v>
      </c>
      <c r="V19" s="180"/>
    </row>
    <row r="20" spans="1:22" x14ac:dyDescent="0.2">
      <c r="A20" s="185"/>
      <c r="B20" s="10">
        <v>13</v>
      </c>
      <c r="C20" s="178" t="str">
        <f>Input!AB15</f>
        <v>Brian Griese</v>
      </c>
      <c r="D20" s="178" t="str">
        <f>Input!AC15</f>
        <v>Den</v>
      </c>
      <c r="E20" s="186">
        <f>Input!AD15</f>
        <v>294.59525842696632</v>
      </c>
      <c r="F20" s="185"/>
      <c r="G20" s="10">
        <v>13</v>
      </c>
      <c r="H20" s="178" t="str">
        <f>Input!AF15</f>
        <v>Duce Staley</v>
      </c>
      <c r="I20" s="178" t="str">
        <f>Input!AG15</f>
        <v>Phi</v>
      </c>
      <c r="J20" s="186">
        <f>Input!AH15</f>
        <v>206.38111888111885</v>
      </c>
      <c r="K20" s="185"/>
      <c r="L20" s="10">
        <v>13</v>
      </c>
      <c r="M20" s="178" t="str">
        <f>Input!AJ15</f>
        <v>Amani Toomer</v>
      </c>
      <c r="N20" s="178" t="str">
        <f>Input!AK15</f>
        <v>NYG</v>
      </c>
      <c r="O20" s="186">
        <f>Input!AL15</f>
        <v>185.38285714285715</v>
      </c>
      <c r="P20" s="185"/>
      <c r="Q20" s="10">
        <v>13</v>
      </c>
      <c r="R20" s="178" t="str">
        <f>Input!AZ15</f>
        <v>Marcus Robinson</v>
      </c>
      <c r="S20" s="178" t="str">
        <f>Input!BA15</f>
        <v>Chi</v>
      </c>
      <c r="T20" s="10" t="str">
        <f>Input!BB15</f>
        <v>WR</v>
      </c>
      <c r="U20" s="186">
        <f>Input!BC15</f>
        <v>82.121330049261104</v>
      </c>
      <c r="V20" s="180"/>
    </row>
    <row r="21" spans="1:22" x14ac:dyDescent="0.2">
      <c r="A21" s="185"/>
      <c r="B21" s="10">
        <v>14</v>
      </c>
      <c r="C21" s="178" t="str">
        <f>Input!AB16</f>
        <v>Daunte Culpepper</v>
      </c>
      <c r="D21" s="178" t="str">
        <f>Input!AC16</f>
        <v>Min</v>
      </c>
      <c r="E21" s="186">
        <f>Input!AD16</f>
        <v>292.11715789473692</v>
      </c>
      <c r="F21" s="185"/>
      <c r="G21" s="10">
        <v>14</v>
      </c>
      <c r="H21" s="178" t="str">
        <f>Input!AF16</f>
        <v>Ron Dayne</v>
      </c>
      <c r="I21" s="178" t="str">
        <f>Input!AG16</f>
        <v>NYG</v>
      </c>
      <c r="J21" s="186">
        <f>Input!AH16</f>
        <v>201.51223776223782</v>
      </c>
      <c r="K21" s="185"/>
      <c r="L21" s="10">
        <v>14</v>
      </c>
      <c r="M21" s="178" t="str">
        <f>Input!AJ16</f>
        <v>Tim Brown</v>
      </c>
      <c r="N21" s="178" t="str">
        <f>Input!AK16</f>
        <v>Oak</v>
      </c>
      <c r="O21" s="186">
        <f>Input!AL16</f>
        <v>181.83448275862068</v>
      </c>
      <c r="P21" s="185"/>
      <c r="Q21" s="10">
        <v>14</v>
      </c>
      <c r="R21" s="178" t="str">
        <f>Input!AZ16</f>
        <v>Tony Gonzalez</v>
      </c>
      <c r="S21" s="178" t="str">
        <f>Input!BA16</f>
        <v>KC</v>
      </c>
      <c r="T21" s="10" t="str">
        <f>Input!BB16</f>
        <v>TE</v>
      </c>
      <c r="U21" s="186">
        <f>Input!BC16</f>
        <v>80.47878787878787</v>
      </c>
      <c r="V21" s="180"/>
    </row>
    <row r="22" spans="1:22" x14ac:dyDescent="0.2">
      <c r="A22" s="185"/>
      <c r="B22" s="10">
        <v>15</v>
      </c>
      <c r="C22" s="178" t="str">
        <f>Input!AB17</f>
        <v>Troy Aikman</v>
      </c>
      <c r="D22" s="178" t="str">
        <f>Input!AC17</f>
        <v>Dal</v>
      </c>
      <c r="E22" s="186">
        <f>Input!AD17</f>
        <v>286.7289213483146</v>
      </c>
      <c r="F22" s="185"/>
      <c r="G22" s="10">
        <v>15</v>
      </c>
      <c r="H22" s="178" t="str">
        <f>Input!AF17</f>
        <v>Charlie Garner</v>
      </c>
      <c r="I22" s="178" t="str">
        <f>Input!AG17</f>
        <v>SF</v>
      </c>
      <c r="J22" s="186">
        <f>Input!AH17</f>
        <v>197.30489510489508</v>
      </c>
      <c r="K22" s="185"/>
      <c r="L22" s="10">
        <v>15</v>
      </c>
      <c r="M22" s="178" t="str">
        <f>Input!AJ17</f>
        <v>Ed McCaffrey</v>
      </c>
      <c r="N22" s="178" t="str">
        <f>Input!AK17</f>
        <v>Den</v>
      </c>
      <c r="O22" s="186">
        <f>Input!AL17</f>
        <v>181.2844827586207</v>
      </c>
      <c r="P22" s="185"/>
      <c r="Q22" s="10">
        <v>15</v>
      </c>
      <c r="R22" s="178" t="str">
        <f>Input!AZ17</f>
        <v>Eric Moulds</v>
      </c>
      <c r="S22" s="178" t="str">
        <f>Input!BA17</f>
        <v>Buf</v>
      </c>
      <c r="T22" s="10" t="str">
        <f>Input!BB17</f>
        <v>WR</v>
      </c>
      <c r="U22" s="186">
        <f>Input!BC17</f>
        <v>71.321330049261093</v>
      </c>
      <c r="V22" s="180"/>
    </row>
    <row r="23" spans="1:22" x14ac:dyDescent="0.2">
      <c r="A23" s="185"/>
      <c r="B23" s="10">
        <v>16</v>
      </c>
      <c r="C23" s="178" t="str">
        <f>Input!AB18</f>
        <v>Elvis Grbac</v>
      </c>
      <c r="D23" s="178" t="str">
        <f>Input!AC18</f>
        <v>KC</v>
      </c>
      <c r="E23" s="186">
        <f>Input!AD18</f>
        <v>285.56236363636367</v>
      </c>
      <c r="F23" s="185"/>
      <c r="G23" s="10">
        <v>16</v>
      </c>
      <c r="H23" s="178" t="str">
        <f>Input!AF18</f>
        <v>Curtis Enis</v>
      </c>
      <c r="I23" s="178" t="str">
        <f>Input!AG18</f>
        <v>Chi</v>
      </c>
      <c r="J23" s="186">
        <f>Input!AH18</f>
        <v>193.4811188811189</v>
      </c>
      <c r="K23" s="185"/>
      <c r="L23" s="10">
        <v>16</v>
      </c>
      <c r="M23" s="178" t="str">
        <f>Input!AJ18</f>
        <v>Muhsin Muhammad</v>
      </c>
      <c r="N23" s="178" t="str">
        <f>Input!AK18</f>
        <v>Car</v>
      </c>
      <c r="O23" s="186">
        <f>Input!AL18</f>
        <v>180.77448275862071</v>
      </c>
      <c r="P23" s="185"/>
      <c r="Q23" s="10">
        <v>16</v>
      </c>
      <c r="R23" s="178" t="str">
        <f>Input!AZ18</f>
        <v>Peyton Manning</v>
      </c>
      <c r="S23" s="178" t="str">
        <f>Input!BA18</f>
        <v>Ind</v>
      </c>
      <c r="T23" s="10" t="str">
        <f>Input!BB18</f>
        <v>QB</v>
      </c>
      <c r="U23" s="186">
        <f>Input!BC18</f>
        <v>70.951766335469074</v>
      </c>
      <c r="V23" s="180"/>
    </row>
    <row r="24" spans="1:22" x14ac:dyDescent="0.2">
      <c r="A24" s="185"/>
      <c r="B24" s="10">
        <v>17</v>
      </c>
      <c r="C24" s="178" t="str">
        <f>Input!AB19</f>
        <v>Drew Bledsoe</v>
      </c>
      <c r="D24" s="178" t="str">
        <f>Input!AC19</f>
        <v>NE</v>
      </c>
      <c r="E24" s="186">
        <f>Input!AD19</f>
        <v>283.65020661157024</v>
      </c>
      <c r="F24" s="185"/>
      <c r="G24" s="10">
        <v>17</v>
      </c>
      <c r="H24" s="178" t="str">
        <f>Input!AF19</f>
        <v>Ricky Watters</v>
      </c>
      <c r="I24" s="178" t="str">
        <f>Input!AG19</f>
        <v>Sea</v>
      </c>
      <c r="J24" s="186">
        <f>Input!AH19</f>
        <v>178.38111888111885</v>
      </c>
      <c r="K24" s="185"/>
      <c r="L24" s="10">
        <v>17</v>
      </c>
      <c r="M24" s="178" t="str">
        <f>Input!AJ19</f>
        <v>Albert Connell</v>
      </c>
      <c r="N24" s="178" t="str">
        <f>Input!AK19</f>
        <v>Was</v>
      </c>
      <c r="O24" s="186">
        <f>Input!AL19</f>
        <v>180.20000000000002</v>
      </c>
      <c r="P24" s="185"/>
      <c r="Q24" s="10">
        <v>17</v>
      </c>
      <c r="R24" s="178" t="str">
        <f>Input!AZ19</f>
        <v>Jimmy Smith</v>
      </c>
      <c r="S24" s="178" t="str">
        <f>Input!BA19</f>
        <v>Jac</v>
      </c>
      <c r="T24" s="10" t="str">
        <f>Input!BB19</f>
        <v>WR</v>
      </c>
      <c r="U24" s="186">
        <f>Input!BC19</f>
        <v>69.019359605911347</v>
      </c>
      <c r="V24" s="180"/>
    </row>
    <row r="25" spans="1:22" x14ac:dyDescent="0.2">
      <c r="A25" s="185"/>
      <c r="B25" s="10">
        <v>18</v>
      </c>
      <c r="C25" s="178" t="str">
        <f>Input!AB20</f>
        <v>Jon Kitna</v>
      </c>
      <c r="D25" s="178" t="str">
        <f>Input!AC20</f>
        <v>Sea</v>
      </c>
      <c r="E25" s="186">
        <f>Input!AD20</f>
        <v>280.39930827067667</v>
      </c>
      <c r="F25" s="185"/>
      <c r="G25" s="10">
        <v>18</v>
      </c>
      <c r="H25" s="178" t="str">
        <f>Input!AF20</f>
        <v>Jamal Anderson</v>
      </c>
      <c r="I25" s="178" t="str">
        <f>Input!AG20</f>
        <v>Atl</v>
      </c>
      <c r="J25" s="186">
        <f>Input!AH20</f>
        <v>172.53356643356648</v>
      </c>
      <c r="K25" s="185"/>
      <c r="L25" s="10">
        <v>18</v>
      </c>
      <c r="M25" s="178" t="str">
        <f>Input!AJ20</f>
        <v>Torry Holt</v>
      </c>
      <c r="N25" s="178" t="str">
        <f>Input!AK20</f>
        <v>StL</v>
      </c>
      <c r="O25" s="186">
        <f>Input!AL20</f>
        <v>179.40428571428572</v>
      </c>
      <c r="P25" s="185"/>
      <c r="Q25" s="10">
        <v>18</v>
      </c>
      <c r="R25" s="178" t="str">
        <f>Input!AZ20</f>
        <v>James Stewart</v>
      </c>
      <c r="S25" s="178" t="str">
        <f>Input!BA20</f>
        <v>Det</v>
      </c>
      <c r="T25" s="10" t="str">
        <f>Input!BB20</f>
        <v>RB</v>
      </c>
      <c r="U25" s="186">
        <f>Input!BC20</f>
        <v>67.490303030303096</v>
      </c>
      <c r="V25" s="180"/>
    </row>
    <row r="26" spans="1:22" x14ac:dyDescent="0.2">
      <c r="A26" s="185"/>
      <c r="B26" s="10">
        <v>19</v>
      </c>
      <c r="C26" s="178" t="str">
        <f>Input!AB21</f>
        <v>Kerry Collins</v>
      </c>
      <c r="D26" s="178" t="str">
        <f>Input!AC21</f>
        <v>NYG</v>
      </c>
      <c r="E26" s="186">
        <f>Input!AD21</f>
        <v>278.88526966292136</v>
      </c>
      <c r="F26" s="185"/>
      <c r="G26" s="10">
        <v>19</v>
      </c>
      <c r="H26" s="178" t="str">
        <f>Input!AF21</f>
        <v>Jerome Bettis</v>
      </c>
      <c r="I26" s="178" t="str">
        <f>Input!AG21</f>
        <v>Pit</v>
      </c>
      <c r="J26" s="186">
        <f>Input!AH21</f>
        <v>172.48356643356644</v>
      </c>
      <c r="K26" s="185"/>
      <c r="L26" s="10">
        <v>19</v>
      </c>
      <c r="M26" s="178" t="str">
        <f>Input!AJ21</f>
        <v>Terrell Owens</v>
      </c>
      <c r="N26" s="178" t="str">
        <f>Input!AK21</f>
        <v>SF</v>
      </c>
      <c r="O26" s="186">
        <f>Input!AL21</f>
        <v>172.7302521008404</v>
      </c>
      <c r="P26" s="185"/>
      <c r="Q26" s="10">
        <v>19</v>
      </c>
      <c r="R26" s="178" t="str">
        <f>Input!AZ21</f>
        <v>Ricky Williams</v>
      </c>
      <c r="S26" s="178" t="str">
        <f>Input!BA21</f>
        <v>NO</v>
      </c>
      <c r="T26" s="10" t="str">
        <f>Input!BB21</f>
        <v>RB</v>
      </c>
      <c r="U26" s="186">
        <f>Input!BC21</f>
        <v>63.7616317016317</v>
      </c>
      <c r="V26" s="180"/>
    </row>
    <row r="27" spans="1:22" x14ac:dyDescent="0.2">
      <c r="A27" s="185"/>
      <c r="B27" s="10">
        <v>20</v>
      </c>
      <c r="C27" s="178" t="str">
        <f>Input!AB22</f>
        <v>Donovan McNabb</v>
      </c>
      <c r="D27" s="178" t="str">
        <f>Input!AC22</f>
        <v>Phi</v>
      </c>
      <c r="E27" s="186">
        <f>Input!AD22</f>
        <v>270.34040601503756</v>
      </c>
      <c r="F27" s="185"/>
      <c r="G27" s="10">
        <v>20</v>
      </c>
      <c r="H27" s="178" t="str">
        <f>Input!AF22</f>
        <v>Mike Alstott</v>
      </c>
      <c r="I27" s="178" t="str">
        <f>Input!AG22</f>
        <v>TB</v>
      </c>
      <c r="J27" s="186">
        <f>Input!AH22</f>
        <v>172.3597902097903</v>
      </c>
      <c r="K27" s="185"/>
      <c r="L27" s="10">
        <v>20</v>
      </c>
      <c r="M27" s="178" t="str">
        <f>Input!AJ22</f>
        <v>Raghib Ismail</v>
      </c>
      <c r="N27" s="178" t="str">
        <f>Input!AK22</f>
        <v>Dal</v>
      </c>
      <c r="O27" s="186">
        <f>Input!AL22</f>
        <v>170.16285714285715</v>
      </c>
      <c r="P27" s="185"/>
      <c r="Q27" s="10">
        <v>20</v>
      </c>
      <c r="R27" s="178" t="str">
        <f>Input!AZ22</f>
        <v>Antonio Freeman</v>
      </c>
      <c r="S27" s="178" t="str">
        <f>Input!BA22</f>
        <v>GB</v>
      </c>
      <c r="T27" s="10" t="str">
        <f>Input!BB22</f>
        <v>WR</v>
      </c>
      <c r="U27" s="186">
        <f>Input!BC22</f>
        <v>61.677980295566528</v>
      </c>
      <c r="V27" s="180"/>
    </row>
    <row r="28" spans="1:22" x14ac:dyDescent="0.2">
      <c r="A28" s="185"/>
      <c r="B28" s="10">
        <v>21</v>
      </c>
      <c r="C28" s="178" t="str">
        <f>Input!AB23</f>
        <v>Rob Johnson</v>
      </c>
      <c r="D28" s="178" t="str">
        <f>Input!AC23</f>
        <v>Buf</v>
      </c>
      <c r="E28" s="186">
        <f>Input!AD23</f>
        <v>269.86885714285711</v>
      </c>
      <c r="F28" s="185"/>
      <c r="G28" s="10">
        <v>21</v>
      </c>
      <c r="H28" s="178" t="str">
        <f>Input!AF23</f>
        <v>Tim Biakabutuka</v>
      </c>
      <c r="I28" s="178" t="str">
        <f>Input!AG23</f>
        <v>Car</v>
      </c>
      <c r="J28" s="186">
        <f>Input!AH23</f>
        <v>167.80489510489519</v>
      </c>
      <c r="K28" s="185"/>
      <c r="L28" s="10">
        <v>21</v>
      </c>
      <c r="M28" s="178" t="str">
        <f>Input!AJ23</f>
        <v>Joey Galloway</v>
      </c>
      <c r="N28" s="178" t="str">
        <f>Input!AK23</f>
        <v>Dal</v>
      </c>
      <c r="O28" s="186">
        <f>Input!AL23</f>
        <v>170.15000000000003</v>
      </c>
      <c r="P28" s="185"/>
      <c r="Q28" s="10">
        <v>21</v>
      </c>
      <c r="R28" s="178" t="str">
        <f>Input!AZ23</f>
        <v>Isaac Bruce</v>
      </c>
      <c r="S28" s="178" t="str">
        <f>Input!BA23</f>
        <v>StL</v>
      </c>
      <c r="T28" s="10" t="str">
        <f>Input!BB23</f>
        <v>WR</v>
      </c>
      <c r="U28" s="186">
        <f>Input!BC23</f>
        <v>61.426600985221683</v>
      </c>
      <c r="V28" s="180"/>
    </row>
    <row r="29" spans="1:22" x14ac:dyDescent="0.2">
      <c r="A29" s="185"/>
      <c r="B29" s="10">
        <v>22</v>
      </c>
      <c r="C29" s="178" t="str">
        <f>Input!AB24</f>
        <v>Tony Banks</v>
      </c>
      <c r="D29" s="178" t="str">
        <f>Input!AC24</f>
        <v>Bal</v>
      </c>
      <c r="E29" s="186">
        <f>Input!AD24</f>
        <v>267.12620661157024</v>
      </c>
      <c r="F29" s="185"/>
      <c r="G29" s="10">
        <v>22</v>
      </c>
      <c r="H29" s="178" t="str">
        <f>Input!AF24</f>
        <v>Errict Rhett</v>
      </c>
      <c r="I29" s="178" t="str">
        <f>Input!AG24</f>
        <v>Cle</v>
      </c>
      <c r="J29" s="186">
        <f>Input!AH24</f>
        <v>165.13356643356647</v>
      </c>
      <c r="K29" s="185"/>
      <c r="L29" s="10">
        <v>22</v>
      </c>
      <c r="M29" s="178" t="str">
        <f>Input!AJ24</f>
        <v>Peter Warrick</v>
      </c>
      <c r="N29" s="178" t="str">
        <f>Input!AK24</f>
        <v>Cin</v>
      </c>
      <c r="O29" s="186">
        <f>Input!AL24</f>
        <v>167.82268907563025</v>
      </c>
      <c r="P29" s="185"/>
      <c r="Q29" s="10">
        <v>22</v>
      </c>
      <c r="R29" s="178" t="str">
        <f>Input!AZ24</f>
        <v>Robert Smith</v>
      </c>
      <c r="S29" s="178" t="str">
        <f>Input!BA24</f>
        <v>Min</v>
      </c>
      <c r="T29" s="10" t="str">
        <f>Input!BB24</f>
        <v>RB</v>
      </c>
      <c r="U29" s="186">
        <f>Input!BC24</f>
        <v>60.759184149184165</v>
      </c>
      <c r="V29" s="180"/>
    </row>
    <row r="30" spans="1:22" x14ac:dyDescent="0.2">
      <c r="A30" s="185"/>
      <c r="B30" s="10">
        <v>23</v>
      </c>
      <c r="C30" s="178" t="str">
        <f>Input!AB25</f>
        <v>Charlie Batch</v>
      </c>
      <c r="D30" s="178" t="str">
        <f>Input!AC25</f>
        <v>Det</v>
      </c>
      <c r="E30" s="186">
        <f>Input!AD25</f>
        <v>256.36026966292133</v>
      </c>
      <c r="F30" s="185"/>
      <c r="G30" s="10">
        <v>23</v>
      </c>
      <c r="H30" s="178" t="str">
        <f>Input!AF25</f>
        <v>Tyrone Wheatley</v>
      </c>
      <c r="I30" s="178" t="str">
        <f>Input!AG25</f>
        <v>Oak</v>
      </c>
      <c r="J30" s="186">
        <f>Input!AH25</f>
        <v>161.75734265734272</v>
      </c>
      <c r="K30" s="185"/>
      <c r="L30" s="10">
        <v>23</v>
      </c>
      <c r="M30" s="178" t="str">
        <f>Input!AJ25</f>
        <v>Keyshawn Johnson</v>
      </c>
      <c r="N30" s="178" t="str">
        <f>Input!AK25</f>
        <v>TB</v>
      </c>
      <c r="O30" s="186">
        <f>Input!AL25</f>
        <v>167.6544827586207</v>
      </c>
      <c r="P30" s="185"/>
      <c r="Q30" s="10">
        <v>23</v>
      </c>
      <c r="R30" s="178" t="str">
        <f>Input!AZ25</f>
        <v>Cade McNown</v>
      </c>
      <c r="S30" s="178" t="str">
        <f>Input!BA25</f>
        <v>Chi</v>
      </c>
      <c r="T30" s="10" t="str">
        <f>Input!BB25</f>
        <v>QB</v>
      </c>
      <c r="U30" s="186">
        <f>Input!BC25</f>
        <v>60.163568174079955</v>
      </c>
      <c r="V30" s="180"/>
    </row>
    <row r="31" spans="1:22" x14ac:dyDescent="0.2">
      <c r="A31" s="185"/>
      <c r="B31" s="10">
        <v>24</v>
      </c>
      <c r="C31" s="178" t="str">
        <f>Input!AB26</f>
        <v>Jake Plummer</v>
      </c>
      <c r="D31" s="178" t="str">
        <f>Input!AC26</f>
        <v>Ari</v>
      </c>
      <c r="E31" s="186">
        <f>Input!AD26</f>
        <v>256.02455639097747</v>
      </c>
      <c r="F31" s="185"/>
      <c r="G31" s="10">
        <v>24</v>
      </c>
      <c r="H31" s="178" t="str">
        <f>Input!AF26</f>
        <v>Warrick Dunn</v>
      </c>
      <c r="I31" s="178" t="str">
        <f>Input!AG26</f>
        <v>TB</v>
      </c>
      <c r="J31" s="186">
        <f>Input!AH26</f>
        <v>153.95244755244752</v>
      </c>
      <c r="K31" s="185"/>
      <c r="L31" s="10">
        <v>24</v>
      </c>
      <c r="M31" s="178" t="str">
        <f>Input!AJ26</f>
        <v>Patrick Jeffers</v>
      </c>
      <c r="N31" s="178" t="str">
        <f>Input!AK26</f>
        <v>Car</v>
      </c>
      <c r="O31" s="186">
        <f>Input!AL26</f>
        <v>167.14285714285717</v>
      </c>
      <c r="P31" s="185"/>
      <c r="Q31" s="10">
        <v>24</v>
      </c>
      <c r="R31" s="178" t="str">
        <f>Input!AZ26</f>
        <v>Terry Glenn</v>
      </c>
      <c r="S31" s="178" t="str">
        <f>Input!BA26</f>
        <v>NE</v>
      </c>
      <c r="T31" s="10" t="str">
        <f>Input!BB26</f>
        <v>WR</v>
      </c>
      <c r="U31" s="186">
        <f>Input!BC26</f>
        <v>59.064187192118254</v>
      </c>
      <c r="V31" s="180"/>
    </row>
    <row r="32" spans="1:22" x14ac:dyDescent="0.2">
      <c r="A32" s="185"/>
      <c r="B32" s="10">
        <v>25</v>
      </c>
      <c r="C32" s="178" t="str">
        <f>Input!AB27</f>
        <v>Chris Chandler</v>
      </c>
      <c r="D32" s="178" t="str">
        <f>Input!AC27</f>
        <v>Atl</v>
      </c>
      <c r="E32" s="186">
        <f>Input!AD27</f>
        <v>248.18915789473684</v>
      </c>
      <c r="F32" s="185"/>
      <c r="G32" s="10">
        <v>25</v>
      </c>
      <c r="H32" s="178" t="str">
        <f>Input!AF27</f>
        <v>J.J. Johnson</v>
      </c>
      <c r="I32" s="178" t="str">
        <f>Input!AG27</f>
        <v>Mia</v>
      </c>
      <c r="J32" s="186">
        <f>Input!AH27</f>
        <v>149.15734265734267</v>
      </c>
      <c r="K32" s="185"/>
      <c r="L32" s="10">
        <v>25</v>
      </c>
      <c r="M32" s="178" t="str">
        <f>Input!AJ27</f>
        <v>Rob Moore</v>
      </c>
      <c r="N32" s="178" t="str">
        <f>Input!AK27</f>
        <v>Ari</v>
      </c>
      <c r="O32" s="186">
        <f>Input!AL27</f>
        <v>166.75517241379313</v>
      </c>
      <c r="P32" s="185"/>
      <c r="Q32" s="10">
        <v>25</v>
      </c>
      <c r="R32" s="178" t="str">
        <f>Input!AZ27</f>
        <v>Duce Staley</v>
      </c>
      <c r="S32" s="178" t="str">
        <f>Input!BA27</f>
        <v>Phi</v>
      </c>
      <c r="T32" s="10" t="str">
        <f>Input!BB27</f>
        <v>RB</v>
      </c>
      <c r="U32" s="186">
        <f>Input!BC27</f>
        <v>58.909184149184085</v>
      </c>
      <c r="V32" s="180"/>
    </row>
    <row r="33" spans="1:22" x14ac:dyDescent="0.2">
      <c r="A33" s="185"/>
      <c r="B33" s="10">
        <v>26</v>
      </c>
      <c r="C33" s="178" t="str">
        <f>Input!AB28</f>
        <v>Vinny Testaverde</v>
      </c>
      <c r="D33" s="178" t="str">
        <f>Input!AC28</f>
        <v>NYJ</v>
      </c>
      <c r="E33" s="186">
        <f>Input!AD28</f>
        <v>245.06885714285713</v>
      </c>
      <c r="F33" s="185"/>
      <c r="G33" s="10">
        <v>26</v>
      </c>
      <c r="H33" s="178" t="str">
        <f>Input!AF28</f>
        <v>Jermaine Fazande</v>
      </c>
      <c r="I33" s="178" t="str">
        <f>Input!AG28</f>
        <v>SD</v>
      </c>
      <c r="J33" s="186">
        <f>Input!AH28</f>
        <v>133.00734265734266</v>
      </c>
      <c r="K33" s="185"/>
      <c r="L33" s="10">
        <v>26</v>
      </c>
      <c r="M33" s="178" t="str">
        <f>Input!AJ28</f>
        <v>Derrick Mayes</v>
      </c>
      <c r="N33" s="178" t="str">
        <f>Input!AK28</f>
        <v>Sea</v>
      </c>
      <c r="O33" s="186">
        <f>Input!AL28</f>
        <v>165.55517241379314</v>
      </c>
      <c r="P33" s="185"/>
      <c r="Q33" s="10">
        <v>26</v>
      </c>
      <c r="R33" s="178" t="str">
        <f>Input!AZ28</f>
        <v>Steve McNair</v>
      </c>
      <c r="S33" s="178" t="str">
        <f>Input!BA28</f>
        <v>Ten</v>
      </c>
      <c r="T33" s="10" t="str">
        <f>Input!BB28</f>
        <v>QB</v>
      </c>
      <c r="U33" s="186">
        <f>Input!BC28</f>
        <v>58.635137121986077</v>
      </c>
      <c r="V33" s="180"/>
    </row>
    <row r="34" spans="1:22" x14ac:dyDescent="0.2">
      <c r="A34" s="185"/>
      <c r="B34" s="10">
        <v>27</v>
      </c>
      <c r="C34" s="178" t="str">
        <f>Input!AB29</f>
        <v>Shaun King</v>
      </c>
      <c r="D34" s="178" t="str">
        <f>Input!AC29</f>
        <v>TB</v>
      </c>
      <c r="E34" s="186">
        <f>Input!AD29</f>
        <v>242.30970676691732</v>
      </c>
      <c r="F34" s="185"/>
      <c r="G34" s="10">
        <v>27</v>
      </c>
      <c r="H34" s="178" t="str">
        <f>Input!AF29</f>
        <v>Jamal Lewis</v>
      </c>
      <c r="I34" s="178" t="str">
        <f>Input!AG29</f>
        <v>Bal</v>
      </c>
      <c r="J34" s="186">
        <f>Input!AH29</f>
        <v>131.50111888111891</v>
      </c>
      <c r="K34" s="185"/>
      <c r="L34" s="10">
        <v>27</v>
      </c>
      <c r="M34" s="178" t="str">
        <f>Input!AJ29</f>
        <v>Terance Mathis</v>
      </c>
      <c r="N34" s="178" t="str">
        <f>Input!AK29</f>
        <v>Atl</v>
      </c>
      <c r="O34" s="186">
        <f>Input!AL29</f>
        <v>161.98025210084035</v>
      </c>
      <c r="P34" s="185"/>
      <c r="Q34" s="10">
        <v>27</v>
      </c>
      <c r="R34" s="178" t="str">
        <f>Input!AZ29</f>
        <v>Ron Dayne</v>
      </c>
      <c r="S34" s="178" t="str">
        <f>Input!BA29</f>
        <v>NYG</v>
      </c>
      <c r="T34" s="10" t="str">
        <f>Input!BB29</f>
        <v>RB</v>
      </c>
      <c r="U34" s="186">
        <f>Input!BC29</f>
        <v>54.04030303030305</v>
      </c>
      <c r="V34" s="180"/>
    </row>
    <row r="35" spans="1:22" x14ac:dyDescent="0.2">
      <c r="A35" s="185"/>
      <c r="B35" s="10">
        <v>28</v>
      </c>
      <c r="C35" s="178" t="str">
        <f>Input!AB30</f>
        <v>Kordell Stewart</v>
      </c>
      <c r="D35" s="178" t="str">
        <f>Input!AC30</f>
        <v>Pit</v>
      </c>
      <c r="E35" s="186">
        <f>Input!AD30</f>
        <v>215.0701052631579</v>
      </c>
      <c r="F35" s="185"/>
      <c r="G35" s="10">
        <v>28</v>
      </c>
      <c r="H35" s="178" t="str">
        <f>Input!AF30</f>
        <v>Raymont Harris</v>
      </c>
      <c r="I35" s="178" t="str">
        <f>Input!AG30</f>
        <v>NE</v>
      </c>
      <c r="J35" s="186">
        <f>Input!AH30</f>
        <v>125.90734265734265</v>
      </c>
      <c r="K35" s="185"/>
      <c r="L35" s="10">
        <v>28</v>
      </c>
      <c r="M35" s="178" t="str">
        <f>Input!AJ30</f>
        <v>Plaxico Burress</v>
      </c>
      <c r="N35" s="178" t="str">
        <f>Input!AK30</f>
        <v>Pit</v>
      </c>
      <c r="O35" s="186">
        <f>Input!AL30</f>
        <v>157.7764705882353</v>
      </c>
      <c r="P35" s="185"/>
      <c r="Q35" s="10">
        <v>28</v>
      </c>
      <c r="R35" s="178" t="str">
        <f>Input!AZ30</f>
        <v>Brett Favre</v>
      </c>
      <c r="S35" s="178" t="str">
        <f>Input!BA30</f>
        <v>GB</v>
      </c>
      <c r="T35" s="10" t="str">
        <f>Input!BB30</f>
        <v>QB</v>
      </c>
      <c r="U35" s="186">
        <f>Input!BC30</f>
        <v>51.450264688092204</v>
      </c>
      <c r="V35" s="180"/>
    </row>
    <row r="36" spans="1:22" x14ac:dyDescent="0.2">
      <c r="A36" s="185"/>
      <c r="B36" s="10">
        <v>29</v>
      </c>
      <c r="C36" s="178" t="str">
        <f>Input!AB31</f>
        <v>Damon Huard</v>
      </c>
      <c r="D36" s="178" t="str">
        <f>Input!AC31</f>
        <v>Mia</v>
      </c>
      <c r="E36" s="186">
        <f>Input!AD31</f>
        <v>182.15840740740742</v>
      </c>
      <c r="F36" s="185"/>
      <c r="G36" s="10">
        <v>29</v>
      </c>
      <c r="H36" s="178" t="str">
        <f>Input!AF31</f>
        <v>Michael Pittman</v>
      </c>
      <c r="I36" s="178" t="str">
        <f>Input!AG31</f>
        <v>Ari</v>
      </c>
      <c r="J36" s="186">
        <f>Input!AH31</f>
        <v>122.92867132867133</v>
      </c>
      <c r="K36" s="185"/>
      <c r="L36" s="10">
        <v>29</v>
      </c>
      <c r="M36" s="178" t="str">
        <f>Input!AJ31</f>
        <v>Joe Horn</v>
      </c>
      <c r="N36" s="178" t="str">
        <f>Input!AK31</f>
        <v>NO</v>
      </c>
      <c r="O36" s="186">
        <f>Input!AL31</f>
        <v>154.14268907563024</v>
      </c>
      <c r="P36" s="185"/>
      <c r="Q36" s="10">
        <v>29</v>
      </c>
      <c r="R36" s="178" t="str">
        <f>Input!AZ31</f>
        <v>Kevin Johnson</v>
      </c>
      <c r="S36" s="178" t="str">
        <f>Input!BA31</f>
        <v>Cle</v>
      </c>
      <c r="T36" s="10" t="str">
        <f>Input!BB31</f>
        <v>WR</v>
      </c>
      <c r="U36" s="186">
        <f>Input!BC31</f>
        <v>50.264187192118271</v>
      </c>
      <c r="V36" s="180"/>
    </row>
    <row r="37" spans="1:22" x14ac:dyDescent="0.2">
      <c r="A37" s="185"/>
      <c r="B37" s="10">
        <v>30</v>
      </c>
      <c r="C37" s="178" t="str">
        <f>Input!AB32</f>
        <v>Akili Smith</v>
      </c>
      <c r="D37" s="178" t="str">
        <f>Input!AC32</f>
        <v>Cin</v>
      </c>
      <c r="E37" s="186">
        <f>Input!AD32</f>
        <v>172.47750375939853</v>
      </c>
      <c r="F37" s="185"/>
      <c r="G37" s="10">
        <v>30</v>
      </c>
      <c r="H37" s="178" t="str">
        <f>Input!AF32</f>
        <v>Antowain Smith</v>
      </c>
      <c r="I37" s="178" t="str">
        <f>Input!AG32</f>
        <v>Buf</v>
      </c>
      <c r="J37" s="186">
        <f>Input!AH32</f>
        <v>121.18111888111889</v>
      </c>
      <c r="K37" s="185"/>
      <c r="L37" s="10">
        <v>30</v>
      </c>
      <c r="M37" s="178" t="str">
        <f>Input!AJ32</f>
        <v>Keenan McCardell</v>
      </c>
      <c r="N37" s="178" t="str">
        <f>Input!AK32</f>
        <v>Jac</v>
      </c>
      <c r="O37" s="186">
        <f>Input!AL32</f>
        <v>154.12268907563026</v>
      </c>
      <c r="P37" s="185"/>
      <c r="Q37" s="10">
        <v>30</v>
      </c>
      <c r="R37" s="178" t="str">
        <f>Input!AZ32</f>
        <v>Wesley Walls</v>
      </c>
      <c r="S37" s="178" t="str">
        <f>Input!BA32</f>
        <v>Car</v>
      </c>
      <c r="T37" s="10" t="str">
        <f>Input!BB32</f>
        <v>TE</v>
      </c>
      <c r="U37" s="186">
        <f>Input!BC32</f>
        <v>50.083333333333307</v>
      </c>
      <c r="V37" s="180"/>
    </row>
    <row r="38" spans="1:22" x14ac:dyDescent="0.2">
      <c r="A38" s="185"/>
      <c r="B38" s="10">
        <v>31</v>
      </c>
      <c r="C38" s="178" t="str">
        <f>Input!AB33</f>
        <v>Moses Moreno</v>
      </c>
      <c r="D38" s="178" t="str">
        <f>Input!AC33</f>
        <v>SD</v>
      </c>
      <c r="E38" s="186">
        <f>Input!AD33</f>
        <v>129.13333333333333</v>
      </c>
      <c r="F38" s="185"/>
      <c r="G38" s="10">
        <v>31</v>
      </c>
      <c r="H38" s="178" t="str">
        <f>Input!AF33</f>
        <v>Shaun Alexander</v>
      </c>
      <c r="I38" s="178" t="str">
        <f>Input!AG33</f>
        <v>Sea</v>
      </c>
      <c r="J38" s="186">
        <f>Input!AH33</f>
        <v>115.57867132867131</v>
      </c>
      <c r="K38" s="185"/>
      <c r="L38" s="10">
        <v>31</v>
      </c>
      <c r="M38" s="178" t="str">
        <f>Input!AJ33</f>
        <v>Tony Martin</v>
      </c>
      <c r="N38" s="178" t="str">
        <f>Input!AK33</f>
        <v>Mia</v>
      </c>
      <c r="O38" s="186">
        <f>Input!AL33</f>
        <v>152.88571428571427</v>
      </c>
      <c r="P38" s="185"/>
      <c r="Q38" s="10">
        <v>31</v>
      </c>
      <c r="R38" s="178" t="str">
        <f>Input!AZ33</f>
        <v>Charlie Garner</v>
      </c>
      <c r="S38" s="178" t="str">
        <f>Input!BA33</f>
        <v>SF</v>
      </c>
      <c r="T38" s="10" t="str">
        <f>Input!BB33</f>
        <v>RB</v>
      </c>
      <c r="U38" s="186">
        <f>Input!BC33</f>
        <v>49.832960372960315</v>
      </c>
      <c r="V38" s="180"/>
    </row>
    <row r="39" spans="1:22" x14ac:dyDescent="0.2">
      <c r="A39" s="185"/>
      <c r="B39" s="10">
        <v>32</v>
      </c>
      <c r="C39" s="178" t="str">
        <f>Input!AB34</f>
        <v>Jim Harbaugh</v>
      </c>
      <c r="D39" s="178" t="str">
        <f>Input!AC34</f>
        <v>SD</v>
      </c>
      <c r="E39" s="186">
        <f>Input!AD34</f>
        <v>126.96025925925926</v>
      </c>
      <c r="F39" s="185"/>
      <c r="G39" s="10">
        <v>32</v>
      </c>
      <c r="H39" s="178" t="str">
        <f>Input!AF34</f>
        <v>Kimble Anders</v>
      </c>
      <c r="I39" s="178" t="str">
        <f>Input!AG34</f>
        <v>KC</v>
      </c>
      <c r="J39" s="186">
        <f>Input!AH34</f>
        <v>113.81867132867131</v>
      </c>
      <c r="K39" s="185"/>
      <c r="L39" s="10">
        <v>32</v>
      </c>
      <c r="M39" s="178" t="str">
        <f>Input!AJ34</f>
        <v>Tim Dwight</v>
      </c>
      <c r="N39" s="178" t="str">
        <f>Input!AK34</f>
        <v>Atl</v>
      </c>
      <c r="O39" s="186">
        <f>Input!AL34</f>
        <v>150.84285714285713</v>
      </c>
      <c r="P39" s="185"/>
      <c r="Q39" s="10">
        <v>32</v>
      </c>
      <c r="R39" s="178" t="str">
        <f>Input!AZ34</f>
        <v>Michael Westbrook</v>
      </c>
      <c r="S39" s="178" t="str">
        <f>Input!BA34</f>
        <v>Was</v>
      </c>
      <c r="T39" s="10" t="str">
        <f>Input!BB34</f>
        <v>WR</v>
      </c>
      <c r="U39" s="186">
        <f>Input!BC34</f>
        <v>48.648669950738935</v>
      </c>
      <c r="V39" s="180"/>
    </row>
    <row r="40" spans="1:22" x14ac:dyDescent="0.2">
      <c r="A40" s="185"/>
      <c r="B40" s="10">
        <v>33</v>
      </c>
      <c r="C40" s="178" t="str">
        <f>Input!AB35</f>
        <v>Jay Fiedler</v>
      </c>
      <c r="D40" s="178" t="str">
        <f>Input!AC35</f>
        <v>Mia</v>
      </c>
      <c r="E40" s="186">
        <f>Input!AD35</f>
        <v>117.3462962962963</v>
      </c>
      <c r="F40" s="185"/>
      <c r="G40" s="10">
        <v>33</v>
      </c>
      <c r="H40" s="178" t="str">
        <f>Input!AF35</f>
        <v>Fred Beasley</v>
      </c>
      <c r="I40" s="178" t="str">
        <f>Input!AG35</f>
        <v>SF</v>
      </c>
      <c r="J40" s="186">
        <f>Input!AH35</f>
        <v>113.58111888111888</v>
      </c>
      <c r="K40" s="185"/>
      <c r="L40" s="10">
        <v>33</v>
      </c>
      <c r="M40" s="178" t="str">
        <f>Input!AJ35</f>
        <v>Derrick Alexander</v>
      </c>
      <c r="N40" s="178" t="str">
        <f>Input!AK35</f>
        <v>KC</v>
      </c>
      <c r="O40" s="186">
        <f>Input!AL35</f>
        <v>146.88571428571427</v>
      </c>
      <c r="P40" s="185"/>
      <c r="Q40" s="10">
        <v>33</v>
      </c>
      <c r="R40" s="178" t="str">
        <f>Input!AZ35</f>
        <v>Cris Carter</v>
      </c>
      <c r="S40" s="178" t="str">
        <f>Input!BA35</f>
        <v>Min</v>
      </c>
      <c r="T40" s="10" t="str">
        <f>Input!BB35</f>
        <v>WR</v>
      </c>
      <c r="U40" s="186">
        <f>Input!BC35</f>
        <v>46.652002318168655</v>
      </c>
      <c r="V40" s="180"/>
    </row>
    <row r="41" spans="1:22" x14ac:dyDescent="0.2">
      <c r="A41" s="185"/>
      <c r="B41" s="10">
        <v>34</v>
      </c>
      <c r="C41" s="178" t="str">
        <f>Input!AB36</f>
        <v>Scott Mitchell</v>
      </c>
      <c r="D41" s="178" t="str">
        <f>Input!AC36</f>
        <v>Cin</v>
      </c>
      <c r="E41" s="186">
        <f>Input!AD36</f>
        <v>89.722222222222229</v>
      </c>
      <c r="F41" s="185"/>
      <c r="G41" s="10">
        <v>34</v>
      </c>
      <c r="H41" s="178" t="str">
        <f>Input!AF36</f>
        <v>Thomas Jones</v>
      </c>
      <c r="I41" s="178" t="str">
        <f>Input!AG36</f>
        <v>Ari</v>
      </c>
      <c r="J41" s="186">
        <f>Input!AH36</f>
        <v>113.35489510489511</v>
      </c>
      <c r="K41" s="185"/>
      <c r="L41" s="10">
        <v>34</v>
      </c>
      <c r="M41" s="178" t="str">
        <f>Input!AJ36</f>
        <v>Ike Hilliard</v>
      </c>
      <c r="N41" s="178" t="str">
        <f>Input!AK36</f>
        <v>NYG</v>
      </c>
      <c r="O41" s="186">
        <f>Input!AL36</f>
        <v>146.12890756302525</v>
      </c>
      <c r="P41" s="185"/>
      <c r="Q41" s="10">
        <v>34</v>
      </c>
      <c r="R41" s="178" t="str">
        <f>Input!AZ36</f>
        <v>Curtis Enis</v>
      </c>
      <c r="S41" s="178" t="str">
        <f>Input!BA36</f>
        <v>Chi</v>
      </c>
      <c r="T41" s="10" t="str">
        <f>Input!BB36</f>
        <v>RB</v>
      </c>
      <c r="U41" s="186">
        <f>Input!BC36</f>
        <v>46.009184149184136</v>
      </c>
      <c r="V41" s="180"/>
    </row>
    <row r="42" spans="1:22" x14ac:dyDescent="0.2">
      <c r="A42" s="185"/>
      <c r="B42" s="10">
        <v>35</v>
      </c>
      <c r="C42" s="178" t="str">
        <f>Input!AB37</f>
        <v>Kent Graham</v>
      </c>
      <c r="D42" s="178" t="str">
        <f>Input!AC37</f>
        <v>Pit</v>
      </c>
      <c r="E42" s="186">
        <f>Input!AD37</f>
        <v>80.774148148148171</v>
      </c>
      <c r="F42" s="185"/>
      <c r="G42" s="10">
        <v>35</v>
      </c>
      <c r="H42" s="178" t="str">
        <f>Input!AF37</f>
        <v>Napoleon Kaufman</v>
      </c>
      <c r="I42" s="178" t="str">
        <f>Input!AG37</f>
        <v>Oak</v>
      </c>
      <c r="J42" s="186">
        <f>Input!AH37</f>
        <v>111.9286713286713</v>
      </c>
      <c r="K42" s="185"/>
      <c r="L42" s="10">
        <v>35</v>
      </c>
      <c r="M42" s="178" t="str">
        <f>Input!AJ37</f>
        <v>Wayne Chrebet</v>
      </c>
      <c r="N42" s="178" t="str">
        <f>Input!AK37</f>
        <v>NYJ</v>
      </c>
      <c r="O42" s="186">
        <f>Input!AL37</f>
        <v>145.43586206896549</v>
      </c>
      <c r="P42" s="185"/>
      <c r="Q42" s="10">
        <v>35</v>
      </c>
      <c r="R42" s="178" t="str">
        <f>Input!AZ37</f>
        <v>Germane Crowell</v>
      </c>
      <c r="S42" s="178" t="str">
        <f>Input!BA37</f>
        <v>Det</v>
      </c>
      <c r="T42" s="10" t="str">
        <f>Input!BB37</f>
        <v>WR</v>
      </c>
      <c r="U42" s="186">
        <f>Input!BC37</f>
        <v>44.557044334975416</v>
      </c>
      <c r="V42" s="180"/>
    </row>
    <row r="43" spans="1:22" ht="13.2" x14ac:dyDescent="0.25">
      <c r="A43" s="185"/>
      <c r="B43" s="181" t="s">
        <v>77</v>
      </c>
      <c r="C43" s="182"/>
      <c r="D43" s="181"/>
      <c r="E43" s="183" t="s">
        <v>4</v>
      </c>
      <c r="F43" s="185"/>
      <c r="G43" s="10">
        <v>36</v>
      </c>
      <c r="H43" s="178" t="str">
        <f>Input!AF38</f>
        <v>Richard Huntley</v>
      </c>
      <c r="I43" s="178" t="str">
        <f>Input!AG38</f>
        <v>Pit</v>
      </c>
      <c r="J43" s="186">
        <f>Input!AH38</f>
        <v>107.27867132867131</v>
      </c>
      <c r="K43" s="185"/>
      <c r="L43" s="10">
        <v>36</v>
      </c>
      <c r="M43" s="178" t="str">
        <f>Input!AJ38</f>
        <v>Peerless Price</v>
      </c>
      <c r="N43" s="178" t="str">
        <f>Input!AK38</f>
        <v>Buf</v>
      </c>
      <c r="O43" s="186">
        <f>Input!AL38</f>
        <v>144.48571428571429</v>
      </c>
      <c r="P43" s="185"/>
      <c r="Q43" s="10">
        <v>36</v>
      </c>
      <c r="R43" s="178" t="str">
        <f>Input!AZ38</f>
        <v>Amani Toomer</v>
      </c>
      <c r="S43" s="178" t="str">
        <f>Input!BA38</f>
        <v>NYG</v>
      </c>
      <c r="T43" s="10" t="str">
        <f>Input!BB38</f>
        <v>WR</v>
      </c>
      <c r="U43" s="186">
        <f>Input!BC38</f>
        <v>40.247044334975385</v>
      </c>
      <c r="V43" s="180"/>
    </row>
    <row r="44" spans="1:22" x14ac:dyDescent="0.2">
      <c r="A44" s="185"/>
      <c r="B44" s="10">
        <v>1</v>
      </c>
      <c r="C44" s="178" t="str">
        <f>Input!AN3</f>
        <v>Tony Gonzalez</v>
      </c>
      <c r="D44" s="178" t="str">
        <f>Input!AO3</f>
        <v>KC</v>
      </c>
      <c r="E44" s="186">
        <f>Input!AP3</f>
        <v>141.85454545454544</v>
      </c>
      <c r="F44" s="185"/>
      <c r="G44" s="10">
        <v>37</v>
      </c>
      <c r="H44" s="178" t="str">
        <f>Input!AF39</f>
        <v>Corey Dillon</v>
      </c>
      <c r="I44" s="178" t="str">
        <f>Input!AG39</f>
        <v>Cin</v>
      </c>
      <c r="J44" s="186">
        <f>Input!AH39</f>
        <v>106.00489510489511</v>
      </c>
      <c r="K44" s="185"/>
      <c r="L44" s="10">
        <v>37</v>
      </c>
      <c r="M44" s="178" t="str">
        <f>Input!AJ39</f>
        <v>Rod Smith</v>
      </c>
      <c r="N44" s="178" t="str">
        <f>Input!AK39</f>
        <v>Den</v>
      </c>
      <c r="O44" s="186">
        <f>Input!AL39</f>
        <v>143.08586206896553</v>
      </c>
      <c r="P44" s="185"/>
      <c r="Q44" s="10">
        <v>37</v>
      </c>
      <c r="R44" s="178" t="str">
        <f>Input!AZ39</f>
        <v>Brad Johnson</v>
      </c>
      <c r="S44" s="178" t="str">
        <f>Input!BA39</f>
        <v>Was</v>
      </c>
      <c r="T44" s="10" t="str">
        <f>Input!BB39</f>
        <v>QB</v>
      </c>
      <c r="U44" s="186">
        <f>Input!BC39</f>
        <v>36.702857430278243</v>
      </c>
      <c r="V44" s="180"/>
    </row>
    <row r="45" spans="1:22" x14ac:dyDescent="0.2">
      <c r="A45" s="185"/>
      <c r="B45" s="10">
        <v>2</v>
      </c>
      <c r="C45" s="178" t="str">
        <f>Input!AN4</f>
        <v>Wesley Walls</v>
      </c>
      <c r="D45" s="178" t="str">
        <f>Input!AO4</f>
        <v>Car</v>
      </c>
      <c r="E45" s="186">
        <f>Input!AP4</f>
        <v>111.45909090909089</v>
      </c>
      <c r="F45" s="185"/>
      <c r="G45" s="10">
        <v>38</v>
      </c>
      <c r="H45" s="178" t="str">
        <f>Input!AF40</f>
        <v>Priest Holmes</v>
      </c>
      <c r="I45" s="178" t="str">
        <f>Input!AG40</f>
        <v>Bal</v>
      </c>
      <c r="J45" s="186">
        <f>Input!AH40</f>
        <v>103.1286713286713</v>
      </c>
      <c r="K45" s="185"/>
      <c r="L45" s="10">
        <v>38</v>
      </c>
      <c r="M45" s="178" t="str">
        <f>Input!AJ40</f>
        <v>Bill Schroeder</v>
      </c>
      <c r="N45" s="178" t="str">
        <f>Input!AK40</f>
        <v>GB</v>
      </c>
      <c r="O45" s="186">
        <f>Input!AL40</f>
        <v>142.67268907563025</v>
      </c>
      <c r="P45" s="185"/>
      <c r="Q45" s="10">
        <v>38</v>
      </c>
      <c r="R45" s="178" t="str">
        <f>Input!AZ40</f>
        <v>Tim Brown</v>
      </c>
      <c r="S45" s="178" t="str">
        <f>Input!BA40</f>
        <v>Oak</v>
      </c>
      <c r="T45" s="10" t="str">
        <f>Input!BB40</f>
        <v>WR</v>
      </c>
      <c r="U45" s="186">
        <f>Input!BC40</f>
        <v>36.698669950738918</v>
      </c>
      <c r="V45" s="180"/>
    </row>
    <row r="46" spans="1:22" x14ac:dyDescent="0.2">
      <c r="A46" s="185"/>
      <c r="B46" s="10">
        <v>3</v>
      </c>
      <c r="C46" s="178" t="str">
        <f>Input!AN5</f>
        <v>Shannon Sharpe</v>
      </c>
      <c r="D46" s="178" t="str">
        <f>Input!AO5</f>
        <v>Bal</v>
      </c>
      <c r="E46" s="186">
        <f>Input!AP5</f>
        <v>87.450909090909093</v>
      </c>
      <c r="F46" s="185"/>
      <c r="G46" s="10">
        <v>39</v>
      </c>
      <c r="H46" s="178" t="str">
        <f>Input!AF41</f>
        <v>Jonathan Linton</v>
      </c>
      <c r="I46" s="178" t="str">
        <f>Input!AG41</f>
        <v>Buf</v>
      </c>
      <c r="J46" s="186">
        <f>Input!AH41</f>
        <v>101.07867132867131</v>
      </c>
      <c r="K46" s="185"/>
      <c r="L46" s="10">
        <v>39</v>
      </c>
      <c r="M46" s="178" t="str">
        <f>Input!AJ41</f>
        <v>Bobby Engram</v>
      </c>
      <c r="N46" s="178" t="str">
        <f>Input!AK41</f>
        <v>Chi</v>
      </c>
      <c r="O46" s="186">
        <f>Input!AL41</f>
        <v>142.26890756302524</v>
      </c>
      <c r="P46" s="185"/>
      <c r="Q46" s="10">
        <v>39</v>
      </c>
      <c r="R46" s="178" t="str">
        <f>Input!AZ41</f>
        <v>Jeff Garcia</v>
      </c>
      <c r="S46" s="178" t="str">
        <f>Input!BA41</f>
        <v>SF</v>
      </c>
      <c r="T46" s="10" t="str">
        <f>Input!BB41</f>
        <v>QB</v>
      </c>
      <c r="U46" s="186">
        <f>Input!BC41</f>
        <v>36.260125886030949</v>
      </c>
      <c r="V46" s="180"/>
    </row>
    <row r="47" spans="1:22" x14ac:dyDescent="0.2">
      <c r="A47" s="185"/>
      <c r="B47" s="10">
        <v>4</v>
      </c>
      <c r="C47" s="178" t="str">
        <f>Input!AN6</f>
        <v>Freddie Jones</v>
      </c>
      <c r="D47" s="178" t="str">
        <f>Input!AO6</f>
        <v>SD</v>
      </c>
      <c r="E47" s="186">
        <f>Input!AP6</f>
        <v>87.290909090909111</v>
      </c>
      <c r="F47" s="185"/>
      <c r="G47" s="10">
        <v>40</v>
      </c>
      <c r="H47" s="178" t="str">
        <f>Input!AF42</f>
        <v>Chris Warren</v>
      </c>
      <c r="I47" s="178" t="str">
        <f>Input!AG42</f>
        <v>Dal</v>
      </c>
      <c r="J47" s="186">
        <f>Input!AH42</f>
        <v>93.928671328671314</v>
      </c>
      <c r="K47" s="185"/>
      <c r="L47" s="10">
        <v>40</v>
      </c>
      <c r="M47" s="178" t="str">
        <f>Input!AJ42</f>
        <v>Sean Dawkins</v>
      </c>
      <c r="N47" s="178" t="str">
        <f>Input!AK42</f>
        <v>Sea</v>
      </c>
      <c r="O47" s="186">
        <f>Input!AL42</f>
        <v>134.97268907563026</v>
      </c>
      <c r="P47" s="185"/>
      <c r="Q47" s="10">
        <v>40</v>
      </c>
      <c r="R47" s="178" t="str">
        <f>Input!AZ42</f>
        <v>Ed McCaffrey</v>
      </c>
      <c r="S47" s="178" t="str">
        <f>Input!BA42</f>
        <v>Den</v>
      </c>
      <c r="T47" s="10" t="str">
        <f>Input!BB42</f>
        <v>WR</v>
      </c>
      <c r="U47" s="186">
        <f>Input!BC42</f>
        <v>36.148669950738935</v>
      </c>
      <c r="V47" s="180"/>
    </row>
    <row r="48" spans="1:22" x14ac:dyDescent="0.2">
      <c r="A48" s="185"/>
      <c r="B48" s="10">
        <v>5</v>
      </c>
      <c r="C48" s="178" t="str">
        <f>Input!AN7</f>
        <v>Jay Riemersma</v>
      </c>
      <c r="D48" s="178" t="str">
        <f>Input!AO7</f>
        <v>Buf</v>
      </c>
      <c r="E48" s="186">
        <f>Input!AP7</f>
        <v>86.36363636363636</v>
      </c>
      <c r="F48" s="185"/>
      <c r="G48" s="10">
        <v>41</v>
      </c>
      <c r="H48" s="178" t="str">
        <f>Input!AF43</f>
        <v>Mike Cloud</v>
      </c>
      <c r="I48" s="178" t="str">
        <f>Input!AG43</f>
        <v>KC</v>
      </c>
      <c r="J48" s="186">
        <f>Input!AH43</f>
        <v>91.30244755244756</v>
      </c>
      <c r="K48" s="185"/>
      <c r="L48" s="10">
        <v>41</v>
      </c>
      <c r="M48" s="178" t="str">
        <f>Input!AJ43</f>
        <v>Qadry Ismail</v>
      </c>
      <c r="N48" s="178" t="str">
        <f>Input!AK43</f>
        <v>Bal</v>
      </c>
      <c r="O48" s="186">
        <f>Input!AL43</f>
        <v>133.72268907563026</v>
      </c>
      <c r="P48" s="185"/>
      <c r="Q48" s="10">
        <v>41</v>
      </c>
      <c r="R48" s="178" t="str">
        <f>Input!AZ43</f>
        <v>Muhsin Muhammad</v>
      </c>
      <c r="S48" s="178" t="str">
        <f>Input!BA43</f>
        <v>Car</v>
      </c>
      <c r="T48" s="10" t="str">
        <f>Input!BB43</f>
        <v>WR</v>
      </c>
      <c r="U48" s="186">
        <f>Input!BC43</f>
        <v>35.638669950738944</v>
      </c>
      <c r="V48" s="180"/>
    </row>
    <row r="49" spans="1:22" x14ac:dyDescent="0.2">
      <c r="A49" s="185"/>
      <c r="B49" s="10">
        <v>6</v>
      </c>
      <c r="C49" s="178" t="str">
        <f>Input!AN8</f>
        <v>Frank Wycheck</v>
      </c>
      <c r="D49" s="178" t="str">
        <f>Input!AO8</f>
        <v>Ten</v>
      </c>
      <c r="E49" s="186">
        <f>Input!AP8</f>
        <v>86.118181818181824</v>
      </c>
      <c r="F49" s="185"/>
      <c r="G49" s="10">
        <v>42</v>
      </c>
      <c r="H49" s="178" t="str">
        <f>Input!AF44</f>
        <v>Tiki Barber</v>
      </c>
      <c r="I49" s="178" t="str">
        <f>Input!AG44</f>
        <v>NYG</v>
      </c>
      <c r="J49" s="186">
        <f>Input!AH44</f>
        <v>88.316223776223765</v>
      </c>
      <c r="K49" s="185"/>
      <c r="L49" s="10">
        <v>42</v>
      </c>
      <c r="M49" s="178" t="str">
        <f>Input!AJ44</f>
        <v>Jerry Rice</v>
      </c>
      <c r="N49" s="178" t="str">
        <f>Input!AK44</f>
        <v>SF</v>
      </c>
      <c r="O49" s="186">
        <f>Input!AL44</f>
        <v>131.44655172413792</v>
      </c>
      <c r="P49" s="185"/>
      <c r="Q49" s="10">
        <v>42</v>
      </c>
      <c r="R49" s="178" t="str">
        <f>Input!AZ44</f>
        <v>Albert Connell</v>
      </c>
      <c r="S49" s="178" t="str">
        <f>Input!BA44</f>
        <v>Was</v>
      </c>
      <c r="T49" s="10" t="str">
        <f>Input!BB44</f>
        <v>WR</v>
      </c>
      <c r="U49" s="186">
        <f>Input!BC44</f>
        <v>35.064187192118254</v>
      </c>
      <c r="V49" s="180"/>
    </row>
    <row r="50" spans="1:22" x14ac:dyDescent="0.2">
      <c r="A50" s="185"/>
      <c r="B50" s="10">
        <v>7</v>
      </c>
      <c r="C50" s="178" t="str">
        <f>Input!AN9</f>
        <v>Rickey Dudley</v>
      </c>
      <c r="D50" s="178" t="str">
        <f>Input!AO9</f>
        <v>Oak</v>
      </c>
      <c r="E50" s="186">
        <f>Input!AP9</f>
        <v>85.11363636363636</v>
      </c>
      <c r="F50" s="185"/>
      <c r="G50" s="10">
        <v>43</v>
      </c>
      <c r="H50" s="178" t="str">
        <f>Input!AF45</f>
        <v>Natrone Means</v>
      </c>
      <c r="I50" s="178" t="str">
        <f>Input!AG45</f>
        <v>Car</v>
      </c>
      <c r="J50" s="186">
        <f>Input!AH45</f>
        <v>87.481118881118888</v>
      </c>
      <c r="K50" s="185"/>
      <c r="L50" s="10">
        <v>43</v>
      </c>
      <c r="M50" s="178" t="str">
        <f>Input!AJ45</f>
        <v>Johnnie Morton</v>
      </c>
      <c r="N50" s="178" t="str">
        <f>Input!AK45</f>
        <v>Det</v>
      </c>
      <c r="O50" s="186">
        <f>Input!AL45</f>
        <v>130.9951260504202</v>
      </c>
      <c r="P50" s="185"/>
      <c r="Q50" s="10">
        <v>43</v>
      </c>
      <c r="R50" s="178" t="str">
        <f>Input!AZ45</f>
        <v>Torry Holt</v>
      </c>
      <c r="S50" s="178" t="str">
        <f>Input!BA45</f>
        <v>StL</v>
      </c>
      <c r="T50" s="10" t="str">
        <f>Input!BB45</f>
        <v>WR</v>
      </c>
      <c r="U50" s="186">
        <f>Input!BC45</f>
        <v>34.268472906403957</v>
      </c>
      <c r="V50" s="180"/>
    </row>
    <row r="51" spans="1:22" x14ac:dyDescent="0.2">
      <c r="A51" s="185"/>
      <c r="B51" s="10">
        <v>8</v>
      </c>
      <c r="C51" s="178" t="str">
        <f>Input!AN10</f>
        <v>Pete Mitchell</v>
      </c>
      <c r="D51" s="178" t="str">
        <f>Input!AO10</f>
        <v>NYG</v>
      </c>
      <c r="E51" s="186">
        <f>Input!AP10</f>
        <v>77.840909090909108</v>
      </c>
      <c r="F51" s="185"/>
      <c r="G51" s="10">
        <v>44</v>
      </c>
      <c r="H51" s="178" t="str">
        <f>Input!AF46</f>
        <v>J.R. Redmond</v>
      </c>
      <c r="I51" s="178" t="str">
        <f>Input!AG46</f>
        <v>NE</v>
      </c>
      <c r="J51" s="186">
        <f>Input!AH46</f>
        <v>84.802447552447546</v>
      </c>
      <c r="K51" s="185"/>
      <c r="L51" s="10">
        <v>44</v>
      </c>
      <c r="M51" s="178" t="str">
        <f>Input!AJ46</f>
        <v>Oronde Gadsden</v>
      </c>
      <c r="N51" s="178" t="str">
        <f>Input!AK46</f>
        <v>Mia</v>
      </c>
      <c r="O51" s="186">
        <f>Input!AL46</f>
        <v>125.56890756302522</v>
      </c>
      <c r="P51" s="185"/>
      <c r="Q51" s="10">
        <v>44</v>
      </c>
      <c r="R51" s="178" t="str">
        <f>Input!AZ46</f>
        <v>Ricky Watters</v>
      </c>
      <c r="S51" s="178" t="str">
        <f>Input!BA46</f>
        <v>Sea</v>
      </c>
      <c r="T51" s="10" t="str">
        <f>Input!BB46</f>
        <v>RB</v>
      </c>
      <c r="U51" s="186">
        <f>Input!BC46</f>
        <v>30.909184149184085</v>
      </c>
      <c r="V51" s="180"/>
    </row>
    <row r="52" spans="1:22" x14ac:dyDescent="0.2">
      <c r="A52" s="185"/>
      <c r="B52" s="10">
        <v>9</v>
      </c>
      <c r="C52" s="178" t="str">
        <f>Input!AN11</f>
        <v>Bubba Franks</v>
      </c>
      <c r="D52" s="178" t="str">
        <f>Input!AO11</f>
        <v>GB</v>
      </c>
      <c r="E52" s="186">
        <f>Input!AP11</f>
        <v>69.490909090909099</v>
      </c>
      <c r="F52" s="185"/>
      <c r="G52" s="10">
        <v>45</v>
      </c>
      <c r="H52" s="178" t="str">
        <f>Input!AF47</f>
        <v>Larry Centers</v>
      </c>
      <c r="I52" s="178" t="str">
        <f>Input!AG47</f>
        <v>Was</v>
      </c>
      <c r="J52" s="186">
        <f>Input!AH47</f>
        <v>84.200000000000017</v>
      </c>
      <c r="K52" s="185"/>
      <c r="L52" s="10">
        <v>45</v>
      </c>
      <c r="M52" s="178" t="str">
        <f>Input!AJ47</f>
        <v>Jake Reed</v>
      </c>
      <c r="N52" s="178" t="str">
        <f>Input!AK47</f>
        <v>NO</v>
      </c>
      <c r="O52" s="186">
        <f>Input!AL47</f>
        <v>125.48890756302521</v>
      </c>
      <c r="P52" s="185"/>
      <c r="Q52" s="10">
        <v>45</v>
      </c>
      <c r="R52" s="178" t="str">
        <f>Input!AZ47</f>
        <v>Jeff Blake</v>
      </c>
      <c r="S52" s="178" t="str">
        <f>Input!BA47</f>
        <v>NO</v>
      </c>
      <c r="T52" s="10" t="str">
        <f>Input!BB47</f>
        <v>QB</v>
      </c>
      <c r="U52" s="186">
        <f>Input!BC47</f>
        <v>30.642700405484902</v>
      </c>
      <c r="V52" s="180"/>
    </row>
    <row r="53" spans="1:22" x14ac:dyDescent="0.2">
      <c r="A53" s="185"/>
      <c r="B53" s="10">
        <v>10</v>
      </c>
      <c r="C53" s="178" t="str">
        <f>Input!AN12</f>
        <v>Stephen Alexander</v>
      </c>
      <c r="D53" s="178" t="str">
        <f>Input!AO12</f>
        <v>Was</v>
      </c>
      <c r="E53" s="186">
        <f>Input!AP12</f>
        <v>61.658181818181831</v>
      </c>
      <c r="F53" s="185"/>
      <c r="G53" s="10">
        <v>46</v>
      </c>
      <c r="H53" s="178" t="str">
        <f>Input!AF48</f>
        <v>Olandis Gary</v>
      </c>
      <c r="I53" s="178" t="str">
        <f>Input!AG48</f>
        <v>Den</v>
      </c>
      <c r="J53" s="186">
        <f>Input!AH48</f>
        <v>82.328671328671319</v>
      </c>
      <c r="K53" s="185"/>
      <c r="L53" s="10">
        <v>46</v>
      </c>
      <c r="M53" s="178" t="str">
        <f>Input!AJ48</f>
        <v>Terrence Wilkins</v>
      </c>
      <c r="N53" s="178" t="str">
        <f>Input!AK48</f>
        <v>Ind</v>
      </c>
      <c r="O53" s="186">
        <f>Input!AL48</f>
        <v>117.72268907563026</v>
      </c>
      <c r="P53" s="185"/>
      <c r="Q53" s="10">
        <v>46</v>
      </c>
      <c r="R53" s="178" t="str">
        <f>Input!AZ48</f>
        <v>Terrell Owens</v>
      </c>
      <c r="S53" s="178" t="str">
        <f>Input!BA48</f>
        <v>SF</v>
      </c>
      <c r="T53" s="10" t="str">
        <f>Input!BB48</f>
        <v>WR</v>
      </c>
      <c r="U53" s="186">
        <f>Input!BC48</f>
        <v>27.59443929295864</v>
      </c>
      <c r="V53" s="180"/>
    </row>
    <row r="54" spans="1:22" x14ac:dyDescent="0.2">
      <c r="A54" s="185"/>
      <c r="B54" s="10">
        <v>11</v>
      </c>
      <c r="C54" s="178" t="str">
        <f>Input!AN13</f>
        <v>David Sloan</v>
      </c>
      <c r="D54" s="178" t="str">
        <f>Input!AO13</f>
        <v>Det</v>
      </c>
      <c r="E54" s="186">
        <f>Input!AP13</f>
        <v>59.01818181818183</v>
      </c>
      <c r="F54" s="185"/>
      <c r="G54" s="10">
        <v>47</v>
      </c>
      <c r="H54" s="178" t="str">
        <f>Input!AF49</f>
        <v>Donnell Bennett</v>
      </c>
      <c r="I54" s="178" t="str">
        <f>Input!AG49</f>
        <v>KC</v>
      </c>
      <c r="J54" s="186">
        <f>Input!AH49</f>
        <v>75.481118881118888</v>
      </c>
      <c r="K54" s="185"/>
      <c r="L54" s="10">
        <v>47</v>
      </c>
      <c r="M54" s="178" t="str">
        <f>Input!AJ49</f>
        <v>Jacquez Green</v>
      </c>
      <c r="N54" s="178" t="str">
        <f>Input!AK49</f>
        <v>TB</v>
      </c>
      <c r="O54" s="186">
        <f>Input!AL49</f>
        <v>115.76512605042018</v>
      </c>
      <c r="P54" s="185"/>
      <c r="Q54" s="10">
        <v>47</v>
      </c>
      <c r="R54" s="178" t="str">
        <f>Input!AZ49</f>
        <v>St. Louis Rams</v>
      </c>
      <c r="S54" s="178">
        <f>Input!BA49</f>
        <v>0</v>
      </c>
      <c r="T54" s="10" t="str">
        <f>Input!BB49</f>
        <v>ST</v>
      </c>
      <c r="U54" s="186">
        <f>Input!BC49</f>
        <v>26.100000000000009</v>
      </c>
      <c r="V54" s="180"/>
    </row>
    <row r="55" spans="1:22" x14ac:dyDescent="0.2">
      <c r="A55" s="185"/>
      <c r="B55" s="10">
        <v>12</v>
      </c>
      <c r="C55" s="178" t="str">
        <f>Input!AN14</f>
        <v>Ben Coates</v>
      </c>
      <c r="D55" s="178" t="str">
        <f>Input!AO14</f>
        <v>Bal</v>
      </c>
      <c r="E55" s="186">
        <f>Input!AP14</f>
        <v>58.418181818181829</v>
      </c>
      <c r="F55" s="185"/>
      <c r="G55" s="10">
        <v>48</v>
      </c>
      <c r="H55" s="178" t="str">
        <f>Input!AF50</f>
        <v>Terrell Fletcher</v>
      </c>
      <c r="I55" s="178" t="str">
        <f>Input!AG50</f>
        <v>SD</v>
      </c>
      <c r="J55" s="186">
        <f>Input!AH50</f>
        <v>73.172447552447537</v>
      </c>
      <c r="K55" s="185"/>
      <c r="L55" s="10">
        <v>48</v>
      </c>
      <c r="M55" s="178" t="str">
        <f>Input!AJ50</f>
        <v>Az-Zahir Hakim</v>
      </c>
      <c r="N55" s="178" t="str">
        <f>Input!AK50</f>
        <v>StL</v>
      </c>
      <c r="O55" s="186">
        <f>Input!AL50</f>
        <v>114.88571428571427</v>
      </c>
      <c r="P55" s="185"/>
      <c r="Q55" s="10">
        <v>48</v>
      </c>
      <c r="R55" s="178" t="str">
        <f>Input!AZ50</f>
        <v>Shannon Sharpe</v>
      </c>
      <c r="S55" s="178" t="str">
        <f>Input!BA50</f>
        <v>Bal</v>
      </c>
      <c r="T55" s="10" t="str">
        <f>Input!BB50</f>
        <v>TE</v>
      </c>
      <c r="U55" s="186">
        <f>Input!BC50</f>
        <v>26.075151515151511</v>
      </c>
      <c r="V55" s="180"/>
    </row>
    <row r="56" spans="1:22" x14ac:dyDescent="0.2">
      <c r="A56" s="185"/>
      <c r="B56" s="10">
        <v>13</v>
      </c>
      <c r="C56" s="178" t="str">
        <f>Input!AN15</f>
        <v>Marcus Pollard</v>
      </c>
      <c r="D56" s="178" t="str">
        <f>Input!AO15</f>
        <v>Ind</v>
      </c>
      <c r="E56" s="186">
        <f>Input!AP15</f>
        <v>55.618181818181824</v>
      </c>
      <c r="F56" s="185"/>
      <c r="G56" s="10">
        <v>49</v>
      </c>
      <c r="H56" s="178" t="str">
        <f>Input!AF51</f>
        <v>Robert Holcombe</v>
      </c>
      <c r="I56" s="178" t="str">
        <f>Input!AG51</f>
        <v>StL</v>
      </c>
      <c r="J56" s="186">
        <f>Input!AH51</f>
        <v>71.804895104895095</v>
      </c>
      <c r="K56" s="185"/>
      <c r="L56" s="10">
        <v>49</v>
      </c>
      <c r="M56" s="178" t="str">
        <f>Input!AJ51</f>
        <v>Charles Johnson</v>
      </c>
      <c r="N56" s="178" t="str">
        <f>Input!AK51</f>
        <v>Phi</v>
      </c>
      <c r="O56" s="186">
        <f>Input!AL51</f>
        <v>114.66890756302521</v>
      </c>
      <c r="P56" s="185"/>
      <c r="Q56" s="10">
        <v>49</v>
      </c>
      <c r="R56" s="178" t="str">
        <f>Input!AZ51</f>
        <v>Freddie Jones</v>
      </c>
      <c r="S56" s="178" t="str">
        <f>Input!BA51</f>
        <v>SD</v>
      </c>
      <c r="T56" s="10" t="str">
        <f>Input!BB51</f>
        <v>TE</v>
      </c>
      <c r="U56" s="186">
        <f>Input!BC51</f>
        <v>25.915151515151528</v>
      </c>
      <c r="V56" s="180"/>
    </row>
    <row r="57" spans="1:22" x14ac:dyDescent="0.2">
      <c r="A57" s="185"/>
      <c r="B57" s="10">
        <v>14</v>
      </c>
      <c r="C57" s="178" t="str">
        <f>Input!AN16</f>
        <v>Greg Clark</v>
      </c>
      <c r="D57" s="178" t="str">
        <f>Input!AO16</f>
        <v>SF</v>
      </c>
      <c r="E57" s="186">
        <f>Input!AP16</f>
        <v>54.945454545454552</v>
      </c>
      <c r="F57" s="185"/>
      <c r="G57" s="10">
        <v>50</v>
      </c>
      <c r="H57" s="178" t="str">
        <f>Input!AF52</f>
        <v>Stanley Pritchett</v>
      </c>
      <c r="I57" s="178" t="str">
        <f>Input!AG52</f>
        <v>Phi</v>
      </c>
      <c r="J57" s="186">
        <f>Input!AH52</f>
        <v>71.126223776223782</v>
      </c>
      <c r="K57" s="185"/>
      <c r="L57" s="10">
        <v>50</v>
      </c>
      <c r="M57" s="178" t="str">
        <f>Input!AJ52</f>
        <v>Shawn Jefferson</v>
      </c>
      <c r="N57" s="178" t="str">
        <f>Input!AK52</f>
        <v>Atl</v>
      </c>
      <c r="O57" s="186">
        <f>Input!AL52</f>
        <v>114.26890756302521</v>
      </c>
      <c r="P57" s="185"/>
      <c r="Q57" s="10">
        <v>50</v>
      </c>
      <c r="R57" s="178" t="str">
        <f>Input!AZ52</f>
        <v>Jamal Anderson</v>
      </c>
      <c r="S57" s="178" t="str">
        <f>Input!BA52</f>
        <v>Atl</v>
      </c>
      <c r="T57" s="10" t="str">
        <f>Input!BB52</f>
        <v>RB</v>
      </c>
      <c r="U57" s="186">
        <f>Input!BC52</f>
        <v>25.061631701631711</v>
      </c>
      <c r="V57" s="180"/>
    </row>
    <row r="58" spans="1:22" x14ac:dyDescent="0.2">
      <c r="A58" s="185"/>
      <c r="B58" s="10">
        <v>15</v>
      </c>
      <c r="C58" s="178" t="str">
        <f>Input!AN17</f>
        <v>Tony McGee</v>
      </c>
      <c r="D58" s="178" t="str">
        <f>Input!AO17</f>
        <v>Cin</v>
      </c>
      <c r="E58" s="186">
        <f>Input!AP17</f>
        <v>54.24545454545455</v>
      </c>
      <c r="F58" s="185"/>
      <c r="G58" s="10">
        <v>51</v>
      </c>
      <c r="H58" s="178" t="str">
        <f>Input!AF53</f>
        <v>Brandon Bennett</v>
      </c>
      <c r="I58" s="178" t="str">
        <f>Input!AG53</f>
        <v>Cin</v>
      </c>
      <c r="J58" s="186">
        <f>Input!AH53</f>
        <v>70.052447552447546</v>
      </c>
      <c r="K58" s="185"/>
      <c r="L58" s="10">
        <v>51</v>
      </c>
      <c r="M58" s="178" t="str">
        <f>Input!AJ53</f>
        <v>David Boston</v>
      </c>
      <c r="N58" s="178" t="str">
        <f>Input!AK53</f>
        <v>Ari</v>
      </c>
      <c r="O58" s="186">
        <f>Input!AL53</f>
        <v>109.66890756302521</v>
      </c>
      <c r="P58" s="185"/>
      <c r="Q58" s="10">
        <v>51</v>
      </c>
      <c r="R58" s="178" t="str">
        <f>Input!AZ53</f>
        <v>Raghib Ismail</v>
      </c>
      <c r="S58" s="178" t="str">
        <f>Input!BA53</f>
        <v>Dal</v>
      </c>
      <c r="T58" s="10" t="str">
        <f>Input!BB53</f>
        <v>WR</v>
      </c>
      <c r="U58" s="186">
        <f>Input!BC53</f>
        <v>25.027044334975386</v>
      </c>
      <c r="V58" s="180"/>
    </row>
    <row r="59" spans="1:22" x14ac:dyDescent="0.2">
      <c r="A59" s="185"/>
      <c r="B59" s="10">
        <v>16</v>
      </c>
      <c r="C59" s="178" t="str">
        <f>Input!AN18</f>
        <v>Ken Dilger</v>
      </c>
      <c r="D59" s="178" t="str">
        <f>Input!AO18</f>
        <v>Ind</v>
      </c>
      <c r="E59" s="186">
        <f>Input!AP18</f>
        <v>52.785454545454549</v>
      </c>
      <c r="F59" s="185"/>
      <c r="G59" s="10">
        <v>52</v>
      </c>
      <c r="H59" s="178" t="str">
        <f>Input!AF54</f>
        <v>Kevin Faulk</v>
      </c>
      <c r="I59" s="178" t="str">
        <f>Input!AG54</f>
        <v>NE</v>
      </c>
      <c r="J59" s="186">
        <f>Input!AH54</f>
        <v>65.876223776223767</v>
      </c>
      <c r="K59" s="185"/>
      <c r="L59" s="10">
        <v>52</v>
      </c>
      <c r="M59" s="178" t="str">
        <f>Input!AJ54</f>
        <v>Jeff Graham</v>
      </c>
      <c r="N59" s="178" t="str">
        <f>Input!AK54</f>
        <v>SD</v>
      </c>
      <c r="O59" s="186">
        <f>Input!AL54</f>
        <v>108.41512605042018</v>
      </c>
      <c r="P59" s="185"/>
      <c r="Q59" s="10">
        <v>52</v>
      </c>
      <c r="R59" s="178" t="str">
        <f>Input!AZ54</f>
        <v>Joey Galloway</v>
      </c>
      <c r="S59" s="178" t="str">
        <f>Input!BA54</f>
        <v>Dal</v>
      </c>
      <c r="T59" s="10" t="str">
        <f>Input!BB54</f>
        <v>WR</v>
      </c>
      <c r="U59" s="186">
        <f>Input!BC54</f>
        <v>25.014187192118271</v>
      </c>
      <c r="V59" s="180"/>
    </row>
    <row r="60" spans="1:22" x14ac:dyDescent="0.2">
      <c r="A60" s="185"/>
      <c r="B60" s="10">
        <v>17</v>
      </c>
      <c r="C60" s="178" t="str">
        <f>Input!AN19</f>
        <v>Christian Fauria</v>
      </c>
      <c r="D60" s="178" t="str">
        <f>Input!AO19</f>
        <v>Sea</v>
      </c>
      <c r="E60" s="186">
        <f>Input!AP19</f>
        <v>51.545454545454554</v>
      </c>
      <c r="F60" s="185"/>
      <c r="G60" s="10">
        <v>53</v>
      </c>
      <c r="H60" s="178" t="str">
        <f>Input!AF55</f>
        <v>Ron Rivers</v>
      </c>
      <c r="I60" s="178" t="str">
        <f>Input!AG55</f>
        <v>Atl</v>
      </c>
      <c r="J60" s="186">
        <f>Input!AH55</f>
        <v>65.352447552447558</v>
      </c>
      <c r="K60" s="185"/>
      <c r="L60" s="10">
        <v>53</v>
      </c>
      <c r="M60" s="178" t="str">
        <f>Input!AJ55</f>
        <v>Kevin Dyson</v>
      </c>
      <c r="N60" s="178" t="str">
        <f>Input!AK55</f>
        <v>Ten</v>
      </c>
      <c r="O60" s="186">
        <f>Input!AL55</f>
        <v>107.86890756302522</v>
      </c>
      <c r="P60" s="185"/>
      <c r="Q60" s="10">
        <v>53</v>
      </c>
      <c r="R60" s="178" t="str">
        <f>Input!AZ55</f>
        <v>Jerome Bettis</v>
      </c>
      <c r="S60" s="178" t="str">
        <f>Input!BA55</f>
        <v>Pit</v>
      </c>
      <c r="T60" s="10" t="str">
        <f>Input!BB55</f>
        <v>RB</v>
      </c>
      <c r="U60" s="186">
        <f>Input!BC55</f>
        <v>25.011631701631671</v>
      </c>
      <c r="V60" s="180"/>
    </row>
    <row r="61" spans="1:22" x14ac:dyDescent="0.2">
      <c r="A61" s="185"/>
      <c r="B61" s="10">
        <v>18</v>
      </c>
      <c r="C61" s="178" t="str">
        <f>Input!AN20</f>
        <v>Luther Broughton</v>
      </c>
      <c r="D61" s="178" t="str">
        <f>Input!AO20</f>
        <v>Phi</v>
      </c>
      <c r="E61" s="186">
        <f>Input!AP20</f>
        <v>50.618181818181824</v>
      </c>
      <c r="F61" s="185"/>
      <c r="G61" s="10">
        <v>54</v>
      </c>
      <c r="H61" s="178" t="str">
        <f>Input!AF56</f>
        <v>Adrian Murrell</v>
      </c>
      <c r="I61" s="178" t="str">
        <f>Input!AG56</f>
        <v>Was</v>
      </c>
      <c r="J61" s="186">
        <f>Input!AH56</f>
        <v>61.752447552447563</v>
      </c>
      <c r="K61" s="185"/>
      <c r="L61" s="10">
        <v>54</v>
      </c>
      <c r="M61" s="178" t="str">
        <f>Input!AJ56</f>
        <v>Curtis Conway</v>
      </c>
      <c r="N61" s="178" t="str">
        <f>Input!AK56</f>
        <v>SD</v>
      </c>
      <c r="O61" s="186">
        <f>Input!AL56</f>
        <v>107.45512605042018</v>
      </c>
      <c r="P61" s="185"/>
      <c r="Q61" s="10">
        <v>54</v>
      </c>
      <c r="R61" s="178" t="str">
        <f>Input!AZ56</f>
        <v>Jay Riemersma</v>
      </c>
      <c r="S61" s="178" t="str">
        <f>Input!BA56</f>
        <v>Buf</v>
      </c>
      <c r="T61" s="10" t="str">
        <f>Input!BB56</f>
        <v>TE</v>
      </c>
      <c r="U61" s="186">
        <f>Input!BC56</f>
        <v>24.987878787878778</v>
      </c>
      <c r="V61" s="180"/>
    </row>
    <row r="62" spans="1:22" x14ac:dyDescent="0.2">
      <c r="A62" s="185"/>
      <c r="B62" s="10">
        <v>19</v>
      </c>
      <c r="C62" s="178" t="str">
        <f>Input!AN21</f>
        <v>Byron Chamberlain</v>
      </c>
      <c r="D62" s="178" t="str">
        <f>Input!AO21</f>
        <v>Den</v>
      </c>
      <c r="E62" s="186">
        <f>Input!AP21</f>
        <v>49.74545454545455</v>
      </c>
      <c r="F62" s="185"/>
      <c r="G62" s="10">
        <v>55</v>
      </c>
      <c r="H62" s="178" t="str">
        <f>Input!AF57</f>
        <v>Rob Konrad</v>
      </c>
      <c r="I62" s="178" t="str">
        <f>Input!AG57</f>
        <v>Mia</v>
      </c>
      <c r="J62" s="186">
        <f>Input!AH57</f>
        <v>59.828671328671334</v>
      </c>
      <c r="K62" s="185"/>
      <c r="L62" s="10">
        <v>55</v>
      </c>
      <c r="M62" s="178" t="str">
        <f>Input!AJ57</f>
        <v>Darrin Chiaverini</v>
      </c>
      <c r="N62" s="178" t="str">
        <f>Input!AK57</f>
        <v>Cle</v>
      </c>
      <c r="O62" s="186">
        <f>Input!AL57</f>
        <v>105.41512605042018</v>
      </c>
      <c r="P62" s="185"/>
      <c r="Q62" s="10">
        <v>55</v>
      </c>
      <c r="R62" s="178" t="str">
        <f>Input!AZ57</f>
        <v>Mike Alstott</v>
      </c>
      <c r="S62" s="178" t="str">
        <f>Input!BA57</f>
        <v>TB</v>
      </c>
      <c r="T62" s="10" t="str">
        <f>Input!BB57</f>
        <v>RB</v>
      </c>
      <c r="U62" s="186">
        <f>Input!BC57</f>
        <v>24.887855477855538</v>
      </c>
      <c r="V62" s="180"/>
    </row>
    <row r="63" spans="1:22" x14ac:dyDescent="0.2">
      <c r="A63" s="185"/>
      <c r="B63" s="10">
        <v>20</v>
      </c>
      <c r="C63" s="178" t="str">
        <f>Input!AN22</f>
        <v>Andrew Glover</v>
      </c>
      <c r="D63" s="178" t="str">
        <f>Input!AO22</f>
        <v>NO</v>
      </c>
      <c r="E63" s="186">
        <f>Input!AP22</f>
        <v>45.49545454545455</v>
      </c>
      <c r="F63" s="185"/>
      <c r="G63" s="10">
        <v>56</v>
      </c>
      <c r="H63" s="178" t="str">
        <f>Input!AF58</f>
        <v>Tony Richardson</v>
      </c>
      <c r="I63" s="178" t="str">
        <f>Input!AG58</f>
        <v>KC</v>
      </c>
      <c r="J63" s="186">
        <f>Input!AH58</f>
        <v>59.452447552447559</v>
      </c>
      <c r="K63" s="185"/>
      <c r="L63" s="10">
        <v>56</v>
      </c>
      <c r="M63" s="178" t="str">
        <f>Input!AJ58</f>
        <v>Troy Edwards</v>
      </c>
      <c r="N63" s="178" t="str">
        <f>Input!AK58</f>
        <v>Pit</v>
      </c>
      <c r="O63" s="186">
        <f>Input!AL58</f>
        <v>104.81512605042019</v>
      </c>
      <c r="P63" s="185"/>
      <c r="Q63" s="10">
        <v>56</v>
      </c>
      <c r="R63" s="178" t="str">
        <f>Input!AZ58</f>
        <v>Frank Wycheck</v>
      </c>
      <c r="S63" s="178" t="str">
        <f>Input!BA58</f>
        <v>Ten</v>
      </c>
      <c r="T63" s="10" t="str">
        <f>Input!BB58</f>
        <v>TE</v>
      </c>
      <c r="U63" s="186">
        <f>Input!BC58</f>
        <v>24.742424242424242</v>
      </c>
      <c r="V63" s="180"/>
    </row>
    <row r="64" spans="1:22" x14ac:dyDescent="0.2">
      <c r="A64" s="185"/>
      <c r="B64" s="10">
        <v>21</v>
      </c>
      <c r="C64" s="178" t="str">
        <f>Input!AN23</f>
        <v>OJ Santiago</v>
      </c>
      <c r="D64" s="178" t="str">
        <f>Input!AO23</f>
        <v>Atl</v>
      </c>
      <c r="E64" s="186">
        <f>Input!AP23</f>
        <v>44.99545454545455</v>
      </c>
      <c r="F64" s="185"/>
      <c r="G64" s="10">
        <v>57</v>
      </c>
      <c r="H64" s="178" t="str">
        <f>Input!AF59</f>
        <v>James Allen</v>
      </c>
      <c r="I64" s="178" t="str">
        <f>Input!AG59</f>
        <v>Chi</v>
      </c>
      <c r="J64" s="186">
        <f>Input!AH59</f>
        <v>58.576223776223777</v>
      </c>
      <c r="K64" s="185"/>
      <c r="L64" s="10">
        <v>57</v>
      </c>
      <c r="M64" s="178" t="str">
        <f>Input!AJ59</f>
        <v>Herman Moore</v>
      </c>
      <c r="N64" s="178" t="str">
        <f>Input!AK59</f>
        <v>Det</v>
      </c>
      <c r="O64" s="186">
        <f>Input!AL59</f>
        <v>100.4651260504202</v>
      </c>
      <c r="P64" s="185"/>
      <c r="Q64" s="10">
        <v>57</v>
      </c>
      <c r="R64" s="178" t="str">
        <f>Input!AZ59</f>
        <v xml:space="preserve">Washington Redskins </v>
      </c>
      <c r="S64" s="178">
        <f>Input!BA59</f>
        <v>0</v>
      </c>
      <c r="T64" s="10" t="str">
        <f>Input!BB59</f>
        <v>ST</v>
      </c>
      <c r="U64" s="186">
        <f>Input!BC59</f>
        <v>23.759999999999991</v>
      </c>
      <c r="V64" s="180"/>
    </row>
    <row r="65" spans="1:22" x14ac:dyDescent="0.2">
      <c r="A65" s="185"/>
      <c r="B65" s="10">
        <v>22</v>
      </c>
      <c r="C65" s="178" t="str">
        <f>Input!AN24</f>
        <v>Jackie Harris</v>
      </c>
      <c r="D65" s="178" t="str">
        <f>Input!AO24</f>
        <v>Dal</v>
      </c>
      <c r="E65" s="186">
        <f>Input!AP24</f>
        <v>44.945454545454552</v>
      </c>
      <c r="F65" s="185"/>
      <c r="G65" s="10">
        <v>58</v>
      </c>
      <c r="H65" s="178" t="str">
        <f>Input!AF60</f>
        <v>Shawn Bryson</v>
      </c>
      <c r="I65" s="178" t="str">
        <f>Input!AG60</f>
        <v>Buf</v>
      </c>
      <c r="J65" s="186">
        <f>Input!AH60</f>
        <v>57.828671328671334</v>
      </c>
      <c r="K65" s="185"/>
      <c r="L65" s="10">
        <v>58</v>
      </c>
      <c r="M65" s="178" t="str">
        <f>Input!AJ60</f>
        <v>Carl Pickens</v>
      </c>
      <c r="N65" s="178" t="str">
        <f>Input!AK60</f>
        <v>Ten</v>
      </c>
      <c r="O65" s="186">
        <f>Input!AL60</f>
        <v>97.418907563025215</v>
      </c>
      <c r="P65" s="185"/>
      <c r="Q65" s="10">
        <v>58</v>
      </c>
      <c r="R65" s="178" t="str">
        <f>Input!AZ60</f>
        <v>Rickey Dudley</v>
      </c>
      <c r="S65" s="178" t="str">
        <f>Input!BA60</f>
        <v>Oak</v>
      </c>
      <c r="T65" s="10" t="str">
        <f>Input!BB60</f>
        <v>TE</v>
      </c>
      <c r="U65" s="186">
        <f>Input!BC60</f>
        <v>23.737878787878778</v>
      </c>
      <c r="V65" s="180"/>
    </row>
    <row r="66" spans="1:22" x14ac:dyDescent="0.2">
      <c r="A66" s="185"/>
      <c r="B66" s="10">
        <v>23</v>
      </c>
      <c r="C66" s="178" t="str">
        <f>Input!AN25</f>
        <v>Roland Williams</v>
      </c>
      <c r="D66" s="178" t="str">
        <f>Input!AO25</f>
        <v>StL</v>
      </c>
      <c r="E66" s="186">
        <f>Input!AP25</f>
        <v>38.618181818181824</v>
      </c>
      <c r="F66" s="185"/>
      <c r="G66" s="10">
        <v>59</v>
      </c>
      <c r="H66" s="178" t="str">
        <f>Input!AF61</f>
        <v>Byron Hanspard</v>
      </c>
      <c r="I66" s="178" t="str">
        <f>Input!AG61</f>
        <v>Atl</v>
      </c>
      <c r="J66" s="186">
        <f>Input!AH61</f>
        <v>56.476223776223783</v>
      </c>
      <c r="K66" s="185"/>
      <c r="L66" s="10">
        <v>59</v>
      </c>
      <c r="M66" s="178" t="str">
        <f>Input!AJ61</f>
        <v>Jermaine Lewis</v>
      </c>
      <c r="N66" s="178" t="str">
        <f>Input!AK61</f>
        <v>Bal</v>
      </c>
      <c r="O66" s="186">
        <f>Input!AL61</f>
        <v>92.56512605042019</v>
      </c>
      <c r="P66" s="185"/>
      <c r="Q66" s="10">
        <v>59</v>
      </c>
      <c r="R66" s="178" t="str">
        <f>Input!AZ61</f>
        <v>Steve Beuerlein</v>
      </c>
      <c r="S66" s="178" t="str">
        <f>Input!BA61</f>
        <v>Car</v>
      </c>
      <c r="T66" s="10" t="str">
        <f>Input!BB61</f>
        <v>QB</v>
      </c>
      <c r="U66" s="186">
        <f>Input!BC61</f>
        <v>23.476777571424179</v>
      </c>
      <c r="V66" s="180"/>
    </row>
    <row r="67" spans="1:22" x14ac:dyDescent="0.2">
      <c r="A67" s="185"/>
      <c r="B67" s="10">
        <v>24</v>
      </c>
      <c r="C67" s="178" t="str">
        <f>Input!AN26</f>
        <v>Anthony Becht</v>
      </c>
      <c r="D67" s="178" t="str">
        <f>Input!AO26</f>
        <v>NYJ</v>
      </c>
      <c r="E67" s="186">
        <f>Input!AP26</f>
        <v>36.945454545454552</v>
      </c>
      <c r="F67" s="185"/>
      <c r="G67" s="10">
        <v>60</v>
      </c>
      <c r="H67" s="178" t="str">
        <f>Input!AF62</f>
        <v>Terry Kirby</v>
      </c>
      <c r="I67" s="178" t="str">
        <f>Input!AG62</f>
        <v>Cle</v>
      </c>
      <c r="J67" s="186">
        <f>Input!AH62</f>
        <v>56.076223776223785</v>
      </c>
      <c r="K67" s="185"/>
      <c r="L67" s="10">
        <v>60</v>
      </c>
      <c r="M67" s="178" t="str">
        <f>Input!AJ62</f>
        <v>Torrance Small</v>
      </c>
      <c r="N67" s="178" t="str">
        <f>Input!AK62</f>
        <v>Phi</v>
      </c>
      <c r="O67" s="186">
        <f>Input!AL62</f>
        <v>92.361344537815128</v>
      </c>
      <c r="P67" s="185"/>
      <c r="Q67" s="10">
        <v>60</v>
      </c>
      <c r="R67" s="178" t="str">
        <f>Input!AZ62</f>
        <v xml:space="preserve">Baltimore Ravens </v>
      </c>
      <c r="S67" s="178">
        <f>Input!BA62</f>
        <v>0</v>
      </c>
      <c r="T67" s="10" t="str">
        <f>Input!BB62</f>
        <v>ST</v>
      </c>
      <c r="U67" s="186">
        <f>Input!BC62</f>
        <v>22.78</v>
      </c>
      <c r="V67" s="180"/>
    </row>
    <row r="68" spans="1:22" x14ac:dyDescent="0.2">
      <c r="A68" s="185"/>
      <c r="B68" s="10">
        <v>25</v>
      </c>
      <c r="C68" s="178" t="str">
        <f>Input!AN27</f>
        <v>Billy Miller</v>
      </c>
      <c r="D68" s="178" t="str">
        <f>Input!AO27</f>
        <v>Den</v>
      </c>
      <c r="E68" s="186">
        <f>Input!AP27</f>
        <v>36.372727272727268</v>
      </c>
      <c r="F68" s="185"/>
      <c r="G68" s="10">
        <v>61</v>
      </c>
      <c r="H68" s="178" t="str">
        <f>Input!AF63</f>
        <v>Thurman Thomas</v>
      </c>
      <c r="I68" s="178" t="str">
        <f>Input!AG63</f>
        <v>Mia</v>
      </c>
      <c r="J68" s="186">
        <f>Input!AH63</f>
        <v>55.52622377622378</v>
      </c>
      <c r="K68" s="185"/>
      <c r="L68" s="10">
        <v>61</v>
      </c>
      <c r="M68" s="178" t="str">
        <f>Input!AJ63</f>
        <v>Keith Poole</v>
      </c>
      <c r="N68" s="178" t="str">
        <f>Input!AK63</f>
        <v>NO</v>
      </c>
      <c r="O68" s="186">
        <f>Input!AL63</f>
        <v>90.711344537815123</v>
      </c>
      <c r="P68" s="185"/>
      <c r="Q68" s="10">
        <v>61</v>
      </c>
      <c r="R68" s="178" t="str">
        <f>Input!AZ63</f>
        <v>Peter Warrick</v>
      </c>
      <c r="S68" s="178" t="str">
        <f>Input!BA63</f>
        <v>Cin</v>
      </c>
      <c r="T68" s="10" t="str">
        <f>Input!BB63</f>
        <v>WR</v>
      </c>
      <c r="U68" s="186">
        <f>Input!BC63</f>
        <v>22.686876267748488</v>
      </c>
      <c r="V68" s="180"/>
    </row>
    <row r="69" spans="1:22" x14ac:dyDescent="0.2">
      <c r="A69" s="185"/>
      <c r="B69" s="10">
        <v>26</v>
      </c>
      <c r="C69" s="178" t="str">
        <f>Input!AN28</f>
        <v>David LaFleur</v>
      </c>
      <c r="D69" s="178" t="str">
        <f>Input!AO28</f>
        <v>Dal</v>
      </c>
      <c r="E69" s="186">
        <f>Input!AP28</f>
        <v>36.24545454545455</v>
      </c>
      <c r="F69" s="185"/>
      <c r="G69" s="10">
        <v>62</v>
      </c>
      <c r="H69" s="178" t="str">
        <f>Input!AF64</f>
        <v>Curtis Keaton</v>
      </c>
      <c r="I69" s="178" t="str">
        <f>Input!AG64</f>
        <v>Cin</v>
      </c>
      <c r="J69" s="186">
        <f>Input!AH64</f>
        <v>52.976223776223776</v>
      </c>
      <c r="K69" s="185"/>
      <c r="L69" s="10">
        <v>62</v>
      </c>
      <c r="M69" s="178" t="str">
        <f>Input!AJ64</f>
        <v>Frank Sanders</v>
      </c>
      <c r="N69" s="178" t="str">
        <f>Input!AK64</f>
        <v>Ari</v>
      </c>
      <c r="O69" s="186">
        <f>Input!AL64</f>
        <v>89.861344537815128</v>
      </c>
      <c r="P69" s="185"/>
      <c r="Q69" s="10">
        <v>62</v>
      </c>
      <c r="R69" s="178" t="str">
        <f>Input!AZ64</f>
        <v>Keyshawn Johnson</v>
      </c>
      <c r="S69" s="178" t="str">
        <f>Input!BA64</f>
        <v>TB</v>
      </c>
      <c r="T69" s="10" t="str">
        <f>Input!BB64</f>
        <v>WR</v>
      </c>
      <c r="U69" s="186">
        <f>Input!BC64</f>
        <v>22.518669950738939</v>
      </c>
      <c r="V69" s="180"/>
    </row>
    <row r="70" spans="1:22" x14ac:dyDescent="0.2">
      <c r="A70" s="185"/>
      <c r="B70" s="10">
        <v>27</v>
      </c>
      <c r="C70" s="178" t="str">
        <f>Input!AN29</f>
        <v>Damon Jones</v>
      </c>
      <c r="D70" s="178" t="str">
        <f>Input!AO29</f>
        <v>Jac</v>
      </c>
      <c r="E70" s="186">
        <f>Input!AP29</f>
        <v>34.985454545454552</v>
      </c>
      <c r="F70" s="185"/>
      <c r="G70" s="10">
        <v>63</v>
      </c>
      <c r="H70" s="178" t="str">
        <f>Input!AF65</f>
        <v>Karim Abdul-Jabbar</v>
      </c>
      <c r="I70" s="178" t="str">
        <f>Input!AG65</f>
        <v>Ind</v>
      </c>
      <c r="J70" s="186">
        <f>Input!AH65</f>
        <v>50.252447552447549</v>
      </c>
      <c r="K70" s="185"/>
      <c r="L70" s="10">
        <v>63</v>
      </c>
      <c r="M70" s="178" t="str">
        <f>Input!AJ65</f>
        <v>Corey Bradford</v>
      </c>
      <c r="N70" s="178" t="str">
        <f>Input!AK65</f>
        <v>GB</v>
      </c>
      <c r="O70" s="186">
        <f>Input!AL65</f>
        <v>88.615126050420201</v>
      </c>
      <c r="P70" s="185"/>
      <c r="Q70" s="10">
        <v>63</v>
      </c>
      <c r="R70" s="178" t="str">
        <f>Input!AZ65</f>
        <v>Patrick Jeffers</v>
      </c>
      <c r="S70" s="178" t="str">
        <f>Input!BA65</f>
        <v>Car</v>
      </c>
      <c r="T70" s="10" t="str">
        <f>Input!BB65</f>
        <v>WR</v>
      </c>
      <c r="U70" s="186">
        <f>Input!BC65</f>
        <v>22.007044334975404</v>
      </c>
      <c r="V70" s="180"/>
    </row>
    <row r="71" spans="1:22" x14ac:dyDescent="0.2">
      <c r="A71" s="185"/>
      <c r="B71" s="10">
        <v>28</v>
      </c>
      <c r="C71" s="178" t="str">
        <f>Input!AN30</f>
        <v>Dave Moore</v>
      </c>
      <c r="D71" s="178" t="str">
        <f>Input!AO30</f>
        <v>TB</v>
      </c>
      <c r="E71" s="186">
        <f>Input!AP30</f>
        <v>30.245454545454542</v>
      </c>
      <c r="F71" s="185"/>
      <c r="G71" s="10">
        <v>64</v>
      </c>
      <c r="H71" s="178" t="str">
        <f>Input!AF66</f>
        <v>Chris Howard</v>
      </c>
      <c r="I71" s="178" t="str">
        <f>Input!AG66</f>
        <v>Jac</v>
      </c>
      <c r="J71" s="186">
        <f>Input!AH66</f>
        <v>48.05244755244756</v>
      </c>
      <c r="K71" s="185"/>
      <c r="L71" s="10">
        <v>64</v>
      </c>
      <c r="M71" s="178" t="str">
        <f>Input!AJ66</f>
        <v>Donald Hayes</v>
      </c>
      <c r="N71" s="178" t="str">
        <f>Input!AK66</f>
        <v>Car</v>
      </c>
      <c r="O71" s="186">
        <f>Input!AL66</f>
        <v>88.361344537815128</v>
      </c>
      <c r="P71" s="185"/>
      <c r="Q71" s="10">
        <v>64</v>
      </c>
      <c r="R71" s="178" t="str">
        <f>Input!AZ66</f>
        <v>Rob Moore</v>
      </c>
      <c r="S71" s="178" t="str">
        <f>Input!BA66</f>
        <v>Ari</v>
      </c>
      <c r="T71" s="10" t="str">
        <f>Input!BB66</f>
        <v>WR</v>
      </c>
      <c r="U71" s="186">
        <f>Input!BC66</f>
        <v>21.61935960591137</v>
      </c>
      <c r="V71" s="180"/>
    </row>
    <row r="72" spans="1:22" x14ac:dyDescent="0.2">
      <c r="A72" s="185"/>
      <c r="B72" s="10">
        <v>29</v>
      </c>
      <c r="C72" s="178" t="str">
        <f>Input!AN31</f>
        <v>Chris Gedney</v>
      </c>
      <c r="D72" s="178" t="str">
        <f>Input!AO31</f>
        <v>Ari</v>
      </c>
      <c r="E72" s="186">
        <f>Input!AP31</f>
        <v>29.872727272727275</v>
      </c>
      <c r="F72" s="185"/>
      <c r="G72" s="10">
        <v>65</v>
      </c>
      <c r="H72" s="178" t="str">
        <f>Input!AF67</f>
        <v>Trung Canidate</v>
      </c>
      <c r="I72" s="178" t="str">
        <f>Input!AG67</f>
        <v>StL</v>
      </c>
      <c r="J72" s="186">
        <f>Input!AH67</f>
        <v>46.752447552447563</v>
      </c>
      <c r="K72" s="185"/>
      <c r="L72" s="10">
        <v>65</v>
      </c>
      <c r="M72" s="178" t="str">
        <f>Input!AJ67</f>
        <v>Dedric Ward</v>
      </c>
      <c r="N72" s="178" t="str">
        <f>Input!AK67</f>
        <v>NYJ</v>
      </c>
      <c r="O72" s="186">
        <f>Input!AL67</f>
        <v>88.161344537815125</v>
      </c>
      <c r="P72" s="185"/>
      <c r="Q72" s="10">
        <v>65</v>
      </c>
      <c r="R72" s="178" t="str">
        <f>Input!AZ67</f>
        <v>Rich Gannon</v>
      </c>
      <c r="S72" s="178" t="str">
        <f>Input!BA67</f>
        <v>Oak</v>
      </c>
      <c r="T72" s="10" t="str">
        <f>Input!BB67</f>
        <v>QB</v>
      </c>
      <c r="U72" s="186">
        <f>Input!BC67</f>
        <v>21.600512808392978</v>
      </c>
      <c r="V72" s="180"/>
    </row>
    <row r="73" spans="1:22" x14ac:dyDescent="0.2">
      <c r="A73" s="185"/>
      <c r="B73" s="10">
        <v>30</v>
      </c>
      <c r="C73" s="178" t="str">
        <f>Input!AN32</f>
        <v>Jimmy Kleinsasser</v>
      </c>
      <c r="D73" s="178" t="str">
        <f>Input!AO32</f>
        <v>Min</v>
      </c>
      <c r="E73" s="186">
        <f>Input!AP32</f>
        <v>28.145454545454541</v>
      </c>
      <c r="F73" s="185"/>
      <c r="G73" s="10">
        <v>66</v>
      </c>
      <c r="H73" s="178" t="str">
        <f>Input!AF68</f>
        <v>William Floyd</v>
      </c>
      <c r="I73" s="178" t="str">
        <f>Input!AG68</f>
        <v>Car</v>
      </c>
      <c r="J73" s="186">
        <f>Input!AH68</f>
        <v>45.052447552447546</v>
      </c>
      <c r="K73" s="185"/>
      <c r="L73" s="10">
        <v>66</v>
      </c>
      <c r="M73" s="178" t="str">
        <f>Input!AJ68</f>
        <v>James Jett</v>
      </c>
      <c r="N73" s="178" t="str">
        <f>Input!AK68</f>
        <v>Oak</v>
      </c>
      <c r="O73" s="186">
        <f>Input!AL68</f>
        <v>87.821428571428584</v>
      </c>
      <c r="P73" s="185"/>
      <c r="Q73" s="10">
        <v>66</v>
      </c>
      <c r="R73" s="178" t="str">
        <f>Input!AZ68</f>
        <v>Derrick Mayes</v>
      </c>
      <c r="S73" s="178" t="str">
        <f>Input!BA68</f>
        <v>Sea</v>
      </c>
      <c r="T73" s="10" t="str">
        <f>Input!BB68</f>
        <v>WR</v>
      </c>
      <c r="U73" s="186">
        <f>Input!BC68</f>
        <v>20.419359605911382</v>
      </c>
      <c r="V73" s="180"/>
    </row>
    <row r="74" spans="1:22" x14ac:dyDescent="0.2">
      <c r="A74" s="185"/>
      <c r="B74" s="10">
        <v>31</v>
      </c>
      <c r="C74" s="178" t="str">
        <f>Input!AN33</f>
        <v>Kyle Brady</v>
      </c>
      <c r="D74" s="178" t="str">
        <f>Input!AO33</f>
        <v>Jac</v>
      </c>
      <c r="E74" s="186">
        <f>Input!AP33</f>
        <v>27.672727272727276</v>
      </c>
      <c r="F74" s="185"/>
      <c r="G74" s="10">
        <v>67</v>
      </c>
      <c r="H74" s="178" t="str">
        <f>Input!AF69</f>
        <v>Bernie Parmalee</v>
      </c>
      <c r="I74" s="178" t="str">
        <f>Input!AG69</f>
        <v>NYJ</v>
      </c>
      <c r="J74" s="186">
        <f>Input!AH69</f>
        <v>44.776223776223773</v>
      </c>
      <c r="K74" s="185"/>
      <c r="L74" s="10">
        <v>67</v>
      </c>
      <c r="M74" s="178" t="str">
        <f>Input!AJ69</f>
        <v>Tony Simmons</v>
      </c>
      <c r="N74" s="178" t="str">
        <f>Input!AK69</f>
        <v>NE</v>
      </c>
      <c r="O74" s="186">
        <f>Input!AL69</f>
        <v>86.071428571428584</v>
      </c>
      <c r="P74" s="185"/>
      <c r="Q74" s="10">
        <v>67</v>
      </c>
      <c r="R74" s="178" t="str">
        <f>Input!AZ69</f>
        <v>Tim Biakabutuka</v>
      </c>
      <c r="S74" s="178" t="str">
        <f>Input!BA69</f>
        <v>Car</v>
      </c>
      <c r="T74" s="10" t="str">
        <f>Input!BB69</f>
        <v>RB</v>
      </c>
      <c r="U74" s="186">
        <f>Input!BC69</f>
        <v>20.332960372960429</v>
      </c>
      <c r="V74" s="180"/>
    </row>
    <row r="75" spans="1:22" x14ac:dyDescent="0.2">
      <c r="A75" s="185"/>
      <c r="B75" s="10">
        <v>32</v>
      </c>
      <c r="C75" s="178" t="str">
        <f>Input!AN34</f>
        <v>Terry Hardy</v>
      </c>
      <c r="D75" s="178" t="str">
        <f>Input!AO34</f>
        <v>Ari</v>
      </c>
      <c r="E75" s="186">
        <f>Input!AP34</f>
        <v>26.872727272727275</v>
      </c>
      <c r="F75" s="185"/>
      <c r="G75" s="10">
        <v>68</v>
      </c>
      <c r="H75" s="178" t="str">
        <f>Input!AF70</f>
        <v>Sedrick Irvin</v>
      </c>
      <c r="I75" s="178" t="str">
        <f>Input!AG70</f>
        <v>Det</v>
      </c>
      <c r="J75" s="186">
        <f>Input!AH70</f>
        <v>43.176223776223779</v>
      </c>
      <c r="K75" s="185"/>
      <c r="L75" s="10">
        <v>68</v>
      </c>
      <c r="M75" s="178" t="str">
        <f>Input!AJ70</f>
        <v>Kevin Lockett</v>
      </c>
      <c r="N75" s="178" t="str">
        <f>Input!AK70</f>
        <v>KC</v>
      </c>
      <c r="O75" s="186">
        <f>Input!AL70</f>
        <v>83.861344537815128</v>
      </c>
      <c r="P75" s="185"/>
      <c r="Q75" s="10">
        <v>68</v>
      </c>
      <c r="R75" s="178" t="str">
        <f>Input!AZ70</f>
        <v>Errict Rhett</v>
      </c>
      <c r="S75" s="178" t="str">
        <f>Input!BA70</f>
        <v>Cle</v>
      </c>
      <c r="T75" s="10" t="str">
        <f>Input!BB70</f>
        <v>RB</v>
      </c>
      <c r="U75" s="186">
        <f>Input!BC70</f>
        <v>17.661631701631705</v>
      </c>
      <c r="V75" s="180"/>
    </row>
    <row r="76" spans="1:22" x14ac:dyDescent="0.2">
      <c r="A76" s="185"/>
      <c r="B76" s="10">
        <v>33</v>
      </c>
      <c r="C76" s="178" t="str">
        <f>Input!AN35</f>
        <v>Marco Battaglia</v>
      </c>
      <c r="D76" s="178" t="str">
        <f>Input!AO35</f>
        <v>Cin</v>
      </c>
      <c r="E76" s="186">
        <f>Input!AP35</f>
        <v>26.272727272727277</v>
      </c>
      <c r="F76" s="185"/>
      <c r="G76" s="10">
        <v>69</v>
      </c>
      <c r="H76" s="178" t="str">
        <f>Input!AF71</f>
        <v>Terry Jackson</v>
      </c>
      <c r="I76" s="178" t="str">
        <f>Input!AG71</f>
        <v>SF</v>
      </c>
      <c r="J76" s="186">
        <f>Input!AH71</f>
        <v>41.476223776223776</v>
      </c>
      <c r="K76" s="185"/>
      <c r="L76" s="10">
        <v>69</v>
      </c>
      <c r="M76" s="178" t="str">
        <f>Input!AJ71</f>
        <v>O.J. McDuffie</v>
      </c>
      <c r="N76" s="178" t="str">
        <f>Input!AK71</f>
        <v>Mia</v>
      </c>
      <c r="O76" s="186">
        <f>Input!AL71</f>
        <v>81.111344537815114</v>
      </c>
      <c r="P76" s="185"/>
      <c r="Q76" s="10">
        <v>69</v>
      </c>
      <c r="R76" s="178" t="str">
        <f>Input!AZ71</f>
        <v>Terance Mathis</v>
      </c>
      <c r="S76" s="178" t="str">
        <f>Input!BA71</f>
        <v>Atl</v>
      </c>
      <c r="T76" s="10" t="str">
        <f>Input!BB71</f>
        <v>WR</v>
      </c>
      <c r="U76" s="186">
        <f>Input!BC71</f>
        <v>16.844439292958583</v>
      </c>
      <c r="V76" s="180"/>
    </row>
    <row r="77" spans="1:22" x14ac:dyDescent="0.2">
      <c r="A77" s="185"/>
      <c r="B77" s="10">
        <v>34</v>
      </c>
      <c r="C77" s="178" t="str">
        <f>Input!AN36</f>
        <v>Mark Campbell</v>
      </c>
      <c r="D77" s="178" t="str">
        <f>Input!AO36</f>
        <v>Cle</v>
      </c>
      <c r="E77" s="186">
        <f>Input!AP36</f>
        <v>24.872727272727275</v>
      </c>
      <c r="F77" s="185"/>
      <c r="G77" s="10">
        <v>70</v>
      </c>
      <c r="H77" s="178" t="str">
        <f>Input!AF72</f>
        <v>Lamar Smith</v>
      </c>
      <c r="I77" s="178" t="str">
        <f>Input!AG72</f>
        <v>Mia</v>
      </c>
      <c r="J77" s="186">
        <f>Input!AH72</f>
        <v>40.526223776223773</v>
      </c>
      <c r="K77" s="185"/>
      <c r="L77" s="10">
        <v>70</v>
      </c>
      <c r="M77" s="178" t="str">
        <f>Input!AJ72</f>
        <v>Craig Yeast</v>
      </c>
      <c r="N77" s="178" t="str">
        <f>Input!AK72</f>
        <v>Cin</v>
      </c>
      <c r="O77" s="186">
        <f>Input!AL72</f>
        <v>80.861344537815128</v>
      </c>
      <c r="P77" s="185"/>
      <c r="Q77" s="10">
        <v>70</v>
      </c>
      <c r="R77" s="178" t="str">
        <f>Input!AZ72</f>
        <v>Pete Mitchell</v>
      </c>
      <c r="S77" s="178" t="str">
        <f>Input!BA72</f>
        <v>NYG</v>
      </c>
      <c r="T77" s="10" t="str">
        <f>Input!BB72</f>
        <v>TE</v>
      </c>
      <c r="U77" s="186">
        <f>Input!BC72</f>
        <v>16.465151515151526</v>
      </c>
      <c r="V77" s="180"/>
    </row>
    <row r="78" spans="1:22" ht="13.2" x14ac:dyDescent="0.25">
      <c r="A78" s="185"/>
      <c r="B78" s="181" t="s">
        <v>3</v>
      </c>
      <c r="C78" s="182"/>
      <c r="D78" s="181"/>
      <c r="E78" s="183" t="s">
        <v>78</v>
      </c>
      <c r="F78" s="185"/>
      <c r="G78" s="181" t="s">
        <v>79</v>
      </c>
      <c r="H78" s="182"/>
      <c r="I78" s="182"/>
      <c r="J78" s="183" t="s">
        <v>4</v>
      </c>
      <c r="K78" s="185"/>
      <c r="L78" s="10">
        <v>71</v>
      </c>
      <c r="M78" s="178" t="str">
        <f>Input!AJ73</f>
        <v>Yancey Thigpen</v>
      </c>
      <c r="N78" s="178" t="str">
        <f>Input!AK73</f>
        <v>Ten</v>
      </c>
      <c r="O78" s="186">
        <f>Input!AL73</f>
        <v>77.861344537815114</v>
      </c>
      <c r="P78" s="185"/>
      <c r="Q78" s="181" t="s">
        <v>80</v>
      </c>
      <c r="R78" s="181"/>
      <c r="S78" s="181"/>
      <c r="T78" s="181"/>
      <c r="U78" s="183" t="s">
        <v>4</v>
      </c>
      <c r="V78" s="180"/>
    </row>
    <row r="79" spans="1:22" x14ac:dyDescent="0.2">
      <c r="A79" s="185"/>
      <c r="B79" s="178" t="s">
        <v>81</v>
      </c>
      <c r="E79" s="10">
        <v>3</v>
      </c>
      <c r="F79" s="185"/>
      <c r="G79" s="10">
        <v>1</v>
      </c>
      <c r="H79" s="178" t="str">
        <f>Input!AR3</f>
        <v>Mike Vanderjagt</v>
      </c>
      <c r="I79" s="178" t="str">
        <f>Input!AS3</f>
        <v>Ind</v>
      </c>
      <c r="J79" s="186">
        <f>Input!AT3</f>
        <v>133.29674185463659</v>
      </c>
      <c r="K79" s="185"/>
      <c r="L79" s="10">
        <v>72</v>
      </c>
      <c r="M79" s="178" t="str">
        <f>Input!AJ74</f>
        <v>Marty Booker</v>
      </c>
      <c r="N79" s="178" t="str">
        <f>Input!AK74</f>
        <v>Chi</v>
      </c>
      <c r="O79" s="186">
        <f>Input!AL74</f>
        <v>74.911344537815111</v>
      </c>
      <c r="P79" s="185"/>
      <c r="Q79" s="10">
        <v>1</v>
      </c>
      <c r="R79" s="178" t="str">
        <f>Input!AV3</f>
        <v>St. Louis Rams</v>
      </c>
      <c r="S79" s="178">
        <f>[1]Inputs!$AF102</f>
        <v>0</v>
      </c>
      <c r="U79" s="186">
        <f>Input!AW3</f>
        <v>87.320000000000007</v>
      </c>
      <c r="V79" s="180"/>
    </row>
    <row r="80" spans="1:22" x14ac:dyDescent="0.2">
      <c r="A80" s="185"/>
      <c r="B80" s="178" t="s">
        <v>82</v>
      </c>
      <c r="E80" s="10">
        <v>15</v>
      </c>
      <c r="F80" s="185"/>
      <c r="G80" s="10">
        <v>2</v>
      </c>
      <c r="H80" s="178" t="str">
        <f>Input!AR4</f>
        <v>Brett Conway</v>
      </c>
      <c r="I80" s="178" t="str">
        <f>Input!AS4</f>
        <v>Was</v>
      </c>
      <c r="J80" s="186">
        <f>Input!AT4</f>
        <v>125.10322190550228</v>
      </c>
      <c r="K80" s="185"/>
      <c r="L80" s="10">
        <v>73</v>
      </c>
      <c r="M80" s="178" t="str">
        <f>Input!AJ75</f>
        <v>Justin Armour</v>
      </c>
      <c r="N80" s="178" t="str">
        <f>Input!AK75</f>
        <v>Sea</v>
      </c>
      <c r="O80" s="186">
        <f>Input!AL75</f>
        <v>72.611344537815128</v>
      </c>
      <c r="P80" s="185"/>
      <c r="Q80" s="10">
        <v>2</v>
      </c>
      <c r="R80" s="178" t="str">
        <f>Input!AV4</f>
        <v xml:space="preserve">Washington Redskins </v>
      </c>
      <c r="S80" s="178"/>
      <c r="U80" s="186">
        <f>Input!AW4</f>
        <v>84.97999999999999</v>
      </c>
      <c r="V80" s="180"/>
    </row>
    <row r="81" spans="1:22" x14ac:dyDescent="0.2">
      <c r="A81" s="185"/>
      <c r="B81" s="178" t="s">
        <v>83</v>
      </c>
      <c r="E81" s="10">
        <v>14</v>
      </c>
      <c r="F81" s="185"/>
      <c r="G81" s="10">
        <v>3</v>
      </c>
      <c r="H81" s="178" t="str">
        <f>Input!AR5</f>
        <v>Jason Elam</v>
      </c>
      <c r="I81" s="178" t="str">
        <f>Input!AS5</f>
        <v>Den</v>
      </c>
      <c r="J81" s="186">
        <f>Input!AT5</f>
        <v>124.12084305087673</v>
      </c>
      <c r="K81" s="185"/>
      <c r="L81" s="10">
        <v>74</v>
      </c>
      <c r="M81" s="178" t="str">
        <f>Input!AJ76</f>
        <v>R. Jay Soward</v>
      </c>
      <c r="N81" s="178" t="str">
        <f>Input!AK76</f>
        <v>Jac</v>
      </c>
      <c r="O81" s="186">
        <f>Input!AL76</f>
        <v>70.957563025210078</v>
      </c>
      <c r="P81" s="185"/>
      <c r="Q81" s="10">
        <v>3</v>
      </c>
      <c r="R81" s="178" t="str">
        <f>Input!AV5</f>
        <v xml:space="preserve">Baltimore Ravens </v>
      </c>
      <c r="S81" s="178"/>
      <c r="U81" s="186">
        <f>Input!AW5</f>
        <v>84</v>
      </c>
      <c r="V81" s="180"/>
    </row>
    <row r="82" spans="1:22" x14ac:dyDescent="0.2">
      <c r="A82" s="185"/>
      <c r="B82" s="178" t="s">
        <v>84</v>
      </c>
      <c r="E82" s="10">
        <v>4</v>
      </c>
      <c r="F82" s="185"/>
      <c r="G82" s="10">
        <v>4</v>
      </c>
      <c r="H82" s="178" t="str">
        <f>Input!AR6</f>
        <v>Mike Hollis</v>
      </c>
      <c r="I82" s="178" t="str">
        <f>Input!AS6</f>
        <v>Jac</v>
      </c>
      <c r="J82" s="186">
        <f>Input!AT6</f>
        <v>123.73602756892231</v>
      </c>
      <c r="K82" s="185"/>
      <c r="L82" s="10">
        <v>75</v>
      </c>
      <c r="M82" s="178" t="str">
        <f>Input!AJ77</f>
        <v>Dennis Northcutt</v>
      </c>
      <c r="N82" s="178" t="str">
        <f>Input!AK77</f>
        <v>Cle</v>
      </c>
      <c r="O82" s="186">
        <f>Input!AL77</f>
        <v>70.361344537815128</v>
      </c>
      <c r="P82" s="185"/>
      <c r="Q82" s="10">
        <v>4</v>
      </c>
      <c r="R82" s="178" t="str">
        <f>Input!AV6</f>
        <v>Tampa Bay Buccaneers</v>
      </c>
      <c r="S82" s="178"/>
      <c r="U82" s="186">
        <f>Input!AW6</f>
        <v>72.16</v>
      </c>
      <c r="V82" s="180"/>
    </row>
    <row r="83" spans="1:22" x14ac:dyDescent="0.2">
      <c r="A83" s="185"/>
      <c r="B83" s="178" t="s">
        <v>85</v>
      </c>
      <c r="E83" s="10">
        <v>4</v>
      </c>
      <c r="F83" s="185"/>
      <c r="G83" s="10">
        <v>5</v>
      </c>
      <c r="H83" s="178" t="str">
        <f>Input!AR7</f>
        <v>Todd Peterson</v>
      </c>
      <c r="I83" s="178" t="str">
        <f>Input!AS7</f>
        <v>Sea</v>
      </c>
      <c r="J83" s="186">
        <f>Input!AT7</f>
        <v>121.13846419625118</v>
      </c>
      <c r="K83" s="185"/>
      <c r="L83" s="10">
        <v>76</v>
      </c>
      <c r="M83" s="178" t="str">
        <f>Input!AJ78</f>
        <v>Vincent Brisby</v>
      </c>
      <c r="N83" s="178" t="str">
        <f>Input!AK78</f>
        <v>NE</v>
      </c>
      <c r="O83" s="186">
        <f>Input!AL78</f>
        <v>68.507563025210075</v>
      </c>
      <c r="P83" s="185"/>
      <c r="Q83" s="10">
        <v>5</v>
      </c>
      <c r="R83" s="178" t="str">
        <f>Input!AV7</f>
        <v>Jacksonville Jaguars</v>
      </c>
      <c r="S83" s="178"/>
      <c r="U83" s="186">
        <f>Input!AW7</f>
        <v>71.539999999999992</v>
      </c>
      <c r="V83" s="180"/>
    </row>
    <row r="84" spans="1:22" x14ac:dyDescent="0.2">
      <c r="A84" s="185"/>
      <c r="B84" s="178" t="s">
        <v>86</v>
      </c>
      <c r="E84" s="10">
        <v>9</v>
      </c>
      <c r="F84" s="185"/>
      <c r="G84" s="10">
        <v>6</v>
      </c>
      <c r="H84" s="178" t="str">
        <f>Input!AR8</f>
        <v>Jeff Wilkins</v>
      </c>
      <c r="I84" s="178" t="str">
        <f>Input!AS8</f>
        <v>StL</v>
      </c>
      <c r="J84" s="186">
        <f>Input!AT8</f>
        <v>120.32174185463658</v>
      </c>
      <c r="K84" s="185"/>
      <c r="L84" s="10">
        <v>77</v>
      </c>
      <c r="M84" s="178" t="str">
        <f>Input!AJ79</f>
        <v>Mathew Hatchette</v>
      </c>
      <c r="N84" s="178" t="str">
        <f>Input!AK79</f>
        <v>Min</v>
      </c>
      <c r="O84" s="186">
        <f>Input!AL79</f>
        <v>67.407563025210081</v>
      </c>
      <c r="P84" s="185"/>
      <c r="Q84" s="10">
        <v>6</v>
      </c>
      <c r="R84" s="178" t="str">
        <f>Input!AV8</f>
        <v xml:space="preserve">Tennessee Titans </v>
      </c>
      <c r="S84" s="178"/>
      <c r="U84" s="186">
        <f>Input!AW8</f>
        <v>66.28</v>
      </c>
      <c r="V84" s="180"/>
    </row>
    <row r="85" spans="1:22" x14ac:dyDescent="0.2">
      <c r="A85" s="185"/>
      <c r="B85" s="178" t="s">
        <v>87</v>
      </c>
      <c r="E85" s="10">
        <v>1</v>
      </c>
      <c r="F85" s="185"/>
      <c r="G85" s="10">
        <v>7</v>
      </c>
      <c r="H85" s="178" t="str">
        <f>Input!AR9</f>
        <v>Sebastian Janikowski</v>
      </c>
      <c r="I85" s="178" t="str">
        <f>Input!AS9</f>
        <v>Oak</v>
      </c>
      <c r="J85" s="186">
        <f>Input!AT9</f>
        <v>120.13846419625118</v>
      </c>
      <c r="K85" s="185"/>
      <c r="L85" s="10">
        <v>78</v>
      </c>
      <c r="M85" s="178" t="str">
        <f>Input!AJ80</f>
        <v>Andre Reed</v>
      </c>
      <c r="N85" s="178" t="str">
        <f>Input!AK80</f>
        <v>Den</v>
      </c>
      <c r="O85" s="186">
        <f>Input!AL80</f>
        <v>66.461344537815123</v>
      </c>
      <c r="P85" s="185"/>
      <c r="Q85" s="10">
        <v>7</v>
      </c>
      <c r="R85" s="178" t="str">
        <f>Input!AV9</f>
        <v xml:space="preserve">Seattle Seahawks </v>
      </c>
      <c r="S85" s="178"/>
      <c r="U85" s="186">
        <f>Input!AW9</f>
        <v>65.22</v>
      </c>
      <c r="V85" s="180"/>
    </row>
    <row r="86" spans="1:22" x14ac:dyDescent="0.2">
      <c r="A86" s="185"/>
      <c r="B86" s="178" t="s">
        <v>88</v>
      </c>
      <c r="E86" s="10">
        <v>17</v>
      </c>
      <c r="F86" s="185"/>
      <c r="G86" s="10">
        <v>8</v>
      </c>
      <c r="H86" s="178" t="str">
        <f>Input!AR10</f>
        <v>Martin Gramatica</v>
      </c>
      <c r="I86" s="178" t="str">
        <f>Input!AS10</f>
        <v>TB</v>
      </c>
      <c r="J86" s="186">
        <f>Input!AT10</f>
        <v>120.12084305087673</v>
      </c>
      <c r="K86" s="185"/>
      <c r="L86" s="10">
        <v>79</v>
      </c>
      <c r="M86" s="178" t="str">
        <f>Input!AJ81</f>
        <v>J.J. Stokes</v>
      </c>
      <c r="N86" s="178" t="str">
        <f>Input!AK81</f>
        <v>SF</v>
      </c>
      <c r="O86" s="186">
        <f>Input!AL81</f>
        <v>66.461344537815123</v>
      </c>
      <c r="P86" s="185"/>
      <c r="Q86" s="10">
        <v>8</v>
      </c>
      <c r="R86" s="178" t="str">
        <f>Input!AV10</f>
        <v xml:space="preserve">Miami Dolphins </v>
      </c>
      <c r="S86" s="178"/>
      <c r="U86" s="186">
        <f>Input!AW10</f>
        <v>59.379999999999995</v>
      </c>
      <c r="V86" s="180"/>
    </row>
    <row r="87" spans="1:22" x14ac:dyDescent="0.2">
      <c r="A87" s="185"/>
      <c r="B87" s="178" t="s">
        <v>89</v>
      </c>
      <c r="E87" s="10">
        <v>6</v>
      </c>
      <c r="F87" s="185"/>
      <c r="G87" s="10">
        <v>9</v>
      </c>
      <c r="H87" s="178" t="str">
        <f>Input!AR11</f>
        <v>Olindo Mare</v>
      </c>
      <c r="I87" s="178" t="str">
        <f>Input!AS11</f>
        <v>Mia</v>
      </c>
      <c r="J87" s="186">
        <f>Input!AT11</f>
        <v>116.12084305087673</v>
      </c>
      <c r="K87" s="185"/>
      <c r="L87" s="10">
        <v>80</v>
      </c>
      <c r="M87" s="178" t="str">
        <f>Input!AJ82</f>
        <v>Hines Ward</v>
      </c>
      <c r="N87" s="178" t="str">
        <f>Input!AK82</f>
        <v>Pit</v>
      </c>
      <c r="O87" s="186">
        <f>Input!AL82</f>
        <v>65.961344537815123</v>
      </c>
      <c r="P87" s="185"/>
      <c r="Q87" s="10">
        <v>9</v>
      </c>
      <c r="R87" s="178" t="str">
        <f>Input!AV11</f>
        <v xml:space="preserve">Oakland Raiders </v>
      </c>
      <c r="S87" s="178"/>
      <c r="U87" s="186">
        <f>Input!AW11</f>
        <v>58.6</v>
      </c>
      <c r="V87" s="180"/>
    </row>
    <row r="88" spans="1:22" x14ac:dyDescent="0.2">
      <c r="A88" s="185"/>
      <c r="B88" s="178" t="s">
        <v>90</v>
      </c>
      <c r="E88" s="10">
        <v>9</v>
      </c>
      <c r="F88" s="185"/>
      <c r="G88" s="10">
        <v>10</v>
      </c>
      <c r="H88" s="178" t="str">
        <f>Input!AR12</f>
        <v>Ryan Longwell</v>
      </c>
      <c r="I88" s="178" t="str">
        <f>Input!AS12</f>
        <v>GB</v>
      </c>
      <c r="J88" s="186">
        <f>Input!AT12</f>
        <v>115.02888471177944</v>
      </c>
      <c r="K88" s="185"/>
      <c r="L88" s="10">
        <v>81</v>
      </c>
      <c r="M88" s="178" t="str">
        <f>Input!AJ83</f>
        <v>Ron Dugans</v>
      </c>
      <c r="N88" s="178" t="str">
        <f>Input!AK83</f>
        <v>Cin</v>
      </c>
      <c r="O88" s="186">
        <f>Input!AL83</f>
        <v>64.907563025210095</v>
      </c>
      <c r="P88" s="185"/>
      <c r="Q88" s="10">
        <v>10</v>
      </c>
      <c r="R88" s="178" t="str">
        <f>Input!AV12</f>
        <v xml:space="preserve">Carolina Panthers </v>
      </c>
      <c r="S88" s="178"/>
      <c r="U88" s="186">
        <f>Input!AW12</f>
        <v>58</v>
      </c>
      <c r="V88" s="180"/>
    </row>
    <row r="89" spans="1:22" x14ac:dyDescent="0.2">
      <c r="A89" s="185"/>
      <c r="B89" s="178" t="s">
        <v>91</v>
      </c>
      <c r="E89" s="10">
        <v>7</v>
      </c>
      <c r="F89" s="185"/>
      <c r="G89" s="10">
        <v>11</v>
      </c>
      <c r="H89" s="178" t="str">
        <f>Input!AR13</f>
        <v>Jason Hanson</v>
      </c>
      <c r="I89" s="178" t="str">
        <f>Input!AS13</f>
        <v>Det</v>
      </c>
      <c r="J89" s="186">
        <f>Input!AT13</f>
        <v>113.10322190550228</v>
      </c>
      <c r="K89" s="185"/>
      <c r="L89" s="10">
        <v>82</v>
      </c>
      <c r="M89" s="178" t="str">
        <f>Input!AJ84</f>
        <v>Joe Jurevicious</v>
      </c>
      <c r="N89" s="178" t="str">
        <f>Input!AK84</f>
        <v>NYG</v>
      </c>
      <c r="O89" s="186">
        <f>Input!AL84</f>
        <v>59.907563025210095</v>
      </c>
      <c r="P89" s="185"/>
      <c r="Q89" s="10">
        <v>11</v>
      </c>
      <c r="R89" s="178" t="str">
        <f>Input!AV13</f>
        <v xml:space="preserve">Philadelphia Eagles </v>
      </c>
      <c r="S89" s="178"/>
      <c r="U89" s="186">
        <f>Input!AW13</f>
        <v>52.36</v>
      </c>
      <c r="V89" s="180"/>
    </row>
    <row r="90" spans="1:22" x14ac:dyDescent="0.2">
      <c r="A90" s="185"/>
      <c r="B90" s="178" t="s">
        <v>92</v>
      </c>
      <c r="E90" s="10">
        <v>8</v>
      </c>
      <c r="F90" s="185"/>
      <c r="G90" s="10">
        <v>12</v>
      </c>
      <c r="H90" s="178" t="str">
        <f>Input!AR14</f>
        <v>John Kasay</v>
      </c>
      <c r="I90" s="178" t="str">
        <f>Input!AS14</f>
        <v>Car</v>
      </c>
      <c r="J90" s="186">
        <f>Input!AT14</f>
        <v>109.0327373240045</v>
      </c>
      <c r="K90" s="185"/>
      <c r="L90" s="10">
        <v>83</v>
      </c>
      <c r="M90" s="178" t="str">
        <f>Input!AJ85</f>
        <v>Andre Rison</v>
      </c>
      <c r="N90" s="178" t="str">
        <f>Input!AK85</f>
        <v>KC</v>
      </c>
      <c r="O90" s="186">
        <f>Input!AL85</f>
        <v>59.307563025210101</v>
      </c>
      <c r="P90" s="185"/>
      <c r="Q90" s="10">
        <v>12</v>
      </c>
      <c r="R90" s="178" t="str">
        <f>Input!AV14</f>
        <v xml:space="preserve">Chicago Bears </v>
      </c>
      <c r="S90" s="178"/>
      <c r="U90" s="186">
        <f>Input!AW14</f>
        <v>50.29999999999999</v>
      </c>
      <c r="V90" s="180"/>
    </row>
    <row r="91" spans="1:22" x14ac:dyDescent="0.2">
      <c r="A91" s="185"/>
      <c r="B91" s="178" t="s">
        <v>93</v>
      </c>
      <c r="E91" s="10">
        <v>3</v>
      </c>
      <c r="F91" s="185"/>
      <c r="G91" s="10">
        <v>13</v>
      </c>
      <c r="H91" s="178" t="str">
        <f>Input!AR15</f>
        <v>John Hall</v>
      </c>
      <c r="I91" s="178" t="str">
        <f>Input!AS15</f>
        <v>NYJ</v>
      </c>
      <c r="J91" s="186">
        <f>Input!AT15</f>
        <v>109.02888471177944</v>
      </c>
      <c r="K91" s="185"/>
      <c r="L91" s="10">
        <v>84</v>
      </c>
      <c r="M91" s="178" t="str">
        <f>Input!AJ86</f>
        <v>Jerry Porter</v>
      </c>
      <c r="N91" s="178" t="str">
        <f>Input!AK86</f>
        <v>Oak</v>
      </c>
      <c r="O91" s="186">
        <f>Input!AL86</f>
        <v>55.407563025210095</v>
      </c>
      <c r="P91" s="185"/>
      <c r="Q91" s="10">
        <v>13</v>
      </c>
      <c r="R91" s="178" t="str">
        <f>Input!AV15</f>
        <v>Kansas City Chiefs</v>
      </c>
      <c r="S91" s="178"/>
      <c r="U91" s="186">
        <f>Input!AW15</f>
        <v>50.219999999999985</v>
      </c>
      <c r="V91" s="180"/>
    </row>
    <row r="92" spans="1:22" x14ac:dyDescent="0.2">
      <c r="A92" s="185"/>
      <c r="B92" s="178" t="s">
        <v>94</v>
      </c>
      <c r="E92" s="10">
        <v>10</v>
      </c>
      <c r="F92" s="185"/>
      <c r="G92" s="10">
        <v>14</v>
      </c>
      <c r="H92" s="178" t="str">
        <f>Input!AR16</f>
        <v>Matt Stover</v>
      </c>
      <c r="I92" s="178" t="str">
        <f>Input!AS16</f>
        <v>Bal</v>
      </c>
      <c r="J92" s="186">
        <f>Input!AT16</f>
        <v>108.32174185463658</v>
      </c>
      <c r="K92" s="185"/>
      <c r="L92" s="10">
        <v>85</v>
      </c>
      <c r="M92" s="178" t="str">
        <f>Input!AJ87</f>
        <v>Laveranues Coles</v>
      </c>
      <c r="N92" s="178" t="str">
        <f>Input!AK87</f>
        <v>NYJ</v>
      </c>
      <c r="O92" s="186">
        <f>Input!AL87</f>
        <v>53.907563025210095</v>
      </c>
      <c r="P92" s="185"/>
      <c r="Q92" s="10">
        <v>14</v>
      </c>
      <c r="R92" s="178" t="str">
        <f>Input!AV16</f>
        <v xml:space="preserve">Denver Broncos </v>
      </c>
      <c r="S92" s="178"/>
      <c r="U92" s="186">
        <f>Input!AW16</f>
        <v>47.64</v>
      </c>
      <c r="V92" s="180"/>
    </row>
    <row r="93" spans="1:22" x14ac:dyDescent="0.2">
      <c r="A93" s="185"/>
      <c r="B93" s="178" t="s">
        <v>95</v>
      </c>
      <c r="E93" s="10">
        <v>6</v>
      </c>
      <c r="F93" s="185"/>
      <c r="G93" s="10">
        <v>15</v>
      </c>
      <c r="H93" s="178" t="str">
        <f>Input!AR17</f>
        <v>Steve Christie</v>
      </c>
      <c r="I93" s="178" t="str">
        <f>Input!AS17</f>
        <v>Buf</v>
      </c>
      <c r="J93" s="186">
        <f>Input!AT17</f>
        <v>106.55208333333334</v>
      </c>
      <c r="K93" s="185"/>
      <c r="L93" s="10">
        <v>86</v>
      </c>
      <c r="M93" s="178" t="str">
        <f>Input!AJ88</f>
        <v>Troy Brown</v>
      </c>
      <c r="N93" s="178" t="str">
        <f>Input!AK88</f>
        <v>NE</v>
      </c>
      <c r="O93" s="186">
        <f>Input!AL88</f>
        <v>53.007563025210089</v>
      </c>
      <c r="P93" s="185"/>
      <c r="Q93" s="10">
        <v>15</v>
      </c>
      <c r="R93" s="178" t="str">
        <f>Input!AV17</f>
        <v>Green Bay Packers</v>
      </c>
      <c r="S93" s="178"/>
      <c r="U93" s="186">
        <f>Input!AW17</f>
        <v>44.6</v>
      </c>
      <c r="V93" s="180"/>
    </row>
    <row r="94" spans="1:22" x14ac:dyDescent="0.2">
      <c r="A94" s="185"/>
      <c r="B94" s="178" t="s">
        <v>96</v>
      </c>
      <c r="E94" s="10">
        <v>7</v>
      </c>
      <c r="F94" s="185"/>
      <c r="G94" s="10">
        <v>16</v>
      </c>
      <c r="H94" s="178" t="str">
        <f>Input!AR18</f>
        <v>Kris Brown</v>
      </c>
      <c r="I94" s="178" t="str">
        <f>Input!AS18</f>
        <v>Pit</v>
      </c>
      <c r="J94" s="186">
        <f>Input!AT18</f>
        <v>106.06797961475338</v>
      </c>
      <c r="K94" s="185"/>
      <c r="L94" s="10">
        <v>87</v>
      </c>
      <c r="M94" s="178" t="str">
        <f>Input!AJ89</f>
        <v>Chris Sanders</v>
      </c>
      <c r="N94" s="178" t="str">
        <f>Input!AK89</f>
        <v>Ten</v>
      </c>
      <c r="O94" s="186">
        <f>Input!AL89</f>
        <v>50.907563025210095</v>
      </c>
      <c r="P94" s="185"/>
      <c r="Q94" s="10">
        <v>16</v>
      </c>
      <c r="R94" s="178" t="str">
        <f>Input!AV18</f>
        <v>New England Patriots</v>
      </c>
      <c r="S94" s="178"/>
      <c r="U94" s="186">
        <f>Input!AW18</f>
        <v>44.22</v>
      </c>
      <c r="V94" s="180"/>
    </row>
    <row r="95" spans="1:22" x14ac:dyDescent="0.2">
      <c r="A95" s="185"/>
      <c r="B95" s="178" t="s">
        <v>97</v>
      </c>
      <c r="E95" s="10">
        <v>4</v>
      </c>
      <c r="F95" s="185"/>
      <c r="G95" s="10">
        <v>17</v>
      </c>
      <c r="H95" s="178" t="str">
        <f>Input!AR19</f>
        <v>Al Del Greco</v>
      </c>
      <c r="I95" s="178" t="str">
        <f>Input!AS19</f>
        <v>Ten</v>
      </c>
      <c r="J95" s="186">
        <f>Input!AT19</f>
        <v>105.04427083333334</v>
      </c>
      <c r="K95" s="185"/>
      <c r="L95" s="10">
        <v>88</v>
      </c>
      <c r="M95" s="178" t="str">
        <f>Input!AJ90</f>
        <v>Trevor Gaylor</v>
      </c>
      <c r="N95" s="178" t="str">
        <f>Input!AK90</f>
        <v>SD</v>
      </c>
      <c r="O95" s="186">
        <f>Input!AL90</f>
        <v>50.907563025210095</v>
      </c>
      <c r="P95" s="185"/>
      <c r="Q95" s="10">
        <v>17</v>
      </c>
      <c r="R95" s="178" t="str">
        <f>Input!AV19</f>
        <v>New Orleans Saints</v>
      </c>
      <c r="S95" s="178"/>
      <c r="U95" s="186">
        <f>Input!AW19</f>
        <v>39.119999999999997</v>
      </c>
      <c r="V95" s="180"/>
    </row>
    <row r="96" spans="1:22" x14ac:dyDescent="0.2">
      <c r="A96" s="185"/>
      <c r="B96" s="178" t="s">
        <v>98</v>
      </c>
      <c r="E96" s="10">
        <v>9</v>
      </c>
      <c r="F96" s="185"/>
      <c r="G96" s="10">
        <v>18</v>
      </c>
      <c r="H96" s="178" t="str">
        <f>Input!AR20</f>
        <v>John Carney</v>
      </c>
      <c r="I96" s="178" t="str">
        <f>Input!AS20</f>
        <v>SD</v>
      </c>
      <c r="J96" s="186">
        <f>Input!AT20</f>
        <v>105.02888471177944</v>
      </c>
      <c r="K96" s="185"/>
      <c r="L96" s="10">
        <v>89</v>
      </c>
      <c r="M96" s="178" t="str">
        <f>Input!AJ91</f>
        <v>Jeremey McDaniel</v>
      </c>
      <c r="N96" s="178" t="str">
        <f>Input!AK91</f>
        <v>Buf</v>
      </c>
      <c r="O96" s="186">
        <f>Input!AL91</f>
        <v>49.45378151260504</v>
      </c>
      <c r="P96" s="185"/>
      <c r="Q96" s="10">
        <v>18</v>
      </c>
      <c r="R96" s="178" t="str">
        <f>Input!AV20</f>
        <v>San Diego Chargers</v>
      </c>
      <c r="S96" s="178"/>
      <c r="U96" s="186">
        <f>Input!AW20</f>
        <v>35.22</v>
      </c>
      <c r="V96" s="180"/>
    </row>
    <row r="97" spans="1:22" x14ac:dyDescent="0.2">
      <c r="A97" s="185"/>
      <c r="B97" s="178" t="s">
        <v>99</v>
      </c>
      <c r="E97" s="10">
        <v>5</v>
      </c>
      <c r="F97" s="185"/>
      <c r="G97" s="10">
        <v>19</v>
      </c>
      <c r="H97" s="178" t="str">
        <f>Input!AR21</f>
        <v>Pete Stoyanovich</v>
      </c>
      <c r="I97" s="178" t="str">
        <f>Input!AS21</f>
        <v>KC</v>
      </c>
      <c r="J97" s="186">
        <f>Input!AT21</f>
        <v>104.46817042606516</v>
      </c>
      <c r="K97" s="185"/>
      <c r="L97" s="10">
        <v>90</v>
      </c>
      <c r="M97" s="178" t="str">
        <f>Input!AJ92</f>
        <v>Jerome Pathon</v>
      </c>
      <c r="N97" s="178" t="str">
        <f>Input!AK92</f>
        <v>Ind</v>
      </c>
      <c r="O97" s="186">
        <f>Input!AL92</f>
        <v>45.903781512605036</v>
      </c>
      <c r="P97" s="185"/>
      <c r="Q97" s="10">
        <v>19</v>
      </c>
      <c r="R97" s="178" t="str">
        <f>Input!AV21</f>
        <v xml:space="preserve">Pittsburgh Steelers </v>
      </c>
      <c r="S97" s="178"/>
      <c r="U97" s="186">
        <f>Input!AW21</f>
        <v>34.539999999999992</v>
      </c>
      <c r="V97" s="180"/>
    </row>
    <row r="98" spans="1:22" x14ac:dyDescent="0.2">
      <c r="A98" s="185"/>
      <c r="B98" s="178" t="s">
        <v>100</v>
      </c>
      <c r="E98" s="10">
        <v>8</v>
      </c>
      <c r="F98" s="185"/>
      <c r="G98" s="10">
        <v>20</v>
      </c>
      <c r="H98" s="178" t="str">
        <f>Input!AR22</f>
        <v>Wade Richey</v>
      </c>
      <c r="I98" s="178" t="str">
        <f>Input!AS22</f>
        <v>SF</v>
      </c>
      <c r="J98" s="186">
        <f>Input!AT22</f>
        <v>101.46817042606516</v>
      </c>
      <c r="K98" s="185"/>
      <c r="L98" s="10">
        <v>91</v>
      </c>
      <c r="M98" s="178" t="str">
        <f>Input!AJ93</f>
        <v>Windrell Hayes</v>
      </c>
      <c r="N98" s="178" t="str">
        <f>Input!AK93</f>
        <v>NYJ</v>
      </c>
      <c r="O98" s="186">
        <f>Input!AL93</f>
        <v>44.907563025210095</v>
      </c>
      <c r="P98" s="185"/>
      <c r="Q98" s="10">
        <v>20</v>
      </c>
      <c r="R98" s="178" t="str">
        <f>Input!AV22</f>
        <v xml:space="preserve">Detroit Lions </v>
      </c>
      <c r="S98" s="178"/>
      <c r="U98" s="186">
        <f>Input!AW22</f>
        <v>32.579999999999991</v>
      </c>
      <c r="V98" s="180"/>
    </row>
    <row r="99" spans="1:22" x14ac:dyDescent="0.2">
      <c r="A99" s="185"/>
      <c r="B99" s="178" t="s">
        <v>101</v>
      </c>
      <c r="E99" s="10">
        <v>5</v>
      </c>
      <c r="F99" s="185"/>
      <c r="G99" s="10">
        <v>21</v>
      </c>
      <c r="H99" s="178" t="str">
        <f>Input!AR23</f>
        <v>Doug Brien</v>
      </c>
      <c r="I99" s="178" t="str">
        <f>Input!AS23</f>
        <v>NO</v>
      </c>
      <c r="J99" s="186">
        <f>Input!AT23</f>
        <v>97.614598997493744</v>
      </c>
      <c r="K99" s="185"/>
      <c r="L99" s="10">
        <v>92</v>
      </c>
      <c r="M99" s="178" t="str">
        <f>Input!AJ94</f>
        <v>Lamar Thomas</v>
      </c>
      <c r="N99" s="178" t="str">
        <f>Input!AK94</f>
        <v>Mia</v>
      </c>
      <c r="O99" s="186">
        <f>Input!AL94</f>
        <v>43.707563025210092</v>
      </c>
      <c r="P99" s="185"/>
      <c r="Q99" s="10">
        <v>21</v>
      </c>
      <c r="R99" s="178" t="str">
        <f>Input!AV23</f>
        <v>New York Jets</v>
      </c>
      <c r="S99" s="178"/>
      <c r="U99" s="186">
        <f>Input!AW23</f>
        <v>31.82</v>
      </c>
      <c r="V99" s="180"/>
    </row>
    <row r="100" spans="1:22" x14ac:dyDescent="0.2">
      <c r="A100" s="185"/>
      <c r="B100" s="178" t="s">
        <v>102</v>
      </c>
      <c r="E100" s="10">
        <v>5</v>
      </c>
      <c r="F100" s="185"/>
      <c r="G100" s="10">
        <v>22</v>
      </c>
      <c r="H100" s="178" t="str">
        <f>Input!AR24</f>
        <v>Gary Anderson</v>
      </c>
      <c r="I100" s="178" t="str">
        <f>Input!AS24</f>
        <v>Min</v>
      </c>
      <c r="J100" s="186">
        <f>Input!AT24</f>
        <v>97.520833333333343</v>
      </c>
      <c r="K100" s="185"/>
      <c r="L100" s="10">
        <v>93</v>
      </c>
      <c r="M100" s="178" t="str">
        <f>Input!AJ95</f>
        <v>Bert Emanuel</v>
      </c>
      <c r="N100" s="178" t="str">
        <f>Input!AK95</f>
        <v>Mia</v>
      </c>
      <c r="O100" s="186">
        <f>Input!AL95</f>
        <v>40.907563025210095</v>
      </c>
      <c r="P100" s="185"/>
      <c r="Q100" s="10">
        <v>22</v>
      </c>
      <c r="R100" s="178" t="str">
        <f>Input!AV24</f>
        <v>New York Giants</v>
      </c>
      <c r="S100" s="178"/>
      <c r="U100" s="186">
        <f>Input!AW24</f>
        <v>30.68</v>
      </c>
      <c r="V100" s="180"/>
    </row>
    <row r="101" spans="1:22" x14ac:dyDescent="0.2">
      <c r="A101" s="185"/>
      <c r="B101" s="178" t="s">
        <v>103</v>
      </c>
      <c r="E101" s="10">
        <v>16</v>
      </c>
      <c r="F101" s="185"/>
      <c r="G101" s="10">
        <v>23</v>
      </c>
      <c r="H101" s="178" t="str">
        <f>Input!AR25</f>
        <v>Cary Blanchard</v>
      </c>
      <c r="I101" s="178" t="str">
        <f>Input!AS25</f>
        <v>Ari</v>
      </c>
      <c r="J101" s="186">
        <f>Input!AT25</f>
        <v>96.614598997493744</v>
      </c>
      <c r="K101" s="185"/>
      <c r="L101" s="10">
        <v>94</v>
      </c>
      <c r="M101" s="178" t="str">
        <f>Input!AJ96</f>
        <v>E.G. Green</v>
      </c>
      <c r="N101" s="178" t="str">
        <f>Input!AK96</f>
        <v>Ind</v>
      </c>
      <c r="O101" s="186">
        <f>Input!AL96</f>
        <v>39.70378151260504</v>
      </c>
      <c r="P101" s="185"/>
      <c r="Q101" s="10">
        <v>23</v>
      </c>
      <c r="R101" s="178" t="str">
        <f>Input!AV25</f>
        <v xml:space="preserve">Dallas Cowboys </v>
      </c>
      <c r="S101" s="178"/>
      <c r="U101" s="186">
        <f>Input!AW25</f>
        <v>26.519999999999996</v>
      </c>
      <c r="V101" s="180"/>
    </row>
    <row r="102" spans="1:22" x14ac:dyDescent="0.2">
      <c r="A102" s="185"/>
      <c r="B102" s="178" t="s">
        <v>104</v>
      </c>
      <c r="E102" s="10">
        <v>2</v>
      </c>
      <c r="F102" s="185"/>
      <c r="G102" s="10">
        <v>24</v>
      </c>
      <c r="H102" s="178" t="str">
        <f>Input!AR26</f>
        <v>Eddie Murray</v>
      </c>
      <c r="I102" s="178" t="str">
        <f>Input!AS26</f>
        <v>Dal</v>
      </c>
      <c r="J102" s="186">
        <f>Input!AT26</f>
        <v>94.505208333333329</v>
      </c>
      <c r="K102" s="185"/>
      <c r="L102" s="10">
        <v>95</v>
      </c>
      <c r="M102" s="178" t="str">
        <f>Input!AJ97</f>
        <v>Jajuan Dawson</v>
      </c>
      <c r="N102" s="178" t="str">
        <f>Input!AK97</f>
        <v>Cle</v>
      </c>
      <c r="O102" s="186">
        <f>Input!AL97</f>
        <v>38.253781512605045</v>
      </c>
      <c r="P102" s="185"/>
      <c r="Q102" s="10">
        <v>24</v>
      </c>
      <c r="R102" s="178" t="str">
        <f>Input!AV26</f>
        <v xml:space="preserve">Minnesota Vikings </v>
      </c>
      <c r="S102" s="178"/>
      <c r="U102" s="186">
        <f>Input!AW26</f>
        <v>25.68</v>
      </c>
      <c r="V102" s="180"/>
    </row>
    <row r="103" spans="1:22" x14ac:dyDescent="0.2">
      <c r="A103" s="185"/>
      <c r="B103" s="178" t="s">
        <v>105</v>
      </c>
      <c r="E103" s="10">
        <v>8</v>
      </c>
      <c r="F103" s="185"/>
      <c r="G103" s="10">
        <v>25</v>
      </c>
      <c r="H103" s="178" t="str">
        <f>Input!AR27</f>
        <v>David Akers</v>
      </c>
      <c r="I103" s="178" t="str">
        <f>Input!AS27</f>
        <v>Phi</v>
      </c>
      <c r="J103" s="186">
        <f>Input!AT27</f>
        <v>91.997495033255589</v>
      </c>
      <c r="K103" s="185"/>
      <c r="L103" s="10">
        <v>96</v>
      </c>
      <c r="M103" s="178" t="str">
        <f>Input!AJ98</f>
        <v>Irving Fryar</v>
      </c>
      <c r="N103" s="178" t="str">
        <f>Input!AK98</f>
        <v>Was</v>
      </c>
      <c r="O103" s="186">
        <f>Input!AL98</f>
        <v>38.107563025210098</v>
      </c>
      <c r="P103" s="185"/>
      <c r="Q103" s="10">
        <v>25</v>
      </c>
      <c r="R103" s="178" t="str">
        <f>Input!AV27</f>
        <v xml:space="preserve">Buffalo Bills </v>
      </c>
      <c r="S103" s="178"/>
      <c r="U103" s="186">
        <f>Input!AW27</f>
        <v>20.22</v>
      </c>
      <c r="V103" s="180"/>
    </row>
    <row r="104" spans="1:22" x14ac:dyDescent="0.2">
      <c r="A104" s="185"/>
      <c r="B104" s="178" t="s">
        <v>106</v>
      </c>
      <c r="E104" s="10">
        <v>13</v>
      </c>
      <c r="F104" s="185"/>
      <c r="G104" s="10">
        <v>26</v>
      </c>
      <c r="H104" s="178" t="str">
        <f>Input!AR28</f>
        <v>Adam Vinatieri</v>
      </c>
      <c r="I104" s="178" t="str">
        <f>Input!AS28</f>
        <v>NE</v>
      </c>
      <c r="J104" s="186">
        <f>Input!AT28</f>
        <v>91.520833333333343</v>
      </c>
      <c r="K104" s="185"/>
      <c r="L104" s="10">
        <v>97</v>
      </c>
      <c r="M104" s="178" t="str">
        <f>Input!AJ99</f>
        <v>Sylvester Morris</v>
      </c>
      <c r="N104" s="178" t="str">
        <f>Input!AK99</f>
        <v>KC</v>
      </c>
      <c r="O104" s="186">
        <f>Input!AL99</f>
        <v>37.45378151260504</v>
      </c>
      <c r="P104" s="185"/>
      <c r="Q104" s="10">
        <v>26</v>
      </c>
      <c r="R104" s="178" t="str">
        <f>Input!AV28</f>
        <v>Arizona Cardinals</v>
      </c>
      <c r="S104" s="178"/>
      <c r="U104" s="186">
        <f>Input!AW28</f>
        <v>18.28</v>
      </c>
      <c r="V104" s="180"/>
    </row>
    <row r="105" spans="1:22" x14ac:dyDescent="0.2">
      <c r="A105" s="185"/>
      <c r="B105" s="178" t="s">
        <v>107</v>
      </c>
      <c r="E105" s="10">
        <v>12</v>
      </c>
      <c r="F105" s="185"/>
      <c r="G105" s="10">
        <v>27</v>
      </c>
      <c r="H105" s="178" t="str">
        <f>Input!AR29</f>
        <v>Brad Daluiso</v>
      </c>
      <c r="I105" s="178" t="str">
        <f>Input!AS29</f>
        <v>NYG</v>
      </c>
      <c r="J105" s="186">
        <f>Input!AT29</f>
        <v>87.505208333333329</v>
      </c>
      <c r="K105" s="185"/>
      <c r="L105" s="10">
        <v>98</v>
      </c>
      <c r="M105" s="178" t="str">
        <f>Input!AJ100</f>
        <v>Reidel Anthony</v>
      </c>
      <c r="N105" s="178" t="str">
        <f>Input!AK100</f>
        <v>TB</v>
      </c>
      <c r="O105" s="186">
        <f>Input!AL100</f>
        <v>37.45378151260504</v>
      </c>
      <c r="P105" s="185"/>
      <c r="Q105" s="10">
        <v>27</v>
      </c>
      <c r="R105" s="178" t="str">
        <f>Input!AV29</f>
        <v xml:space="preserve">Indianapolis Colts </v>
      </c>
      <c r="S105" s="178"/>
      <c r="U105" s="186">
        <f>Input!AW29</f>
        <v>15.439999999999998</v>
      </c>
      <c r="V105" s="180"/>
    </row>
    <row r="106" spans="1:22" x14ac:dyDescent="0.2">
      <c r="A106" s="185"/>
      <c r="B106" s="178" t="s">
        <v>108</v>
      </c>
      <c r="E106" s="10">
        <v>6</v>
      </c>
      <c r="F106" s="185"/>
      <c r="G106" s="10">
        <v>28</v>
      </c>
      <c r="H106" s="178" t="str">
        <f>Input!AR30</f>
        <v>Morten Andersen</v>
      </c>
      <c r="I106" s="178" t="str">
        <f>Input!AS30</f>
        <v>Atl</v>
      </c>
      <c r="J106" s="186">
        <f>Input!AT30</f>
        <v>84.981770833333329</v>
      </c>
      <c r="K106" s="185"/>
      <c r="L106" s="10">
        <v>99</v>
      </c>
      <c r="M106" s="178" t="str">
        <f>Input!AJ101</f>
        <v>Na Brown</v>
      </c>
      <c r="N106" s="178" t="str">
        <f>Input!AK101</f>
        <v>Phi</v>
      </c>
      <c r="O106" s="186">
        <f>Input!AL101</f>
        <v>34.95378151260504</v>
      </c>
      <c r="P106" s="185"/>
      <c r="Q106" s="10">
        <v>28</v>
      </c>
      <c r="R106" s="178" t="str">
        <f>Input!AV30</f>
        <v>San Francisco 49ers</v>
      </c>
      <c r="S106" s="178"/>
      <c r="U106" s="186">
        <f>Input!AW30</f>
        <v>11.759999999999998</v>
      </c>
      <c r="V106" s="180"/>
    </row>
    <row r="107" spans="1:22" x14ac:dyDescent="0.2">
      <c r="A107" s="185"/>
      <c r="B107" s="178" t="s">
        <v>109</v>
      </c>
      <c r="E107" s="10">
        <v>7</v>
      </c>
      <c r="F107" s="185"/>
      <c r="G107" s="10">
        <v>29</v>
      </c>
      <c r="H107" s="178" t="str">
        <f>Input!AR31</f>
        <v>Neil Rackers</v>
      </c>
      <c r="I107" s="178" t="str">
        <f>Input!AS31</f>
        <v>Cin</v>
      </c>
      <c r="J107" s="186">
        <f>Input!AT31</f>
        <v>79.997395833333329</v>
      </c>
      <c r="K107" s="185"/>
      <c r="L107" s="10">
        <v>100</v>
      </c>
      <c r="M107" s="178" t="str">
        <f>Input!AJ102</f>
        <v>Charlie Jones</v>
      </c>
      <c r="N107" s="178" t="str">
        <f>Input!AK102</f>
        <v>SD</v>
      </c>
      <c r="O107" s="186">
        <f>Input!AL102</f>
        <v>34.45378151260504</v>
      </c>
      <c r="P107" s="185"/>
      <c r="Q107" s="10">
        <v>29</v>
      </c>
      <c r="R107" s="178" t="str">
        <f>Input!AV31</f>
        <v xml:space="preserve">Atlanta Falcons </v>
      </c>
      <c r="S107" s="178"/>
      <c r="U107" s="186">
        <f>Input!AW31</f>
        <v>1.8800000000000026</v>
      </c>
      <c r="V107" s="180"/>
    </row>
    <row r="108" spans="1:22" x14ac:dyDescent="0.2">
      <c r="A108" s="185"/>
      <c r="B108" s="178" t="s">
        <v>110</v>
      </c>
      <c r="E108" s="10">
        <v>3</v>
      </c>
      <c r="F108" s="185"/>
      <c r="G108" s="10">
        <v>30</v>
      </c>
      <c r="H108" s="178" t="str">
        <f>Input!AR32</f>
        <v>Paul Edinger</v>
      </c>
      <c r="I108" s="178" t="str">
        <f>Input!AS32</f>
        <v>Chi</v>
      </c>
      <c r="J108" s="186">
        <f>Input!AT32</f>
        <v>70.473958333333329</v>
      </c>
      <c r="K108" s="185"/>
      <c r="L108" s="10">
        <v>101</v>
      </c>
      <c r="M108" s="178" t="str">
        <f>Input!AJ103</f>
        <v>James McKnight</v>
      </c>
      <c r="N108" s="178" t="str">
        <f>Input!AK103</f>
        <v>Dal</v>
      </c>
      <c r="O108" s="186">
        <f>Input!AL103</f>
        <v>34.45378151260504</v>
      </c>
      <c r="P108" s="185"/>
      <c r="Q108" s="10">
        <v>30</v>
      </c>
      <c r="R108" s="178" t="str">
        <f>Input!AV32</f>
        <v xml:space="preserve">Cincinnati Bengals </v>
      </c>
      <c r="S108" s="178"/>
      <c r="U108" s="186">
        <f>Input!AW32</f>
        <v>-10.800000000000004</v>
      </c>
      <c r="V108" s="180"/>
    </row>
    <row r="109" spans="1:22" x14ac:dyDescent="0.2">
      <c r="A109" s="180"/>
      <c r="B109" s="178" t="s">
        <v>111</v>
      </c>
      <c r="E109" s="10">
        <v>11</v>
      </c>
      <c r="F109" s="180"/>
      <c r="G109" s="10">
        <v>31</v>
      </c>
      <c r="H109" s="178" t="str">
        <f>Input!AR33</f>
        <v>Phil Dawson</v>
      </c>
      <c r="I109" s="178" t="str">
        <f>Input!AS33</f>
        <v>Cle</v>
      </c>
      <c r="J109" s="186">
        <f>Input!AT33</f>
        <v>69.458333333333329</v>
      </c>
      <c r="K109" s="180"/>
      <c r="L109" s="10">
        <v>102</v>
      </c>
      <c r="M109" s="178" t="str">
        <f>Input!AJ104</f>
        <v>Pat Johnson</v>
      </c>
      <c r="N109" s="178" t="str">
        <f>Input!AK104</f>
        <v>Bal</v>
      </c>
      <c r="O109" s="186">
        <f>Input!AL104</f>
        <v>34.253781512605038</v>
      </c>
      <c r="P109" s="180"/>
      <c r="Q109" s="10">
        <v>31</v>
      </c>
      <c r="R109" s="178" t="str">
        <f>Input!AV33</f>
        <v>Cleveland Browns</v>
      </c>
      <c r="S109" s="178"/>
      <c r="U109" s="186">
        <f>Input!AW33</f>
        <v>-13.960000000000008</v>
      </c>
      <c r="V109" s="180"/>
    </row>
    <row r="110" spans="1:22" ht="3" customHeight="1" x14ac:dyDescent="0.25">
      <c r="A110" s="187"/>
      <c r="B110" s="188" t="s">
        <v>87</v>
      </c>
      <c r="C110" s="188"/>
      <c r="D110" s="188"/>
      <c r="E110" s="189"/>
      <c r="F110" s="187"/>
      <c r="G110" s="187"/>
      <c r="H110" s="188"/>
      <c r="I110" s="188"/>
      <c r="J110" s="189"/>
      <c r="K110" s="187"/>
      <c r="L110" s="187"/>
      <c r="M110" s="187"/>
      <c r="N110" s="187"/>
      <c r="O110" s="189"/>
      <c r="P110" s="187"/>
      <c r="Q110" s="187"/>
      <c r="R110" s="188"/>
      <c r="S110" s="187"/>
      <c r="T110" s="180"/>
      <c r="U110" s="180"/>
      <c r="V110" s="180"/>
    </row>
    <row r="111" spans="1:22" ht="13.2" x14ac:dyDescent="0.25">
      <c r="A111"/>
      <c r="B111" s="13"/>
      <c r="D111" s="165"/>
      <c r="E111" s="6"/>
      <c r="F111"/>
      <c r="G111"/>
      <c r="H111" s="165"/>
      <c r="I111" s="165"/>
      <c r="J111" s="6"/>
      <c r="K111"/>
      <c r="L111"/>
      <c r="M111" s="165"/>
      <c r="N111" s="165"/>
      <c r="O111" s="6"/>
      <c r="P111"/>
      <c r="Q111"/>
      <c r="R111" s="165"/>
      <c r="S111"/>
    </row>
    <row r="112" spans="1:22" ht="13.2" x14ac:dyDescent="0.25">
      <c r="A112"/>
      <c r="B112"/>
      <c r="C112" s="165"/>
      <c r="D112" s="165"/>
      <c r="E112" s="6"/>
      <c r="F112"/>
      <c r="G112"/>
      <c r="H112" s="165"/>
      <c r="I112" s="165"/>
      <c r="J112" s="6"/>
      <c r="K112"/>
      <c r="L112"/>
      <c r="M112" s="165"/>
      <c r="N112" s="165"/>
      <c r="O112" s="6"/>
      <c r="P112"/>
      <c r="Q112" s="190"/>
      <c r="R112" s="190"/>
      <c r="S112" s="190"/>
    </row>
    <row r="113" spans="1:19" ht="13.2" x14ac:dyDescent="0.25">
      <c r="A113"/>
      <c r="B113"/>
      <c r="C113" s="165"/>
      <c r="D113" s="165"/>
      <c r="E113" s="6"/>
      <c r="F113"/>
      <c r="G113"/>
      <c r="H113" s="165"/>
      <c r="I113" s="165"/>
      <c r="J113" s="6"/>
      <c r="K113"/>
      <c r="L113"/>
      <c r="M113" s="165"/>
      <c r="N113" s="165"/>
      <c r="O113" s="6"/>
      <c r="P113"/>
      <c r="Q113"/>
      <c r="R113" s="165"/>
      <c r="S113"/>
    </row>
  </sheetData>
  <printOptions horizontalCentered="1"/>
  <pageMargins left="0.25" right="0.25" top="0.25" bottom="0.25" header="0.5" footer="0.5"/>
  <pageSetup scale="98" fitToHeight="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workbookViewId="0">
      <pane xSplit="2" ySplit="2" topLeftCell="C116" activePane="bottomRight" state="frozen"/>
      <selection pane="topRight" activeCell="C1" sqref="C1"/>
      <selection pane="bottomLeft" activeCell="A3" sqref="A3"/>
      <selection pane="bottomRight" activeCell="A13" sqref="A13:A133"/>
    </sheetView>
  </sheetViews>
  <sheetFormatPr defaultColWidth="9.109375" defaultRowHeight="13.2" x14ac:dyDescent="0.25"/>
  <cols>
    <col min="1" max="1" width="18" style="1" customWidth="1"/>
    <col min="2" max="2" width="5.5546875" style="2" customWidth="1"/>
    <col min="3" max="3" width="6.33203125" style="4" customWidth="1"/>
    <col min="4" max="4" width="4.88671875" style="4" customWidth="1"/>
    <col min="5" max="5" width="6.88671875" style="3" customWidth="1"/>
    <col min="6" max="6" width="7" style="3" customWidth="1"/>
    <col min="7" max="7" width="4.5546875" style="4" customWidth="1"/>
    <col min="8" max="8" width="4.109375" style="4" customWidth="1"/>
    <col min="9" max="9" width="5.6640625" style="4" customWidth="1"/>
    <col min="10" max="10" width="5.33203125" style="3" customWidth="1"/>
    <col min="11" max="11" width="5.6640625" style="3" customWidth="1"/>
    <col min="12" max="12" width="5" style="4" customWidth="1"/>
    <col min="13" max="13" width="7.109375" style="4" customWidth="1"/>
    <col min="14" max="19" width="6.5546875" style="51" hidden="1" customWidth="1"/>
    <col min="20" max="20" width="4" style="4" hidden="1" customWidth="1"/>
    <col min="21" max="21" width="5.5546875" style="4" hidden="1" customWidth="1"/>
    <col min="22" max="24" width="6" style="4" hidden="1" customWidth="1"/>
    <col min="25" max="25" width="4.109375" style="4" hidden="1" customWidth="1"/>
    <col min="26" max="30" width="5.5546875" style="52" hidden="1" customWidth="1"/>
    <col min="31" max="32" width="4.5546875" style="52" hidden="1" customWidth="1"/>
    <col min="33" max="36" width="5.5546875" style="52" hidden="1" customWidth="1"/>
    <col min="37" max="37" width="4.5546875" style="52" hidden="1" customWidth="1"/>
    <col min="38" max="38" width="9.109375" style="68"/>
    <col min="39" max="16384" width="9.109375" style="1"/>
  </cols>
  <sheetData>
    <row r="1" spans="1:38" x14ac:dyDescent="0.25">
      <c r="A1" s="136"/>
      <c r="B1" s="137"/>
      <c r="C1" s="199" t="s">
        <v>112</v>
      </c>
      <c r="D1" s="200"/>
      <c r="E1" s="200"/>
      <c r="F1" s="200"/>
      <c r="G1" s="200"/>
      <c r="H1" s="201"/>
      <c r="I1" s="199" t="s">
        <v>113</v>
      </c>
      <c r="J1" s="200"/>
      <c r="K1" s="200"/>
      <c r="L1" s="201"/>
      <c r="M1" s="200" t="s">
        <v>114</v>
      </c>
      <c r="N1" s="202" t="s">
        <v>115</v>
      </c>
      <c r="O1" s="203"/>
      <c r="P1" s="203"/>
      <c r="Q1" s="203"/>
      <c r="R1" s="203"/>
      <c r="S1" s="204"/>
      <c r="T1" s="199" t="s">
        <v>116</v>
      </c>
      <c r="U1" s="200"/>
      <c r="V1" s="200"/>
      <c r="W1" s="200"/>
      <c r="X1" s="200"/>
      <c r="Y1" s="201"/>
      <c r="Z1" s="196" t="s">
        <v>117</v>
      </c>
      <c r="AA1" s="197"/>
      <c r="AB1" s="197"/>
      <c r="AC1" s="197"/>
      <c r="AD1" s="197"/>
      <c r="AE1" s="198"/>
      <c r="AF1" s="196" t="s">
        <v>118</v>
      </c>
      <c r="AG1" s="197"/>
      <c r="AH1" s="197"/>
      <c r="AI1" s="197"/>
      <c r="AJ1" s="197"/>
      <c r="AK1" s="198"/>
      <c r="AL1" s="98" t="s">
        <v>119</v>
      </c>
    </row>
    <row r="2" spans="1:38" x14ac:dyDescent="0.25">
      <c r="A2" s="138" t="s">
        <v>73</v>
      </c>
      <c r="B2" s="139" t="s">
        <v>3</v>
      </c>
      <c r="C2" s="113" t="s">
        <v>120</v>
      </c>
      <c r="D2" s="92" t="s">
        <v>121</v>
      </c>
      <c r="E2" s="124" t="s">
        <v>122</v>
      </c>
      <c r="F2" s="124" t="s">
        <v>123</v>
      </c>
      <c r="G2" s="92" t="s">
        <v>124</v>
      </c>
      <c r="H2" s="114" t="s">
        <v>125</v>
      </c>
      <c r="I2" s="113" t="s">
        <v>121</v>
      </c>
      <c r="J2" s="124" t="s">
        <v>122</v>
      </c>
      <c r="K2" s="124" t="s">
        <v>126</v>
      </c>
      <c r="L2" s="114" t="s">
        <v>124</v>
      </c>
      <c r="M2" s="92" t="s">
        <v>127</v>
      </c>
      <c r="N2" s="129" t="s">
        <v>128</v>
      </c>
      <c r="O2" s="130" t="s">
        <v>129</v>
      </c>
      <c r="P2" s="130" t="s">
        <v>130</v>
      </c>
      <c r="Q2" s="130" t="s">
        <v>131</v>
      </c>
      <c r="R2" s="130" t="s">
        <v>132</v>
      </c>
      <c r="S2" s="131" t="s">
        <v>133</v>
      </c>
      <c r="T2" s="125" t="s">
        <v>128</v>
      </c>
      <c r="U2" s="126" t="s">
        <v>129</v>
      </c>
      <c r="V2" s="127" t="s">
        <v>130</v>
      </c>
      <c r="W2" s="127" t="s">
        <v>131</v>
      </c>
      <c r="X2" s="127" t="s">
        <v>132</v>
      </c>
      <c r="Y2" s="128" t="s">
        <v>133</v>
      </c>
      <c r="Z2" s="133" t="s">
        <v>128</v>
      </c>
      <c r="AA2" s="134" t="s">
        <v>129</v>
      </c>
      <c r="AB2" s="134" t="s">
        <v>130</v>
      </c>
      <c r="AC2" s="134" t="s">
        <v>131</v>
      </c>
      <c r="AD2" s="134" t="s">
        <v>132</v>
      </c>
      <c r="AE2" s="135" t="s">
        <v>133</v>
      </c>
      <c r="AF2" s="133" t="s">
        <v>128</v>
      </c>
      <c r="AG2" s="134" t="s">
        <v>129</v>
      </c>
      <c r="AH2" s="134" t="s">
        <v>130</v>
      </c>
      <c r="AI2" s="134" t="s">
        <v>131</v>
      </c>
      <c r="AJ2" s="134" t="s">
        <v>132</v>
      </c>
      <c r="AK2" s="135" t="s">
        <v>133</v>
      </c>
      <c r="AL2" s="99" t="s">
        <v>134</v>
      </c>
    </row>
    <row r="3" spans="1:38" x14ac:dyDescent="0.25">
      <c r="A3" s="93" t="s">
        <v>135</v>
      </c>
      <c r="B3" s="94" t="s">
        <v>136</v>
      </c>
      <c r="C3" s="36">
        <v>312</v>
      </c>
      <c r="D3" s="40">
        <v>520</v>
      </c>
      <c r="E3" s="37">
        <f>7.7*D3</f>
        <v>4004</v>
      </c>
      <c r="F3" s="37">
        <v>6</v>
      </c>
      <c r="G3" s="37">
        <v>35</v>
      </c>
      <c r="H3" s="38">
        <v>15</v>
      </c>
      <c r="I3" s="45">
        <v>25</v>
      </c>
      <c r="J3" s="37">
        <f>4*I3</f>
        <v>100</v>
      </c>
      <c r="K3" s="37">
        <v>0</v>
      </c>
      <c r="L3" s="38">
        <v>1</v>
      </c>
      <c r="M3" s="37">
        <v>4</v>
      </c>
      <c r="N3" s="102">
        <v>0.3595505617977528</v>
      </c>
      <c r="O3" s="103">
        <v>0.21348314606741572</v>
      </c>
      <c r="P3" s="103">
        <v>0.10112359550561797</v>
      </c>
      <c r="Q3" s="103">
        <v>8.98876404494382E-2</v>
      </c>
      <c r="R3" s="103">
        <v>9.5505617977528087E-2</v>
      </c>
      <c r="S3" s="104">
        <v>0.1404494382022472</v>
      </c>
      <c r="T3" s="100">
        <v>0.9</v>
      </c>
      <c r="U3" s="88">
        <v>0.08</v>
      </c>
      <c r="V3" s="88">
        <v>1.4999999999999999E-2</v>
      </c>
      <c r="W3" s="88">
        <v>4.0000000000000001E-3</v>
      </c>
      <c r="X3" s="88">
        <v>1E-3</v>
      </c>
      <c r="Y3" s="101">
        <v>0</v>
      </c>
      <c r="Z3" s="78">
        <f t="shared" ref="Z3:AE3" si="0">N3*$G3</f>
        <v>12.584269662921347</v>
      </c>
      <c r="AA3" s="79">
        <f t="shared" si="0"/>
        <v>7.4719101123595504</v>
      </c>
      <c r="AB3" s="79">
        <f t="shared" si="0"/>
        <v>3.5393258426966292</v>
      </c>
      <c r="AC3" s="79">
        <f t="shared" si="0"/>
        <v>3.1460674157303368</v>
      </c>
      <c r="AD3" s="79">
        <f t="shared" si="0"/>
        <v>3.3426966292134832</v>
      </c>
      <c r="AE3" s="80">
        <f t="shared" si="0"/>
        <v>4.915730337078652</v>
      </c>
      <c r="AF3" s="78">
        <f t="shared" ref="AF3:AK3" si="1">T3*$L3</f>
        <v>0.9</v>
      </c>
      <c r="AG3" s="79">
        <f t="shared" si="1"/>
        <v>0.08</v>
      </c>
      <c r="AH3" s="79">
        <f t="shared" si="1"/>
        <v>1.4999999999999999E-2</v>
      </c>
      <c r="AI3" s="79">
        <f t="shared" si="1"/>
        <v>4.0000000000000001E-3</v>
      </c>
      <c r="AJ3" s="79">
        <f t="shared" si="1"/>
        <v>1E-3</v>
      </c>
      <c r="AK3" s="80">
        <f t="shared" si="1"/>
        <v>0</v>
      </c>
      <c r="AL3" s="98">
        <f>Input!$C$11*QBs!D3+Input!$C$12*QBs!C3+Input!$C$13*QBs!E3+Input!$C$14*QBs!H3+Input!$C$15*QBs!Z3+Input!$C$16*QBs!AA3+Input!$C$17*QBs!AB3+Input!$C$18*QBs!AC3+Input!$C$19*QBs!AD3+Input!$C$20*QBs!AE3+Input!$C$21*QBs!F3+Input!$C$22*QBs!I3+Input!$C$23*QBs!J3+Input!$C$24*QBs!AF3+Input!$C$25*QBs!AG3+Input!$C$26*QBs!AH3+Input!$C$27*QBs!AI3+Input!$C$28*QBs!AJ3+Input!$C$29*QBs!AK3+Input!$C$30*QBs!K3+Input!$C$40*QBs!M3</f>
        <v>397.26420224719101</v>
      </c>
    </row>
    <row r="4" spans="1:38" x14ac:dyDescent="0.25">
      <c r="A4" s="93" t="s">
        <v>137</v>
      </c>
      <c r="B4" s="94" t="s">
        <v>138</v>
      </c>
      <c r="C4" s="36">
        <v>332</v>
      </c>
      <c r="D4" s="40">
        <v>540</v>
      </c>
      <c r="E4" s="37">
        <f>7.4*D4</f>
        <v>3996</v>
      </c>
      <c r="F4" s="37">
        <v>4</v>
      </c>
      <c r="G4" s="37">
        <v>28</v>
      </c>
      <c r="H4" s="38">
        <v>17</v>
      </c>
      <c r="I4" s="45">
        <v>40</v>
      </c>
      <c r="J4" s="37">
        <f>2.7*I4</f>
        <v>108</v>
      </c>
      <c r="K4" s="37">
        <v>0</v>
      </c>
      <c r="L4" s="38">
        <v>1</v>
      </c>
      <c r="M4" s="37">
        <v>3</v>
      </c>
      <c r="N4" s="105">
        <v>0.3595505617977528</v>
      </c>
      <c r="O4" s="106">
        <v>0.21348314606741572</v>
      </c>
      <c r="P4" s="106">
        <v>0.10112359550561797</v>
      </c>
      <c r="Q4" s="106">
        <v>8.98876404494382E-2</v>
      </c>
      <c r="R4" s="106">
        <v>9.5505617977528087E-2</v>
      </c>
      <c r="S4" s="107">
        <v>0.1404494382022472</v>
      </c>
      <c r="T4" s="111">
        <v>0.9</v>
      </c>
      <c r="U4" s="90">
        <v>0.08</v>
      </c>
      <c r="V4" s="90">
        <v>1.4999999999999999E-2</v>
      </c>
      <c r="W4" s="90">
        <v>4.0000000000000001E-3</v>
      </c>
      <c r="X4" s="90">
        <v>1E-3</v>
      </c>
      <c r="Y4" s="112">
        <v>0</v>
      </c>
      <c r="Z4" s="115">
        <f t="shared" ref="Z4:Z65" si="2">N4*$G4</f>
        <v>10.067415730337078</v>
      </c>
      <c r="AA4" s="116">
        <f t="shared" ref="AA4:AA65" si="3">O4*$G4</f>
        <v>5.97752808988764</v>
      </c>
      <c r="AB4" s="116">
        <f t="shared" ref="AB4:AB65" si="4">P4*$G4</f>
        <v>2.8314606741573032</v>
      </c>
      <c r="AC4" s="116">
        <f t="shared" ref="AC4:AC65" si="5">Q4*$G4</f>
        <v>2.5168539325842696</v>
      </c>
      <c r="AD4" s="116">
        <f t="shared" ref="AD4:AD65" si="6">R4*$G4</f>
        <v>2.6741573033707864</v>
      </c>
      <c r="AE4" s="117">
        <f t="shared" ref="AE4:AE65" si="7">S4*$G4</f>
        <v>3.9325842696629216</v>
      </c>
      <c r="AF4" s="115">
        <f t="shared" ref="AF4:AF65" si="8">T4*$L4</f>
        <v>0.9</v>
      </c>
      <c r="AG4" s="116">
        <f t="shared" ref="AG4:AG65" si="9">U4*$L4</f>
        <v>0.08</v>
      </c>
      <c r="AH4" s="116">
        <f t="shared" ref="AH4:AH65" si="10">V4*$L4</f>
        <v>1.4999999999999999E-2</v>
      </c>
      <c r="AI4" s="116">
        <f t="shared" ref="AI4:AI65" si="11">W4*$L4</f>
        <v>4.0000000000000001E-3</v>
      </c>
      <c r="AJ4" s="116">
        <f t="shared" ref="AJ4:AJ65" si="12">X4*$L4</f>
        <v>1E-3</v>
      </c>
      <c r="AK4" s="117">
        <f t="shared" ref="AK4:AK65" si="13">Y4*$L4</f>
        <v>0</v>
      </c>
      <c r="AL4" s="121">
        <f>Input!$C$11*QBs!D4+Input!$C$12*QBs!C4+Input!$C$13*QBs!E4+Input!$C$14*QBs!H4+Input!$C$15*QBs!Z4+Input!$C$16*QBs!AA4+Input!$C$17*QBs!AB4+Input!$C$18*QBs!AC4+Input!$C$19*QBs!AD4+Input!$C$20*QBs!AE4+Input!$C$21*QBs!F4+Input!$C$22*QBs!I4+Input!$C$23*QBs!J4+Input!$C$24*QBs!AF4+Input!$C$25*QBs!AG4+Input!$C$26*QBs!AH4+Input!$C$27*QBs!AI4+Input!$C$28*QBs!AJ4+Input!$C$29*QBs!AK4+Input!$C$30*QBs!K4+Input!$C$40*QBs!M4</f>
        <v>359.27656179775278</v>
      </c>
    </row>
    <row r="5" spans="1:38" x14ac:dyDescent="0.25">
      <c r="A5" s="93" t="s">
        <v>139</v>
      </c>
      <c r="B5" s="94" t="s">
        <v>140</v>
      </c>
      <c r="C5" s="36">
        <v>322</v>
      </c>
      <c r="D5" s="40">
        <v>555</v>
      </c>
      <c r="E5" s="37">
        <f>7.1*D5</f>
        <v>3940.5</v>
      </c>
      <c r="F5" s="37">
        <v>5</v>
      </c>
      <c r="G5" s="37">
        <v>27</v>
      </c>
      <c r="H5" s="38">
        <v>22</v>
      </c>
      <c r="I5" s="45">
        <v>40</v>
      </c>
      <c r="J5" s="37">
        <f>4*I5</f>
        <v>160</v>
      </c>
      <c r="K5" s="37">
        <v>0</v>
      </c>
      <c r="L5" s="38">
        <v>1</v>
      </c>
      <c r="M5" s="37">
        <v>4</v>
      </c>
      <c r="N5" s="105">
        <v>0.44360902255639095</v>
      </c>
      <c r="O5" s="106">
        <v>0.24060150375939848</v>
      </c>
      <c r="P5" s="106">
        <v>0.21804511278195488</v>
      </c>
      <c r="Q5" s="106">
        <v>3.007518796992481E-2</v>
      </c>
      <c r="R5" s="106">
        <v>4.5112781954887216E-2</v>
      </c>
      <c r="S5" s="107">
        <v>2.2556390977443608E-2</v>
      </c>
      <c r="T5" s="111">
        <v>0.9</v>
      </c>
      <c r="U5" s="90">
        <v>0.08</v>
      </c>
      <c r="V5" s="90">
        <v>1.4999999999999999E-2</v>
      </c>
      <c r="W5" s="90">
        <v>4.0000000000000001E-3</v>
      </c>
      <c r="X5" s="90">
        <v>1E-3</v>
      </c>
      <c r="Y5" s="112">
        <v>0</v>
      </c>
      <c r="Z5" s="115">
        <f t="shared" si="2"/>
        <v>11.977443609022556</v>
      </c>
      <c r="AA5" s="116">
        <f t="shared" si="3"/>
        <v>6.496240601503759</v>
      </c>
      <c r="AB5" s="116">
        <f t="shared" si="4"/>
        <v>5.8872180451127818</v>
      </c>
      <c r="AC5" s="116">
        <f t="shared" si="5"/>
        <v>0.81203007518796988</v>
      </c>
      <c r="AD5" s="116">
        <f t="shared" si="6"/>
        <v>1.2180451127819549</v>
      </c>
      <c r="AE5" s="117">
        <f t="shared" si="7"/>
        <v>0.60902255639097747</v>
      </c>
      <c r="AF5" s="115">
        <f t="shared" si="8"/>
        <v>0.9</v>
      </c>
      <c r="AG5" s="116">
        <f t="shared" si="9"/>
        <v>0.08</v>
      </c>
      <c r="AH5" s="116">
        <f t="shared" si="10"/>
        <v>1.4999999999999999E-2</v>
      </c>
      <c r="AI5" s="116">
        <f t="shared" si="11"/>
        <v>4.0000000000000001E-3</v>
      </c>
      <c r="AJ5" s="116">
        <f t="shared" si="12"/>
        <v>1E-3</v>
      </c>
      <c r="AK5" s="117">
        <f t="shared" si="13"/>
        <v>0</v>
      </c>
      <c r="AL5" s="121">
        <f>Input!$C$11*QBs!D5+Input!$C$12*QBs!C5+Input!$C$13*QBs!E5+Input!$C$14*QBs!H5+Input!$C$15*QBs!Z5+Input!$C$16*QBs!AA5+Input!$C$17*QBs!AB5+Input!$C$18*QBs!AC5+Input!$C$19*QBs!AD5+Input!$C$20*QBs!AE5+Input!$C$21*QBs!F5+Input!$C$22*QBs!I5+Input!$C$23*QBs!J5+Input!$C$24*QBs!AF5+Input!$C$25*QBs!AG5+Input!$C$26*QBs!AH5+Input!$C$27*QBs!AI5+Input!$C$28*QBs!AJ5+Input!$C$29*QBs!AK5+Input!$C$30*QBs!K5+Input!$C$40*QBs!M5</f>
        <v>339.77506015037591</v>
      </c>
    </row>
    <row r="6" spans="1:38" x14ac:dyDescent="0.25">
      <c r="A6" s="93" t="s">
        <v>141</v>
      </c>
      <c r="B6" s="94" t="s">
        <v>142</v>
      </c>
      <c r="C6" s="36">
        <v>279</v>
      </c>
      <c r="D6" s="40">
        <v>500</v>
      </c>
      <c r="E6" s="37">
        <f>6.57*D6</f>
        <v>3285</v>
      </c>
      <c r="F6" s="37">
        <v>2</v>
      </c>
      <c r="G6" s="37">
        <v>18</v>
      </c>
      <c r="H6" s="38">
        <v>10</v>
      </c>
      <c r="I6" s="45">
        <v>90</v>
      </c>
      <c r="J6" s="37">
        <f>5.9*I6</f>
        <v>531</v>
      </c>
      <c r="K6" s="37">
        <v>1</v>
      </c>
      <c r="L6" s="38">
        <v>6</v>
      </c>
      <c r="M6" s="37">
        <v>2</v>
      </c>
      <c r="N6" s="105">
        <v>0.3595505617977528</v>
      </c>
      <c r="O6" s="106">
        <v>0.21348314606741572</v>
      </c>
      <c r="P6" s="106">
        <v>0.10112359550561797</v>
      </c>
      <c r="Q6" s="106">
        <v>8.98876404494382E-2</v>
      </c>
      <c r="R6" s="106">
        <v>9.5505617977528087E-2</v>
      </c>
      <c r="S6" s="107">
        <v>0.1404494382022472</v>
      </c>
      <c r="T6" s="111">
        <v>0.9</v>
      </c>
      <c r="U6" s="90">
        <v>0.08</v>
      </c>
      <c r="V6" s="90">
        <v>1.4999999999999999E-2</v>
      </c>
      <c r="W6" s="90">
        <v>4.0000000000000001E-3</v>
      </c>
      <c r="X6" s="90">
        <v>1E-3</v>
      </c>
      <c r="Y6" s="112">
        <v>0</v>
      </c>
      <c r="Z6" s="115">
        <f t="shared" si="2"/>
        <v>6.4719101123595504</v>
      </c>
      <c r="AA6" s="116">
        <f t="shared" si="3"/>
        <v>3.8426966292134832</v>
      </c>
      <c r="AB6" s="116">
        <f t="shared" si="4"/>
        <v>1.8202247191011236</v>
      </c>
      <c r="AC6" s="116">
        <f t="shared" si="5"/>
        <v>1.6179775280898876</v>
      </c>
      <c r="AD6" s="116">
        <f t="shared" si="6"/>
        <v>1.7191011235955056</v>
      </c>
      <c r="AE6" s="117">
        <f t="shared" si="7"/>
        <v>2.5280898876404496</v>
      </c>
      <c r="AF6" s="115">
        <f t="shared" si="8"/>
        <v>5.4</v>
      </c>
      <c r="AG6" s="116">
        <f t="shared" si="9"/>
        <v>0.48</v>
      </c>
      <c r="AH6" s="116">
        <f t="shared" si="10"/>
        <v>0.09</v>
      </c>
      <c r="AI6" s="116">
        <f t="shared" si="11"/>
        <v>2.4E-2</v>
      </c>
      <c r="AJ6" s="116">
        <f t="shared" si="12"/>
        <v>6.0000000000000001E-3</v>
      </c>
      <c r="AK6" s="117">
        <f t="shared" si="13"/>
        <v>0</v>
      </c>
      <c r="AL6" s="121">
        <f>Input!$C$11*QBs!D6+Input!$C$12*QBs!C6+Input!$C$13*QBs!E6+Input!$C$14*QBs!H6+Input!$C$15*QBs!Z6+Input!$C$16*QBs!AA6+Input!$C$17*QBs!AB6+Input!$C$18*QBs!AC6+Input!$C$19*QBs!AD6+Input!$C$20*QBs!AE6+Input!$C$21*QBs!F6+Input!$C$22*QBs!I6+Input!$C$23*QBs!J6+Input!$C$24*QBs!AF6+Input!$C$25*QBs!AG6+Input!$C$26*QBs!AH6+Input!$C$27*QBs!AI6+Input!$C$28*QBs!AJ6+Input!$C$29*QBs!AK6+Input!$C$30*QBs!K6+Input!$C$40*QBs!M6</f>
        <v>346.95993258426978</v>
      </c>
    </row>
    <row r="7" spans="1:38" x14ac:dyDescent="0.25">
      <c r="A7" s="93" t="s">
        <v>143</v>
      </c>
      <c r="B7" s="94" t="s">
        <v>144</v>
      </c>
      <c r="C7" s="36">
        <v>317</v>
      </c>
      <c r="D7" s="40">
        <v>540</v>
      </c>
      <c r="E7" s="37">
        <f>6.8*D7</f>
        <v>3672</v>
      </c>
      <c r="F7" s="37">
        <v>4</v>
      </c>
      <c r="G7" s="37">
        <v>22</v>
      </c>
      <c r="H7" s="38">
        <v>17</v>
      </c>
      <c r="I7" s="45">
        <v>60</v>
      </c>
      <c r="J7" s="37">
        <f>5*I7</f>
        <v>300</v>
      </c>
      <c r="K7" s="37">
        <v>0</v>
      </c>
      <c r="L7" s="38">
        <v>2</v>
      </c>
      <c r="M7" s="37">
        <v>3</v>
      </c>
      <c r="N7" s="105">
        <v>0.24793388429752067</v>
      </c>
      <c r="O7" s="106">
        <v>0.23966942148760331</v>
      </c>
      <c r="P7" s="106">
        <v>0.10743801652892562</v>
      </c>
      <c r="Q7" s="106">
        <v>0.12396694214876033</v>
      </c>
      <c r="R7" s="106">
        <v>6.6115702479338845E-2</v>
      </c>
      <c r="S7" s="107">
        <v>0.21487603305785125</v>
      </c>
      <c r="T7" s="111">
        <v>0.9</v>
      </c>
      <c r="U7" s="90">
        <v>0.08</v>
      </c>
      <c r="V7" s="90">
        <v>1.4999999999999999E-2</v>
      </c>
      <c r="W7" s="90">
        <v>4.0000000000000001E-3</v>
      </c>
      <c r="X7" s="90">
        <v>1E-3</v>
      </c>
      <c r="Y7" s="112">
        <v>0</v>
      </c>
      <c r="Z7" s="115">
        <f t="shared" si="2"/>
        <v>5.454545454545455</v>
      </c>
      <c r="AA7" s="116">
        <f t="shared" si="3"/>
        <v>5.2727272727272725</v>
      </c>
      <c r="AB7" s="116">
        <f t="shared" si="4"/>
        <v>2.3636363636363638</v>
      </c>
      <c r="AC7" s="116">
        <f t="shared" si="5"/>
        <v>2.7272727272727275</v>
      </c>
      <c r="AD7" s="116">
        <f t="shared" si="6"/>
        <v>1.4545454545454546</v>
      </c>
      <c r="AE7" s="117">
        <f t="shared" si="7"/>
        <v>4.7272727272727275</v>
      </c>
      <c r="AF7" s="115">
        <f t="shared" si="8"/>
        <v>1.8</v>
      </c>
      <c r="AG7" s="116">
        <f t="shared" si="9"/>
        <v>0.16</v>
      </c>
      <c r="AH7" s="116">
        <f t="shared" si="10"/>
        <v>0.03</v>
      </c>
      <c r="AI7" s="116">
        <f t="shared" si="11"/>
        <v>8.0000000000000002E-3</v>
      </c>
      <c r="AJ7" s="116">
        <f t="shared" si="12"/>
        <v>2E-3</v>
      </c>
      <c r="AK7" s="117">
        <f t="shared" si="13"/>
        <v>0</v>
      </c>
      <c r="AL7" s="121">
        <f>Input!$C$11*QBs!D7+Input!$C$12*QBs!C7+Input!$C$13*QBs!E7+Input!$C$14*QBs!H7+Input!$C$15*QBs!Z7+Input!$C$16*QBs!AA7+Input!$C$17*QBs!AB7+Input!$C$18*QBs!AC7+Input!$C$19*QBs!AD7+Input!$C$20*QBs!AE7+Input!$C$21*QBs!F7+Input!$C$22*QBs!I7+Input!$C$23*QBs!J7+Input!$C$24*QBs!AF7+Input!$C$25*QBs!AG7+Input!$C$26*QBs!AH7+Input!$C$27*QBs!AI7+Input!$C$28*QBs!AJ7+Input!$C$29*QBs!AK7+Input!$C$30*QBs!K7+Input!$C$40*QBs!M7</f>
        <v>348.48836363636366</v>
      </c>
    </row>
    <row r="8" spans="1:38" x14ac:dyDescent="0.25">
      <c r="A8" s="93" t="s">
        <v>145</v>
      </c>
      <c r="B8" s="94" t="s">
        <v>146</v>
      </c>
      <c r="C8" s="39">
        <v>297</v>
      </c>
      <c r="D8" s="47">
        <v>500</v>
      </c>
      <c r="E8" s="37">
        <f>7.3*D8</f>
        <v>3650</v>
      </c>
      <c r="F8" s="37">
        <v>2</v>
      </c>
      <c r="G8" s="37">
        <v>22</v>
      </c>
      <c r="H8" s="38">
        <v>14</v>
      </c>
      <c r="I8" s="45">
        <v>45</v>
      </c>
      <c r="J8" s="37">
        <f>5.3*I8</f>
        <v>238.5</v>
      </c>
      <c r="K8" s="37">
        <v>0</v>
      </c>
      <c r="L8" s="38">
        <v>2</v>
      </c>
      <c r="M8" s="37">
        <v>4</v>
      </c>
      <c r="N8" s="81">
        <v>0.44360902255639095</v>
      </c>
      <c r="O8" s="82">
        <v>0.24060150375939848</v>
      </c>
      <c r="P8" s="82">
        <v>0.21804511278195488</v>
      </c>
      <c r="Q8" s="82">
        <v>3.007518796992481E-2</v>
      </c>
      <c r="R8" s="82">
        <v>4.5112781954887216E-2</v>
      </c>
      <c r="S8" s="83">
        <v>2.2556390977443608E-2</v>
      </c>
      <c r="T8" s="111">
        <v>0.9</v>
      </c>
      <c r="U8" s="90">
        <v>0.08</v>
      </c>
      <c r="V8" s="90">
        <v>1.4999999999999999E-2</v>
      </c>
      <c r="W8" s="90">
        <v>4.0000000000000001E-3</v>
      </c>
      <c r="X8" s="90">
        <v>1E-3</v>
      </c>
      <c r="Y8" s="112">
        <v>0</v>
      </c>
      <c r="Z8" s="115">
        <f t="shared" si="2"/>
        <v>9.7593984962406015</v>
      </c>
      <c r="AA8" s="116">
        <f t="shared" si="3"/>
        <v>5.2932330827067666</v>
      </c>
      <c r="AB8" s="116">
        <f t="shared" si="4"/>
        <v>4.7969924812030076</v>
      </c>
      <c r="AC8" s="116">
        <f t="shared" si="5"/>
        <v>0.66165413533834583</v>
      </c>
      <c r="AD8" s="116">
        <f t="shared" si="6"/>
        <v>0.99248120300751874</v>
      </c>
      <c r="AE8" s="117">
        <f t="shared" si="7"/>
        <v>0.49624060150375937</v>
      </c>
      <c r="AF8" s="115">
        <f t="shared" si="8"/>
        <v>1.8</v>
      </c>
      <c r="AG8" s="116">
        <f t="shared" si="9"/>
        <v>0.16</v>
      </c>
      <c r="AH8" s="116">
        <f t="shared" si="10"/>
        <v>0.03</v>
      </c>
      <c r="AI8" s="116">
        <f t="shared" si="11"/>
        <v>8.0000000000000002E-3</v>
      </c>
      <c r="AJ8" s="116">
        <f t="shared" si="12"/>
        <v>2E-3</v>
      </c>
      <c r="AK8" s="117">
        <f t="shared" si="13"/>
        <v>0</v>
      </c>
      <c r="AL8" s="121">
        <f>Input!$C$11*QBs!D8+Input!$C$12*QBs!C8+Input!$C$13*QBs!E8+Input!$C$14*QBs!H8+Input!$C$15*QBs!Z8+Input!$C$16*QBs!AA8+Input!$C$17*QBs!AB8+Input!$C$18*QBs!AC8+Input!$C$19*QBs!AD8+Input!$C$20*QBs!AE8+Input!$C$21*QBs!F8+Input!$C$22*QBs!I8+Input!$C$23*QBs!J8+Input!$C$24*QBs!AF8+Input!$C$25*QBs!AG8+Input!$C$26*QBs!AH8+Input!$C$27*QBs!AI8+Input!$C$28*QBs!AJ8+Input!$C$29*QBs!AK8+Input!$C$30*QBs!K8+Input!$C$40*QBs!M8</f>
        <v>309.92530827067668</v>
      </c>
    </row>
    <row r="9" spans="1:38" x14ac:dyDescent="0.25">
      <c r="A9" s="93" t="s">
        <v>147</v>
      </c>
      <c r="B9" s="94" t="s">
        <v>148</v>
      </c>
      <c r="C9" s="36">
        <v>308</v>
      </c>
      <c r="D9" s="40">
        <v>530</v>
      </c>
      <c r="E9" s="37">
        <f>6.78*D9</f>
        <v>3593.4</v>
      </c>
      <c r="F9" s="37">
        <v>3</v>
      </c>
      <c r="G9" s="37">
        <v>21</v>
      </c>
      <c r="H9" s="38">
        <v>17</v>
      </c>
      <c r="I9" s="45">
        <v>50</v>
      </c>
      <c r="J9" s="37">
        <f>5.1*I9</f>
        <v>254.99999999999997</v>
      </c>
      <c r="K9" s="37">
        <v>0</v>
      </c>
      <c r="L9" s="38">
        <v>2</v>
      </c>
      <c r="M9" s="37">
        <v>2</v>
      </c>
      <c r="N9" s="105">
        <v>0.3595505617977528</v>
      </c>
      <c r="O9" s="106">
        <v>0.21348314606741572</v>
      </c>
      <c r="P9" s="106">
        <v>0.10112359550561797</v>
      </c>
      <c r="Q9" s="106">
        <v>8.98876404494382E-2</v>
      </c>
      <c r="R9" s="106">
        <v>9.5505617977528087E-2</v>
      </c>
      <c r="S9" s="107">
        <v>0.1404494382022472</v>
      </c>
      <c r="T9" s="111">
        <v>0.9</v>
      </c>
      <c r="U9" s="90">
        <v>0.08</v>
      </c>
      <c r="V9" s="90">
        <v>1.4999999999999999E-2</v>
      </c>
      <c r="W9" s="90">
        <v>4.0000000000000001E-3</v>
      </c>
      <c r="X9" s="90">
        <v>1E-3</v>
      </c>
      <c r="Y9" s="112">
        <v>0</v>
      </c>
      <c r="Z9" s="115">
        <f t="shared" si="2"/>
        <v>7.5505617977528088</v>
      </c>
      <c r="AA9" s="116">
        <f t="shared" si="3"/>
        <v>4.4831460674157304</v>
      </c>
      <c r="AB9" s="116">
        <f t="shared" si="4"/>
        <v>2.1235955056179776</v>
      </c>
      <c r="AC9" s="116">
        <f t="shared" si="5"/>
        <v>1.8876404494382022</v>
      </c>
      <c r="AD9" s="116">
        <f t="shared" si="6"/>
        <v>2.00561797752809</v>
      </c>
      <c r="AE9" s="117">
        <f t="shared" si="7"/>
        <v>2.9494382022471912</v>
      </c>
      <c r="AF9" s="115">
        <f t="shared" si="8"/>
        <v>1.8</v>
      </c>
      <c r="AG9" s="116">
        <f t="shared" si="9"/>
        <v>0.16</v>
      </c>
      <c r="AH9" s="116">
        <f t="shared" si="10"/>
        <v>0.03</v>
      </c>
      <c r="AI9" s="116">
        <f t="shared" si="11"/>
        <v>8.0000000000000002E-3</v>
      </c>
      <c r="AJ9" s="116">
        <f t="shared" si="12"/>
        <v>2E-3</v>
      </c>
      <c r="AK9" s="117">
        <f t="shared" si="13"/>
        <v>0</v>
      </c>
      <c r="AL9" s="121">
        <f>Input!$C$11*QBs!D9+Input!$C$12*QBs!C9+Input!$C$13*QBs!E9+Input!$C$14*QBs!H9+Input!$C$15*QBs!Z9+Input!$C$16*QBs!AA9+Input!$C$17*QBs!AB9+Input!$C$18*QBs!AC9+Input!$C$19*QBs!AD9+Input!$C$20*QBs!AE9+Input!$C$21*QBs!F9+Input!$C$22*QBs!I9+Input!$C$23*QBs!J9+Input!$C$24*QBs!AF9+Input!$C$25*QBs!AG9+Input!$C$26*QBs!AH9+Input!$C$27*QBs!AI9+Input!$C$28*QBs!AJ9+Input!$C$29*QBs!AK9+Input!$C$30*QBs!K9+Input!$C$40*QBs!M9</f>
        <v>324.58492134831465</v>
      </c>
    </row>
    <row r="10" spans="1:38" x14ac:dyDescent="0.25">
      <c r="A10" s="93" t="s">
        <v>149</v>
      </c>
      <c r="B10" s="94" t="s">
        <v>150</v>
      </c>
      <c r="C10" s="36">
        <v>302</v>
      </c>
      <c r="D10" s="40">
        <v>510</v>
      </c>
      <c r="E10" s="37">
        <f>7.4*D10</f>
        <v>3774</v>
      </c>
      <c r="F10" s="37">
        <v>4</v>
      </c>
      <c r="G10" s="37">
        <v>23</v>
      </c>
      <c r="H10" s="38">
        <v>13</v>
      </c>
      <c r="I10" s="45">
        <v>20</v>
      </c>
      <c r="J10" s="37">
        <f>2.2*I10</f>
        <v>44</v>
      </c>
      <c r="K10" s="37">
        <v>0</v>
      </c>
      <c r="L10" s="38">
        <v>1</v>
      </c>
      <c r="M10" s="37">
        <v>5</v>
      </c>
      <c r="N10" s="105">
        <v>0.24793388429752067</v>
      </c>
      <c r="O10" s="106">
        <v>0.23966942148760331</v>
      </c>
      <c r="P10" s="106">
        <v>0.10743801652892562</v>
      </c>
      <c r="Q10" s="106">
        <v>0.12396694214876033</v>
      </c>
      <c r="R10" s="106">
        <v>6.6115702479338845E-2</v>
      </c>
      <c r="S10" s="107">
        <v>0.21487603305785125</v>
      </c>
      <c r="T10" s="111">
        <v>0.9</v>
      </c>
      <c r="U10" s="90">
        <v>0.08</v>
      </c>
      <c r="V10" s="90">
        <v>1.4999999999999999E-2</v>
      </c>
      <c r="W10" s="90">
        <v>4.0000000000000001E-3</v>
      </c>
      <c r="X10" s="90">
        <v>1E-3</v>
      </c>
      <c r="Y10" s="112">
        <v>0</v>
      </c>
      <c r="Z10" s="115">
        <f t="shared" si="2"/>
        <v>5.7024793388429753</v>
      </c>
      <c r="AA10" s="116">
        <f t="shared" si="3"/>
        <v>5.5123966942148765</v>
      </c>
      <c r="AB10" s="116">
        <f t="shared" si="4"/>
        <v>2.4710743801652892</v>
      </c>
      <c r="AC10" s="116">
        <f t="shared" si="5"/>
        <v>2.8512396694214877</v>
      </c>
      <c r="AD10" s="116">
        <f t="shared" si="6"/>
        <v>1.5206611570247934</v>
      </c>
      <c r="AE10" s="117">
        <f t="shared" si="7"/>
        <v>4.9421487603305785</v>
      </c>
      <c r="AF10" s="115">
        <f t="shared" si="8"/>
        <v>0.9</v>
      </c>
      <c r="AG10" s="116">
        <f t="shared" si="9"/>
        <v>0.08</v>
      </c>
      <c r="AH10" s="116">
        <f t="shared" si="10"/>
        <v>1.4999999999999999E-2</v>
      </c>
      <c r="AI10" s="116">
        <f t="shared" si="11"/>
        <v>4.0000000000000001E-3</v>
      </c>
      <c r="AJ10" s="116">
        <f t="shared" si="12"/>
        <v>1E-3</v>
      </c>
      <c r="AK10" s="117">
        <f t="shared" si="13"/>
        <v>0</v>
      </c>
      <c r="AL10" s="121">
        <f>Input!$C$11*QBs!D10+Input!$C$12*QBs!C10+Input!$C$13*QBs!E10+Input!$C$14*QBs!H10+Input!$C$15*QBs!Z10+Input!$C$16*QBs!AA10+Input!$C$17*QBs!AB10+Input!$C$18*QBs!AC10+Input!$C$19*QBs!AD10+Input!$C$20*QBs!AE10+Input!$C$21*QBs!F10+Input!$C$22*QBs!I10+Input!$C$23*QBs!J10+Input!$C$24*QBs!AF10+Input!$C$25*QBs!AG10+Input!$C$26*QBs!AH10+Input!$C$27*QBs!AI10+Input!$C$28*QBs!AJ10+Input!$C$29*QBs!AK10+Input!$C$30*QBs!K10+Input!$C$40*QBs!M10</f>
        <v>325.02765289256195</v>
      </c>
    </row>
    <row r="11" spans="1:38" x14ac:dyDescent="0.25">
      <c r="A11" s="93" t="s">
        <v>151</v>
      </c>
      <c r="B11" s="94" t="s">
        <v>152</v>
      </c>
      <c r="C11" s="36">
        <v>259</v>
      </c>
      <c r="D11" s="40">
        <v>475</v>
      </c>
      <c r="E11" s="37">
        <f>7.3*D11</f>
        <v>3467.5</v>
      </c>
      <c r="F11" s="37">
        <v>3</v>
      </c>
      <c r="G11" s="37">
        <v>19</v>
      </c>
      <c r="H11" s="38">
        <v>16</v>
      </c>
      <c r="I11" s="45">
        <v>60</v>
      </c>
      <c r="J11" s="37">
        <f>5.2*I11</f>
        <v>312</v>
      </c>
      <c r="K11" s="37">
        <v>0</v>
      </c>
      <c r="L11" s="38">
        <v>2</v>
      </c>
      <c r="M11" s="37">
        <v>5</v>
      </c>
      <c r="N11" s="105">
        <v>0.24793388429752067</v>
      </c>
      <c r="O11" s="106">
        <v>0.23966942148760331</v>
      </c>
      <c r="P11" s="106">
        <v>0.10743801652892562</v>
      </c>
      <c r="Q11" s="106">
        <v>0.12396694214876033</v>
      </c>
      <c r="R11" s="106">
        <v>6.6115702479338845E-2</v>
      </c>
      <c r="S11" s="107">
        <v>0.21487603305785125</v>
      </c>
      <c r="T11" s="111">
        <v>0.9</v>
      </c>
      <c r="U11" s="90">
        <v>0.08</v>
      </c>
      <c r="V11" s="90">
        <v>1.4999999999999999E-2</v>
      </c>
      <c r="W11" s="90">
        <v>4.0000000000000001E-3</v>
      </c>
      <c r="X11" s="90">
        <v>1E-3</v>
      </c>
      <c r="Y11" s="112">
        <v>0</v>
      </c>
      <c r="Z11" s="115">
        <f t="shared" si="2"/>
        <v>4.7107438016528924</v>
      </c>
      <c r="AA11" s="116">
        <f t="shared" si="3"/>
        <v>4.553719008264463</v>
      </c>
      <c r="AB11" s="116">
        <f t="shared" si="4"/>
        <v>2.0413223140495869</v>
      </c>
      <c r="AC11" s="116">
        <f t="shared" si="5"/>
        <v>2.3553719008264462</v>
      </c>
      <c r="AD11" s="116">
        <f t="shared" si="6"/>
        <v>1.2561983471074381</v>
      </c>
      <c r="AE11" s="117">
        <f t="shared" si="7"/>
        <v>4.0826446280991737</v>
      </c>
      <c r="AF11" s="115">
        <f t="shared" si="8"/>
        <v>1.8</v>
      </c>
      <c r="AG11" s="116">
        <f t="shared" si="9"/>
        <v>0.16</v>
      </c>
      <c r="AH11" s="116">
        <f t="shared" si="10"/>
        <v>0.03</v>
      </c>
      <c r="AI11" s="116">
        <f t="shared" si="11"/>
        <v>8.0000000000000002E-3</v>
      </c>
      <c r="AJ11" s="116">
        <f t="shared" si="12"/>
        <v>2E-3</v>
      </c>
      <c r="AK11" s="117">
        <f t="shared" si="13"/>
        <v>0</v>
      </c>
      <c r="AL11" s="121">
        <f>Input!$C$11*QBs!D11+Input!$C$12*QBs!C11+Input!$C$13*QBs!E11+Input!$C$14*QBs!H11+Input!$C$15*QBs!Z11+Input!$C$16*QBs!AA11+Input!$C$17*QBs!AB11+Input!$C$18*QBs!AC11+Input!$C$19*QBs!AD11+Input!$C$20*QBs!AE11+Input!$C$21*QBs!F11+Input!$C$22*QBs!I11+Input!$C$23*QBs!J11+Input!$C$24*QBs!AF11+Input!$C$25*QBs!AG11+Input!$C$26*QBs!AH11+Input!$C$27*QBs!AI11+Input!$C$28*QBs!AJ11+Input!$C$29*QBs!AK11+Input!$C$30*QBs!K11+Input!$C$40*QBs!M11</f>
        <v>318.9674958677686</v>
      </c>
    </row>
    <row r="12" spans="1:38" x14ac:dyDescent="0.25">
      <c r="A12" s="93" t="s">
        <v>153</v>
      </c>
      <c r="B12" s="94" t="s">
        <v>154</v>
      </c>
      <c r="C12" s="36">
        <v>297</v>
      </c>
      <c r="D12" s="40">
        <v>500</v>
      </c>
      <c r="E12" s="37">
        <f>7.5*D12</f>
        <v>3750</v>
      </c>
      <c r="F12" s="37">
        <v>4</v>
      </c>
      <c r="G12" s="37">
        <v>18</v>
      </c>
      <c r="H12" s="38">
        <v>11</v>
      </c>
      <c r="I12" s="45">
        <v>45</v>
      </c>
      <c r="J12" s="37">
        <f>4.7*I12</f>
        <v>211.5</v>
      </c>
      <c r="K12" s="37">
        <v>0</v>
      </c>
      <c r="L12" s="38">
        <v>2</v>
      </c>
      <c r="M12" s="37">
        <v>2</v>
      </c>
      <c r="N12" s="81">
        <v>0.44360902255639095</v>
      </c>
      <c r="O12" s="82">
        <v>0.24060150375939848</v>
      </c>
      <c r="P12" s="82">
        <v>0.21804511278195488</v>
      </c>
      <c r="Q12" s="82">
        <v>3.007518796992481E-2</v>
      </c>
      <c r="R12" s="82">
        <v>4.5112781954887216E-2</v>
      </c>
      <c r="S12" s="83">
        <v>2.2556390977443608E-2</v>
      </c>
      <c r="T12" s="111">
        <v>0.9</v>
      </c>
      <c r="U12" s="90">
        <v>0.08</v>
      </c>
      <c r="V12" s="90">
        <v>1.4999999999999999E-2</v>
      </c>
      <c r="W12" s="90">
        <v>4.0000000000000001E-3</v>
      </c>
      <c r="X12" s="90">
        <v>1E-3</v>
      </c>
      <c r="Y12" s="112">
        <v>0</v>
      </c>
      <c r="Z12" s="115">
        <f t="shared" si="2"/>
        <v>7.984962406015037</v>
      </c>
      <c r="AA12" s="116">
        <f t="shared" si="3"/>
        <v>4.3308270676691727</v>
      </c>
      <c r="AB12" s="116">
        <f t="shared" si="4"/>
        <v>3.9248120300751879</v>
      </c>
      <c r="AC12" s="116">
        <f t="shared" si="5"/>
        <v>0.54135338345864659</v>
      </c>
      <c r="AD12" s="116">
        <f t="shared" si="6"/>
        <v>0.81203007518796988</v>
      </c>
      <c r="AE12" s="117">
        <f t="shared" si="7"/>
        <v>0.40601503759398494</v>
      </c>
      <c r="AF12" s="115">
        <f t="shared" si="8"/>
        <v>1.8</v>
      </c>
      <c r="AG12" s="116">
        <f t="shared" si="9"/>
        <v>0.16</v>
      </c>
      <c r="AH12" s="116">
        <f t="shared" si="10"/>
        <v>0.03</v>
      </c>
      <c r="AI12" s="116">
        <f t="shared" si="11"/>
        <v>8.0000000000000002E-3</v>
      </c>
      <c r="AJ12" s="116">
        <f t="shared" si="12"/>
        <v>2E-3</v>
      </c>
      <c r="AK12" s="117">
        <f t="shared" si="13"/>
        <v>0</v>
      </c>
      <c r="AL12" s="121">
        <f>Input!$C$11*QBs!D12+Input!$C$12*QBs!C12+Input!$C$13*QBs!E12+Input!$C$14*QBs!H12+Input!$C$15*QBs!Z12+Input!$C$16*QBs!AA12+Input!$C$17*QBs!AB12+Input!$C$18*QBs!AC12+Input!$C$19*QBs!AD12+Input!$C$20*QBs!AE12+Input!$C$21*QBs!F12+Input!$C$22*QBs!I12+Input!$C$23*QBs!J12+Input!$C$24*QBs!AF12+Input!$C$25*QBs!AG12+Input!$C$26*QBs!AH12+Input!$C$27*QBs!AI12+Input!$C$28*QBs!AJ12+Input!$C$29*QBs!AK12+Input!$C$30*QBs!K12+Input!$C$40*QBs!M12</f>
        <v>303.98470676691733</v>
      </c>
    </row>
    <row r="13" spans="1:38" x14ac:dyDescent="0.25">
      <c r="A13" s="93" t="s">
        <v>155</v>
      </c>
      <c r="B13" s="94" t="s">
        <v>156</v>
      </c>
      <c r="C13" s="36">
        <v>266</v>
      </c>
      <c r="D13" s="40">
        <v>470</v>
      </c>
      <c r="E13" s="37">
        <f>7.6*D13</f>
        <v>3572</v>
      </c>
      <c r="F13" s="37">
        <v>4</v>
      </c>
      <c r="G13" s="37">
        <v>25</v>
      </c>
      <c r="H13" s="38">
        <v>15</v>
      </c>
      <c r="I13" s="45">
        <v>24</v>
      </c>
      <c r="J13" s="37">
        <f>2.9*I13</f>
        <v>69.599999999999994</v>
      </c>
      <c r="K13" s="37">
        <v>0</v>
      </c>
      <c r="L13" s="38">
        <v>0</v>
      </c>
      <c r="M13" s="37">
        <v>5</v>
      </c>
      <c r="N13" s="105">
        <v>0.3595505617977528</v>
      </c>
      <c r="O13" s="106">
        <v>0.21348314606741572</v>
      </c>
      <c r="P13" s="106">
        <v>0.10112359550561797</v>
      </c>
      <c r="Q13" s="106">
        <v>8.98876404494382E-2</v>
      </c>
      <c r="R13" s="106">
        <v>9.5505617977528087E-2</v>
      </c>
      <c r="S13" s="107">
        <v>0.1404494382022472</v>
      </c>
      <c r="T13" s="111">
        <v>0.9</v>
      </c>
      <c r="U13" s="90">
        <v>0.08</v>
      </c>
      <c r="V13" s="90">
        <v>1.4999999999999999E-2</v>
      </c>
      <c r="W13" s="90">
        <v>4.0000000000000001E-3</v>
      </c>
      <c r="X13" s="90">
        <v>1E-3</v>
      </c>
      <c r="Y13" s="112">
        <v>0</v>
      </c>
      <c r="Z13" s="115">
        <f t="shared" si="2"/>
        <v>8.9887640449438209</v>
      </c>
      <c r="AA13" s="116">
        <f t="shared" si="3"/>
        <v>5.3370786516853927</v>
      </c>
      <c r="AB13" s="116">
        <f t="shared" si="4"/>
        <v>2.5280898876404492</v>
      </c>
      <c r="AC13" s="116">
        <f t="shared" si="5"/>
        <v>2.2471910112359552</v>
      </c>
      <c r="AD13" s="116">
        <f t="shared" si="6"/>
        <v>2.387640449438202</v>
      </c>
      <c r="AE13" s="117">
        <f t="shared" si="7"/>
        <v>3.51123595505618</v>
      </c>
      <c r="AF13" s="115">
        <f t="shared" si="8"/>
        <v>0</v>
      </c>
      <c r="AG13" s="116">
        <f t="shared" si="9"/>
        <v>0</v>
      </c>
      <c r="AH13" s="116">
        <f t="shared" si="10"/>
        <v>0</v>
      </c>
      <c r="AI13" s="116">
        <f t="shared" si="11"/>
        <v>0</v>
      </c>
      <c r="AJ13" s="116">
        <f t="shared" si="12"/>
        <v>0</v>
      </c>
      <c r="AK13" s="117">
        <f t="shared" si="13"/>
        <v>0</v>
      </c>
      <c r="AL13" s="121">
        <f>Input!$C$11*QBs!D13+Input!$C$12*QBs!C13+Input!$C$13*QBs!E13+Input!$C$14*QBs!H13+Input!$C$15*QBs!Z13+Input!$C$16*QBs!AA13+Input!$C$17*QBs!AB13+Input!$C$18*QBs!AC13+Input!$C$19*QBs!AD13+Input!$C$20*QBs!AE13+Input!$C$21*QBs!F13+Input!$C$22*QBs!I13+Input!$C$23*QBs!J13+Input!$C$24*QBs!AF13+Input!$C$25*QBs!AG13+Input!$C$26*QBs!AH13+Input!$C$27*QBs!AI13+Input!$C$28*QBs!AJ13+Input!$C$29*QBs!AK13+Input!$C$30*QBs!K13+Input!$C$40*QBs!M13</f>
        <v>311.80157303370788</v>
      </c>
    </row>
    <row r="14" spans="1:38" x14ac:dyDescent="0.25">
      <c r="A14" s="93" t="s">
        <v>157</v>
      </c>
      <c r="B14" s="94" t="s">
        <v>158</v>
      </c>
      <c r="C14" s="36">
        <v>287</v>
      </c>
      <c r="D14" s="40">
        <v>510</v>
      </c>
      <c r="E14" s="37">
        <f>6.55*D14</f>
        <v>3340.5</v>
      </c>
      <c r="F14" s="37">
        <v>2</v>
      </c>
      <c r="G14" s="37">
        <v>19</v>
      </c>
      <c r="H14" s="38">
        <v>13</v>
      </c>
      <c r="I14" s="45">
        <v>50</v>
      </c>
      <c r="J14" s="37">
        <f>5*I14</f>
        <v>250</v>
      </c>
      <c r="K14" s="37">
        <v>0</v>
      </c>
      <c r="L14" s="38">
        <v>1</v>
      </c>
      <c r="M14" s="37">
        <v>6</v>
      </c>
      <c r="N14" s="105">
        <v>0.24793388429752067</v>
      </c>
      <c r="O14" s="106">
        <v>0.23966942148760331</v>
      </c>
      <c r="P14" s="106">
        <v>0.10743801652892562</v>
      </c>
      <c r="Q14" s="106">
        <v>0.12396694214876033</v>
      </c>
      <c r="R14" s="106">
        <v>6.6115702479338845E-2</v>
      </c>
      <c r="S14" s="107">
        <v>0.21487603305785125</v>
      </c>
      <c r="T14" s="111">
        <v>0.9</v>
      </c>
      <c r="U14" s="90">
        <v>0.08</v>
      </c>
      <c r="V14" s="90">
        <v>1.4999999999999999E-2</v>
      </c>
      <c r="W14" s="90">
        <v>4.0000000000000001E-3</v>
      </c>
      <c r="X14" s="90">
        <v>1E-3</v>
      </c>
      <c r="Y14" s="112">
        <v>0</v>
      </c>
      <c r="Z14" s="115">
        <f t="shared" si="2"/>
        <v>4.7107438016528924</v>
      </c>
      <c r="AA14" s="116">
        <f t="shared" si="3"/>
        <v>4.553719008264463</v>
      </c>
      <c r="AB14" s="116">
        <f t="shared" si="4"/>
        <v>2.0413223140495869</v>
      </c>
      <c r="AC14" s="116">
        <f t="shared" si="5"/>
        <v>2.3553719008264462</v>
      </c>
      <c r="AD14" s="116">
        <f t="shared" si="6"/>
        <v>1.2561983471074381</v>
      </c>
      <c r="AE14" s="117">
        <f t="shared" si="7"/>
        <v>4.0826446280991737</v>
      </c>
      <c r="AF14" s="115">
        <f t="shared" si="8"/>
        <v>0.9</v>
      </c>
      <c r="AG14" s="116">
        <f t="shared" si="9"/>
        <v>0.08</v>
      </c>
      <c r="AH14" s="116">
        <f t="shared" si="10"/>
        <v>1.4999999999999999E-2</v>
      </c>
      <c r="AI14" s="116">
        <f t="shared" si="11"/>
        <v>4.0000000000000001E-3</v>
      </c>
      <c r="AJ14" s="116">
        <f t="shared" si="12"/>
        <v>1E-3</v>
      </c>
      <c r="AK14" s="117">
        <f t="shared" si="13"/>
        <v>0</v>
      </c>
      <c r="AL14" s="121">
        <f>Input!$C$11*QBs!D14+Input!$C$12*QBs!C14+Input!$C$13*QBs!E14+Input!$C$14*QBs!H14+Input!$C$15*QBs!Z14+Input!$C$16*QBs!AA14+Input!$C$17*QBs!AB14+Input!$C$18*QBs!AC14+Input!$C$19*QBs!AD14+Input!$C$20*QBs!AE14+Input!$C$21*QBs!F14+Input!$C$22*QBs!I14+Input!$C$23*QBs!J14+Input!$C$24*QBs!AF14+Input!$C$25*QBs!AG14+Input!$C$26*QBs!AH14+Input!$C$27*QBs!AI14+Input!$C$28*QBs!AJ14+Input!$C$29*QBs!AK14+Input!$C$30*QBs!K14+Input!$C$40*QBs!M14</f>
        <v>296.29149586776856</v>
      </c>
    </row>
    <row r="15" spans="1:38" x14ac:dyDescent="0.25">
      <c r="A15" s="93" t="s">
        <v>159</v>
      </c>
      <c r="B15" s="94" t="s">
        <v>160</v>
      </c>
      <c r="C15" s="36">
        <v>248</v>
      </c>
      <c r="D15" s="40">
        <v>470</v>
      </c>
      <c r="E15" s="37">
        <f>6.6*D15</f>
        <v>3102</v>
      </c>
      <c r="F15" s="37">
        <v>1</v>
      </c>
      <c r="G15" s="37">
        <v>21</v>
      </c>
      <c r="H15" s="38">
        <v>19</v>
      </c>
      <c r="I15" s="45">
        <v>65</v>
      </c>
      <c r="J15" s="37">
        <f>4.5*I15</f>
        <v>292.5</v>
      </c>
      <c r="K15" s="37">
        <v>0</v>
      </c>
      <c r="L15" s="38">
        <v>4</v>
      </c>
      <c r="M15" s="37">
        <v>5</v>
      </c>
      <c r="N15" s="81">
        <v>0.44360902255639095</v>
      </c>
      <c r="O15" s="82">
        <v>0.24060150375939848</v>
      </c>
      <c r="P15" s="82">
        <v>0.21804511278195488</v>
      </c>
      <c r="Q15" s="82">
        <v>3.007518796992481E-2</v>
      </c>
      <c r="R15" s="82">
        <v>4.5112781954887216E-2</v>
      </c>
      <c r="S15" s="83">
        <v>2.2556390977443608E-2</v>
      </c>
      <c r="T15" s="111">
        <v>0.9</v>
      </c>
      <c r="U15" s="90">
        <v>0.08</v>
      </c>
      <c r="V15" s="90">
        <v>1.4999999999999999E-2</v>
      </c>
      <c r="W15" s="90">
        <v>4.0000000000000001E-3</v>
      </c>
      <c r="X15" s="90">
        <v>1E-3</v>
      </c>
      <c r="Y15" s="112">
        <v>0</v>
      </c>
      <c r="Z15" s="115">
        <f t="shared" si="2"/>
        <v>9.3157894736842106</v>
      </c>
      <c r="AA15" s="116">
        <f t="shared" si="3"/>
        <v>5.0526315789473681</v>
      </c>
      <c r="AB15" s="116">
        <f t="shared" si="4"/>
        <v>4.5789473684210522</v>
      </c>
      <c r="AC15" s="116">
        <f t="shared" si="5"/>
        <v>0.63157894736842102</v>
      </c>
      <c r="AD15" s="116">
        <f t="shared" si="6"/>
        <v>0.94736842105263153</v>
      </c>
      <c r="AE15" s="117">
        <f t="shared" si="7"/>
        <v>0.47368421052631576</v>
      </c>
      <c r="AF15" s="115">
        <f t="shared" si="8"/>
        <v>3.6</v>
      </c>
      <c r="AG15" s="116">
        <f t="shared" si="9"/>
        <v>0.32</v>
      </c>
      <c r="AH15" s="116">
        <f t="shared" si="10"/>
        <v>0.06</v>
      </c>
      <c r="AI15" s="116">
        <f t="shared" si="11"/>
        <v>1.6E-2</v>
      </c>
      <c r="AJ15" s="116">
        <f t="shared" si="12"/>
        <v>4.0000000000000001E-3</v>
      </c>
      <c r="AK15" s="117">
        <f t="shared" si="13"/>
        <v>0</v>
      </c>
      <c r="AL15" s="121">
        <f>Input!$C$11*QBs!D15+Input!$C$12*QBs!C15+Input!$C$13*QBs!E15+Input!$C$14*QBs!H15+Input!$C$15*QBs!Z15+Input!$C$16*QBs!AA15+Input!$C$17*QBs!AB15+Input!$C$18*QBs!AC15+Input!$C$19*QBs!AD15+Input!$C$20*QBs!AE15+Input!$C$21*QBs!F15+Input!$C$22*QBs!I15+Input!$C$23*QBs!J15+Input!$C$24*QBs!AF15+Input!$C$25*QBs!AG15+Input!$C$26*QBs!AH15+Input!$C$27*QBs!AI15+Input!$C$28*QBs!AJ15+Input!$C$29*QBs!AK15+Input!$C$30*QBs!K15+Input!$C$40*QBs!M15</f>
        <v>292.11715789473692</v>
      </c>
    </row>
    <row r="16" spans="1:38" x14ac:dyDescent="0.25">
      <c r="A16" s="93" t="s">
        <v>161</v>
      </c>
      <c r="B16" s="94" t="s">
        <v>162</v>
      </c>
      <c r="C16" s="36">
        <v>279</v>
      </c>
      <c r="D16" s="40">
        <v>480</v>
      </c>
      <c r="E16" s="37">
        <f>7.05*D16</f>
        <v>3384</v>
      </c>
      <c r="F16" s="37">
        <v>2</v>
      </c>
      <c r="G16" s="37">
        <v>20</v>
      </c>
      <c r="H16" s="38">
        <v>16</v>
      </c>
      <c r="I16" s="45">
        <v>45</v>
      </c>
      <c r="J16" s="37">
        <f>3.5*I16</f>
        <v>157.5</v>
      </c>
      <c r="K16" s="37">
        <v>0</v>
      </c>
      <c r="L16" s="38">
        <v>2</v>
      </c>
      <c r="M16" s="37">
        <v>4</v>
      </c>
      <c r="N16" s="105">
        <v>0.3595505617977528</v>
      </c>
      <c r="O16" s="106">
        <v>0.21348314606741572</v>
      </c>
      <c r="P16" s="106">
        <v>0.10112359550561797</v>
      </c>
      <c r="Q16" s="106">
        <v>8.98876404494382E-2</v>
      </c>
      <c r="R16" s="106">
        <v>9.5505617977528087E-2</v>
      </c>
      <c r="S16" s="107">
        <v>0.1404494382022472</v>
      </c>
      <c r="T16" s="111">
        <v>0.9</v>
      </c>
      <c r="U16" s="90">
        <v>0.08</v>
      </c>
      <c r="V16" s="90">
        <v>1.4999999999999999E-2</v>
      </c>
      <c r="W16" s="90">
        <v>4.0000000000000001E-3</v>
      </c>
      <c r="X16" s="90">
        <v>1E-3</v>
      </c>
      <c r="Y16" s="112">
        <v>0</v>
      </c>
      <c r="Z16" s="115">
        <f t="shared" si="2"/>
        <v>7.191011235955056</v>
      </c>
      <c r="AA16" s="116">
        <f t="shared" si="3"/>
        <v>4.2696629213483144</v>
      </c>
      <c r="AB16" s="116">
        <f t="shared" si="4"/>
        <v>2.0224719101123596</v>
      </c>
      <c r="AC16" s="116">
        <f t="shared" si="5"/>
        <v>1.797752808988764</v>
      </c>
      <c r="AD16" s="116">
        <f t="shared" si="6"/>
        <v>1.9101123595505618</v>
      </c>
      <c r="AE16" s="117">
        <f t="shared" si="7"/>
        <v>2.808988764044944</v>
      </c>
      <c r="AF16" s="115">
        <f t="shared" si="8"/>
        <v>1.8</v>
      </c>
      <c r="AG16" s="116">
        <f t="shared" si="9"/>
        <v>0.16</v>
      </c>
      <c r="AH16" s="116">
        <f t="shared" si="10"/>
        <v>0.03</v>
      </c>
      <c r="AI16" s="116">
        <f t="shared" si="11"/>
        <v>8.0000000000000002E-3</v>
      </c>
      <c r="AJ16" s="116">
        <f t="shared" si="12"/>
        <v>2E-3</v>
      </c>
      <c r="AK16" s="117">
        <f t="shared" si="13"/>
        <v>0</v>
      </c>
      <c r="AL16" s="121">
        <f>Input!$C$11*QBs!D16+Input!$C$12*QBs!C16+Input!$C$13*QBs!E16+Input!$C$14*QBs!H16+Input!$C$15*QBs!Z16+Input!$C$16*QBs!AA16+Input!$C$17*QBs!AB16+Input!$C$18*QBs!AC16+Input!$C$19*QBs!AD16+Input!$C$20*QBs!AE16+Input!$C$21*QBs!F16+Input!$C$22*QBs!I16+Input!$C$23*QBs!J16+Input!$C$24*QBs!AF16+Input!$C$25*QBs!AG16+Input!$C$26*QBs!AH16+Input!$C$27*QBs!AI16+Input!$C$28*QBs!AJ16+Input!$C$29*QBs!AK16+Input!$C$30*QBs!K16+Input!$C$40*QBs!M16</f>
        <v>294.59525842696632</v>
      </c>
    </row>
    <row r="17" spans="1:38" x14ac:dyDescent="0.25">
      <c r="A17" s="93" t="s">
        <v>163</v>
      </c>
      <c r="B17" s="94" t="s">
        <v>164</v>
      </c>
      <c r="C17" s="36">
        <v>294</v>
      </c>
      <c r="D17" s="40">
        <v>510</v>
      </c>
      <c r="E17" s="37">
        <f>6.9*D17</f>
        <v>3519</v>
      </c>
      <c r="F17" s="37">
        <v>2</v>
      </c>
      <c r="G17" s="37">
        <v>22</v>
      </c>
      <c r="H17" s="38">
        <v>15</v>
      </c>
      <c r="I17" s="45">
        <v>35</v>
      </c>
      <c r="J17" s="37">
        <f>2*I17</f>
        <v>70</v>
      </c>
      <c r="K17" s="37">
        <v>0</v>
      </c>
      <c r="L17" s="38">
        <v>1</v>
      </c>
      <c r="M17" s="37">
        <v>4</v>
      </c>
      <c r="N17" s="105">
        <v>0.44360902255639095</v>
      </c>
      <c r="O17" s="106">
        <v>0.24060150375939848</v>
      </c>
      <c r="P17" s="106">
        <v>0.21804511278195488</v>
      </c>
      <c r="Q17" s="106">
        <v>3.007518796992481E-2</v>
      </c>
      <c r="R17" s="106">
        <v>4.5112781954887216E-2</v>
      </c>
      <c r="S17" s="107">
        <v>2.2556390977443608E-2</v>
      </c>
      <c r="T17" s="111">
        <v>0.9</v>
      </c>
      <c r="U17" s="90">
        <v>0.08</v>
      </c>
      <c r="V17" s="90">
        <v>1.4999999999999999E-2</v>
      </c>
      <c r="W17" s="90">
        <v>4.0000000000000001E-3</v>
      </c>
      <c r="X17" s="90">
        <v>1E-3</v>
      </c>
      <c r="Y17" s="112">
        <v>0</v>
      </c>
      <c r="Z17" s="115">
        <f t="shared" si="2"/>
        <v>9.7593984962406015</v>
      </c>
      <c r="AA17" s="116">
        <f t="shared" si="3"/>
        <v>5.2932330827067666</v>
      </c>
      <c r="AB17" s="116">
        <f t="shared" si="4"/>
        <v>4.7969924812030076</v>
      </c>
      <c r="AC17" s="116">
        <f t="shared" si="5"/>
        <v>0.66165413533834583</v>
      </c>
      <c r="AD17" s="116">
        <f t="shared" si="6"/>
        <v>0.99248120300751874</v>
      </c>
      <c r="AE17" s="117">
        <f t="shared" si="7"/>
        <v>0.49624060150375937</v>
      </c>
      <c r="AF17" s="115">
        <f t="shared" si="8"/>
        <v>0.9</v>
      </c>
      <c r="AG17" s="116">
        <f t="shared" si="9"/>
        <v>0.08</v>
      </c>
      <c r="AH17" s="116">
        <f t="shared" si="10"/>
        <v>1.4999999999999999E-2</v>
      </c>
      <c r="AI17" s="116">
        <f t="shared" si="11"/>
        <v>4.0000000000000001E-3</v>
      </c>
      <c r="AJ17" s="116">
        <f t="shared" si="12"/>
        <v>1E-3</v>
      </c>
      <c r="AK17" s="117">
        <f t="shared" si="13"/>
        <v>0</v>
      </c>
      <c r="AL17" s="121">
        <f>Input!$C$11*QBs!D17+Input!$C$12*QBs!C17+Input!$C$13*QBs!E17+Input!$C$14*QBs!H17+Input!$C$15*QBs!Z17+Input!$C$16*QBs!AA17+Input!$C$17*QBs!AB17+Input!$C$18*QBs!AC17+Input!$C$19*QBs!AD17+Input!$C$20*QBs!AE17+Input!$C$21*QBs!F17+Input!$C$22*QBs!I17+Input!$C$23*QBs!J17+Input!$C$24*QBs!AF17+Input!$C$25*QBs!AG17+Input!$C$26*QBs!AH17+Input!$C$27*QBs!AI17+Input!$C$28*QBs!AJ17+Input!$C$29*QBs!AK17+Input!$C$30*QBs!K17+Input!$C$40*QBs!M17</f>
        <v>280.39930827067667</v>
      </c>
    </row>
    <row r="18" spans="1:38" x14ac:dyDescent="0.25">
      <c r="A18" s="93" t="s">
        <v>165</v>
      </c>
      <c r="B18" s="94" t="s">
        <v>166</v>
      </c>
      <c r="C18" s="36">
        <v>315</v>
      </c>
      <c r="D18" s="40">
        <v>530</v>
      </c>
      <c r="E18" s="37">
        <f>6.95*D18</f>
        <v>3683.5</v>
      </c>
      <c r="F18" s="37">
        <v>2</v>
      </c>
      <c r="G18" s="37">
        <v>17</v>
      </c>
      <c r="H18" s="38">
        <v>15</v>
      </c>
      <c r="I18" s="45">
        <v>25</v>
      </c>
      <c r="J18" s="37">
        <f>3*I18</f>
        <v>75</v>
      </c>
      <c r="K18" s="37">
        <v>0</v>
      </c>
      <c r="L18" s="38">
        <v>1</v>
      </c>
      <c r="M18" s="37">
        <v>6</v>
      </c>
      <c r="N18" s="105">
        <v>0.3595505617977528</v>
      </c>
      <c r="O18" s="106">
        <v>0.21348314606741572</v>
      </c>
      <c r="P18" s="106">
        <v>0.10112359550561797</v>
      </c>
      <c r="Q18" s="106">
        <v>8.98876404494382E-2</v>
      </c>
      <c r="R18" s="106">
        <v>9.5505617977528087E-2</v>
      </c>
      <c r="S18" s="107">
        <v>0.1404494382022472</v>
      </c>
      <c r="T18" s="111">
        <v>0.9</v>
      </c>
      <c r="U18" s="90">
        <v>0.08</v>
      </c>
      <c r="V18" s="90">
        <v>1.4999999999999999E-2</v>
      </c>
      <c r="W18" s="90">
        <v>4.0000000000000001E-3</v>
      </c>
      <c r="X18" s="90">
        <v>1E-3</v>
      </c>
      <c r="Y18" s="112">
        <v>0</v>
      </c>
      <c r="Z18" s="115">
        <f t="shared" si="2"/>
        <v>6.1123595505617976</v>
      </c>
      <c r="AA18" s="116">
        <f t="shared" si="3"/>
        <v>3.6292134831460672</v>
      </c>
      <c r="AB18" s="116">
        <f t="shared" si="4"/>
        <v>1.7191011235955056</v>
      </c>
      <c r="AC18" s="116">
        <f t="shared" si="5"/>
        <v>1.5280898876404494</v>
      </c>
      <c r="AD18" s="116">
        <f t="shared" si="6"/>
        <v>1.6235955056179774</v>
      </c>
      <c r="AE18" s="117">
        <f t="shared" si="7"/>
        <v>2.3876404494382024</v>
      </c>
      <c r="AF18" s="115">
        <f t="shared" si="8"/>
        <v>0.9</v>
      </c>
      <c r="AG18" s="116">
        <f t="shared" si="9"/>
        <v>0.08</v>
      </c>
      <c r="AH18" s="116">
        <f t="shared" si="10"/>
        <v>1.4999999999999999E-2</v>
      </c>
      <c r="AI18" s="116">
        <f t="shared" si="11"/>
        <v>4.0000000000000001E-3</v>
      </c>
      <c r="AJ18" s="116">
        <f t="shared" si="12"/>
        <v>1E-3</v>
      </c>
      <c r="AK18" s="117">
        <f t="shared" si="13"/>
        <v>0</v>
      </c>
      <c r="AL18" s="121">
        <f>Input!$C$11*QBs!D18+Input!$C$12*QBs!C18+Input!$C$13*QBs!E18+Input!$C$14*QBs!H18+Input!$C$15*QBs!Z18+Input!$C$16*QBs!AA18+Input!$C$17*QBs!AB18+Input!$C$18*QBs!AC18+Input!$C$19*QBs!AD18+Input!$C$20*QBs!AE18+Input!$C$21*QBs!F18+Input!$C$22*QBs!I18+Input!$C$23*QBs!J18+Input!$C$24*QBs!AF18+Input!$C$25*QBs!AG18+Input!$C$26*QBs!AH18+Input!$C$27*QBs!AI18+Input!$C$28*QBs!AJ18+Input!$C$29*QBs!AK18+Input!$C$30*QBs!K18+Input!$C$40*QBs!M18</f>
        <v>278.88526966292136</v>
      </c>
    </row>
    <row r="19" spans="1:38" x14ac:dyDescent="0.25">
      <c r="A19" s="93" t="s">
        <v>167</v>
      </c>
      <c r="B19" s="94" t="s">
        <v>168</v>
      </c>
      <c r="C19" s="36">
        <v>288</v>
      </c>
      <c r="D19" s="40">
        <v>480</v>
      </c>
      <c r="E19" s="37">
        <f>7.15*D19</f>
        <v>3432</v>
      </c>
      <c r="F19" s="37">
        <v>2</v>
      </c>
      <c r="G19" s="37">
        <v>21</v>
      </c>
      <c r="H19" s="38">
        <v>13</v>
      </c>
      <c r="I19" s="45">
        <v>22</v>
      </c>
      <c r="J19" s="37">
        <f>2.2*I19</f>
        <v>48.400000000000006</v>
      </c>
      <c r="K19" s="37">
        <v>0</v>
      </c>
      <c r="L19" s="38">
        <v>1</v>
      </c>
      <c r="M19" s="37">
        <v>2</v>
      </c>
      <c r="N19" s="105">
        <v>0.3595505617977528</v>
      </c>
      <c r="O19" s="106">
        <v>0.21348314606741572</v>
      </c>
      <c r="P19" s="106">
        <v>0.10112359550561797</v>
      </c>
      <c r="Q19" s="106">
        <v>8.98876404494382E-2</v>
      </c>
      <c r="R19" s="106">
        <v>9.5505617977528087E-2</v>
      </c>
      <c r="S19" s="107">
        <v>0.1404494382022472</v>
      </c>
      <c r="T19" s="111">
        <v>0.9</v>
      </c>
      <c r="U19" s="90">
        <v>0.08</v>
      </c>
      <c r="V19" s="90">
        <v>1.4999999999999999E-2</v>
      </c>
      <c r="W19" s="90">
        <v>4.0000000000000001E-3</v>
      </c>
      <c r="X19" s="90">
        <v>1E-3</v>
      </c>
      <c r="Y19" s="112">
        <v>0</v>
      </c>
      <c r="Z19" s="115">
        <f t="shared" si="2"/>
        <v>7.5505617977528088</v>
      </c>
      <c r="AA19" s="116">
        <f t="shared" si="3"/>
        <v>4.4831460674157304</v>
      </c>
      <c r="AB19" s="116">
        <f t="shared" si="4"/>
        <v>2.1235955056179776</v>
      </c>
      <c r="AC19" s="116">
        <f t="shared" si="5"/>
        <v>1.8876404494382022</v>
      </c>
      <c r="AD19" s="116">
        <f t="shared" si="6"/>
        <v>2.00561797752809</v>
      </c>
      <c r="AE19" s="117">
        <f t="shared" si="7"/>
        <v>2.9494382022471912</v>
      </c>
      <c r="AF19" s="115">
        <f t="shared" si="8"/>
        <v>0.9</v>
      </c>
      <c r="AG19" s="116">
        <f t="shared" si="9"/>
        <v>0.08</v>
      </c>
      <c r="AH19" s="116">
        <f t="shared" si="10"/>
        <v>1.4999999999999999E-2</v>
      </c>
      <c r="AI19" s="116">
        <f t="shared" si="11"/>
        <v>4.0000000000000001E-3</v>
      </c>
      <c r="AJ19" s="116">
        <f t="shared" si="12"/>
        <v>1E-3</v>
      </c>
      <c r="AK19" s="117">
        <f t="shared" si="13"/>
        <v>0</v>
      </c>
      <c r="AL19" s="121">
        <f>Input!$C$11*QBs!D19+Input!$C$12*QBs!C19+Input!$C$13*QBs!E19+Input!$C$14*QBs!H19+Input!$C$15*QBs!Z19+Input!$C$16*QBs!AA19+Input!$C$17*QBs!AB19+Input!$C$18*QBs!AC19+Input!$C$19*QBs!AD19+Input!$C$20*QBs!AE19+Input!$C$21*QBs!F19+Input!$C$22*QBs!I19+Input!$C$23*QBs!J19+Input!$C$24*QBs!AF19+Input!$C$25*QBs!AG19+Input!$C$26*QBs!AH19+Input!$C$27*QBs!AI19+Input!$C$28*QBs!AJ19+Input!$C$29*QBs!AK19+Input!$C$30*QBs!K19+Input!$C$40*QBs!M19</f>
        <v>286.7289213483146</v>
      </c>
    </row>
    <row r="20" spans="1:38" x14ac:dyDescent="0.25">
      <c r="A20" s="93" t="s">
        <v>169</v>
      </c>
      <c r="B20" s="94" t="s">
        <v>170</v>
      </c>
      <c r="C20" s="36">
        <v>273</v>
      </c>
      <c r="D20" s="40">
        <v>480</v>
      </c>
      <c r="E20" s="37">
        <f>5.9*D20</f>
        <v>2832</v>
      </c>
      <c r="F20" s="40">
        <v>0</v>
      </c>
      <c r="G20" s="40">
        <v>16</v>
      </c>
      <c r="H20" s="41">
        <v>16</v>
      </c>
      <c r="I20" s="36">
        <v>80</v>
      </c>
      <c r="J20" s="40">
        <f>6.3*I20</f>
        <v>504</v>
      </c>
      <c r="K20" s="40">
        <v>1</v>
      </c>
      <c r="L20" s="41">
        <v>3</v>
      </c>
      <c r="M20" s="40">
        <v>8</v>
      </c>
      <c r="N20" s="105">
        <v>0.44360902255639095</v>
      </c>
      <c r="O20" s="106">
        <v>0.24060150375939848</v>
      </c>
      <c r="P20" s="106">
        <v>0.21804511278195488</v>
      </c>
      <c r="Q20" s="106">
        <v>3.007518796992481E-2</v>
      </c>
      <c r="R20" s="106">
        <v>4.5112781954887216E-2</v>
      </c>
      <c r="S20" s="107">
        <v>2.2556390977443608E-2</v>
      </c>
      <c r="T20" s="111">
        <v>0.9</v>
      </c>
      <c r="U20" s="90">
        <v>0.08</v>
      </c>
      <c r="V20" s="90">
        <v>1.4999999999999999E-2</v>
      </c>
      <c r="W20" s="90">
        <v>4.0000000000000001E-3</v>
      </c>
      <c r="X20" s="90">
        <v>1E-3</v>
      </c>
      <c r="Y20" s="112">
        <v>0</v>
      </c>
      <c r="Z20" s="115">
        <f t="shared" si="2"/>
        <v>7.0977443609022552</v>
      </c>
      <c r="AA20" s="116">
        <f t="shared" si="3"/>
        <v>3.8496240601503757</v>
      </c>
      <c r="AB20" s="116">
        <f t="shared" si="4"/>
        <v>3.488721804511278</v>
      </c>
      <c r="AC20" s="116">
        <f t="shared" si="5"/>
        <v>0.48120300751879697</v>
      </c>
      <c r="AD20" s="116">
        <f t="shared" si="6"/>
        <v>0.72180451127819545</v>
      </c>
      <c r="AE20" s="117">
        <f t="shared" si="7"/>
        <v>0.36090225563909772</v>
      </c>
      <c r="AF20" s="115">
        <f t="shared" si="8"/>
        <v>2.7</v>
      </c>
      <c r="AG20" s="116">
        <f t="shared" si="9"/>
        <v>0.24</v>
      </c>
      <c r="AH20" s="116">
        <f t="shared" si="10"/>
        <v>4.4999999999999998E-2</v>
      </c>
      <c r="AI20" s="116">
        <f t="shared" si="11"/>
        <v>1.2E-2</v>
      </c>
      <c r="AJ20" s="116">
        <f t="shared" si="12"/>
        <v>3.0000000000000001E-3</v>
      </c>
      <c r="AK20" s="117">
        <f t="shared" si="13"/>
        <v>0</v>
      </c>
      <c r="AL20" s="121">
        <f>Input!$C$11*QBs!D20+Input!$C$12*QBs!C20+Input!$C$13*QBs!E20+Input!$C$14*QBs!H20+Input!$C$15*QBs!Z20+Input!$C$16*QBs!AA20+Input!$C$17*QBs!AB20+Input!$C$18*QBs!AC20+Input!$C$19*QBs!AD20+Input!$C$20*QBs!AE20+Input!$C$21*QBs!F20+Input!$C$22*QBs!I20+Input!$C$23*QBs!J20+Input!$C$24*QBs!AF20+Input!$C$25*QBs!AG20+Input!$C$26*QBs!AH20+Input!$C$27*QBs!AI20+Input!$C$28*QBs!AJ20+Input!$C$29*QBs!AK20+Input!$C$30*QBs!K20+Input!$C$40*QBs!M20</f>
        <v>270.34040601503756</v>
      </c>
    </row>
    <row r="21" spans="1:38" x14ac:dyDescent="0.25">
      <c r="A21" s="93" t="s">
        <v>171</v>
      </c>
      <c r="B21" s="94" t="s">
        <v>172</v>
      </c>
      <c r="C21" s="36">
        <v>287</v>
      </c>
      <c r="D21" s="40">
        <v>480</v>
      </c>
      <c r="E21" s="37">
        <f>6.7*D21</f>
        <v>3216</v>
      </c>
      <c r="F21" s="37">
        <v>1</v>
      </c>
      <c r="G21" s="37">
        <v>22</v>
      </c>
      <c r="H21" s="38">
        <v>15</v>
      </c>
      <c r="I21" s="45">
        <v>25</v>
      </c>
      <c r="J21" s="37">
        <f>2*I21</f>
        <v>50</v>
      </c>
      <c r="K21" s="37">
        <v>0</v>
      </c>
      <c r="L21" s="38">
        <v>1</v>
      </c>
      <c r="M21" s="37">
        <v>3</v>
      </c>
      <c r="N21" s="105">
        <v>0.24793388429752067</v>
      </c>
      <c r="O21" s="106">
        <v>0.23966942148760331</v>
      </c>
      <c r="P21" s="106">
        <v>0.10743801652892562</v>
      </c>
      <c r="Q21" s="106">
        <v>0.12396694214876033</v>
      </c>
      <c r="R21" s="106">
        <v>6.6115702479338845E-2</v>
      </c>
      <c r="S21" s="107">
        <v>0.21487603305785125</v>
      </c>
      <c r="T21" s="111">
        <v>0.9</v>
      </c>
      <c r="U21" s="90">
        <v>0.08</v>
      </c>
      <c r="V21" s="90">
        <v>1.4999999999999999E-2</v>
      </c>
      <c r="W21" s="90">
        <v>4.0000000000000001E-3</v>
      </c>
      <c r="X21" s="90">
        <v>1E-3</v>
      </c>
      <c r="Y21" s="112">
        <v>0</v>
      </c>
      <c r="Z21" s="115">
        <f t="shared" si="2"/>
        <v>5.454545454545455</v>
      </c>
      <c r="AA21" s="116">
        <f t="shared" si="3"/>
        <v>5.2727272727272725</v>
      </c>
      <c r="AB21" s="116">
        <f t="shared" si="4"/>
        <v>2.3636363636363638</v>
      </c>
      <c r="AC21" s="116">
        <f t="shared" si="5"/>
        <v>2.7272727272727275</v>
      </c>
      <c r="AD21" s="116">
        <f t="shared" si="6"/>
        <v>1.4545454545454546</v>
      </c>
      <c r="AE21" s="117">
        <f t="shared" si="7"/>
        <v>4.7272727272727275</v>
      </c>
      <c r="AF21" s="115">
        <f t="shared" si="8"/>
        <v>0.9</v>
      </c>
      <c r="AG21" s="116">
        <f t="shared" si="9"/>
        <v>0.08</v>
      </c>
      <c r="AH21" s="116">
        <f t="shared" si="10"/>
        <v>1.4999999999999999E-2</v>
      </c>
      <c r="AI21" s="116">
        <f t="shared" si="11"/>
        <v>4.0000000000000001E-3</v>
      </c>
      <c r="AJ21" s="116">
        <f t="shared" si="12"/>
        <v>1E-3</v>
      </c>
      <c r="AK21" s="117">
        <f t="shared" si="13"/>
        <v>0</v>
      </c>
      <c r="AL21" s="121">
        <f>Input!$C$11*QBs!D21+Input!$C$12*QBs!C21+Input!$C$13*QBs!E21+Input!$C$14*QBs!H21+Input!$C$15*QBs!Z21+Input!$C$16*QBs!AA21+Input!$C$17*QBs!AB21+Input!$C$18*QBs!AC21+Input!$C$19*QBs!AD21+Input!$C$20*QBs!AE21+Input!$C$21*QBs!F21+Input!$C$22*QBs!I21+Input!$C$23*QBs!J21+Input!$C$24*QBs!AF21+Input!$C$25*QBs!AG21+Input!$C$26*QBs!AH21+Input!$C$27*QBs!AI21+Input!$C$28*QBs!AJ21+Input!$C$29*QBs!AK21+Input!$C$30*QBs!K21+Input!$C$40*QBs!M21</f>
        <v>285.56236363636367</v>
      </c>
    </row>
    <row r="22" spans="1:38" x14ac:dyDescent="0.25">
      <c r="A22" s="93" t="s">
        <v>173</v>
      </c>
      <c r="B22" s="94" t="s">
        <v>174</v>
      </c>
      <c r="C22" s="36">
        <v>299</v>
      </c>
      <c r="D22" s="40">
        <v>530</v>
      </c>
      <c r="E22" s="37">
        <f>6.75*D22</f>
        <v>3577.5</v>
      </c>
      <c r="F22" s="37">
        <v>3</v>
      </c>
      <c r="G22" s="37">
        <v>18</v>
      </c>
      <c r="H22" s="38">
        <v>17</v>
      </c>
      <c r="I22" s="45">
        <v>40</v>
      </c>
      <c r="J22" s="37">
        <f>1.7*I22</f>
        <v>68</v>
      </c>
      <c r="K22" s="37">
        <v>0</v>
      </c>
      <c r="L22" s="38">
        <v>0</v>
      </c>
      <c r="M22" s="37">
        <v>4</v>
      </c>
      <c r="N22" s="105">
        <v>0.24793388429752067</v>
      </c>
      <c r="O22" s="106">
        <v>0.23966942148760331</v>
      </c>
      <c r="P22" s="106">
        <v>0.10743801652892562</v>
      </c>
      <c r="Q22" s="106">
        <v>0.12396694214876033</v>
      </c>
      <c r="R22" s="106">
        <v>6.6115702479338845E-2</v>
      </c>
      <c r="S22" s="107">
        <v>0.21487603305785125</v>
      </c>
      <c r="T22" s="111">
        <v>0.9</v>
      </c>
      <c r="U22" s="90">
        <v>0.08</v>
      </c>
      <c r="V22" s="90">
        <v>1.4999999999999999E-2</v>
      </c>
      <c r="W22" s="90">
        <v>4.0000000000000001E-3</v>
      </c>
      <c r="X22" s="90">
        <v>1E-3</v>
      </c>
      <c r="Y22" s="112">
        <v>0</v>
      </c>
      <c r="Z22" s="115">
        <f t="shared" si="2"/>
        <v>4.4628099173553721</v>
      </c>
      <c r="AA22" s="116">
        <f t="shared" si="3"/>
        <v>4.3140495867768598</v>
      </c>
      <c r="AB22" s="116">
        <f t="shared" si="4"/>
        <v>1.9338842975206612</v>
      </c>
      <c r="AC22" s="116">
        <f t="shared" si="5"/>
        <v>2.2314049586776861</v>
      </c>
      <c r="AD22" s="116">
        <f t="shared" si="6"/>
        <v>1.1900826446280992</v>
      </c>
      <c r="AE22" s="117">
        <f t="shared" si="7"/>
        <v>3.8677685950413223</v>
      </c>
      <c r="AF22" s="115">
        <f t="shared" si="8"/>
        <v>0</v>
      </c>
      <c r="AG22" s="116">
        <f t="shared" si="9"/>
        <v>0</v>
      </c>
      <c r="AH22" s="116">
        <f t="shared" si="10"/>
        <v>0</v>
      </c>
      <c r="AI22" s="116">
        <f t="shared" si="11"/>
        <v>0</v>
      </c>
      <c r="AJ22" s="116">
        <f t="shared" si="12"/>
        <v>0</v>
      </c>
      <c r="AK22" s="117">
        <f t="shared" si="13"/>
        <v>0</v>
      </c>
      <c r="AL22" s="121">
        <f>Input!$C$11*QBs!D22+Input!$C$12*QBs!C22+Input!$C$13*QBs!E22+Input!$C$14*QBs!H22+Input!$C$15*QBs!Z22+Input!$C$16*QBs!AA22+Input!$C$17*QBs!AB22+Input!$C$18*QBs!AC22+Input!$C$19*QBs!AD22+Input!$C$20*QBs!AE22+Input!$C$21*QBs!F22+Input!$C$22*QBs!I22+Input!$C$23*QBs!J22+Input!$C$24*QBs!AF22+Input!$C$25*QBs!AG22+Input!$C$26*QBs!AH22+Input!$C$27*QBs!AI22+Input!$C$28*QBs!AJ22+Input!$C$29*QBs!AK22+Input!$C$30*QBs!K22+Input!$C$40*QBs!M22</f>
        <v>283.65020661157024</v>
      </c>
    </row>
    <row r="23" spans="1:38" x14ac:dyDescent="0.25">
      <c r="A23" s="93" t="s">
        <v>175</v>
      </c>
      <c r="B23" s="94" t="s">
        <v>176</v>
      </c>
      <c r="C23" s="36">
        <v>234</v>
      </c>
      <c r="D23" s="40">
        <v>420</v>
      </c>
      <c r="E23" s="37">
        <f>7.6*D23</f>
        <v>3192</v>
      </c>
      <c r="F23" s="37">
        <v>2</v>
      </c>
      <c r="G23" s="37">
        <v>19</v>
      </c>
      <c r="H23" s="38">
        <v>14</v>
      </c>
      <c r="I23" s="45">
        <v>50</v>
      </c>
      <c r="J23" s="37">
        <f>5*I23</f>
        <v>250</v>
      </c>
      <c r="K23" s="37">
        <v>0</v>
      </c>
      <c r="L23" s="38">
        <v>1</v>
      </c>
      <c r="M23" s="37">
        <v>4</v>
      </c>
      <c r="N23" s="105">
        <v>0.44360902255639095</v>
      </c>
      <c r="O23" s="106">
        <v>0.24060150375939848</v>
      </c>
      <c r="P23" s="106">
        <v>0.21804511278195488</v>
      </c>
      <c r="Q23" s="106">
        <v>3.007518796992481E-2</v>
      </c>
      <c r="R23" s="106">
        <v>4.5112781954887216E-2</v>
      </c>
      <c r="S23" s="107">
        <v>2.2556390977443608E-2</v>
      </c>
      <c r="T23" s="111">
        <v>0.9</v>
      </c>
      <c r="U23" s="90">
        <v>0.08</v>
      </c>
      <c r="V23" s="90">
        <v>1.4999999999999999E-2</v>
      </c>
      <c r="W23" s="90">
        <v>4.0000000000000001E-3</v>
      </c>
      <c r="X23" s="90">
        <v>1E-3</v>
      </c>
      <c r="Y23" s="112">
        <v>0</v>
      </c>
      <c r="Z23" s="115">
        <f t="shared" si="2"/>
        <v>8.4285714285714288</v>
      </c>
      <c r="AA23" s="116">
        <f t="shared" si="3"/>
        <v>4.5714285714285712</v>
      </c>
      <c r="AB23" s="116">
        <f t="shared" si="4"/>
        <v>4.1428571428571423</v>
      </c>
      <c r="AC23" s="116">
        <f t="shared" si="5"/>
        <v>0.5714285714285714</v>
      </c>
      <c r="AD23" s="116">
        <f t="shared" si="6"/>
        <v>0.8571428571428571</v>
      </c>
      <c r="AE23" s="117">
        <f t="shared" si="7"/>
        <v>0.42857142857142855</v>
      </c>
      <c r="AF23" s="115">
        <f t="shared" si="8"/>
        <v>0.9</v>
      </c>
      <c r="AG23" s="116">
        <f t="shared" si="9"/>
        <v>0.08</v>
      </c>
      <c r="AH23" s="116">
        <f t="shared" si="10"/>
        <v>1.4999999999999999E-2</v>
      </c>
      <c r="AI23" s="116">
        <f t="shared" si="11"/>
        <v>4.0000000000000001E-3</v>
      </c>
      <c r="AJ23" s="116">
        <f t="shared" si="12"/>
        <v>1E-3</v>
      </c>
      <c r="AK23" s="117">
        <f t="shared" si="13"/>
        <v>0</v>
      </c>
      <c r="AL23" s="121">
        <f>Input!$C$11*QBs!D23+Input!$C$12*QBs!C23+Input!$C$13*QBs!E23+Input!$C$14*QBs!H23+Input!$C$15*QBs!Z23+Input!$C$16*QBs!AA23+Input!$C$17*QBs!AB23+Input!$C$18*QBs!AC23+Input!$C$19*QBs!AD23+Input!$C$20*QBs!AE23+Input!$C$21*QBs!F23+Input!$C$22*QBs!I23+Input!$C$23*QBs!J23+Input!$C$24*QBs!AF23+Input!$C$25*QBs!AG23+Input!$C$26*QBs!AH23+Input!$C$27*QBs!AI23+Input!$C$28*QBs!AJ23+Input!$C$29*QBs!AK23+Input!$C$30*QBs!K23+Input!$C$40*QBs!M23</f>
        <v>269.86885714285711</v>
      </c>
    </row>
    <row r="24" spans="1:38" x14ac:dyDescent="0.25">
      <c r="A24" s="93" t="s">
        <v>177</v>
      </c>
      <c r="B24" s="94" t="s">
        <v>178</v>
      </c>
      <c r="C24" s="36">
        <v>249</v>
      </c>
      <c r="D24" s="40">
        <v>430</v>
      </c>
      <c r="E24" s="37">
        <f>6.8*D24</f>
        <v>2924</v>
      </c>
      <c r="F24" s="37">
        <v>2</v>
      </c>
      <c r="G24" s="37">
        <v>19</v>
      </c>
      <c r="H24" s="38">
        <v>13</v>
      </c>
      <c r="I24" s="45">
        <v>30</v>
      </c>
      <c r="J24" s="37">
        <f>4.2*I24</f>
        <v>126</v>
      </c>
      <c r="K24" s="37">
        <v>0</v>
      </c>
      <c r="L24" s="38">
        <v>1</v>
      </c>
      <c r="M24" s="37">
        <v>3</v>
      </c>
      <c r="N24" s="105">
        <v>0.44360902255639095</v>
      </c>
      <c r="O24" s="106">
        <v>0.24060150375939848</v>
      </c>
      <c r="P24" s="106">
        <v>0.21804511278195488</v>
      </c>
      <c r="Q24" s="106">
        <v>3.007518796992481E-2</v>
      </c>
      <c r="R24" s="106">
        <v>4.5112781954887216E-2</v>
      </c>
      <c r="S24" s="107">
        <v>2.2556390977443608E-2</v>
      </c>
      <c r="T24" s="111">
        <v>0.9</v>
      </c>
      <c r="U24" s="90">
        <v>0.08</v>
      </c>
      <c r="V24" s="90">
        <v>1.4999999999999999E-2</v>
      </c>
      <c r="W24" s="90">
        <v>4.0000000000000001E-3</v>
      </c>
      <c r="X24" s="90">
        <v>1E-3</v>
      </c>
      <c r="Y24" s="112">
        <v>0</v>
      </c>
      <c r="Z24" s="115">
        <f t="shared" si="2"/>
        <v>8.4285714285714288</v>
      </c>
      <c r="AA24" s="116">
        <f t="shared" si="3"/>
        <v>4.5714285714285712</v>
      </c>
      <c r="AB24" s="116">
        <f t="shared" si="4"/>
        <v>4.1428571428571423</v>
      </c>
      <c r="AC24" s="116">
        <f t="shared" si="5"/>
        <v>0.5714285714285714</v>
      </c>
      <c r="AD24" s="116">
        <f t="shared" si="6"/>
        <v>0.8571428571428571</v>
      </c>
      <c r="AE24" s="117">
        <f t="shared" si="7"/>
        <v>0.42857142857142855</v>
      </c>
      <c r="AF24" s="115">
        <f t="shared" si="8"/>
        <v>0.9</v>
      </c>
      <c r="AG24" s="116">
        <f t="shared" si="9"/>
        <v>0.08</v>
      </c>
      <c r="AH24" s="116">
        <f t="shared" si="10"/>
        <v>1.4999999999999999E-2</v>
      </c>
      <c r="AI24" s="116">
        <f t="shared" si="11"/>
        <v>4.0000000000000001E-3</v>
      </c>
      <c r="AJ24" s="116">
        <f t="shared" si="12"/>
        <v>1E-3</v>
      </c>
      <c r="AK24" s="117">
        <f t="shared" si="13"/>
        <v>0</v>
      </c>
      <c r="AL24" s="121">
        <f>Input!$C$11*QBs!D24+Input!$C$12*QBs!C24+Input!$C$13*QBs!E24+Input!$C$14*QBs!H24+Input!$C$15*QBs!Z24+Input!$C$16*QBs!AA24+Input!$C$17*QBs!AB24+Input!$C$18*QBs!AC24+Input!$C$19*QBs!AD24+Input!$C$20*QBs!AE24+Input!$C$21*QBs!F24+Input!$C$22*QBs!I24+Input!$C$23*QBs!J24+Input!$C$24*QBs!AF24+Input!$C$25*QBs!AG24+Input!$C$26*QBs!AH24+Input!$C$27*QBs!AI24+Input!$C$28*QBs!AJ24+Input!$C$29*QBs!AK24+Input!$C$30*QBs!K24+Input!$C$40*QBs!M24</f>
        <v>245.06885714285713</v>
      </c>
    </row>
    <row r="25" spans="1:38" x14ac:dyDescent="0.25">
      <c r="A25" s="93" t="s">
        <v>179</v>
      </c>
      <c r="B25" s="94" t="s">
        <v>180</v>
      </c>
      <c r="C25" s="39">
        <v>244</v>
      </c>
      <c r="D25" s="47">
        <v>450</v>
      </c>
      <c r="E25" s="37">
        <f>6.7*D25</f>
        <v>3015</v>
      </c>
      <c r="F25" s="37">
        <v>2</v>
      </c>
      <c r="G25" s="37">
        <v>17</v>
      </c>
      <c r="H25" s="38">
        <v>19</v>
      </c>
      <c r="I25" s="45">
        <v>50</v>
      </c>
      <c r="J25" s="37">
        <f>4*I25</f>
        <v>200</v>
      </c>
      <c r="K25" s="37">
        <v>0</v>
      </c>
      <c r="L25" s="38">
        <v>2</v>
      </c>
      <c r="M25" s="37">
        <v>2</v>
      </c>
      <c r="N25" s="105">
        <v>0.44360902255639095</v>
      </c>
      <c r="O25" s="106">
        <v>0.24060150375939848</v>
      </c>
      <c r="P25" s="106">
        <v>0.21804511278195488</v>
      </c>
      <c r="Q25" s="106">
        <v>3.007518796992481E-2</v>
      </c>
      <c r="R25" s="106">
        <v>4.5112781954887216E-2</v>
      </c>
      <c r="S25" s="107">
        <v>2.2556390977443608E-2</v>
      </c>
      <c r="T25" s="111">
        <v>0.9</v>
      </c>
      <c r="U25" s="90">
        <v>0.08</v>
      </c>
      <c r="V25" s="90">
        <v>1.4999999999999999E-2</v>
      </c>
      <c r="W25" s="90">
        <v>4.0000000000000001E-3</v>
      </c>
      <c r="X25" s="90">
        <v>1E-3</v>
      </c>
      <c r="Y25" s="112">
        <v>0</v>
      </c>
      <c r="Z25" s="115">
        <f t="shared" si="2"/>
        <v>7.5413533834586461</v>
      </c>
      <c r="AA25" s="116">
        <f t="shared" si="3"/>
        <v>4.0902255639097742</v>
      </c>
      <c r="AB25" s="116">
        <f t="shared" si="4"/>
        <v>3.7067669172932329</v>
      </c>
      <c r="AC25" s="116">
        <f t="shared" si="5"/>
        <v>0.51127819548872178</v>
      </c>
      <c r="AD25" s="116">
        <f t="shared" si="6"/>
        <v>0.76691729323308266</v>
      </c>
      <c r="AE25" s="117">
        <f t="shared" si="7"/>
        <v>0.38345864661654133</v>
      </c>
      <c r="AF25" s="115">
        <f t="shared" si="8"/>
        <v>1.8</v>
      </c>
      <c r="AG25" s="116">
        <f t="shared" si="9"/>
        <v>0.16</v>
      </c>
      <c r="AH25" s="116">
        <f t="shared" si="10"/>
        <v>0.03</v>
      </c>
      <c r="AI25" s="116">
        <f t="shared" si="11"/>
        <v>8.0000000000000002E-3</v>
      </c>
      <c r="AJ25" s="116">
        <f t="shared" si="12"/>
        <v>2E-3</v>
      </c>
      <c r="AK25" s="117">
        <f t="shared" si="13"/>
        <v>0</v>
      </c>
      <c r="AL25" s="121">
        <f>Input!$C$11*QBs!D25+Input!$C$12*QBs!C25+Input!$C$13*QBs!E25+Input!$C$14*QBs!H25+Input!$C$15*QBs!Z25+Input!$C$16*QBs!AA25+Input!$C$17*QBs!AB25+Input!$C$18*QBs!AC25+Input!$C$19*QBs!AD25+Input!$C$20*QBs!AE25+Input!$C$21*QBs!F25+Input!$C$22*QBs!I25+Input!$C$23*QBs!J25+Input!$C$24*QBs!AF25+Input!$C$25*QBs!AG25+Input!$C$26*QBs!AH25+Input!$C$27*QBs!AI25+Input!$C$28*QBs!AJ25+Input!$C$29*QBs!AK25+Input!$C$30*QBs!K25+Input!$C$40*QBs!M25</f>
        <v>256.02455639097747</v>
      </c>
    </row>
    <row r="26" spans="1:38" x14ac:dyDescent="0.25">
      <c r="A26" s="93" t="s">
        <v>181</v>
      </c>
      <c r="B26" s="94" t="s">
        <v>182</v>
      </c>
      <c r="C26" s="36">
        <v>257</v>
      </c>
      <c r="D26" s="40">
        <v>450</v>
      </c>
      <c r="E26" s="37">
        <f>6.55*D26</f>
        <v>2947.5</v>
      </c>
      <c r="F26" s="37">
        <v>0</v>
      </c>
      <c r="G26" s="37">
        <v>18</v>
      </c>
      <c r="H26" s="38">
        <v>14</v>
      </c>
      <c r="I26" s="45">
        <v>40</v>
      </c>
      <c r="J26" s="37">
        <f>3.4*I26</f>
        <v>136</v>
      </c>
      <c r="K26" s="37">
        <v>0</v>
      </c>
      <c r="L26" s="38">
        <v>2</v>
      </c>
      <c r="M26" s="37">
        <v>4</v>
      </c>
      <c r="N26" s="105">
        <v>0.44360902255639095</v>
      </c>
      <c r="O26" s="106">
        <v>0.24060150375939848</v>
      </c>
      <c r="P26" s="106">
        <v>0.21804511278195488</v>
      </c>
      <c r="Q26" s="106">
        <v>3.007518796992481E-2</v>
      </c>
      <c r="R26" s="106">
        <v>4.5112781954887216E-2</v>
      </c>
      <c r="S26" s="107">
        <v>2.2556390977443608E-2</v>
      </c>
      <c r="T26" s="111">
        <v>0.9</v>
      </c>
      <c r="U26" s="90">
        <v>0.08</v>
      </c>
      <c r="V26" s="90">
        <v>1.4999999999999999E-2</v>
      </c>
      <c r="W26" s="90">
        <v>4.0000000000000001E-3</v>
      </c>
      <c r="X26" s="90">
        <v>1E-3</v>
      </c>
      <c r="Y26" s="112">
        <v>0</v>
      </c>
      <c r="Z26" s="115">
        <f t="shared" si="2"/>
        <v>7.984962406015037</v>
      </c>
      <c r="AA26" s="116">
        <f t="shared" si="3"/>
        <v>4.3308270676691727</v>
      </c>
      <c r="AB26" s="116">
        <f t="shared" si="4"/>
        <v>3.9248120300751879</v>
      </c>
      <c r="AC26" s="116">
        <f t="shared" si="5"/>
        <v>0.54135338345864659</v>
      </c>
      <c r="AD26" s="116">
        <f t="shared" si="6"/>
        <v>0.81203007518796988</v>
      </c>
      <c r="AE26" s="117">
        <f t="shared" si="7"/>
        <v>0.40601503759398494</v>
      </c>
      <c r="AF26" s="115">
        <f t="shared" si="8"/>
        <v>1.8</v>
      </c>
      <c r="AG26" s="116">
        <f t="shared" si="9"/>
        <v>0.16</v>
      </c>
      <c r="AH26" s="116">
        <f t="shared" si="10"/>
        <v>0.03</v>
      </c>
      <c r="AI26" s="116">
        <f t="shared" si="11"/>
        <v>8.0000000000000002E-3</v>
      </c>
      <c r="AJ26" s="116">
        <f t="shared" si="12"/>
        <v>2E-3</v>
      </c>
      <c r="AK26" s="117">
        <f t="shared" si="13"/>
        <v>0</v>
      </c>
      <c r="AL26" s="121">
        <f>Input!$C$11*QBs!D26+Input!$C$12*QBs!C26+Input!$C$13*QBs!E26+Input!$C$14*QBs!H26+Input!$C$15*QBs!Z26+Input!$C$16*QBs!AA26+Input!$C$17*QBs!AB26+Input!$C$18*QBs!AC26+Input!$C$19*QBs!AD26+Input!$C$20*QBs!AE26+Input!$C$21*QBs!F26+Input!$C$22*QBs!I26+Input!$C$23*QBs!J26+Input!$C$24*QBs!AF26+Input!$C$25*QBs!AG26+Input!$C$26*QBs!AH26+Input!$C$27*QBs!AI26+Input!$C$28*QBs!AJ26+Input!$C$29*QBs!AK26+Input!$C$30*QBs!K26+Input!$C$40*QBs!M26</f>
        <v>242.30970676691732</v>
      </c>
    </row>
    <row r="27" spans="1:38" x14ac:dyDescent="0.25">
      <c r="A27" s="93" t="s">
        <v>183</v>
      </c>
      <c r="B27" s="94" t="s">
        <v>184</v>
      </c>
      <c r="C27" s="36">
        <v>249</v>
      </c>
      <c r="D27" s="40">
        <v>455</v>
      </c>
      <c r="E27" s="37">
        <f>6.7*D27</f>
        <v>3048.5</v>
      </c>
      <c r="F27" s="37">
        <v>2</v>
      </c>
      <c r="G27" s="37">
        <v>18</v>
      </c>
      <c r="H27" s="38">
        <v>14</v>
      </c>
      <c r="I27" s="45">
        <v>40</v>
      </c>
      <c r="J27" s="37">
        <f>3.9*I27</f>
        <v>156</v>
      </c>
      <c r="K27" s="37">
        <v>0</v>
      </c>
      <c r="L27" s="38">
        <v>1</v>
      </c>
      <c r="M27" s="37">
        <v>6</v>
      </c>
      <c r="N27" s="105">
        <v>0.24793388429752067</v>
      </c>
      <c r="O27" s="106">
        <v>0.23966942148760331</v>
      </c>
      <c r="P27" s="106">
        <v>0.10743801652892562</v>
      </c>
      <c r="Q27" s="106">
        <v>0.12396694214876033</v>
      </c>
      <c r="R27" s="106">
        <v>6.6115702479338845E-2</v>
      </c>
      <c r="S27" s="107">
        <v>0.21487603305785125</v>
      </c>
      <c r="T27" s="111">
        <v>0.9</v>
      </c>
      <c r="U27" s="90">
        <v>0.08</v>
      </c>
      <c r="V27" s="90">
        <v>1.4999999999999999E-2</v>
      </c>
      <c r="W27" s="90">
        <v>4.0000000000000001E-3</v>
      </c>
      <c r="X27" s="90">
        <v>1E-3</v>
      </c>
      <c r="Y27" s="112">
        <v>0</v>
      </c>
      <c r="Z27" s="115">
        <f t="shared" si="2"/>
        <v>4.4628099173553721</v>
      </c>
      <c r="AA27" s="116">
        <f t="shared" si="3"/>
        <v>4.3140495867768598</v>
      </c>
      <c r="AB27" s="116">
        <f t="shared" si="4"/>
        <v>1.9338842975206612</v>
      </c>
      <c r="AC27" s="116">
        <f t="shared" si="5"/>
        <v>2.2314049586776861</v>
      </c>
      <c r="AD27" s="116">
        <f t="shared" si="6"/>
        <v>1.1900826446280992</v>
      </c>
      <c r="AE27" s="117">
        <f t="shared" si="7"/>
        <v>3.8677685950413223</v>
      </c>
      <c r="AF27" s="115">
        <f t="shared" si="8"/>
        <v>0.9</v>
      </c>
      <c r="AG27" s="116">
        <f t="shared" si="9"/>
        <v>0.08</v>
      </c>
      <c r="AH27" s="116">
        <f t="shared" si="10"/>
        <v>1.4999999999999999E-2</v>
      </c>
      <c r="AI27" s="116">
        <f t="shared" si="11"/>
        <v>4.0000000000000001E-3</v>
      </c>
      <c r="AJ27" s="116">
        <f t="shared" si="12"/>
        <v>1E-3</v>
      </c>
      <c r="AK27" s="117">
        <f t="shared" si="13"/>
        <v>0</v>
      </c>
      <c r="AL27" s="121">
        <f>Input!$C$11*QBs!D27+Input!$C$12*QBs!C27+Input!$C$13*QBs!E27+Input!$C$14*QBs!H27+Input!$C$15*QBs!Z27+Input!$C$16*QBs!AA27+Input!$C$17*QBs!AB27+Input!$C$18*QBs!AC27+Input!$C$19*QBs!AD27+Input!$C$20*QBs!AE27+Input!$C$21*QBs!F27+Input!$C$22*QBs!I27+Input!$C$23*QBs!J27+Input!$C$24*QBs!AF27+Input!$C$25*QBs!AG27+Input!$C$26*QBs!AH27+Input!$C$27*QBs!AI27+Input!$C$28*QBs!AJ27+Input!$C$29*QBs!AK27+Input!$C$30*QBs!K27+Input!$C$40*QBs!M27</f>
        <v>267.12620661157024</v>
      </c>
    </row>
    <row r="28" spans="1:38" x14ac:dyDescent="0.25">
      <c r="A28" s="93" t="s">
        <v>185</v>
      </c>
      <c r="B28" s="94" t="s">
        <v>186</v>
      </c>
      <c r="C28" s="36">
        <v>212</v>
      </c>
      <c r="D28" s="40">
        <v>360</v>
      </c>
      <c r="E28" s="37">
        <f>8.1*D28</f>
        <v>2916</v>
      </c>
      <c r="F28" s="37">
        <v>2</v>
      </c>
      <c r="G28" s="37">
        <v>21</v>
      </c>
      <c r="H28" s="38">
        <v>13</v>
      </c>
      <c r="I28" s="45">
        <v>20</v>
      </c>
      <c r="J28" s="37">
        <f>3.5*I28</f>
        <v>70</v>
      </c>
      <c r="K28" s="37">
        <v>0</v>
      </c>
      <c r="L28" s="38">
        <v>1</v>
      </c>
      <c r="M28" s="37">
        <v>2</v>
      </c>
      <c r="N28" s="105">
        <v>0.44360902255639095</v>
      </c>
      <c r="O28" s="106">
        <v>0.24060150375939848</v>
      </c>
      <c r="P28" s="106">
        <v>0.21804511278195488</v>
      </c>
      <c r="Q28" s="106">
        <v>3.007518796992481E-2</v>
      </c>
      <c r="R28" s="106">
        <v>4.5112781954887216E-2</v>
      </c>
      <c r="S28" s="107">
        <v>2.2556390977443608E-2</v>
      </c>
      <c r="T28" s="111">
        <v>0.9</v>
      </c>
      <c r="U28" s="90">
        <v>0.08</v>
      </c>
      <c r="V28" s="90">
        <v>1.4999999999999999E-2</v>
      </c>
      <c r="W28" s="90">
        <v>4.0000000000000001E-3</v>
      </c>
      <c r="X28" s="90">
        <v>1E-3</v>
      </c>
      <c r="Y28" s="112">
        <v>0</v>
      </c>
      <c r="Z28" s="115">
        <f t="shared" si="2"/>
        <v>9.3157894736842106</v>
      </c>
      <c r="AA28" s="116">
        <f t="shared" si="3"/>
        <v>5.0526315789473681</v>
      </c>
      <c r="AB28" s="116">
        <f t="shared" si="4"/>
        <v>4.5789473684210522</v>
      </c>
      <c r="AC28" s="116">
        <f t="shared" si="5"/>
        <v>0.63157894736842102</v>
      </c>
      <c r="AD28" s="116">
        <f t="shared" si="6"/>
        <v>0.94736842105263153</v>
      </c>
      <c r="AE28" s="117">
        <f t="shared" si="7"/>
        <v>0.47368421052631576</v>
      </c>
      <c r="AF28" s="115">
        <f t="shared" si="8"/>
        <v>0.9</v>
      </c>
      <c r="AG28" s="116">
        <f t="shared" si="9"/>
        <v>0.08</v>
      </c>
      <c r="AH28" s="116">
        <f t="shared" si="10"/>
        <v>1.4999999999999999E-2</v>
      </c>
      <c r="AI28" s="116">
        <f t="shared" si="11"/>
        <v>4.0000000000000001E-3</v>
      </c>
      <c r="AJ28" s="116">
        <f t="shared" si="12"/>
        <v>1E-3</v>
      </c>
      <c r="AK28" s="117">
        <f t="shared" si="13"/>
        <v>0</v>
      </c>
      <c r="AL28" s="121">
        <f>Input!$C$11*QBs!D28+Input!$C$12*QBs!C28+Input!$C$13*QBs!E28+Input!$C$14*QBs!H28+Input!$C$15*QBs!Z28+Input!$C$16*QBs!AA28+Input!$C$17*QBs!AB28+Input!$C$18*QBs!AC28+Input!$C$19*QBs!AD28+Input!$C$20*QBs!AE28+Input!$C$21*QBs!F28+Input!$C$22*QBs!I28+Input!$C$23*QBs!J28+Input!$C$24*QBs!AF28+Input!$C$25*QBs!AG28+Input!$C$26*QBs!AH28+Input!$C$27*QBs!AI28+Input!$C$28*QBs!AJ28+Input!$C$29*QBs!AK28+Input!$C$30*QBs!K28+Input!$C$40*QBs!M28</f>
        <v>248.18915789473684</v>
      </c>
    </row>
    <row r="29" spans="1:38" x14ac:dyDescent="0.25">
      <c r="A29" s="93" t="s">
        <v>187</v>
      </c>
      <c r="B29" s="94" t="s">
        <v>188</v>
      </c>
      <c r="C29" s="36">
        <v>240</v>
      </c>
      <c r="D29" s="40">
        <v>420</v>
      </c>
      <c r="E29" s="37">
        <f>7.15*D29</f>
        <v>3003</v>
      </c>
      <c r="F29" s="37">
        <v>1</v>
      </c>
      <c r="G29" s="37">
        <v>17</v>
      </c>
      <c r="H29" s="38">
        <v>10</v>
      </c>
      <c r="I29" s="45">
        <v>40</v>
      </c>
      <c r="J29" s="37">
        <f>4.5*I29</f>
        <v>180</v>
      </c>
      <c r="K29" s="37">
        <v>0</v>
      </c>
      <c r="L29" s="38">
        <v>1</v>
      </c>
      <c r="M29" s="37">
        <v>2</v>
      </c>
      <c r="N29" s="105">
        <v>0.3595505617977528</v>
      </c>
      <c r="O29" s="106">
        <v>0.21348314606741572</v>
      </c>
      <c r="P29" s="106">
        <v>0.10112359550561797</v>
      </c>
      <c r="Q29" s="106">
        <v>8.98876404494382E-2</v>
      </c>
      <c r="R29" s="106">
        <v>9.5505617977528087E-2</v>
      </c>
      <c r="S29" s="107">
        <v>0.1404494382022472</v>
      </c>
      <c r="T29" s="111">
        <v>0.9</v>
      </c>
      <c r="U29" s="90">
        <v>0.08</v>
      </c>
      <c r="V29" s="90">
        <v>1.4999999999999999E-2</v>
      </c>
      <c r="W29" s="90">
        <v>4.0000000000000001E-3</v>
      </c>
      <c r="X29" s="90">
        <v>1E-3</v>
      </c>
      <c r="Y29" s="112">
        <v>0</v>
      </c>
      <c r="Z29" s="115">
        <f t="shared" si="2"/>
        <v>6.1123595505617976</v>
      </c>
      <c r="AA29" s="116">
        <f t="shared" si="3"/>
        <v>3.6292134831460672</v>
      </c>
      <c r="AB29" s="116">
        <f t="shared" si="4"/>
        <v>1.7191011235955056</v>
      </c>
      <c r="AC29" s="116">
        <f t="shared" si="5"/>
        <v>1.5280898876404494</v>
      </c>
      <c r="AD29" s="116">
        <f t="shared" si="6"/>
        <v>1.6235955056179774</v>
      </c>
      <c r="AE29" s="117">
        <f t="shared" si="7"/>
        <v>2.3876404494382024</v>
      </c>
      <c r="AF29" s="115">
        <f t="shared" si="8"/>
        <v>0.9</v>
      </c>
      <c r="AG29" s="116">
        <f t="shared" si="9"/>
        <v>0.08</v>
      </c>
      <c r="AH29" s="116">
        <f t="shared" si="10"/>
        <v>1.4999999999999999E-2</v>
      </c>
      <c r="AI29" s="116">
        <f t="shared" si="11"/>
        <v>4.0000000000000001E-3</v>
      </c>
      <c r="AJ29" s="116">
        <f t="shared" si="12"/>
        <v>1E-3</v>
      </c>
      <c r="AK29" s="117">
        <f t="shared" si="13"/>
        <v>0</v>
      </c>
      <c r="AL29" s="121">
        <f>Input!$C$11*QBs!D29+Input!$C$12*QBs!C29+Input!$C$13*QBs!E29+Input!$C$14*QBs!H29+Input!$C$15*QBs!Z29+Input!$C$16*QBs!AA29+Input!$C$17*QBs!AB29+Input!$C$18*QBs!AC29+Input!$C$19*QBs!AD29+Input!$C$20*QBs!AE29+Input!$C$21*QBs!F29+Input!$C$22*QBs!I29+Input!$C$23*QBs!J29+Input!$C$24*QBs!AF29+Input!$C$25*QBs!AG29+Input!$C$26*QBs!AH29+Input!$C$27*QBs!AI29+Input!$C$28*QBs!AJ29+Input!$C$29*QBs!AK29+Input!$C$30*QBs!K29+Input!$C$40*QBs!M29</f>
        <v>256.36026966292133</v>
      </c>
    </row>
    <row r="30" spans="1:38" x14ac:dyDescent="0.25">
      <c r="A30" s="93" t="s">
        <v>189</v>
      </c>
      <c r="B30" s="94" t="s">
        <v>190</v>
      </c>
      <c r="C30" s="36">
        <v>213</v>
      </c>
      <c r="D30" s="40">
        <v>380</v>
      </c>
      <c r="E30" s="37">
        <f>6.3*D30</f>
        <v>2394</v>
      </c>
      <c r="F30" s="37">
        <v>0</v>
      </c>
      <c r="G30" s="37">
        <v>14</v>
      </c>
      <c r="H30" s="38">
        <v>14</v>
      </c>
      <c r="I30" s="45">
        <v>45</v>
      </c>
      <c r="J30" s="37">
        <f>4.7*I30</f>
        <v>211.5</v>
      </c>
      <c r="K30" s="37">
        <v>0</v>
      </c>
      <c r="L30" s="38">
        <v>3</v>
      </c>
      <c r="M30" s="37">
        <v>1</v>
      </c>
      <c r="N30" s="105">
        <v>0.44360902255639095</v>
      </c>
      <c r="O30" s="106">
        <v>0.24060150375939848</v>
      </c>
      <c r="P30" s="106">
        <v>0.21804511278195488</v>
      </c>
      <c r="Q30" s="106">
        <v>3.007518796992481E-2</v>
      </c>
      <c r="R30" s="106">
        <v>4.5112781954887216E-2</v>
      </c>
      <c r="S30" s="107">
        <v>2.2556390977443608E-2</v>
      </c>
      <c r="T30" s="111">
        <v>0.9</v>
      </c>
      <c r="U30" s="90">
        <v>0.08</v>
      </c>
      <c r="V30" s="90">
        <v>1.4999999999999999E-2</v>
      </c>
      <c r="W30" s="90">
        <v>4.0000000000000001E-3</v>
      </c>
      <c r="X30" s="90">
        <v>1E-3</v>
      </c>
      <c r="Y30" s="112">
        <v>0</v>
      </c>
      <c r="Z30" s="115">
        <f t="shared" si="2"/>
        <v>6.2105263157894735</v>
      </c>
      <c r="AA30" s="116">
        <f t="shared" si="3"/>
        <v>3.3684210526315788</v>
      </c>
      <c r="AB30" s="116">
        <f t="shared" si="4"/>
        <v>3.0526315789473681</v>
      </c>
      <c r="AC30" s="116">
        <f t="shared" si="5"/>
        <v>0.42105263157894735</v>
      </c>
      <c r="AD30" s="116">
        <f t="shared" si="6"/>
        <v>0.63157894736842102</v>
      </c>
      <c r="AE30" s="117">
        <f t="shared" si="7"/>
        <v>0.31578947368421051</v>
      </c>
      <c r="AF30" s="115">
        <f t="shared" si="8"/>
        <v>2.7</v>
      </c>
      <c r="AG30" s="116">
        <f t="shared" si="9"/>
        <v>0.24</v>
      </c>
      <c r="AH30" s="116">
        <f t="shared" si="10"/>
        <v>4.4999999999999998E-2</v>
      </c>
      <c r="AI30" s="116">
        <f t="shared" si="11"/>
        <v>1.2E-2</v>
      </c>
      <c r="AJ30" s="116">
        <f t="shared" si="12"/>
        <v>3.0000000000000001E-3</v>
      </c>
      <c r="AK30" s="117">
        <f t="shared" si="13"/>
        <v>0</v>
      </c>
      <c r="AL30" s="121">
        <f>Input!$C$11*QBs!D30+Input!$C$12*QBs!C30+Input!$C$13*QBs!E30+Input!$C$14*QBs!H30+Input!$C$15*QBs!Z30+Input!$C$16*QBs!AA30+Input!$C$17*QBs!AB30+Input!$C$18*QBs!AC30+Input!$C$19*QBs!AD30+Input!$C$20*QBs!AE30+Input!$C$21*QBs!F30+Input!$C$22*QBs!I30+Input!$C$23*QBs!J30+Input!$C$24*QBs!AF30+Input!$C$25*QBs!AG30+Input!$C$26*QBs!AH30+Input!$C$27*QBs!AI30+Input!$C$28*QBs!AJ30+Input!$C$29*QBs!AK30+Input!$C$30*QBs!K30+Input!$C$40*QBs!M30</f>
        <v>215.0701052631579</v>
      </c>
    </row>
    <row r="31" spans="1:38" x14ac:dyDescent="0.25">
      <c r="A31" s="93" t="s">
        <v>191</v>
      </c>
      <c r="B31" s="94" t="s">
        <v>192</v>
      </c>
      <c r="C31" s="36">
        <v>180</v>
      </c>
      <c r="D31" s="40">
        <v>345</v>
      </c>
      <c r="E31" s="37">
        <v>2139</v>
      </c>
      <c r="F31" s="37">
        <v>0</v>
      </c>
      <c r="G31" s="37">
        <v>10</v>
      </c>
      <c r="H31" s="38">
        <v>13</v>
      </c>
      <c r="I31" s="45">
        <v>38</v>
      </c>
      <c r="J31" s="37">
        <f>6*I31</f>
        <v>228</v>
      </c>
      <c r="K31" s="37">
        <v>0</v>
      </c>
      <c r="L31" s="38">
        <v>1</v>
      </c>
      <c r="M31" s="37">
        <v>4</v>
      </c>
      <c r="N31" s="105">
        <v>0.44360902255639095</v>
      </c>
      <c r="O31" s="106">
        <v>0.24060150375939848</v>
      </c>
      <c r="P31" s="106">
        <v>0.21804511278195488</v>
      </c>
      <c r="Q31" s="106">
        <v>3.007518796992481E-2</v>
      </c>
      <c r="R31" s="106">
        <v>4.5112781954887216E-2</v>
      </c>
      <c r="S31" s="107">
        <v>2.2556390977443608E-2</v>
      </c>
      <c r="T31" s="111">
        <v>0.9</v>
      </c>
      <c r="U31" s="90">
        <v>0.08</v>
      </c>
      <c r="V31" s="90">
        <v>1.4999999999999999E-2</v>
      </c>
      <c r="W31" s="90">
        <v>4.0000000000000001E-3</v>
      </c>
      <c r="X31" s="90">
        <v>1E-3</v>
      </c>
      <c r="Y31" s="112">
        <v>0</v>
      </c>
      <c r="Z31" s="115">
        <f t="shared" si="2"/>
        <v>4.4360902255639099</v>
      </c>
      <c r="AA31" s="116">
        <f t="shared" si="3"/>
        <v>2.4060150375939848</v>
      </c>
      <c r="AB31" s="116">
        <f t="shared" si="4"/>
        <v>2.1804511278195489</v>
      </c>
      <c r="AC31" s="116">
        <f t="shared" si="5"/>
        <v>0.3007518796992481</v>
      </c>
      <c r="AD31" s="116">
        <f t="shared" si="6"/>
        <v>0.45112781954887216</v>
      </c>
      <c r="AE31" s="117">
        <f t="shared" si="7"/>
        <v>0.22556390977443608</v>
      </c>
      <c r="AF31" s="115">
        <f t="shared" si="8"/>
        <v>0.9</v>
      </c>
      <c r="AG31" s="116">
        <f t="shared" si="9"/>
        <v>0.08</v>
      </c>
      <c r="AH31" s="116">
        <f t="shared" si="10"/>
        <v>1.4999999999999999E-2</v>
      </c>
      <c r="AI31" s="116">
        <f t="shared" si="11"/>
        <v>4.0000000000000001E-3</v>
      </c>
      <c r="AJ31" s="116">
        <f t="shared" si="12"/>
        <v>1E-3</v>
      </c>
      <c r="AK31" s="117">
        <f t="shared" si="13"/>
        <v>0</v>
      </c>
      <c r="AL31" s="121">
        <f>Input!$C$11*QBs!D31+Input!$C$12*QBs!C31+Input!$C$13*QBs!E31+Input!$C$14*QBs!H31+Input!$C$15*QBs!Z31+Input!$C$16*QBs!AA31+Input!$C$17*QBs!AB31+Input!$C$18*QBs!AC31+Input!$C$19*QBs!AD31+Input!$C$20*QBs!AE31+Input!$C$21*QBs!F31+Input!$C$22*QBs!I31+Input!$C$23*QBs!J31+Input!$C$24*QBs!AF31+Input!$C$25*QBs!AG31+Input!$C$26*QBs!AH31+Input!$C$27*QBs!AI31+Input!$C$28*QBs!AJ31+Input!$C$29*QBs!AK31+Input!$C$30*QBs!K31+Input!$C$40*QBs!M31</f>
        <v>172.47750375939853</v>
      </c>
    </row>
    <row r="32" spans="1:38" x14ac:dyDescent="0.25">
      <c r="A32" s="93" t="s">
        <v>193</v>
      </c>
      <c r="B32" s="94" t="s">
        <v>194</v>
      </c>
      <c r="C32" s="36">
        <v>195</v>
      </c>
      <c r="D32" s="40">
        <v>340</v>
      </c>
      <c r="E32" s="37">
        <f>6.55*D32</f>
        <v>2227</v>
      </c>
      <c r="F32" s="37">
        <v>0</v>
      </c>
      <c r="G32" s="37">
        <v>11</v>
      </c>
      <c r="H32" s="38">
        <v>8</v>
      </c>
      <c r="I32" s="45">
        <v>35</v>
      </c>
      <c r="J32" s="37">
        <f>4.4*I32</f>
        <v>154</v>
      </c>
      <c r="K32" s="37">
        <v>0</v>
      </c>
      <c r="L32" s="38">
        <v>1</v>
      </c>
      <c r="M32" s="37">
        <v>2</v>
      </c>
      <c r="N32" s="105">
        <v>0.35416666666666669</v>
      </c>
      <c r="O32" s="106">
        <v>0.22916666666666666</v>
      </c>
      <c r="P32" s="106">
        <v>0.1388888888888889</v>
      </c>
      <c r="Q32" s="106">
        <v>8.1018518518518517E-2</v>
      </c>
      <c r="R32" s="106">
        <v>7.1759259259259259E-2</v>
      </c>
      <c r="S32" s="107">
        <v>0.125</v>
      </c>
      <c r="T32" s="111">
        <v>0.9</v>
      </c>
      <c r="U32" s="90">
        <v>0.08</v>
      </c>
      <c r="V32" s="90">
        <v>1.4999999999999999E-2</v>
      </c>
      <c r="W32" s="90">
        <v>4.0000000000000001E-3</v>
      </c>
      <c r="X32" s="90">
        <v>1E-3</v>
      </c>
      <c r="Y32" s="112">
        <v>0</v>
      </c>
      <c r="Z32" s="115">
        <f t="shared" si="2"/>
        <v>3.8958333333333335</v>
      </c>
      <c r="AA32" s="116">
        <f t="shared" si="3"/>
        <v>2.520833333333333</v>
      </c>
      <c r="AB32" s="116">
        <f t="shared" si="4"/>
        <v>1.5277777777777779</v>
      </c>
      <c r="AC32" s="116">
        <f t="shared" si="5"/>
        <v>0.89120370370370372</v>
      </c>
      <c r="AD32" s="116">
        <f t="shared" si="6"/>
        <v>0.78935185185185186</v>
      </c>
      <c r="AE32" s="117">
        <f t="shared" si="7"/>
        <v>1.375</v>
      </c>
      <c r="AF32" s="115">
        <f t="shared" si="8"/>
        <v>0.9</v>
      </c>
      <c r="AG32" s="116">
        <f t="shared" si="9"/>
        <v>0.08</v>
      </c>
      <c r="AH32" s="116">
        <f t="shared" si="10"/>
        <v>1.4999999999999999E-2</v>
      </c>
      <c r="AI32" s="116">
        <f t="shared" si="11"/>
        <v>4.0000000000000001E-3</v>
      </c>
      <c r="AJ32" s="116">
        <f t="shared" si="12"/>
        <v>1E-3</v>
      </c>
      <c r="AK32" s="117">
        <f t="shared" si="13"/>
        <v>0</v>
      </c>
      <c r="AL32" s="121">
        <f>Input!$C$11*QBs!D32+Input!$C$12*QBs!C32+Input!$C$13*QBs!E32+Input!$C$14*QBs!H32+Input!$C$15*QBs!Z32+Input!$C$16*QBs!AA32+Input!$C$17*QBs!AB32+Input!$C$18*QBs!AC32+Input!$C$19*QBs!AD32+Input!$C$20*QBs!AE32+Input!$C$21*QBs!F32+Input!$C$22*QBs!I32+Input!$C$23*QBs!J32+Input!$C$24*QBs!AF32+Input!$C$25*QBs!AG32+Input!$C$26*QBs!AH32+Input!$C$27*QBs!AI32+Input!$C$28*QBs!AJ32+Input!$C$29*QBs!AK32+Input!$C$30*QBs!K32+Input!$C$40*QBs!M32</f>
        <v>182.15840740740742</v>
      </c>
    </row>
    <row r="33" spans="1:38" x14ac:dyDescent="0.25">
      <c r="A33" s="93" t="s">
        <v>195</v>
      </c>
      <c r="B33" s="94" t="s">
        <v>196</v>
      </c>
      <c r="C33" s="36">
        <v>136</v>
      </c>
      <c r="D33" s="40">
        <v>235</v>
      </c>
      <c r="E33" s="37">
        <f>6.4*D33</f>
        <v>1504</v>
      </c>
      <c r="F33" s="37">
        <v>1</v>
      </c>
      <c r="G33" s="37">
        <v>7</v>
      </c>
      <c r="H33" s="38">
        <v>7</v>
      </c>
      <c r="I33" s="45">
        <v>30</v>
      </c>
      <c r="J33" s="37">
        <f>4*I33</f>
        <v>120</v>
      </c>
      <c r="K33" s="37">
        <v>0</v>
      </c>
      <c r="L33" s="38">
        <v>1</v>
      </c>
      <c r="M33" s="37">
        <v>2</v>
      </c>
      <c r="N33" s="105">
        <v>0.35416666666666669</v>
      </c>
      <c r="O33" s="106">
        <v>0.22916666666666666</v>
      </c>
      <c r="P33" s="106">
        <v>0.1388888888888889</v>
      </c>
      <c r="Q33" s="106">
        <v>8.1018518518518517E-2</v>
      </c>
      <c r="R33" s="106">
        <v>7.1759259259259259E-2</v>
      </c>
      <c r="S33" s="107">
        <v>0.125</v>
      </c>
      <c r="T33" s="111">
        <v>0.9</v>
      </c>
      <c r="U33" s="90">
        <v>0.08</v>
      </c>
      <c r="V33" s="90">
        <v>1.4999999999999999E-2</v>
      </c>
      <c r="W33" s="90">
        <v>4.0000000000000001E-3</v>
      </c>
      <c r="X33" s="90">
        <v>1E-3</v>
      </c>
      <c r="Y33" s="112">
        <v>0</v>
      </c>
      <c r="Z33" s="115">
        <f t="shared" si="2"/>
        <v>2.479166666666667</v>
      </c>
      <c r="AA33" s="116">
        <f t="shared" si="3"/>
        <v>1.6041666666666665</v>
      </c>
      <c r="AB33" s="116">
        <f t="shared" si="4"/>
        <v>0.97222222222222232</v>
      </c>
      <c r="AC33" s="116">
        <f t="shared" si="5"/>
        <v>0.56712962962962965</v>
      </c>
      <c r="AD33" s="116">
        <f t="shared" si="6"/>
        <v>0.50231481481481477</v>
      </c>
      <c r="AE33" s="117">
        <f t="shared" si="7"/>
        <v>0.875</v>
      </c>
      <c r="AF33" s="115">
        <f t="shared" si="8"/>
        <v>0.9</v>
      </c>
      <c r="AG33" s="116">
        <f t="shared" si="9"/>
        <v>0.08</v>
      </c>
      <c r="AH33" s="116">
        <f t="shared" si="10"/>
        <v>1.4999999999999999E-2</v>
      </c>
      <c r="AI33" s="116">
        <f t="shared" si="11"/>
        <v>4.0000000000000001E-3</v>
      </c>
      <c r="AJ33" s="116">
        <f t="shared" si="12"/>
        <v>1E-3</v>
      </c>
      <c r="AK33" s="117">
        <f t="shared" si="13"/>
        <v>0</v>
      </c>
      <c r="AL33" s="121">
        <f>Input!$C$11*QBs!D33+Input!$C$12*QBs!C33+Input!$C$13*QBs!E33+Input!$C$14*QBs!H33+Input!$C$15*QBs!Z33+Input!$C$16*QBs!AA33+Input!$C$17*QBs!AB33+Input!$C$18*QBs!AC33+Input!$C$19*QBs!AD33+Input!$C$20*QBs!AE33+Input!$C$21*QBs!F33+Input!$C$22*QBs!I33+Input!$C$23*QBs!J33+Input!$C$24*QBs!AF33+Input!$C$25*QBs!AG33+Input!$C$26*QBs!AH33+Input!$C$27*QBs!AI33+Input!$C$28*QBs!AJ33+Input!$C$29*QBs!AK33+Input!$C$30*QBs!K33+Input!$C$40*QBs!M33</f>
        <v>126.96025925925926</v>
      </c>
    </row>
    <row r="34" spans="1:38" x14ac:dyDescent="0.25">
      <c r="A34" s="93" t="s">
        <v>197</v>
      </c>
      <c r="B34" s="94" t="s">
        <v>194</v>
      </c>
      <c r="C34" s="36">
        <v>133</v>
      </c>
      <c r="D34" s="40">
        <v>230</v>
      </c>
      <c r="E34" s="37">
        <f>6.7*D34</f>
        <v>1541</v>
      </c>
      <c r="F34" s="37">
        <v>0</v>
      </c>
      <c r="G34" s="37">
        <v>8</v>
      </c>
      <c r="H34" s="38">
        <v>6</v>
      </c>
      <c r="I34" s="45">
        <v>25</v>
      </c>
      <c r="J34" s="37">
        <f>2*I34</f>
        <v>50</v>
      </c>
      <c r="K34" s="37">
        <v>0</v>
      </c>
      <c r="L34" s="38">
        <v>0</v>
      </c>
      <c r="M34" s="37">
        <v>2</v>
      </c>
      <c r="N34" s="105">
        <v>0.35416666666666669</v>
      </c>
      <c r="O34" s="106">
        <v>0.22916666666666666</v>
      </c>
      <c r="P34" s="106">
        <v>0.1388888888888889</v>
      </c>
      <c r="Q34" s="106">
        <v>8.1018518518518517E-2</v>
      </c>
      <c r="R34" s="106">
        <v>7.1759259259259259E-2</v>
      </c>
      <c r="S34" s="107">
        <v>0.125</v>
      </c>
      <c r="T34" s="111">
        <v>0.9</v>
      </c>
      <c r="U34" s="90">
        <v>0.08</v>
      </c>
      <c r="V34" s="90">
        <v>1.4999999999999999E-2</v>
      </c>
      <c r="W34" s="90">
        <v>4.0000000000000001E-3</v>
      </c>
      <c r="X34" s="90">
        <v>1E-3</v>
      </c>
      <c r="Y34" s="112">
        <v>0</v>
      </c>
      <c r="Z34" s="115">
        <f t="shared" si="2"/>
        <v>2.8333333333333335</v>
      </c>
      <c r="AA34" s="116">
        <f t="shared" si="3"/>
        <v>1.8333333333333333</v>
      </c>
      <c r="AB34" s="116">
        <f t="shared" si="4"/>
        <v>1.1111111111111112</v>
      </c>
      <c r="AC34" s="116">
        <f t="shared" si="5"/>
        <v>0.64814814814814814</v>
      </c>
      <c r="AD34" s="116">
        <f t="shared" si="6"/>
        <v>0.57407407407407407</v>
      </c>
      <c r="AE34" s="117">
        <f t="shared" si="7"/>
        <v>1</v>
      </c>
      <c r="AF34" s="115">
        <f t="shared" si="8"/>
        <v>0</v>
      </c>
      <c r="AG34" s="116">
        <f t="shared" si="9"/>
        <v>0</v>
      </c>
      <c r="AH34" s="116">
        <f t="shared" si="10"/>
        <v>0</v>
      </c>
      <c r="AI34" s="116">
        <f t="shared" si="11"/>
        <v>0</v>
      </c>
      <c r="AJ34" s="116">
        <f t="shared" si="12"/>
        <v>0</v>
      </c>
      <c r="AK34" s="117">
        <f t="shared" si="13"/>
        <v>0</v>
      </c>
      <c r="AL34" s="121">
        <f>Input!$C$11*QBs!D34+Input!$C$12*QBs!C34+Input!$C$13*QBs!E34+Input!$C$14*QBs!H34+Input!$C$15*QBs!Z34+Input!$C$16*QBs!AA34+Input!$C$17*QBs!AB34+Input!$C$18*QBs!AC34+Input!$C$19*QBs!AD34+Input!$C$20*QBs!AE34+Input!$C$21*QBs!F34+Input!$C$22*QBs!I34+Input!$C$23*QBs!J34+Input!$C$24*QBs!AF34+Input!$C$25*QBs!AG34+Input!$C$26*QBs!AH34+Input!$C$27*QBs!AI34+Input!$C$28*QBs!AJ34+Input!$C$29*QBs!AK34+Input!$C$30*QBs!K34+Input!$C$40*QBs!M34</f>
        <v>117.3462962962963</v>
      </c>
    </row>
    <row r="35" spans="1:38" x14ac:dyDescent="0.25">
      <c r="A35" s="93" t="s">
        <v>198</v>
      </c>
      <c r="B35" s="94" t="s">
        <v>192</v>
      </c>
      <c r="C35" s="36">
        <v>102</v>
      </c>
      <c r="D35" s="40">
        <v>190</v>
      </c>
      <c r="E35" s="37">
        <f>6.3*D35</f>
        <v>1197</v>
      </c>
      <c r="F35" s="37">
        <v>0</v>
      </c>
      <c r="G35" s="37">
        <v>6</v>
      </c>
      <c r="H35" s="38">
        <v>6</v>
      </c>
      <c r="I35" s="45">
        <v>15</v>
      </c>
      <c r="J35" s="37">
        <f>2.6*I35</f>
        <v>39</v>
      </c>
      <c r="K35" s="37">
        <v>0</v>
      </c>
      <c r="L35" s="38">
        <v>0</v>
      </c>
      <c r="M35" s="37">
        <v>2</v>
      </c>
      <c r="N35" s="105">
        <v>0.35416666666666669</v>
      </c>
      <c r="O35" s="106">
        <v>0.22916666666666666</v>
      </c>
      <c r="P35" s="106">
        <v>0.1388888888888889</v>
      </c>
      <c r="Q35" s="106">
        <v>8.1018518518518517E-2</v>
      </c>
      <c r="R35" s="106">
        <v>7.1759259259259259E-2</v>
      </c>
      <c r="S35" s="107">
        <v>0.125</v>
      </c>
      <c r="T35" s="111">
        <v>0.9</v>
      </c>
      <c r="U35" s="90">
        <v>0.08</v>
      </c>
      <c r="V35" s="90">
        <v>1.4999999999999999E-2</v>
      </c>
      <c r="W35" s="90">
        <v>4.0000000000000001E-3</v>
      </c>
      <c r="X35" s="90">
        <v>1E-3</v>
      </c>
      <c r="Y35" s="112">
        <v>0</v>
      </c>
      <c r="Z35" s="115">
        <f t="shared" si="2"/>
        <v>2.125</v>
      </c>
      <c r="AA35" s="116">
        <f t="shared" si="3"/>
        <v>1.375</v>
      </c>
      <c r="AB35" s="116">
        <f t="shared" si="4"/>
        <v>0.83333333333333337</v>
      </c>
      <c r="AC35" s="116">
        <f t="shared" si="5"/>
        <v>0.4861111111111111</v>
      </c>
      <c r="AD35" s="116">
        <f t="shared" si="6"/>
        <v>0.43055555555555558</v>
      </c>
      <c r="AE35" s="117">
        <f t="shared" si="7"/>
        <v>0.75</v>
      </c>
      <c r="AF35" s="115">
        <f t="shared" si="8"/>
        <v>0</v>
      </c>
      <c r="AG35" s="116">
        <f t="shared" si="9"/>
        <v>0</v>
      </c>
      <c r="AH35" s="116">
        <f t="shared" si="10"/>
        <v>0</v>
      </c>
      <c r="AI35" s="116">
        <f t="shared" si="11"/>
        <v>0</v>
      </c>
      <c r="AJ35" s="116">
        <f t="shared" si="12"/>
        <v>0</v>
      </c>
      <c r="AK35" s="117">
        <f t="shared" si="13"/>
        <v>0</v>
      </c>
      <c r="AL35" s="121">
        <f>Input!$C$11*QBs!D35+Input!$C$12*QBs!C35+Input!$C$13*QBs!E35+Input!$C$14*QBs!H35+Input!$C$15*QBs!Z35+Input!$C$16*QBs!AA35+Input!$C$17*QBs!AB35+Input!$C$18*QBs!AC35+Input!$C$19*QBs!AD35+Input!$C$20*QBs!AE35+Input!$C$21*QBs!F35+Input!$C$22*QBs!I35+Input!$C$23*QBs!J35+Input!$C$24*QBs!AF35+Input!$C$25*QBs!AG35+Input!$C$26*QBs!AH35+Input!$C$27*QBs!AI35+Input!$C$28*QBs!AJ35+Input!$C$29*QBs!AK35+Input!$C$30*QBs!K35+Input!$C$40*QBs!M35</f>
        <v>89.722222222222229</v>
      </c>
    </row>
    <row r="36" spans="1:38" x14ac:dyDescent="0.25">
      <c r="A36" s="93" t="s">
        <v>199</v>
      </c>
      <c r="B36" s="94" t="s">
        <v>196</v>
      </c>
      <c r="C36" s="36">
        <v>142</v>
      </c>
      <c r="D36" s="40">
        <v>245</v>
      </c>
      <c r="E36" s="37">
        <f>6.3*D36</f>
        <v>1543.5</v>
      </c>
      <c r="F36" s="37">
        <v>1</v>
      </c>
      <c r="G36" s="37">
        <v>9</v>
      </c>
      <c r="H36" s="38">
        <v>8</v>
      </c>
      <c r="I36" s="45">
        <v>30</v>
      </c>
      <c r="J36" s="37">
        <f>3*I36</f>
        <v>90</v>
      </c>
      <c r="K36" s="37">
        <v>0</v>
      </c>
      <c r="L36" s="38">
        <v>0</v>
      </c>
      <c r="M36" s="37">
        <v>2</v>
      </c>
      <c r="N36" s="105">
        <v>0.35416666666666669</v>
      </c>
      <c r="O36" s="106">
        <v>0.22916666666666666</v>
      </c>
      <c r="P36" s="106">
        <v>0.1388888888888889</v>
      </c>
      <c r="Q36" s="106">
        <v>8.1018518518518517E-2</v>
      </c>
      <c r="R36" s="106">
        <v>7.1759259259259259E-2</v>
      </c>
      <c r="S36" s="107">
        <v>0.125</v>
      </c>
      <c r="T36" s="111">
        <v>0.9</v>
      </c>
      <c r="U36" s="90">
        <v>0.08</v>
      </c>
      <c r="V36" s="90">
        <v>1.4999999999999999E-2</v>
      </c>
      <c r="W36" s="90">
        <v>4.0000000000000001E-3</v>
      </c>
      <c r="X36" s="90">
        <v>1E-3</v>
      </c>
      <c r="Y36" s="112">
        <v>0</v>
      </c>
      <c r="Z36" s="115">
        <f t="shared" si="2"/>
        <v>3.1875</v>
      </c>
      <c r="AA36" s="116">
        <f t="shared" si="3"/>
        <v>2.0625</v>
      </c>
      <c r="AB36" s="116">
        <f t="shared" si="4"/>
        <v>1.25</v>
      </c>
      <c r="AC36" s="116">
        <f t="shared" si="5"/>
        <v>0.72916666666666663</v>
      </c>
      <c r="AD36" s="116">
        <f t="shared" si="6"/>
        <v>0.64583333333333337</v>
      </c>
      <c r="AE36" s="117">
        <f t="shared" si="7"/>
        <v>1.125</v>
      </c>
      <c r="AF36" s="115">
        <f t="shared" si="8"/>
        <v>0</v>
      </c>
      <c r="AG36" s="116">
        <f t="shared" si="9"/>
        <v>0</v>
      </c>
      <c r="AH36" s="116">
        <f t="shared" si="10"/>
        <v>0</v>
      </c>
      <c r="AI36" s="116">
        <f t="shared" si="11"/>
        <v>0</v>
      </c>
      <c r="AJ36" s="116">
        <f t="shared" si="12"/>
        <v>0</v>
      </c>
      <c r="AK36" s="117">
        <f t="shared" si="13"/>
        <v>0</v>
      </c>
      <c r="AL36" s="121">
        <f>Input!$C$11*QBs!D36+Input!$C$12*QBs!C36+Input!$C$13*QBs!E36+Input!$C$14*QBs!H36+Input!$C$15*QBs!Z36+Input!$C$16*QBs!AA36+Input!$C$17*QBs!AB36+Input!$C$18*QBs!AC36+Input!$C$19*QBs!AD36+Input!$C$20*QBs!AE36+Input!$C$21*QBs!F36+Input!$C$22*QBs!I36+Input!$C$23*QBs!J36+Input!$C$24*QBs!AF36+Input!$C$25*QBs!AG36+Input!$C$26*QBs!AH36+Input!$C$27*QBs!AI36+Input!$C$28*QBs!AJ36+Input!$C$29*QBs!AK36+Input!$C$30*QBs!K36+Input!$C$40*QBs!M36</f>
        <v>129.13333333333333</v>
      </c>
    </row>
    <row r="37" spans="1:38" x14ac:dyDescent="0.25">
      <c r="A37" s="93" t="s">
        <v>200</v>
      </c>
      <c r="B37" s="94" t="s">
        <v>190</v>
      </c>
      <c r="C37" s="36">
        <v>82</v>
      </c>
      <c r="D37" s="40">
        <v>150</v>
      </c>
      <c r="E37" s="37">
        <f>6*D37</f>
        <v>900</v>
      </c>
      <c r="F37" s="37">
        <v>0</v>
      </c>
      <c r="G37" s="37">
        <v>4</v>
      </c>
      <c r="H37" s="38">
        <v>5</v>
      </c>
      <c r="I37" s="45">
        <v>30</v>
      </c>
      <c r="J37" s="37">
        <f>4*I37</f>
        <v>120</v>
      </c>
      <c r="K37" s="37">
        <v>0</v>
      </c>
      <c r="L37" s="38">
        <v>1</v>
      </c>
      <c r="M37" s="37">
        <v>1</v>
      </c>
      <c r="N37" s="105">
        <v>0.35416666666666669</v>
      </c>
      <c r="O37" s="106">
        <v>0.22916666666666666</v>
      </c>
      <c r="P37" s="106">
        <v>0.1388888888888889</v>
      </c>
      <c r="Q37" s="106">
        <v>8.1018518518518517E-2</v>
      </c>
      <c r="R37" s="106">
        <v>7.1759259259259259E-2</v>
      </c>
      <c r="S37" s="107">
        <v>0.125</v>
      </c>
      <c r="T37" s="111">
        <v>0.9</v>
      </c>
      <c r="U37" s="90">
        <v>0.08</v>
      </c>
      <c r="V37" s="90">
        <v>1.4999999999999999E-2</v>
      </c>
      <c r="W37" s="90">
        <v>4.0000000000000001E-3</v>
      </c>
      <c r="X37" s="90">
        <v>1E-3</v>
      </c>
      <c r="Y37" s="112">
        <v>0</v>
      </c>
      <c r="Z37" s="115">
        <f t="shared" si="2"/>
        <v>1.4166666666666667</v>
      </c>
      <c r="AA37" s="116">
        <f t="shared" si="3"/>
        <v>0.91666666666666663</v>
      </c>
      <c r="AB37" s="116">
        <f t="shared" si="4"/>
        <v>0.55555555555555558</v>
      </c>
      <c r="AC37" s="116">
        <f t="shared" si="5"/>
        <v>0.32407407407407407</v>
      </c>
      <c r="AD37" s="116">
        <f t="shared" si="6"/>
        <v>0.28703703703703703</v>
      </c>
      <c r="AE37" s="117">
        <f t="shared" si="7"/>
        <v>0.5</v>
      </c>
      <c r="AF37" s="115">
        <f t="shared" si="8"/>
        <v>0.9</v>
      </c>
      <c r="AG37" s="116">
        <f t="shared" si="9"/>
        <v>0.08</v>
      </c>
      <c r="AH37" s="116">
        <f t="shared" si="10"/>
        <v>1.4999999999999999E-2</v>
      </c>
      <c r="AI37" s="116">
        <f t="shared" si="11"/>
        <v>4.0000000000000001E-3</v>
      </c>
      <c r="AJ37" s="116">
        <f t="shared" si="12"/>
        <v>1E-3</v>
      </c>
      <c r="AK37" s="117">
        <f t="shared" si="13"/>
        <v>0</v>
      </c>
      <c r="AL37" s="121">
        <f>Input!$C$11*QBs!D37+Input!$C$12*QBs!C37+Input!$C$13*QBs!E37+Input!$C$14*QBs!H37+Input!$C$15*QBs!Z37+Input!$C$16*QBs!AA37+Input!$C$17*QBs!AB37+Input!$C$18*QBs!AC37+Input!$C$19*QBs!AD37+Input!$C$20*QBs!AE37+Input!$C$21*QBs!F37+Input!$C$22*QBs!I37+Input!$C$23*QBs!J37+Input!$C$24*QBs!AF37+Input!$C$25*QBs!AG37+Input!$C$26*QBs!AH37+Input!$C$27*QBs!AI37+Input!$C$28*QBs!AJ37+Input!$C$29*QBs!AK37+Input!$C$30*QBs!K37+Input!$C$40*QBs!M37</f>
        <v>80.774148148148171</v>
      </c>
    </row>
    <row r="38" spans="1:38" x14ac:dyDescent="0.25">
      <c r="A38" s="93" t="s">
        <v>201</v>
      </c>
      <c r="B38" s="94" t="s">
        <v>186</v>
      </c>
      <c r="C38" s="36">
        <v>80</v>
      </c>
      <c r="D38" s="40">
        <v>145</v>
      </c>
      <c r="E38" s="37">
        <f>6.7*D38</f>
        <v>971.5</v>
      </c>
      <c r="F38" s="37">
        <v>0</v>
      </c>
      <c r="G38" s="37">
        <v>4</v>
      </c>
      <c r="H38" s="38">
        <v>6</v>
      </c>
      <c r="I38" s="45">
        <v>10</v>
      </c>
      <c r="J38" s="37">
        <f>1.2*I38</f>
        <v>12</v>
      </c>
      <c r="K38" s="37">
        <v>0</v>
      </c>
      <c r="L38" s="38">
        <v>0</v>
      </c>
      <c r="M38" s="37">
        <v>1</v>
      </c>
      <c r="N38" s="105">
        <v>0.35416666666666669</v>
      </c>
      <c r="O38" s="106">
        <v>0.22916666666666666</v>
      </c>
      <c r="P38" s="106">
        <v>0.1388888888888889</v>
      </c>
      <c r="Q38" s="106">
        <v>8.1018518518518517E-2</v>
      </c>
      <c r="R38" s="106">
        <v>7.1759259259259259E-2</v>
      </c>
      <c r="S38" s="107">
        <v>0.125</v>
      </c>
      <c r="T38" s="111">
        <v>0.9</v>
      </c>
      <c r="U38" s="90">
        <v>0.08</v>
      </c>
      <c r="V38" s="90">
        <v>1.4999999999999999E-2</v>
      </c>
      <c r="W38" s="90">
        <v>4.0000000000000001E-3</v>
      </c>
      <c r="X38" s="90">
        <v>1E-3</v>
      </c>
      <c r="Y38" s="112">
        <v>0</v>
      </c>
      <c r="Z38" s="115">
        <f t="shared" si="2"/>
        <v>1.4166666666666667</v>
      </c>
      <c r="AA38" s="116">
        <f t="shared" si="3"/>
        <v>0.91666666666666663</v>
      </c>
      <c r="AB38" s="116">
        <f t="shared" si="4"/>
        <v>0.55555555555555558</v>
      </c>
      <c r="AC38" s="116">
        <f t="shared" si="5"/>
        <v>0.32407407407407407</v>
      </c>
      <c r="AD38" s="116">
        <f t="shared" si="6"/>
        <v>0.28703703703703703</v>
      </c>
      <c r="AE38" s="117">
        <f t="shared" si="7"/>
        <v>0.5</v>
      </c>
      <c r="AF38" s="115">
        <f t="shared" si="8"/>
        <v>0</v>
      </c>
      <c r="AG38" s="116">
        <f t="shared" si="9"/>
        <v>0</v>
      </c>
      <c r="AH38" s="116">
        <f t="shared" si="10"/>
        <v>0</v>
      </c>
      <c r="AI38" s="116">
        <f t="shared" si="11"/>
        <v>0</v>
      </c>
      <c r="AJ38" s="116">
        <f t="shared" si="12"/>
        <v>0</v>
      </c>
      <c r="AK38" s="117">
        <f t="shared" si="13"/>
        <v>0</v>
      </c>
      <c r="AL38" s="121">
        <f>Input!$C$11*QBs!D38+Input!$C$12*QBs!C38+Input!$C$13*QBs!E38+Input!$C$14*QBs!H38+Input!$C$15*QBs!Z38+Input!$C$16*QBs!AA38+Input!$C$17*QBs!AB38+Input!$C$18*QBs!AC38+Input!$C$19*QBs!AD38+Input!$C$20*QBs!AE38+Input!$C$21*QBs!F38+Input!$C$22*QBs!I38+Input!$C$23*QBs!J38+Input!$C$24*QBs!AF38+Input!$C$25*QBs!AG38+Input!$C$26*QBs!AH38+Input!$C$27*QBs!AI38+Input!$C$28*QBs!AJ38+Input!$C$29*QBs!AK38+Input!$C$30*QBs!K38+Input!$C$40*QBs!M38</f>
        <v>67.423148148148144</v>
      </c>
    </row>
    <row r="39" spans="1:38" x14ac:dyDescent="0.25">
      <c r="A39" s="93" t="s">
        <v>202</v>
      </c>
      <c r="B39" s="94" t="s">
        <v>196</v>
      </c>
      <c r="C39" s="36">
        <v>45</v>
      </c>
      <c r="D39" s="40">
        <v>80</v>
      </c>
      <c r="E39" s="37">
        <f>6.4*D39</f>
        <v>512</v>
      </c>
      <c r="F39" s="37">
        <v>0</v>
      </c>
      <c r="G39" s="37">
        <v>2</v>
      </c>
      <c r="H39" s="38">
        <v>4</v>
      </c>
      <c r="I39" s="45">
        <f>13</f>
        <v>13</v>
      </c>
      <c r="J39" s="37">
        <f>3*I39</f>
        <v>39</v>
      </c>
      <c r="K39" s="37">
        <v>0</v>
      </c>
      <c r="L39" s="38">
        <v>0</v>
      </c>
      <c r="M39" s="37">
        <v>1</v>
      </c>
      <c r="N39" s="105">
        <v>0.35416666666666669</v>
      </c>
      <c r="O39" s="106">
        <v>0.22916666666666666</v>
      </c>
      <c r="P39" s="106">
        <v>0.1388888888888889</v>
      </c>
      <c r="Q39" s="106">
        <v>8.1018518518518517E-2</v>
      </c>
      <c r="R39" s="106">
        <v>7.1759259259259259E-2</v>
      </c>
      <c r="S39" s="107">
        <v>0.125</v>
      </c>
      <c r="T39" s="111">
        <v>0.9</v>
      </c>
      <c r="U39" s="90">
        <v>0.08</v>
      </c>
      <c r="V39" s="90">
        <v>1.4999999999999999E-2</v>
      </c>
      <c r="W39" s="90">
        <v>4.0000000000000001E-3</v>
      </c>
      <c r="X39" s="90">
        <v>1E-3</v>
      </c>
      <c r="Y39" s="112">
        <v>0</v>
      </c>
      <c r="Z39" s="115">
        <f t="shared" si="2"/>
        <v>0.70833333333333337</v>
      </c>
      <c r="AA39" s="116">
        <f t="shared" si="3"/>
        <v>0.45833333333333331</v>
      </c>
      <c r="AB39" s="116">
        <f t="shared" si="4"/>
        <v>0.27777777777777779</v>
      </c>
      <c r="AC39" s="116">
        <f t="shared" si="5"/>
        <v>0.16203703703703703</v>
      </c>
      <c r="AD39" s="116">
        <f t="shared" si="6"/>
        <v>0.14351851851851852</v>
      </c>
      <c r="AE39" s="117">
        <f t="shared" si="7"/>
        <v>0.25</v>
      </c>
      <c r="AF39" s="115">
        <f t="shared" si="8"/>
        <v>0</v>
      </c>
      <c r="AG39" s="116">
        <f t="shared" si="9"/>
        <v>0</v>
      </c>
      <c r="AH39" s="116">
        <f t="shared" si="10"/>
        <v>0</v>
      </c>
      <c r="AI39" s="116">
        <f t="shared" si="11"/>
        <v>0</v>
      </c>
      <c r="AJ39" s="116">
        <f t="shared" si="12"/>
        <v>0</v>
      </c>
      <c r="AK39" s="117">
        <f t="shared" si="13"/>
        <v>0</v>
      </c>
      <c r="AL39" s="121">
        <f>Input!$C$11*QBs!D39+Input!$C$12*QBs!C39+Input!$C$13*QBs!E39+Input!$C$14*QBs!H39+Input!$C$15*QBs!Z39+Input!$C$16*QBs!AA39+Input!$C$17*QBs!AB39+Input!$C$18*QBs!AC39+Input!$C$19*QBs!AD39+Input!$C$20*QBs!AE39+Input!$C$21*QBs!F39+Input!$C$22*QBs!I39+Input!$C$23*QBs!J39+Input!$C$24*QBs!AF39+Input!$C$25*QBs!AG39+Input!$C$26*QBs!AH39+Input!$C$27*QBs!AI39+Input!$C$28*QBs!AJ39+Input!$C$29*QBs!AK39+Input!$C$30*QBs!K39+Input!$C$40*QBs!M39</f>
        <v>37.824074074074069</v>
      </c>
    </row>
    <row r="40" spans="1:38" x14ac:dyDescent="0.25">
      <c r="A40" s="93" t="s">
        <v>203</v>
      </c>
      <c r="B40" s="94" t="s">
        <v>184</v>
      </c>
      <c r="C40" s="36">
        <v>53</v>
      </c>
      <c r="D40" s="40">
        <v>100</v>
      </c>
      <c r="E40" s="37">
        <f>6.4*D40</f>
        <v>640</v>
      </c>
      <c r="F40" s="37">
        <v>0</v>
      </c>
      <c r="G40" s="37">
        <v>5</v>
      </c>
      <c r="H40" s="38">
        <v>4</v>
      </c>
      <c r="I40" s="45">
        <v>13</v>
      </c>
      <c r="J40" s="37">
        <f>3.5*I40</f>
        <v>45.5</v>
      </c>
      <c r="K40" s="37">
        <v>0</v>
      </c>
      <c r="L40" s="38">
        <v>0</v>
      </c>
      <c r="M40" s="37">
        <v>1</v>
      </c>
      <c r="N40" s="105">
        <v>0.35416666666666669</v>
      </c>
      <c r="O40" s="106">
        <v>0.22916666666666666</v>
      </c>
      <c r="P40" s="106">
        <v>0.1388888888888889</v>
      </c>
      <c r="Q40" s="106">
        <v>8.1018518518518517E-2</v>
      </c>
      <c r="R40" s="106">
        <v>7.1759259259259259E-2</v>
      </c>
      <c r="S40" s="107">
        <v>0.125</v>
      </c>
      <c r="T40" s="111">
        <v>0.9</v>
      </c>
      <c r="U40" s="90">
        <v>0.08</v>
      </c>
      <c r="V40" s="90">
        <v>1.4999999999999999E-2</v>
      </c>
      <c r="W40" s="90">
        <v>4.0000000000000001E-3</v>
      </c>
      <c r="X40" s="90">
        <v>1E-3</v>
      </c>
      <c r="Y40" s="112">
        <v>0</v>
      </c>
      <c r="Z40" s="115">
        <f t="shared" si="2"/>
        <v>1.7708333333333335</v>
      </c>
      <c r="AA40" s="116">
        <f t="shared" si="3"/>
        <v>1.1458333333333333</v>
      </c>
      <c r="AB40" s="116">
        <f t="shared" si="4"/>
        <v>0.69444444444444442</v>
      </c>
      <c r="AC40" s="116">
        <f t="shared" si="5"/>
        <v>0.40509259259259256</v>
      </c>
      <c r="AD40" s="116">
        <f t="shared" si="6"/>
        <v>0.35879629629629628</v>
      </c>
      <c r="AE40" s="117">
        <f t="shared" si="7"/>
        <v>0.625</v>
      </c>
      <c r="AF40" s="115">
        <f t="shared" si="8"/>
        <v>0</v>
      </c>
      <c r="AG40" s="116">
        <f t="shared" si="9"/>
        <v>0</v>
      </c>
      <c r="AH40" s="116">
        <f t="shared" si="10"/>
        <v>0</v>
      </c>
      <c r="AI40" s="116">
        <f t="shared" si="11"/>
        <v>0</v>
      </c>
      <c r="AJ40" s="116">
        <f t="shared" si="12"/>
        <v>0</v>
      </c>
      <c r="AK40" s="117">
        <f t="shared" si="13"/>
        <v>0</v>
      </c>
      <c r="AL40" s="121">
        <f>Input!$C$11*QBs!D40+Input!$C$12*QBs!C40+Input!$C$13*QBs!E40+Input!$C$14*QBs!H40+Input!$C$15*QBs!Z40+Input!$C$16*QBs!AA40+Input!$C$17*QBs!AB40+Input!$C$18*QBs!AC40+Input!$C$19*QBs!AD40+Input!$C$20*QBs!AE40+Input!$C$21*QBs!F40+Input!$C$22*QBs!I40+Input!$C$23*QBs!J40+Input!$C$24*QBs!AF40+Input!$C$25*QBs!AG40+Input!$C$26*QBs!AH40+Input!$C$27*QBs!AI40+Input!$C$28*QBs!AJ40+Input!$C$29*QBs!AK40+Input!$C$30*QBs!K40+Input!$C$40*QBs!M40</f>
        <v>58.860185185185188</v>
      </c>
    </row>
    <row r="41" spans="1:38" x14ac:dyDescent="0.25">
      <c r="A41" s="93" t="s">
        <v>204</v>
      </c>
      <c r="B41" s="94" t="s">
        <v>160</v>
      </c>
      <c r="C41" s="36">
        <v>46</v>
      </c>
      <c r="D41" s="40">
        <v>80</v>
      </c>
      <c r="E41" s="37">
        <f>6.5*D41</f>
        <v>520</v>
      </c>
      <c r="F41" s="37">
        <v>0</v>
      </c>
      <c r="G41" s="37">
        <v>4</v>
      </c>
      <c r="H41" s="38">
        <v>2</v>
      </c>
      <c r="I41" s="45">
        <v>11</v>
      </c>
      <c r="J41" s="37">
        <f>5*I41</f>
        <v>55</v>
      </c>
      <c r="K41" s="37">
        <v>0</v>
      </c>
      <c r="L41" s="38">
        <v>0</v>
      </c>
      <c r="M41" s="37">
        <v>1</v>
      </c>
      <c r="N41" s="105">
        <v>0.35416666666666669</v>
      </c>
      <c r="O41" s="106">
        <v>0.22916666666666666</v>
      </c>
      <c r="P41" s="106">
        <v>0.1388888888888889</v>
      </c>
      <c r="Q41" s="106">
        <v>8.1018518518518517E-2</v>
      </c>
      <c r="R41" s="106">
        <v>7.1759259259259259E-2</v>
      </c>
      <c r="S41" s="107">
        <v>0.125</v>
      </c>
      <c r="T41" s="111">
        <v>0.9</v>
      </c>
      <c r="U41" s="90">
        <v>0.08</v>
      </c>
      <c r="V41" s="90">
        <v>1.4999999999999999E-2</v>
      </c>
      <c r="W41" s="90">
        <v>4.0000000000000001E-3</v>
      </c>
      <c r="X41" s="90">
        <v>1E-3</v>
      </c>
      <c r="Y41" s="112">
        <v>0</v>
      </c>
      <c r="Z41" s="115">
        <f t="shared" si="2"/>
        <v>1.4166666666666667</v>
      </c>
      <c r="AA41" s="116">
        <f t="shared" si="3"/>
        <v>0.91666666666666663</v>
      </c>
      <c r="AB41" s="116">
        <f t="shared" si="4"/>
        <v>0.55555555555555558</v>
      </c>
      <c r="AC41" s="116">
        <f t="shared" si="5"/>
        <v>0.32407407407407407</v>
      </c>
      <c r="AD41" s="116">
        <f t="shared" si="6"/>
        <v>0.28703703703703703</v>
      </c>
      <c r="AE41" s="117">
        <f t="shared" si="7"/>
        <v>0.5</v>
      </c>
      <c r="AF41" s="115">
        <f t="shared" si="8"/>
        <v>0</v>
      </c>
      <c r="AG41" s="116">
        <f t="shared" si="9"/>
        <v>0</v>
      </c>
      <c r="AH41" s="116">
        <f t="shared" si="10"/>
        <v>0</v>
      </c>
      <c r="AI41" s="116">
        <f t="shared" si="11"/>
        <v>0</v>
      </c>
      <c r="AJ41" s="116">
        <f t="shared" si="12"/>
        <v>0</v>
      </c>
      <c r="AK41" s="117">
        <f t="shared" si="13"/>
        <v>0</v>
      </c>
      <c r="AL41" s="121">
        <f>Input!$C$11*QBs!D41+Input!$C$12*QBs!C41+Input!$C$13*QBs!E41+Input!$C$14*QBs!H41+Input!$C$15*QBs!Z41+Input!$C$16*QBs!AA41+Input!$C$17*QBs!AB41+Input!$C$18*QBs!AC41+Input!$C$19*QBs!AD41+Input!$C$20*QBs!AE41+Input!$C$21*QBs!F41+Input!$C$22*QBs!I41+Input!$C$23*QBs!J41+Input!$C$24*QBs!AF41+Input!$C$25*QBs!AG41+Input!$C$26*QBs!AH41+Input!$C$27*QBs!AI41+Input!$C$28*QBs!AJ41+Input!$C$29*QBs!AK41+Input!$C$30*QBs!K41+Input!$C$40*QBs!M41</f>
        <v>49.148148148148145</v>
      </c>
    </row>
    <row r="42" spans="1:38" x14ac:dyDescent="0.25">
      <c r="A42" s="93" t="s">
        <v>205</v>
      </c>
      <c r="B42" s="94" t="s">
        <v>188</v>
      </c>
      <c r="C42" s="36">
        <v>56</v>
      </c>
      <c r="D42" s="40">
        <v>100</v>
      </c>
      <c r="E42" s="37">
        <f>6.5*D42</f>
        <v>650</v>
      </c>
      <c r="F42" s="37">
        <v>0</v>
      </c>
      <c r="G42" s="37">
        <v>4</v>
      </c>
      <c r="H42" s="38">
        <v>4</v>
      </c>
      <c r="I42" s="45">
        <v>8</v>
      </c>
      <c r="J42" s="37">
        <f>2*I42</f>
        <v>16</v>
      </c>
      <c r="K42" s="37">
        <v>0</v>
      </c>
      <c r="L42" s="38">
        <v>0</v>
      </c>
      <c r="M42" s="37">
        <v>1</v>
      </c>
      <c r="N42" s="105">
        <v>0.35416666666666669</v>
      </c>
      <c r="O42" s="106">
        <v>0.22916666666666666</v>
      </c>
      <c r="P42" s="106">
        <v>0.1388888888888889</v>
      </c>
      <c r="Q42" s="106">
        <v>8.1018518518518517E-2</v>
      </c>
      <c r="R42" s="106">
        <v>7.1759259259259259E-2</v>
      </c>
      <c r="S42" s="107">
        <v>0.125</v>
      </c>
      <c r="T42" s="111">
        <v>0.9</v>
      </c>
      <c r="U42" s="90">
        <v>0.08</v>
      </c>
      <c r="V42" s="90">
        <v>1.4999999999999999E-2</v>
      </c>
      <c r="W42" s="90">
        <v>4.0000000000000001E-3</v>
      </c>
      <c r="X42" s="90">
        <v>1E-3</v>
      </c>
      <c r="Y42" s="112">
        <v>0</v>
      </c>
      <c r="Z42" s="115">
        <f t="shared" si="2"/>
        <v>1.4166666666666667</v>
      </c>
      <c r="AA42" s="116">
        <f t="shared" si="3"/>
        <v>0.91666666666666663</v>
      </c>
      <c r="AB42" s="116">
        <f t="shared" si="4"/>
        <v>0.55555555555555558</v>
      </c>
      <c r="AC42" s="116">
        <f t="shared" si="5"/>
        <v>0.32407407407407407</v>
      </c>
      <c r="AD42" s="116">
        <f t="shared" si="6"/>
        <v>0.28703703703703703</v>
      </c>
      <c r="AE42" s="117">
        <f t="shared" si="7"/>
        <v>0.5</v>
      </c>
      <c r="AF42" s="115">
        <f t="shared" si="8"/>
        <v>0</v>
      </c>
      <c r="AG42" s="116">
        <f t="shared" si="9"/>
        <v>0</v>
      </c>
      <c r="AH42" s="116">
        <f t="shared" si="10"/>
        <v>0</v>
      </c>
      <c r="AI42" s="116">
        <f t="shared" si="11"/>
        <v>0</v>
      </c>
      <c r="AJ42" s="116">
        <f t="shared" si="12"/>
        <v>0</v>
      </c>
      <c r="AK42" s="117">
        <f t="shared" si="13"/>
        <v>0</v>
      </c>
      <c r="AL42" s="121">
        <f>Input!$C$11*QBs!D42+Input!$C$12*QBs!C42+Input!$C$13*QBs!E42+Input!$C$14*QBs!H42+Input!$C$15*QBs!Z42+Input!$C$16*QBs!AA42+Input!$C$17*QBs!AB42+Input!$C$18*QBs!AC42+Input!$C$19*QBs!AD42+Input!$C$20*QBs!AE42+Input!$C$21*QBs!F42+Input!$C$22*QBs!I42+Input!$C$23*QBs!J42+Input!$C$24*QBs!AF42+Input!$C$25*QBs!AG42+Input!$C$26*QBs!AH42+Input!$C$27*QBs!AI42+Input!$C$28*QBs!AJ42+Input!$C$29*QBs!AK42+Input!$C$30*QBs!K42+Input!$C$40*QBs!M42</f>
        <v>51.748148148148147</v>
      </c>
    </row>
    <row r="43" spans="1:38" x14ac:dyDescent="0.25">
      <c r="A43" s="93" t="s">
        <v>206</v>
      </c>
      <c r="B43" s="94" t="s">
        <v>176</v>
      </c>
      <c r="C43" s="36">
        <v>44</v>
      </c>
      <c r="D43" s="40">
        <v>80</v>
      </c>
      <c r="E43" s="37">
        <f>7.1*D43</f>
        <v>568</v>
      </c>
      <c r="F43" s="37">
        <v>0</v>
      </c>
      <c r="G43" s="37">
        <v>2</v>
      </c>
      <c r="H43" s="38">
        <v>2</v>
      </c>
      <c r="I43" s="45">
        <v>16</v>
      </c>
      <c r="J43" s="37">
        <f>5.3*I43</f>
        <v>84.8</v>
      </c>
      <c r="K43" s="37">
        <v>0</v>
      </c>
      <c r="L43" s="38">
        <v>0</v>
      </c>
      <c r="M43" s="37">
        <v>1</v>
      </c>
      <c r="N43" s="105">
        <v>0.35416666666666669</v>
      </c>
      <c r="O43" s="106">
        <v>0.22916666666666666</v>
      </c>
      <c r="P43" s="106">
        <v>0.1388888888888889</v>
      </c>
      <c r="Q43" s="106">
        <v>8.1018518518518517E-2</v>
      </c>
      <c r="R43" s="106">
        <v>7.1759259259259259E-2</v>
      </c>
      <c r="S43" s="107">
        <v>0.125</v>
      </c>
      <c r="T43" s="111">
        <v>0.9</v>
      </c>
      <c r="U43" s="90">
        <v>0.08</v>
      </c>
      <c r="V43" s="90">
        <v>1.4999999999999999E-2</v>
      </c>
      <c r="W43" s="90">
        <v>4.0000000000000001E-3</v>
      </c>
      <c r="X43" s="90">
        <v>1E-3</v>
      </c>
      <c r="Y43" s="112">
        <v>0</v>
      </c>
      <c r="Z43" s="115">
        <f t="shared" si="2"/>
        <v>0.70833333333333337</v>
      </c>
      <c r="AA43" s="116">
        <f t="shared" si="3"/>
        <v>0.45833333333333331</v>
      </c>
      <c r="AB43" s="116">
        <f t="shared" si="4"/>
        <v>0.27777777777777779</v>
      </c>
      <c r="AC43" s="116">
        <f t="shared" si="5"/>
        <v>0.16203703703703703</v>
      </c>
      <c r="AD43" s="116">
        <f t="shared" si="6"/>
        <v>0.14351851851851852</v>
      </c>
      <c r="AE43" s="117">
        <f t="shared" si="7"/>
        <v>0.25</v>
      </c>
      <c r="AF43" s="115">
        <f t="shared" si="8"/>
        <v>0</v>
      </c>
      <c r="AG43" s="116">
        <f t="shared" si="9"/>
        <v>0</v>
      </c>
      <c r="AH43" s="116">
        <f t="shared" si="10"/>
        <v>0</v>
      </c>
      <c r="AI43" s="116">
        <f t="shared" si="11"/>
        <v>0</v>
      </c>
      <c r="AJ43" s="116">
        <f t="shared" si="12"/>
        <v>0</v>
      </c>
      <c r="AK43" s="117">
        <f t="shared" si="13"/>
        <v>0</v>
      </c>
      <c r="AL43" s="121">
        <f>Input!$C$11*QBs!D43+Input!$C$12*QBs!C43+Input!$C$13*QBs!E43+Input!$C$14*QBs!H43+Input!$C$15*QBs!Z43+Input!$C$16*QBs!AA43+Input!$C$17*QBs!AB43+Input!$C$18*QBs!AC43+Input!$C$19*QBs!AD43+Input!$C$20*QBs!AE43+Input!$C$21*QBs!F43+Input!$C$22*QBs!I43+Input!$C$23*QBs!J43+Input!$C$24*QBs!AF43+Input!$C$25*QBs!AG43+Input!$C$26*QBs!AH43+Input!$C$27*QBs!AI43+Input!$C$28*QBs!AJ43+Input!$C$29*QBs!AK43+Input!$C$30*QBs!K43+Input!$C$40*QBs!M43</f>
        <v>45.204074074074072</v>
      </c>
    </row>
    <row r="44" spans="1:38" x14ac:dyDescent="0.25">
      <c r="A44" s="93" t="s">
        <v>207</v>
      </c>
      <c r="B44" s="94" t="s">
        <v>144</v>
      </c>
      <c r="C44" s="36">
        <v>60</v>
      </c>
      <c r="D44" s="40">
        <v>100</v>
      </c>
      <c r="E44" s="37">
        <f>6.9*D44</f>
        <v>690</v>
      </c>
      <c r="F44" s="37">
        <v>0</v>
      </c>
      <c r="G44" s="37">
        <v>4</v>
      </c>
      <c r="H44" s="38">
        <v>3</v>
      </c>
      <c r="I44" s="45">
        <v>2</v>
      </c>
      <c r="J44" s="37">
        <f>2*I44</f>
        <v>4</v>
      </c>
      <c r="K44" s="37">
        <v>0</v>
      </c>
      <c r="L44" s="38">
        <v>0</v>
      </c>
      <c r="M44" s="37">
        <v>1</v>
      </c>
      <c r="N44" s="105">
        <v>0.35416666666666669</v>
      </c>
      <c r="O44" s="106">
        <v>0.22916666666666666</v>
      </c>
      <c r="P44" s="106">
        <v>0.1388888888888889</v>
      </c>
      <c r="Q44" s="106">
        <v>8.1018518518518517E-2</v>
      </c>
      <c r="R44" s="106">
        <v>7.1759259259259259E-2</v>
      </c>
      <c r="S44" s="107">
        <v>0.125</v>
      </c>
      <c r="T44" s="111">
        <v>0.9</v>
      </c>
      <c r="U44" s="90">
        <v>0.08</v>
      </c>
      <c r="V44" s="90">
        <v>1.4999999999999999E-2</v>
      </c>
      <c r="W44" s="90">
        <v>4.0000000000000001E-3</v>
      </c>
      <c r="X44" s="90">
        <v>1E-3</v>
      </c>
      <c r="Y44" s="112">
        <v>0</v>
      </c>
      <c r="Z44" s="115">
        <f t="shared" si="2"/>
        <v>1.4166666666666667</v>
      </c>
      <c r="AA44" s="116">
        <f t="shared" si="3"/>
        <v>0.91666666666666663</v>
      </c>
      <c r="AB44" s="116">
        <f t="shared" si="4"/>
        <v>0.55555555555555558</v>
      </c>
      <c r="AC44" s="116">
        <f t="shared" si="5"/>
        <v>0.32407407407407407</v>
      </c>
      <c r="AD44" s="116">
        <f t="shared" si="6"/>
        <v>0.28703703703703703</v>
      </c>
      <c r="AE44" s="117">
        <f t="shared" si="7"/>
        <v>0.5</v>
      </c>
      <c r="AF44" s="115">
        <f t="shared" si="8"/>
        <v>0</v>
      </c>
      <c r="AG44" s="116">
        <f t="shared" si="9"/>
        <v>0</v>
      </c>
      <c r="AH44" s="116">
        <f t="shared" si="10"/>
        <v>0</v>
      </c>
      <c r="AI44" s="116">
        <f t="shared" si="11"/>
        <v>0</v>
      </c>
      <c r="AJ44" s="116">
        <f t="shared" si="12"/>
        <v>0</v>
      </c>
      <c r="AK44" s="117">
        <f t="shared" si="13"/>
        <v>0</v>
      </c>
      <c r="AL44" s="121">
        <f>Input!$C$11*QBs!D44+Input!$C$12*QBs!C44+Input!$C$13*QBs!E44+Input!$C$14*QBs!H44+Input!$C$15*QBs!Z44+Input!$C$16*QBs!AA44+Input!$C$17*QBs!AB44+Input!$C$18*QBs!AC44+Input!$C$19*QBs!AD44+Input!$C$20*QBs!AE44+Input!$C$21*QBs!F44+Input!$C$22*QBs!I44+Input!$C$23*QBs!J44+Input!$C$24*QBs!AF44+Input!$C$25*QBs!AG44+Input!$C$26*QBs!AH44+Input!$C$27*QBs!AI44+Input!$C$28*QBs!AJ44+Input!$C$29*QBs!AK44+Input!$C$30*QBs!K44+Input!$C$40*QBs!M44</f>
        <v>52.548148148148144</v>
      </c>
    </row>
    <row r="45" spans="1:38" x14ac:dyDescent="0.25">
      <c r="A45" s="93" t="s">
        <v>208</v>
      </c>
      <c r="B45" s="94" t="s">
        <v>178</v>
      </c>
      <c r="C45" s="36">
        <v>45</v>
      </c>
      <c r="D45" s="40">
        <v>80</v>
      </c>
      <c r="E45" s="37">
        <f>6.2*D45</f>
        <v>496</v>
      </c>
      <c r="F45" s="37">
        <v>0</v>
      </c>
      <c r="G45" s="37">
        <v>1</v>
      </c>
      <c r="H45" s="38">
        <v>2</v>
      </c>
      <c r="I45" s="45">
        <v>14</v>
      </c>
      <c r="J45" s="37">
        <f>4.3*I45</f>
        <v>60.199999999999996</v>
      </c>
      <c r="K45" s="37">
        <v>0</v>
      </c>
      <c r="L45" s="38">
        <v>0</v>
      </c>
      <c r="M45" s="37">
        <v>1</v>
      </c>
      <c r="N45" s="105">
        <v>0.35416666666666669</v>
      </c>
      <c r="O45" s="106">
        <v>0.22916666666666666</v>
      </c>
      <c r="P45" s="106">
        <v>0.1388888888888889</v>
      </c>
      <c r="Q45" s="106">
        <v>8.1018518518518517E-2</v>
      </c>
      <c r="R45" s="106">
        <v>7.1759259259259259E-2</v>
      </c>
      <c r="S45" s="107">
        <v>0.125</v>
      </c>
      <c r="T45" s="111">
        <v>0.9</v>
      </c>
      <c r="U45" s="90">
        <v>0.08</v>
      </c>
      <c r="V45" s="90">
        <v>1.4999999999999999E-2</v>
      </c>
      <c r="W45" s="90">
        <v>4.0000000000000001E-3</v>
      </c>
      <c r="X45" s="90">
        <v>1E-3</v>
      </c>
      <c r="Y45" s="112">
        <v>0</v>
      </c>
      <c r="Z45" s="115">
        <f t="shared" si="2"/>
        <v>0.35416666666666669</v>
      </c>
      <c r="AA45" s="116">
        <f t="shared" si="3"/>
        <v>0.22916666666666666</v>
      </c>
      <c r="AB45" s="116">
        <f t="shared" si="4"/>
        <v>0.1388888888888889</v>
      </c>
      <c r="AC45" s="116">
        <f t="shared" si="5"/>
        <v>8.1018518518518517E-2</v>
      </c>
      <c r="AD45" s="116">
        <f t="shared" si="6"/>
        <v>7.1759259259259259E-2</v>
      </c>
      <c r="AE45" s="117">
        <f t="shared" si="7"/>
        <v>0.125</v>
      </c>
      <c r="AF45" s="115">
        <f t="shared" si="8"/>
        <v>0</v>
      </c>
      <c r="AG45" s="116">
        <f t="shared" si="9"/>
        <v>0</v>
      </c>
      <c r="AH45" s="116">
        <f t="shared" si="10"/>
        <v>0</v>
      </c>
      <c r="AI45" s="116">
        <f t="shared" si="11"/>
        <v>0</v>
      </c>
      <c r="AJ45" s="116">
        <f t="shared" si="12"/>
        <v>0</v>
      </c>
      <c r="AK45" s="117">
        <f t="shared" si="13"/>
        <v>0</v>
      </c>
      <c r="AL45" s="121">
        <f>Input!$C$11*QBs!D45+Input!$C$12*QBs!C45+Input!$C$13*QBs!E45+Input!$C$14*QBs!H45+Input!$C$15*QBs!Z45+Input!$C$16*QBs!AA45+Input!$C$17*QBs!AB45+Input!$C$18*QBs!AC45+Input!$C$19*QBs!AD45+Input!$C$20*QBs!AE45+Input!$C$21*QBs!F45+Input!$C$22*QBs!I45+Input!$C$23*QBs!J45+Input!$C$24*QBs!AF45+Input!$C$25*QBs!AG45+Input!$C$26*QBs!AH45+Input!$C$27*QBs!AI45+Input!$C$28*QBs!AJ45+Input!$C$29*QBs!AK45+Input!$C$30*QBs!K45+Input!$C$40*QBs!M45</f>
        <v>34.482037037037031</v>
      </c>
    </row>
    <row r="46" spans="1:38" x14ac:dyDescent="0.25">
      <c r="A46" s="93" t="s">
        <v>209</v>
      </c>
      <c r="B46" s="94" t="s">
        <v>180</v>
      </c>
      <c r="C46" s="36">
        <v>47</v>
      </c>
      <c r="D46" s="40">
        <v>90</v>
      </c>
      <c r="E46" s="37">
        <f>5.8*D46</f>
        <v>522</v>
      </c>
      <c r="F46" s="37">
        <v>0</v>
      </c>
      <c r="G46" s="37">
        <v>3</v>
      </c>
      <c r="H46" s="38">
        <v>4</v>
      </c>
      <c r="I46" s="45">
        <v>10</v>
      </c>
      <c r="J46" s="37">
        <f>3*I46</f>
        <v>30</v>
      </c>
      <c r="K46" s="37">
        <v>0</v>
      </c>
      <c r="L46" s="38">
        <v>0</v>
      </c>
      <c r="M46" s="37">
        <v>1</v>
      </c>
      <c r="N46" s="105">
        <v>0.35416666666666669</v>
      </c>
      <c r="O46" s="106">
        <v>0.22916666666666666</v>
      </c>
      <c r="P46" s="106">
        <v>0.1388888888888889</v>
      </c>
      <c r="Q46" s="106">
        <v>8.1018518518518517E-2</v>
      </c>
      <c r="R46" s="106">
        <v>7.1759259259259259E-2</v>
      </c>
      <c r="S46" s="107">
        <v>0.125</v>
      </c>
      <c r="T46" s="111">
        <v>0.9</v>
      </c>
      <c r="U46" s="90">
        <v>0.08</v>
      </c>
      <c r="V46" s="90">
        <v>1.4999999999999999E-2</v>
      </c>
      <c r="W46" s="90">
        <v>4.0000000000000001E-3</v>
      </c>
      <c r="X46" s="90">
        <v>1E-3</v>
      </c>
      <c r="Y46" s="112">
        <v>0</v>
      </c>
      <c r="Z46" s="115">
        <f t="shared" si="2"/>
        <v>1.0625</v>
      </c>
      <c r="AA46" s="116">
        <f t="shared" si="3"/>
        <v>0.6875</v>
      </c>
      <c r="AB46" s="116">
        <f t="shared" si="4"/>
        <v>0.41666666666666669</v>
      </c>
      <c r="AC46" s="116">
        <f t="shared" si="5"/>
        <v>0.24305555555555555</v>
      </c>
      <c r="AD46" s="116">
        <f t="shared" si="6"/>
        <v>0.21527777777777779</v>
      </c>
      <c r="AE46" s="117">
        <f t="shared" si="7"/>
        <v>0.375</v>
      </c>
      <c r="AF46" s="115">
        <f t="shared" si="8"/>
        <v>0</v>
      </c>
      <c r="AG46" s="116">
        <f t="shared" si="9"/>
        <v>0</v>
      </c>
      <c r="AH46" s="116">
        <f t="shared" si="10"/>
        <v>0</v>
      </c>
      <c r="AI46" s="116">
        <f t="shared" si="11"/>
        <v>0</v>
      </c>
      <c r="AJ46" s="116">
        <f t="shared" si="12"/>
        <v>0</v>
      </c>
      <c r="AK46" s="117">
        <f t="shared" si="13"/>
        <v>0</v>
      </c>
      <c r="AL46" s="121">
        <f>Input!$C$11*QBs!D46+Input!$C$12*QBs!C46+Input!$C$13*QBs!E46+Input!$C$14*QBs!H46+Input!$C$15*QBs!Z46+Input!$C$16*QBs!AA46+Input!$C$17*QBs!AB46+Input!$C$18*QBs!AC46+Input!$C$19*QBs!AD46+Input!$C$20*QBs!AE46+Input!$C$21*QBs!F46+Input!$C$22*QBs!I46+Input!$C$23*QBs!J46+Input!$C$24*QBs!AF46+Input!$C$25*QBs!AG46+Input!$C$26*QBs!AH46+Input!$C$27*QBs!AI46+Input!$C$28*QBs!AJ46+Input!$C$29*QBs!AK46+Input!$C$30*QBs!K46+Input!$C$40*QBs!M46</f>
        <v>42.086111111111116</v>
      </c>
    </row>
    <row r="47" spans="1:38" x14ac:dyDescent="0.25">
      <c r="A47" s="93" t="s">
        <v>210</v>
      </c>
      <c r="B47" s="94" t="s">
        <v>162</v>
      </c>
      <c r="C47" s="36">
        <v>24</v>
      </c>
      <c r="D47" s="40">
        <v>45</v>
      </c>
      <c r="E47" s="37">
        <f>6.6*D47</f>
        <v>297</v>
      </c>
      <c r="F47" s="37">
        <v>0</v>
      </c>
      <c r="G47" s="37">
        <v>3</v>
      </c>
      <c r="H47" s="38">
        <v>4</v>
      </c>
      <c r="I47" s="45">
        <v>4</v>
      </c>
      <c r="J47" s="37">
        <f>2*I47</f>
        <v>8</v>
      </c>
      <c r="K47" s="37">
        <v>0</v>
      </c>
      <c r="L47" s="38">
        <v>0</v>
      </c>
      <c r="M47" s="37">
        <v>1</v>
      </c>
      <c r="N47" s="105">
        <v>0.35416666666666669</v>
      </c>
      <c r="O47" s="106">
        <v>0.22916666666666666</v>
      </c>
      <c r="P47" s="106">
        <v>0.1388888888888889</v>
      </c>
      <c r="Q47" s="106">
        <v>8.1018518518518517E-2</v>
      </c>
      <c r="R47" s="106">
        <v>7.1759259259259259E-2</v>
      </c>
      <c r="S47" s="107">
        <v>0.125</v>
      </c>
      <c r="T47" s="111">
        <v>0.9</v>
      </c>
      <c r="U47" s="90">
        <v>0.08</v>
      </c>
      <c r="V47" s="90">
        <v>1.4999999999999999E-2</v>
      </c>
      <c r="W47" s="90">
        <v>4.0000000000000001E-3</v>
      </c>
      <c r="X47" s="90">
        <v>1E-3</v>
      </c>
      <c r="Y47" s="112">
        <v>0</v>
      </c>
      <c r="Z47" s="115">
        <f t="shared" si="2"/>
        <v>1.0625</v>
      </c>
      <c r="AA47" s="116">
        <f t="shared" si="3"/>
        <v>0.6875</v>
      </c>
      <c r="AB47" s="116">
        <f t="shared" si="4"/>
        <v>0.41666666666666669</v>
      </c>
      <c r="AC47" s="116">
        <f t="shared" si="5"/>
        <v>0.24305555555555555</v>
      </c>
      <c r="AD47" s="116">
        <f t="shared" si="6"/>
        <v>0.21527777777777779</v>
      </c>
      <c r="AE47" s="117">
        <f t="shared" si="7"/>
        <v>0.375</v>
      </c>
      <c r="AF47" s="115">
        <f t="shared" si="8"/>
        <v>0</v>
      </c>
      <c r="AG47" s="116">
        <f t="shared" si="9"/>
        <v>0</v>
      </c>
      <c r="AH47" s="116">
        <f t="shared" si="10"/>
        <v>0</v>
      </c>
      <c r="AI47" s="116">
        <f t="shared" si="11"/>
        <v>0</v>
      </c>
      <c r="AJ47" s="116">
        <f t="shared" si="12"/>
        <v>0</v>
      </c>
      <c r="AK47" s="117">
        <f t="shared" si="13"/>
        <v>0</v>
      </c>
      <c r="AL47" s="121">
        <f>Input!$C$11*QBs!D47+Input!$C$12*QBs!C47+Input!$C$13*QBs!E47+Input!$C$14*QBs!H47+Input!$C$15*QBs!Z47+Input!$C$16*QBs!AA47+Input!$C$17*QBs!AB47+Input!$C$18*QBs!AC47+Input!$C$19*QBs!AD47+Input!$C$20*QBs!AE47+Input!$C$21*QBs!F47+Input!$C$22*QBs!I47+Input!$C$23*QBs!J47+Input!$C$24*QBs!AF47+Input!$C$25*QBs!AG47+Input!$C$26*QBs!AH47+Input!$C$27*QBs!AI47+Input!$C$28*QBs!AJ47+Input!$C$29*QBs!AK47+Input!$C$30*QBs!K47+Input!$C$40*QBs!M47</f>
        <v>28.636111111111109</v>
      </c>
    </row>
    <row r="48" spans="1:38" x14ac:dyDescent="0.25">
      <c r="A48" s="93" t="s">
        <v>211</v>
      </c>
      <c r="B48" s="94" t="s">
        <v>156</v>
      </c>
      <c r="C48" s="36">
        <v>40</v>
      </c>
      <c r="D48" s="40">
        <v>75</v>
      </c>
      <c r="E48" s="37">
        <f>5.5*D48</f>
        <v>412.5</v>
      </c>
      <c r="F48" s="37">
        <v>0</v>
      </c>
      <c r="G48" s="37">
        <v>2</v>
      </c>
      <c r="H48" s="38">
        <v>2</v>
      </c>
      <c r="I48" s="45">
        <v>10</v>
      </c>
      <c r="J48" s="37">
        <f>3*I48</f>
        <v>30</v>
      </c>
      <c r="K48" s="37">
        <v>0</v>
      </c>
      <c r="L48" s="38">
        <v>0</v>
      </c>
      <c r="M48" s="37">
        <v>1</v>
      </c>
      <c r="N48" s="105">
        <v>0.35416666666666669</v>
      </c>
      <c r="O48" s="106">
        <v>0.22916666666666666</v>
      </c>
      <c r="P48" s="106">
        <v>0.1388888888888889</v>
      </c>
      <c r="Q48" s="106">
        <v>8.1018518518518517E-2</v>
      </c>
      <c r="R48" s="106">
        <v>7.1759259259259259E-2</v>
      </c>
      <c r="S48" s="107">
        <v>0.125</v>
      </c>
      <c r="T48" s="111">
        <v>0.9</v>
      </c>
      <c r="U48" s="90">
        <v>0.08</v>
      </c>
      <c r="V48" s="90">
        <v>1.4999999999999999E-2</v>
      </c>
      <c r="W48" s="90">
        <v>4.0000000000000001E-3</v>
      </c>
      <c r="X48" s="90">
        <v>1E-3</v>
      </c>
      <c r="Y48" s="112">
        <v>0</v>
      </c>
      <c r="Z48" s="115">
        <f t="shared" si="2"/>
        <v>0.70833333333333337</v>
      </c>
      <c r="AA48" s="116">
        <f t="shared" si="3"/>
        <v>0.45833333333333331</v>
      </c>
      <c r="AB48" s="116">
        <f t="shared" si="4"/>
        <v>0.27777777777777779</v>
      </c>
      <c r="AC48" s="116">
        <f t="shared" si="5"/>
        <v>0.16203703703703703</v>
      </c>
      <c r="AD48" s="116">
        <f t="shared" si="6"/>
        <v>0.14351851851851852</v>
      </c>
      <c r="AE48" s="117">
        <f t="shared" si="7"/>
        <v>0.25</v>
      </c>
      <c r="AF48" s="115">
        <f t="shared" si="8"/>
        <v>0</v>
      </c>
      <c r="AG48" s="116">
        <f t="shared" si="9"/>
        <v>0</v>
      </c>
      <c r="AH48" s="116">
        <f t="shared" si="10"/>
        <v>0</v>
      </c>
      <c r="AI48" s="116">
        <f t="shared" si="11"/>
        <v>0</v>
      </c>
      <c r="AJ48" s="116">
        <f t="shared" si="12"/>
        <v>0</v>
      </c>
      <c r="AK48" s="117">
        <f t="shared" si="13"/>
        <v>0</v>
      </c>
      <c r="AL48" s="121">
        <f>Input!$C$11*QBs!D48+Input!$C$12*QBs!C48+Input!$C$13*QBs!E48+Input!$C$14*QBs!H48+Input!$C$15*QBs!Z48+Input!$C$16*QBs!AA48+Input!$C$17*QBs!AB48+Input!$C$18*QBs!AC48+Input!$C$19*QBs!AD48+Input!$C$20*QBs!AE48+Input!$C$21*QBs!F48+Input!$C$22*QBs!I48+Input!$C$23*QBs!J48+Input!$C$24*QBs!AF48+Input!$C$25*QBs!AG48+Input!$C$26*QBs!AH48+Input!$C$27*QBs!AI48+Input!$C$28*QBs!AJ48+Input!$C$29*QBs!AK48+Input!$C$30*QBs!K48+Input!$C$40*QBs!M48</f>
        <v>31.949074074074076</v>
      </c>
    </row>
    <row r="49" spans="1:38" x14ac:dyDescent="0.25">
      <c r="A49" s="93" t="s">
        <v>212</v>
      </c>
      <c r="B49" s="94" t="s">
        <v>168</v>
      </c>
      <c r="C49" s="36">
        <v>23</v>
      </c>
      <c r="D49" s="40">
        <v>40</v>
      </c>
      <c r="E49" s="37">
        <f>6.9*D49</f>
        <v>276</v>
      </c>
      <c r="F49" s="37">
        <v>0</v>
      </c>
      <c r="G49" s="37">
        <v>2</v>
      </c>
      <c r="H49" s="38">
        <v>1</v>
      </c>
      <c r="I49" s="45">
        <v>8</v>
      </c>
      <c r="J49" s="37">
        <f>5.2*I49</f>
        <v>41.6</v>
      </c>
      <c r="K49" s="37">
        <v>0</v>
      </c>
      <c r="L49" s="38">
        <v>0</v>
      </c>
      <c r="M49" s="37">
        <v>0</v>
      </c>
      <c r="N49" s="105">
        <v>0.35416666666666669</v>
      </c>
      <c r="O49" s="106">
        <v>0.22916666666666666</v>
      </c>
      <c r="P49" s="106">
        <v>0.1388888888888889</v>
      </c>
      <c r="Q49" s="106">
        <v>8.1018518518518517E-2</v>
      </c>
      <c r="R49" s="106">
        <v>7.1759259259259259E-2</v>
      </c>
      <c r="S49" s="107">
        <v>0.125</v>
      </c>
      <c r="T49" s="111">
        <v>0.9</v>
      </c>
      <c r="U49" s="90">
        <v>0.08</v>
      </c>
      <c r="V49" s="90">
        <v>1.4999999999999999E-2</v>
      </c>
      <c r="W49" s="90">
        <v>4.0000000000000001E-3</v>
      </c>
      <c r="X49" s="90">
        <v>1E-3</v>
      </c>
      <c r="Y49" s="112">
        <v>0</v>
      </c>
      <c r="Z49" s="115">
        <f t="shared" si="2"/>
        <v>0.70833333333333337</v>
      </c>
      <c r="AA49" s="116">
        <f t="shared" si="3"/>
        <v>0.45833333333333331</v>
      </c>
      <c r="AB49" s="116">
        <f t="shared" si="4"/>
        <v>0.27777777777777779</v>
      </c>
      <c r="AC49" s="116">
        <f t="shared" si="5"/>
        <v>0.16203703703703703</v>
      </c>
      <c r="AD49" s="116">
        <f t="shared" si="6"/>
        <v>0.14351851851851852</v>
      </c>
      <c r="AE49" s="117">
        <f t="shared" si="7"/>
        <v>0.25</v>
      </c>
      <c r="AF49" s="115">
        <f t="shared" si="8"/>
        <v>0</v>
      </c>
      <c r="AG49" s="116">
        <f t="shared" si="9"/>
        <v>0</v>
      </c>
      <c r="AH49" s="116">
        <f t="shared" si="10"/>
        <v>0</v>
      </c>
      <c r="AI49" s="116">
        <f t="shared" si="11"/>
        <v>0</v>
      </c>
      <c r="AJ49" s="116">
        <f t="shared" si="12"/>
        <v>0</v>
      </c>
      <c r="AK49" s="117">
        <f t="shared" si="13"/>
        <v>0</v>
      </c>
      <c r="AL49" s="121">
        <f>Input!$C$11*QBs!D49+Input!$C$12*QBs!C49+Input!$C$13*QBs!E49+Input!$C$14*QBs!H49+Input!$C$15*QBs!Z49+Input!$C$16*QBs!AA49+Input!$C$17*QBs!AB49+Input!$C$18*QBs!AC49+Input!$C$19*QBs!AD49+Input!$C$20*QBs!AE49+Input!$C$21*QBs!F49+Input!$C$22*QBs!I49+Input!$C$23*QBs!J49+Input!$C$24*QBs!AF49+Input!$C$25*QBs!AG49+Input!$C$26*QBs!AH49+Input!$C$27*QBs!AI49+Input!$C$28*QBs!AJ49+Input!$C$29*QBs!AK49+Input!$C$30*QBs!K49+Input!$C$40*QBs!M49</f>
        <v>27.284074074074073</v>
      </c>
    </row>
    <row r="50" spans="1:38" x14ac:dyDescent="0.25">
      <c r="A50" s="93" t="s">
        <v>213</v>
      </c>
      <c r="B50" s="94" t="s">
        <v>154</v>
      </c>
      <c r="C50" s="36">
        <v>22</v>
      </c>
      <c r="D50" s="40">
        <v>40</v>
      </c>
      <c r="E50" s="37">
        <f>6.1*D50</f>
        <v>244</v>
      </c>
      <c r="F50" s="37">
        <v>0</v>
      </c>
      <c r="G50" s="37">
        <v>2</v>
      </c>
      <c r="H50" s="38">
        <v>1</v>
      </c>
      <c r="I50" s="45">
        <v>8</v>
      </c>
      <c r="J50" s="37">
        <f>7*I50</f>
        <v>56</v>
      </c>
      <c r="K50" s="37">
        <v>0</v>
      </c>
      <c r="L50" s="38">
        <v>0</v>
      </c>
      <c r="M50" s="37">
        <v>0</v>
      </c>
      <c r="N50" s="105">
        <v>0.35416666666666669</v>
      </c>
      <c r="O50" s="106">
        <v>0.22916666666666666</v>
      </c>
      <c r="P50" s="106">
        <v>0.1388888888888889</v>
      </c>
      <c r="Q50" s="106">
        <v>8.1018518518518517E-2</v>
      </c>
      <c r="R50" s="106">
        <v>7.1759259259259259E-2</v>
      </c>
      <c r="S50" s="107">
        <v>0.125</v>
      </c>
      <c r="T50" s="111">
        <v>0.9</v>
      </c>
      <c r="U50" s="90">
        <v>0.08</v>
      </c>
      <c r="V50" s="90">
        <v>1.4999999999999999E-2</v>
      </c>
      <c r="W50" s="90">
        <v>4.0000000000000001E-3</v>
      </c>
      <c r="X50" s="90">
        <v>1E-3</v>
      </c>
      <c r="Y50" s="112">
        <v>0</v>
      </c>
      <c r="Z50" s="115">
        <f t="shared" si="2"/>
        <v>0.70833333333333337</v>
      </c>
      <c r="AA50" s="116">
        <f t="shared" si="3"/>
        <v>0.45833333333333331</v>
      </c>
      <c r="AB50" s="116">
        <f t="shared" si="4"/>
        <v>0.27777777777777779</v>
      </c>
      <c r="AC50" s="116">
        <f t="shared" si="5"/>
        <v>0.16203703703703703</v>
      </c>
      <c r="AD50" s="116">
        <f t="shared" si="6"/>
        <v>0.14351851851851852</v>
      </c>
      <c r="AE50" s="117">
        <f t="shared" si="7"/>
        <v>0.25</v>
      </c>
      <c r="AF50" s="115">
        <f t="shared" si="8"/>
        <v>0</v>
      </c>
      <c r="AG50" s="116">
        <f t="shared" si="9"/>
        <v>0</v>
      </c>
      <c r="AH50" s="116">
        <f t="shared" si="10"/>
        <v>0</v>
      </c>
      <c r="AI50" s="116">
        <f t="shared" si="11"/>
        <v>0</v>
      </c>
      <c r="AJ50" s="116">
        <f t="shared" si="12"/>
        <v>0</v>
      </c>
      <c r="AK50" s="117">
        <f t="shared" si="13"/>
        <v>0</v>
      </c>
      <c r="AL50" s="121">
        <f>Input!$C$11*QBs!D50+Input!$C$12*QBs!C50+Input!$C$13*QBs!E50+Input!$C$14*QBs!H50+Input!$C$15*QBs!Z50+Input!$C$16*QBs!AA50+Input!$C$17*QBs!AB50+Input!$C$18*QBs!AC50+Input!$C$19*QBs!AD50+Input!$C$20*QBs!AE50+Input!$C$21*QBs!F50+Input!$C$22*QBs!I50+Input!$C$23*QBs!J50+Input!$C$24*QBs!AF50+Input!$C$25*QBs!AG50+Input!$C$26*QBs!AH50+Input!$C$27*QBs!AI50+Input!$C$28*QBs!AJ50+Input!$C$29*QBs!AK50+Input!$C$30*QBs!K50+Input!$C$40*QBs!M50</f>
        <v>27.124074074074077</v>
      </c>
    </row>
    <row r="51" spans="1:38" x14ac:dyDescent="0.25">
      <c r="A51" s="93" t="s">
        <v>214</v>
      </c>
      <c r="B51" s="94" t="s">
        <v>172</v>
      </c>
      <c r="C51" s="36">
        <v>32</v>
      </c>
      <c r="D51" s="40">
        <v>55</v>
      </c>
      <c r="E51" s="37">
        <f>6.37*D51</f>
        <v>350.35</v>
      </c>
      <c r="F51" s="37">
        <v>0</v>
      </c>
      <c r="G51" s="37">
        <v>1</v>
      </c>
      <c r="H51" s="38">
        <v>1</v>
      </c>
      <c r="I51" s="45">
        <v>3</v>
      </c>
      <c r="J51" s="37">
        <f>3.2*I51</f>
        <v>9.6000000000000014</v>
      </c>
      <c r="K51" s="37">
        <v>0</v>
      </c>
      <c r="L51" s="38">
        <v>0</v>
      </c>
      <c r="M51" s="37">
        <v>0</v>
      </c>
      <c r="N51" s="105">
        <v>0.35416666666666669</v>
      </c>
      <c r="O51" s="106">
        <v>0.22916666666666666</v>
      </c>
      <c r="P51" s="106">
        <v>0.1388888888888889</v>
      </c>
      <c r="Q51" s="106">
        <v>8.1018518518518517E-2</v>
      </c>
      <c r="R51" s="106">
        <v>7.1759259259259259E-2</v>
      </c>
      <c r="S51" s="107">
        <v>0.125</v>
      </c>
      <c r="T51" s="111">
        <v>0.9</v>
      </c>
      <c r="U51" s="90">
        <v>0.08</v>
      </c>
      <c r="V51" s="90">
        <v>1.4999999999999999E-2</v>
      </c>
      <c r="W51" s="90">
        <v>4.0000000000000001E-3</v>
      </c>
      <c r="X51" s="90">
        <v>1E-3</v>
      </c>
      <c r="Y51" s="112">
        <v>0</v>
      </c>
      <c r="Z51" s="115">
        <f t="shared" si="2"/>
        <v>0.35416666666666669</v>
      </c>
      <c r="AA51" s="116">
        <f t="shared" si="3"/>
        <v>0.22916666666666666</v>
      </c>
      <c r="AB51" s="116">
        <f t="shared" si="4"/>
        <v>0.1388888888888889</v>
      </c>
      <c r="AC51" s="116">
        <f t="shared" si="5"/>
        <v>8.1018518518518517E-2</v>
      </c>
      <c r="AD51" s="116">
        <f t="shared" si="6"/>
        <v>7.1759259259259259E-2</v>
      </c>
      <c r="AE51" s="117">
        <f t="shared" si="7"/>
        <v>0.125</v>
      </c>
      <c r="AF51" s="115">
        <f t="shared" si="8"/>
        <v>0</v>
      </c>
      <c r="AG51" s="116">
        <f t="shared" si="9"/>
        <v>0</v>
      </c>
      <c r="AH51" s="116">
        <f t="shared" si="10"/>
        <v>0</v>
      </c>
      <c r="AI51" s="116">
        <f t="shared" si="11"/>
        <v>0</v>
      </c>
      <c r="AJ51" s="116">
        <f t="shared" si="12"/>
        <v>0</v>
      </c>
      <c r="AK51" s="117">
        <f t="shared" si="13"/>
        <v>0</v>
      </c>
      <c r="AL51" s="121">
        <f>Input!$C$11*QBs!D51+Input!$C$12*QBs!C51+Input!$C$13*QBs!E51+Input!$C$14*QBs!H51+Input!$C$15*QBs!Z51+Input!$C$16*QBs!AA51+Input!$C$17*QBs!AB51+Input!$C$18*QBs!AC51+Input!$C$19*QBs!AD51+Input!$C$20*QBs!AE51+Input!$C$21*QBs!F51+Input!$C$22*QBs!I51+Input!$C$23*QBs!J51+Input!$C$24*QBs!AF51+Input!$C$25*QBs!AG51+Input!$C$26*QBs!AH51+Input!$C$27*QBs!AI51+Input!$C$28*QBs!AJ51+Input!$C$29*QBs!AK51+Input!$C$30*QBs!K51+Input!$C$40*QBs!M51</f>
        <v>23.139537037037037</v>
      </c>
    </row>
    <row r="52" spans="1:38" x14ac:dyDescent="0.25">
      <c r="A52" s="93" t="s">
        <v>215</v>
      </c>
      <c r="B52" s="94" t="s">
        <v>142</v>
      </c>
      <c r="C52" s="36">
        <v>23</v>
      </c>
      <c r="D52" s="40">
        <v>40</v>
      </c>
      <c r="E52" s="37">
        <f>6.6*D52</f>
        <v>264</v>
      </c>
      <c r="F52" s="37">
        <v>0</v>
      </c>
      <c r="G52" s="37">
        <v>2</v>
      </c>
      <c r="H52" s="38">
        <v>1</v>
      </c>
      <c r="I52" s="45">
        <v>2</v>
      </c>
      <c r="J52" s="37">
        <f>2.2*I52</f>
        <v>4.4000000000000004</v>
      </c>
      <c r="K52" s="37">
        <v>0</v>
      </c>
      <c r="L52" s="38">
        <v>0</v>
      </c>
      <c r="M52" s="37">
        <v>0</v>
      </c>
      <c r="N52" s="105">
        <v>0.35416666666666669</v>
      </c>
      <c r="O52" s="106">
        <v>0.22916666666666666</v>
      </c>
      <c r="P52" s="106">
        <v>0.1388888888888889</v>
      </c>
      <c r="Q52" s="106">
        <v>8.1018518518518517E-2</v>
      </c>
      <c r="R52" s="106">
        <v>7.1759259259259259E-2</v>
      </c>
      <c r="S52" s="107">
        <v>0.125</v>
      </c>
      <c r="T52" s="111">
        <v>0.9</v>
      </c>
      <c r="U52" s="90">
        <v>0.08</v>
      </c>
      <c r="V52" s="90">
        <v>1.4999999999999999E-2</v>
      </c>
      <c r="W52" s="90">
        <v>4.0000000000000001E-3</v>
      </c>
      <c r="X52" s="90">
        <v>1E-3</v>
      </c>
      <c r="Y52" s="112">
        <v>0</v>
      </c>
      <c r="Z52" s="115">
        <f t="shared" si="2"/>
        <v>0.70833333333333337</v>
      </c>
      <c r="AA52" s="116">
        <f t="shared" si="3"/>
        <v>0.45833333333333331</v>
      </c>
      <c r="AB52" s="116">
        <f t="shared" si="4"/>
        <v>0.27777777777777779</v>
      </c>
      <c r="AC52" s="116">
        <f t="shared" si="5"/>
        <v>0.16203703703703703</v>
      </c>
      <c r="AD52" s="116">
        <f t="shared" si="6"/>
        <v>0.14351851851851852</v>
      </c>
      <c r="AE52" s="117">
        <f t="shared" si="7"/>
        <v>0.25</v>
      </c>
      <c r="AF52" s="115">
        <f t="shared" si="8"/>
        <v>0</v>
      </c>
      <c r="AG52" s="116">
        <f t="shared" si="9"/>
        <v>0</v>
      </c>
      <c r="AH52" s="116">
        <f t="shared" si="10"/>
        <v>0</v>
      </c>
      <c r="AI52" s="116">
        <f t="shared" si="11"/>
        <v>0</v>
      </c>
      <c r="AJ52" s="116">
        <f t="shared" si="12"/>
        <v>0</v>
      </c>
      <c r="AK52" s="117">
        <f t="shared" si="13"/>
        <v>0</v>
      </c>
      <c r="AL52" s="121">
        <f>Input!$C$11*QBs!D52+Input!$C$12*QBs!C52+Input!$C$13*QBs!E52+Input!$C$14*QBs!H52+Input!$C$15*QBs!Z52+Input!$C$16*QBs!AA52+Input!$C$17*QBs!AB52+Input!$C$18*QBs!AC52+Input!$C$19*QBs!AD52+Input!$C$20*QBs!AE52+Input!$C$21*QBs!F52+Input!$C$22*QBs!I52+Input!$C$23*QBs!J52+Input!$C$24*QBs!AF52+Input!$C$25*QBs!AG52+Input!$C$26*QBs!AH52+Input!$C$27*QBs!AI52+Input!$C$28*QBs!AJ52+Input!$C$29*QBs!AK52+Input!$C$30*QBs!K52+Input!$C$40*QBs!M52</f>
        <v>22.964074074074077</v>
      </c>
    </row>
    <row r="53" spans="1:38" x14ac:dyDescent="0.25">
      <c r="A53" s="93" t="s">
        <v>216</v>
      </c>
      <c r="B53" s="94" t="s">
        <v>166</v>
      </c>
      <c r="C53" s="36">
        <v>24</v>
      </c>
      <c r="D53" s="40">
        <v>40</v>
      </c>
      <c r="E53" s="37">
        <f>6.4*D53</f>
        <v>256</v>
      </c>
      <c r="F53" s="37">
        <v>0</v>
      </c>
      <c r="G53" s="37">
        <v>2</v>
      </c>
      <c r="H53" s="38">
        <v>3</v>
      </c>
      <c r="I53" s="45">
        <v>5</v>
      </c>
      <c r="J53" s="37">
        <f>0.8*I53</f>
        <v>4</v>
      </c>
      <c r="K53" s="37">
        <v>0</v>
      </c>
      <c r="L53" s="38">
        <v>0</v>
      </c>
      <c r="M53" s="37">
        <v>0</v>
      </c>
      <c r="N53" s="105">
        <v>0.35416666666666669</v>
      </c>
      <c r="O53" s="106">
        <v>0.22916666666666666</v>
      </c>
      <c r="P53" s="106">
        <v>0.1388888888888889</v>
      </c>
      <c r="Q53" s="106">
        <v>8.1018518518518517E-2</v>
      </c>
      <c r="R53" s="106">
        <v>7.1759259259259259E-2</v>
      </c>
      <c r="S53" s="107">
        <v>0.125</v>
      </c>
      <c r="T53" s="111">
        <v>0.9</v>
      </c>
      <c r="U53" s="90">
        <v>0.08</v>
      </c>
      <c r="V53" s="90">
        <v>1.4999999999999999E-2</v>
      </c>
      <c r="W53" s="90">
        <v>4.0000000000000001E-3</v>
      </c>
      <c r="X53" s="90">
        <v>1E-3</v>
      </c>
      <c r="Y53" s="112">
        <v>0</v>
      </c>
      <c r="Z53" s="115">
        <f t="shared" si="2"/>
        <v>0.70833333333333337</v>
      </c>
      <c r="AA53" s="116">
        <f t="shared" si="3"/>
        <v>0.45833333333333331</v>
      </c>
      <c r="AB53" s="116">
        <f t="shared" si="4"/>
        <v>0.27777777777777779</v>
      </c>
      <c r="AC53" s="116">
        <f t="shared" si="5"/>
        <v>0.16203703703703703</v>
      </c>
      <c r="AD53" s="116">
        <f t="shared" si="6"/>
        <v>0.14351851851851852</v>
      </c>
      <c r="AE53" s="117">
        <f t="shared" si="7"/>
        <v>0.25</v>
      </c>
      <c r="AF53" s="115">
        <f t="shared" si="8"/>
        <v>0</v>
      </c>
      <c r="AG53" s="116">
        <f t="shared" si="9"/>
        <v>0</v>
      </c>
      <c r="AH53" s="116">
        <f t="shared" si="10"/>
        <v>0</v>
      </c>
      <c r="AI53" s="116">
        <f t="shared" si="11"/>
        <v>0</v>
      </c>
      <c r="AJ53" s="116">
        <f t="shared" si="12"/>
        <v>0</v>
      </c>
      <c r="AK53" s="117">
        <f t="shared" si="13"/>
        <v>0</v>
      </c>
      <c r="AL53" s="121">
        <f>Input!$C$11*QBs!D53+Input!$C$12*QBs!C53+Input!$C$13*QBs!E53+Input!$C$14*QBs!H53+Input!$C$15*QBs!Z53+Input!$C$16*QBs!AA53+Input!$C$17*QBs!AB53+Input!$C$18*QBs!AC53+Input!$C$19*QBs!AD53+Input!$C$20*QBs!AE53+Input!$C$21*QBs!F53+Input!$C$22*QBs!I53+Input!$C$23*QBs!J53+Input!$C$24*QBs!AF53+Input!$C$25*QBs!AG53+Input!$C$26*QBs!AH53+Input!$C$27*QBs!AI53+Input!$C$28*QBs!AJ53+Input!$C$29*QBs!AK53+Input!$C$30*QBs!K53+Input!$C$40*QBs!M53</f>
        <v>22.524074074074072</v>
      </c>
    </row>
    <row r="54" spans="1:38" x14ac:dyDescent="0.25">
      <c r="A54" s="93" t="s">
        <v>217</v>
      </c>
      <c r="B54" s="94" t="s">
        <v>150</v>
      </c>
      <c r="C54" s="36">
        <v>23</v>
      </c>
      <c r="D54" s="40">
        <v>40</v>
      </c>
      <c r="E54" s="37">
        <f>7.1*D54</f>
        <v>284</v>
      </c>
      <c r="F54" s="37">
        <v>0</v>
      </c>
      <c r="G54" s="37">
        <v>2</v>
      </c>
      <c r="H54" s="38">
        <v>1</v>
      </c>
      <c r="I54" s="45">
        <v>3</v>
      </c>
      <c r="J54" s="37">
        <f>2*I54</f>
        <v>6</v>
      </c>
      <c r="K54" s="37">
        <v>0</v>
      </c>
      <c r="L54" s="38">
        <v>0</v>
      </c>
      <c r="M54" s="37">
        <v>0</v>
      </c>
      <c r="N54" s="105">
        <v>0.35416666666666669</v>
      </c>
      <c r="O54" s="106">
        <v>0.22916666666666666</v>
      </c>
      <c r="P54" s="106">
        <v>0.1388888888888889</v>
      </c>
      <c r="Q54" s="106">
        <v>8.1018518518518517E-2</v>
      </c>
      <c r="R54" s="106">
        <v>7.1759259259259259E-2</v>
      </c>
      <c r="S54" s="107">
        <v>0.125</v>
      </c>
      <c r="T54" s="111">
        <v>0.9</v>
      </c>
      <c r="U54" s="90">
        <v>0.08</v>
      </c>
      <c r="V54" s="90">
        <v>1.4999999999999999E-2</v>
      </c>
      <c r="W54" s="90">
        <v>4.0000000000000001E-3</v>
      </c>
      <c r="X54" s="90">
        <v>1E-3</v>
      </c>
      <c r="Y54" s="112">
        <v>0</v>
      </c>
      <c r="Z54" s="115">
        <f t="shared" si="2"/>
        <v>0.70833333333333337</v>
      </c>
      <c r="AA54" s="116">
        <f t="shared" si="3"/>
        <v>0.45833333333333331</v>
      </c>
      <c r="AB54" s="116">
        <f t="shared" si="4"/>
        <v>0.27777777777777779</v>
      </c>
      <c r="AC54" s="116">
        <f t="shared" si="5"/>
        <v>0.16203703703703703</v>
      </c>
      <c r="AD54" s="116">
        <f t="shared" si="6"/>
        <v>0.14351851851851852</v>
      </c>
      <c r="AE54" s="117">
        <f t="shared" si="7"/>
        <v>0.25</v>
      </c>
      <c r="AF54" s="115">
        <f t="shared" si="8"/>
        <v>0</v>
      </c>
      <c r="AG54" s="116">
        <f t="shared" si="9"/>
        <v>0</v>
      </c>
      <c r="AH54" s="116">
        <f t="shared" si="10"/>
        <v>0</v>
      </c>
      <c r="AI54" s="116">
        <f t="shared" si="11"/>
        <v>0</v>
      </c>
      <c r="AJ54" s="116">
        <f t="shared" si="12"/>
        <v>0</v>
      </c>
      <c r="AK54" s="117">
        <f t="shared" si="13"/>
        <v>0</v>
      </c>
      <c r="AL54" s="121">
        <f>Input!$C$11*QBs!D54+Input!$C$12*QBs!C54+Input!$C$13*QBs!E54+Input!$C$14*QBs!H54+Input!$C$15*QBs!Z54+Input!$C$16*QBs!AA54+Input!$C$17*QBs!AB54+Input!$C$18*QBs!AC54+Input!$C$19*QBs!AD54+Input!$C$20*QBs!AE54+Input!$C$21*QBs!F54+Input!$C$22*QBs!I54+Input!$C$23*QBs!J54+Input!$C$24*QBs!AF54+Input!$C$25*QBs!AG54+Input!$C$26*QBs!AH54+Input!$C$27*QBs!AI54+Input!$C$28*QBs!AJ54+Input!$C$29*QBs!AK54+Input!$C$30*QBs!K54+Input!$C$40*QBs!M54</f>
        <v>24.124074074074077</v>
      </c>
    </row>
    <row r="55" spans="1:38" x14ac:dyDescent="0.25">
      <c r="A55" s="93" t="s">
        <v>218</v>
      </c>
      <c r="B55" s="94" t="s">
        <v>152</v>
      </c>
      <c r="C55" s="36">
        <v>20</v>
      </c>
      <c r="D55" s="40">
        <v>40</v>
      </c>
      <c r="E55" s="37">
        <f>6.8*D55</f>
        <v>272</v>
      </c>
      <c r="F55" s="37">
        <v>0</v>
      </c>
      <c r="G55" s="37">
        <v>1</v>
      </c>
      <c r="H55" s="38">
        <v>2</v>
      </c>
      <c r="I55" s="45">
        <v>3</v>
      </c>
      <c r="J55" s="37">
        <f>3.2*I55</f>
        <v>9.6000000000000014</v>
      </c>
      <c r="K55" s="37">
        <v>0</v>
      </c>
      <c r="L55" s="38">
        <v>0</v>
      </c>
      <c r="M55" s="37">
        <v>0</v>
      </c>
      <c r="N55" s="105">
        <v>0.35416666666666669</v>
      </c>
      <c r="O55" s="106">
        <v>0.22916666666666666</v>
      </c>
      <c r="P55" s="106">
        <v>0.1388888888888889</v>
      </c>
      <c r="Q55" s="106">
        <v>8.1018518518518517E-2</v>
      </c>
      <c r="R55" s="106">
        <v>7.1759259259259259E-2</v>
      </c>
      <c r="S55" s="107">
        <v>0.125</v>
      </c>
      <c r="T55" s="111">
        <v>0.9</v>
      </c>
      <c r="U55" s="90">
        <v>0.08</v>
      </c>
      <c r="V55" s="90">
        <v>1.4999999999999999E-2</v>
      </c>
      <c r="W55" s="90">
        <v>4.0000000000000001E-3</v>
      </c>
      <c r="X55" s="90">
        <v>1E-3</v>
      </c>
      <c r="Y55" s="112">
        <v>0</v>
      </c>
      <c r="Z55" s="115">
        <f t="shared" si="2"/>
        <v>0.35416666666666669</v>
      </c>
      <c r="AA55" s="116">
        <f t="shared" si="3"/>
        <v>0.22916666666666666</v>
      </c>
      <c r="AB55" s="116">
        <f t="shared" si="4"/>
        <v>0.1388888888888889</v>
      </c>
      <c r="AC55" s="116">
        <f t="shared" si="5"/>
        <v>8.1018518518518517E-2</v>
      </c>
      <c r="AD55" s="116">
        <f t="shared" si="6"/>
        <v>7.1759259259259259E-2</v>
      </c>
      <c r="AE55" s="117">
        <f t="shared" si="7"/>
        <v>0.125</v>
      </c>
      <c r="AF55" s="115">
        <f t="shared" si="8"/>
        <v>0</v>
      </c>
      <c r="AG55" s="116">
        <f t="shared" si="9"/>
        <v>0</v>
      </c>
      <c r="AH55" s="116">
        <f t="shared" si="10"/>
        <v>0</v>
      </c>
      <c r="AI55" s="116">
        <f t="shared" si="11"/>
        <v>0</v>
      </c>
      <c r="AJ55" s="116">
        <f t="shared" si="12"/>
        <v>0</v>
      </c>
      <c r="AK55" s="117">
        <f t="shared" si="13"/>
        <v>0</v>
      </c>
      <c r="AL55" s="121">
        <f>Input!$C$11*QBs!D55+Input!$C$12*QBs!C55+Input!$C$13*QBs!E55+Input!$C$14*QBs!H55+Input!$C$15*QBs!Z55+Input!$C$16*QBs!AA55+Input!$C$17*QBs!AB55+Input!$C$18*QBs!AC55+Input!$C$19*QBs!AD55+Input!$C$20*QBs!AE55+Input!$C$21*QBs!F55+Input!$C$22*QBs!I55+Input!$C$23*QBs!J55+Input!$C$24*QBs!AF55+Input!$C$25*QBs!AG55+Input!$C$26*QBs!AH55+Input!$C$27*QBs!AI55+Input!$C$28*QBs!AJ55+Input!$C$29*QBs!AK55+Input!$C$30*QBs!K55+Input!$C$40*QBs!M55</f>
        <v>19.222037037037037</v>
      </c>
    </row>
    <row r="56" spans="1:38" x14ac:dyDescent="0.25">
      <c r="A56" s="93" t="s">
        <v>219</v>
      </c>
      <c r="B56" s="94" t="s">
        <v>148</v>
      </c>
      <c r="C56" s="36">
        <v>16</v>
      </c>
      <c r="D56" s="40">
        <v>30</v>
      </c>
      <c r="E56" s="37">
        <f>6.4*D56</f>
        <v>192</v>
      </c>
      <c r="F56" s="37">
        <v>0</v>
      </c>
      <c r="G56" s="37">
        <v>1</v>
      </c>
      <c r="H56" s="38">
        <v>1</v>
      </c>
      <c r="I56" s="45">
        <v>3</v>
      </c>
      <c r="J56" s="37">
        <f>3*I56</f>
        <v>9</v>
      </c>
      <c r="K56" s="37">
        <v>0</v>
      </c>
      <c r="L56" s="38">
        <v>0</v>
      </c>
      <c r="M56" s="37">
        <v>0</v>
      </c>
      <c r="N56" s="105">
        <v>0.35416666666666669</v>
      </c>
      <c r="O56" s="106">
        <v>0.22916666666666666</v>
      </c>
      <c r="P56" s="106">
        <v>0.1388888888888889</v>
      </c>
      <c r="Q56" s="106">
        <v>8.1018518518518517E-2</v>
      </c>
      <c r="R56" s="106">
        <v>7.1759259259259259E-2</v>
      </c>
      <c r="S56" s="107">
        <v>0.125</v>
      </c>
      <c r="T56" s="111">
        <v>0.9</v>
      </c>
      <c r="U56" s="90">
        <v>0.08</v>
      </c>
      <c r="V56" s="90">
        <v>1.4999999999999999E-2</v>
      </c>
      <c r="W56" s="90">
        <v>4.0000000000000001E-3</v>
      </c>
      <c r="X56" s="90">
        <v>1E-3</v>
      </c>
      <c r="Y56" s="112">
        <v>0</v>
      </c>
      <c r="Z56" s="115">
        <f t="shared" si="2"/>
        <v>0.35416666666666669</v>
      </c>
      <c r="AA56" s="116">
        <f t="shared" si="3"/>
        <v>0.22916666666666666</v>
      </c>
      <c r="AB56" s="116">
        <f t="shared" si="4"/>
        <v>0.1388888888888889</v>
      </c>
      <c r="AC56" s="116">
        <f t="shared" si="5"/>
        <v>8.1018518518518517E-2</v>
      </c>
      <c r="AD56" s="116">
        <f t="shared" si="6"/>
        <v>7.1759259259259259E-2</v>
      </c>
      <c r="AE56" s="117">
        <f t="shared" si="7"/>
        <v>0.125</v>
      </c>
      <c r="AF56" s="115">
        <f t="shared" si="8"/>
        <v>0</v>
      </c>
      <c r="AG56" s="116">
        <f t="shared" si="9"/>
        <v>0</v>
      </c>
      <c r="AH56" s="116">
        <f t="shared" si="10"/>
        <v>0</v>
      </c>
      <c r="AI56" s="116">
        <f t="shared" si="11"/>
        <v>0</v>
      </c>
      <c r="AJ56" s="116">
        <f t="shared" si="12"/>
        <v>0</v>
      </c>
      <c r="AK56" s="117">
        <f t="shared" si="13"/>
        <v>0</v>
      </c>
      <c r="AL56" s="121">
        <f>Input!$C$11*QBs!D56+Input!$C$12*QBs!C56+Input!$C$13*QBs!E56+Input!$C$14*QBs!H56+Input!$C$15*QBs!Z56+Input!$C$16*QBs!AA56+Input!$C$17*QBs!AB56+Input!$C$18*QBs!AC56+Input!$C$19*QBs!AD56+Input!$C$20*QBs!AE56+Input!$C$21*QBs!F56+Input!$C$22*QBs!I56+Input!$C$23*QBs!J56+Input!$C$24*QBs!AF56+Input!$C$25*QBs!AG56+Input!$C$26*QBs!AH56+Input!$C$27*QBs!AI56+Input!$C$28*QBs!AJ56+Input!$C$29*QBs!AK56+Input!$C$30*QBs!K56+Input!$C$40*QBs!M56</f>
        <v>15.162037037037038</v>
      </c>
    </row>
    <row r="57" spans="1:38" x14ac:dyDescent="0.25">
      <c r="A57" s="93" t="s">
        <v>220</v>
      </c>
      <c r="B57" s="94" t="s">
        <v>140</v>
      </c>
      <c r="C57" s="36">
        <v>19</v>
      </c>
      <c r="D57" s="40">
        <v>35</v>
      </c>
      <c r="E57" s="37">
        <f>6.8*D57</f>
        <v>238</v>
      </c>
      <c r="F57" s="37">
        <v>0</v>
      </c>
      <c r="G57" s="37">
        <v>1</v>
      </c>
      <c r="H57" s="38">
        <v>0</v>
      </c>
      <c r="I57" s="45">
        <v>8</v>
      </c>
      <c r="J57" s="37">
        <f>3*I57</f>
        <v>24</v>
      </c>
      <c r="K57" s="37">
        <v>0</v>
      </c>
      <c r="L57" s="38">
        <v>0</v>
      </c>
      <c r="M57" s="37">
        <v>0</v>
      </c>
      <c r="N57" s="105">
        <v>0.35416666666666669</v>
      </c>
      <c r="O57" s="106">
        <v>0.22916666666666666</v>
      </c>
      <c r="P57" s="106">
        <v>0.1388888888888889</v>
      </c>
      <c r="Q57" s="106">
        <v>8.1018518518518517E-2</v>
      </c>
      <c r="R57" s="106">
        <v>7.1759259259259259E-2</v>
      </c>
      <c r="S57" s="107">
        <v>0.125</v>
      </c>
      <c r="T57" s="111">
        <v>0.9</v>
      </c>
      <c r="U57" s="90">
        <v>0.08</v>
      </c>
      <c r="V57" s="90">
        <v>1.4999999999999999E-2</v>
      </c>
      <c r="W57" s="90">
        <v>4.0000000000000001E-3</v>
      </c>
      <c r="X57" s="90">
        <v>1E-3</v>
      </c>
      <c r="Y57" s="112">
        <v>0</v>
      </c>
      <c r="Z57" s="115">
        <f t="shared" si="2"/>
        <v>0.35416666666666669</v>
      </c>
      <c r="AA57" s="116">
        <f t="shared" si="3"/>
        <v>0.22916666666666666</v>
      </c>
      <c r="AB57" s="116">
        <f t="shared" si="4"/>
        <v>0.1388888888888889</v>
      </c>
      <c r="AC57" s="116">
        <f t="shared" si="5"/>
        <v>8.1018518518518517E-2</v>
      </c>
      <c r="AD57" s="116">
        <f t="shared" si="6"/>
        <v>7.1759259259259259E-2</v>
      </c>
      <c r="AE57" s="117">
        <f t="shared" si="7"/>
        <v>0.125</v>
      </c>
      <c r="AF57" s="115">
        <f t="shared" si="8"/>
        <v>0</v>
      </c>
      <c r="AG57" s="116">
        <f t="shared" si="9"/>
        <v>0</v>
      </c>
      <c r="AH57" s="116">
        <f t="shared" si="10"/>
        <v>0</v>
      </c>
      <c r="AI57" s="116">
        <f t="shared" si="11"/>
        <v>0</v>
      </c>
      <c r="AJ57" s="116">
        <f t="shared" si="12"/>
        <v>0</v>
      </c>
      <c r="AK57" s="117">
        <f t="shared" si="13"/>
        <v>0</v>
      </c>
      <c r="AL57" s="121">
        <f>Input!$C$11*QBs!D57+Input!$C$12*QBs!C57+Input!$C$13*QBs!E57+Input!$C$14*QBs!H57+Input!$C$15*QBs!Z57+Input!$C$16*QBs!AA57+Input!$C$17*QBs!AB57+Input!$C$18*QBs!AC57+Input!$C$19*QBs!AD57+Input!$C$20*QBs!AE57+Input!$C$21*QBs!F57+Input!$C$22*QBs!I57+Input!$C$23*QBs!J57+Input!$C$24*QBs!AF57+Input!$C$25*QBs!AG57+Input!$C$26*QBs!AH57+Input!$C$27*QBs!AI57+Input!$C$28*QBs!AJ57+Input!$C$29*QBs!AK57+Input!$C$30*QBs!K57+Input!$C$40*QBs!M57</f>
        <v>18.962037037037035</v>
      </c>
    </row>
    <row r="58" spans="1:38" x14ac:dyDescent="0.25">
      <c r="A58" s="93" t="s">
        <v>221</v>
      </c>
      <c r="B58" s="94" t="s">
        <v>170</v>
      </c>
      <c r="C58" s="36">
        <v>25</v>
      </c>
      <c r="D58" s="40">
        <v>45</v>
      </c>
      <c r="E58" s="40">
        <f>5.9*D58</f>
        <v>265.5</v>
      </c>
      <c r="F58" s="40">
        <v>0</v>
      </c>
      <c r="G58" s="40">
        <v>1</v>
      </c>
      <c r="H58" s="41">
        <v>2</v>
      </c>
      <c r="I58" s="36">
        <v>7</v>
      </c>
      <c r="J58" s="40">
        <f>0.7*I58</f>
        <v>4.8999999999999995</v>
      </c>
      <c r="K58" s="37">
        <v>0</v>
      </c>
      <c r="L58" s="41">
        <v>0</v>
      </c>
      <c r="M58" s="40">
        <v>0</v>
      </c>
      <c r="N58" s="105">
        <v>0.35416666666666669</v>
      </c>
      <c r="O58" s="106">
        <v>0.22916666666666666</v>
      </c>
      <c r="P58" s="106">
        <v>0.1388888888888889</v>
      </c>
      <c r="Q58" s="106">
        <v>8.1018518518518517E-2</v>
      </c>
      <c r="R58" s="106">
        <v>7.1759259259259259E-2</v>
      </c>
      <c r="S58" s="107">
        <v>0.125</v>
      </c>
      <c r="T58" s="111">
        <v>0.9</v>
      </c>
      <c r="U58" s="90">
        <v>0.08</v>
      </c>
      <c r="V58" s="90">
        <v>1.4999999999999999E-2</v>
      </c>
      <c r="W58" s="90">
        <v>4.0000000000000001E-3</v>
      </c>
      <c r="X58" s="90">
        <v>1E-3</v>
      </c>
      <c r="Y58" s="112">
        <v>0</v>
      </c>
      <c r="Z58" s="115">
        <f t="shared" si="2"/>
        <v>0.35416666666666669</v>
      </c>
      <c r="AA58" s="116">
        <f t="shared" si="3"/>
        <v>0.22916666666666666</v>
      </c>
      <c r="AB58" s="116">
        <f t="shared" si="4"/>
        <v>0.1388888888888889</v>
      </c>
      <c r="AC58" s="116">
        <f t="shared" si="5"/>
        <v>8.1018518518518517E-2</v>
      </c>
      <c r="AD58" s="116">
        <f t="shared" si="6"/>
        <v>7.1759259259259259E-2</v>
      </c>
      <c r="AE58" s="117">
        <f t="shared" si="7"/>
        <v>0.125</v>
      </c>
      <c r="AF58" s="115">
        <f t="shared" si="8"/>
        <v>0</v>
      </c>
      <c r="AG58" s="116">
        <f t="shared" si="9"/>
        <v>0</v>
      </c>
      <c r="AH58" s="116">
        <f t="shared" si="10"/>
        <v>0</v>
      </c>
      <c r="AI58" s="116">
        <f t="shared" si="11"/>
        <v>0</v>
      </c>
      <c r="AJ58" s="116">
        <f t="shared" si="12"/>
        <v>0</v>
      </c>
      <c r="AK58" s="117">
        <f t="shared" si="13"/>
        <v>0</v>
      </c>
      <c r="AL58" s="121">
        <f>Input!$C$11*QBs!D58+Input!$C$12*QBs!C58+Input!$C$13*QBs!E58+Input!$C$14*QBs!H58+Input!$C$15*QBs!Z58+Input!$C$16*QBs!AA58+Input!$C$17*QBs!AB58+Input!$C$18*QBs!AC58+Input!$C$19*QBs!AD58+Input!$C$20*QBs!AE58+Input!$C$21*QBs!F58+Input!$C$22*QBs!I58+Input!$C$23*QBs!J58+Input!$C$24*QBs!AF58+Input!$C$25*QBs!AG58+Input!$C$26*QBs!AH58+Input!$C$27*QBs!AI58+Input!$C$28*QBs!AJ58+Input!$C$29*QBs!AK58+Input!$C$30*QBs!K58+Input!$C$40*QBs!M58</f>
        <v>18.427037037037035</v>
      </c>
    </row>
    <row r="59" spans="1:38" x14ac:dyDescent="0.25">
      <c r="A59" s="93" t="s">
        <v>222</v>
      </c>
      <c r="B59" s="94" t="s">
        <v>182</v>
      </c>
      <c r="C59" s="36">
        <v>22</v>
      </c>
      <c r="D59" s="40">
        <v>40</v>
      </c>
      <c r="E59" s="37">
        <f>6.3*D59</f>
        <v>252</v>
      </c>
      <c r="F59" s="37">
        <v>0</v>
      </c>
      <c r="G59" s="37">
        <v>1</v>
      </c>
      <c r="H59" s="38">
        <v>1</v>
      </c>
      <c r="I59" s="45">
        <v>3</v>
      </c>
      <c r="J59" s="37">
        <f>3*I59</f>
        <v>9</v>
      </c>
      <c r="K59" s="37">
        <v>0</v>
      </c>
      <c r="L59" s="38">
        <v>0</v>
      </c>
      <c r="M59" s="37">
        <v>0</v>
      </c>
      <c r="N59" s="105">
        <v>0.35416666666666669</v>
      </c>
      <c r="O59" s="106">
        <v>0.22916666666666666</v>
      </c>
      <c r="P59" s="106">
        <v>0.1388888888888889</v>
      </c>
      <c r="Q59" s="106">
        <v>8.1018518518518517E-2</v>
      </c>
      <c r="R59" s="106">
        <v>7.1759259259259259E-2</v>
      </c>
      <c r="S59" s="107">
        <v>0.125</v>
      </c>
      <c r="T59" s="111">
        <v>0.9</v>
      </c>
      <c r="U59" s="90">
        <v>0.08</v>
      </c>
      <c r="V59" s="90">
        <v>1.4999999999999999E-2</v>
      </c>
      <c r="W59" s="90">
        <v>4.0000000000000001E-3</v>
      </c>
      <c r="X59" s="90">
        <v>1E-3</v>
      </c>
      <c r="Y59" s="112">
        <v>0</v>
      </c>
      <c r="Z59" s="115">
        <f t="shared" si="2"/>
        <v>0.35416666666666669</v>
      </c>
      <c r="AA59" s="116">
        <f t="shared" si="3"/>
        <v>0.22916666666666666</v>
      </c>
      <c r="AB59" s="116">
        <f t="shared" si="4"/>
        <v>0.1388888888888889</v>
      </c>
      <c r="AC59" s="116">
        <f t="shared" si="5"/>
        <v>8.1018518518518517E-2</v>
      </c>
      <c r="AD59" s="116">
        <f t="shared" si="6"/>
        <v>7.1759259259259259E-2</v>
      </c>
      <c r="AE59" s="117">
        <f t="shared" si="7"/>
        <v>0.125</v>
      </c>
      <c r="AF59" s="115">
        <f t="shared" si="8"/>
        <v>0</v>
      </c>
      <c r="AG59" s="116">
        <f t="shared" si="9"/>
        <v>0</v>
      </c>
      <c r="AH59" s="116">
        <f t="shared" si="10"/>
        <v>0</v>
      </c>
      <c r="AI59" s="116">
        <f t="shared" si="11"/>
        <v>0</v>
      </c>
      <c r="AJ59" s="116">
        <f t="shared" si="12"/>
        <v>0</v>
      </c>
      <c r="AK59" s="117">
        <f t="shared" si="13"/>
        <v>0</v>
      </c>
      <c r="AL59" s="121">
        <f>Input!$C$11*QBs!D59+Input!$C$12*QBs!C59+Input!$C$13*QBs!E59+Input!$C$14*QBs!H59+Input!$C$15*QBs!Z59+Input!$C$16*QBs!AA59+Input!$C$17*QBs!AB59+Input!$C$18*QBs!AC59+Input!$C$19*QBs!AD59+Input!$C$20*QBs!AE59+Input!$C$21*QBs!F59+Input!$C$22*QBs!I59+Input!$C$23*QBs!J59+Input!$C$24*QBs!AF59+Input!$C$25*QBs!AG59+Input!$C$26*QBs!AH59+Input!$C$27*QBs!AI59+Input!$C$28*QBs!AJ59+Input!$C$29*QBs!AK59+Input!$C$30*QBs!K59+Input!$C$40*QBs!M59</f>
        <v>18.162037037037035</v>
      </c>
    </row>
    <row r="60" spans="1:38" x14ac:dyDescent="0.25">
      <c r="A60" s="93" t="s">
        <v>223</v>
      </c>
      <c r="B60" s="94" t="s">
        <v>136</v>
      </c>
      <c r="C60" s="36">
        <v>16</v>
      </c>
      <c r="D60" s="40">
        <v>30</v>
      </c>
      <c r="E60" s="37">
        <f>7*D60</f>
        <v>210</v>
      </c>
      <c r="F60" s="37">
        <v>0</v>
      </c>
      <c r="G60" s="37">
        <v>1</v>
      </c>
      <c r="H60" s="38">
        <v>1</v>
      </c>
      <c r="I60" s="45">
        <v>2</v>
      </c>
      <c r="J60" s="37">
        <f>2.8*I60</f>
        <v>5.6</v>
      </c>
      <c r="K60" s="37">
        <v>0</v>
      </c>
      <c r="L60" s="38">
        <v>0</v>
      </c>
      <c r="M60" s="37">
        <v>0</v>
      </c>
      <c r="N60" s="105">
        <v>0.35416666666666669</v>
      </c>
      <c r="O60" s="106">
        <v>0.22916666666666666</v>
      </c>
      <c r="P60" s="106">
        <v>0.1388888888888889</v>
      </c>
      <c r="Q60" s="106">
        <v>8.1018518518518517E-2</v>
      </c>
      <c r="R60" s="106">
        <v>7.1759259259259259E-2</v>
      </c>
      <c r="S60" s="107">
        <v>0.125</v>
      </c>
      <c r="T60" s="111">
        <v>0.9</v>
      </c>
      <c r="U60" s="90">
        <v>0.08</v>
      </c>
      <c r="V60" s="90">
        <v>1.4999999999999999E-2</v>
      </c>
      <c r="W60" s="90">
        <v>4.0000000000000001E-3</v>
      </c>
      <c r="X60" s="90">
        <v>1E-3</v>
      </c>
      <c r="Y60" s="112">
        <v>0</v>
      </c>
      <c r="Z60" s="115">
        <f t="shared" si="2"/>
        <v>0.35416666666666669</v>
      </c>
      <c r="AA60" s="116">
        <f t="shared" si="3"/>
        <v>0.22916666666666666</v>
      </c>
      <c r="AB60" s="116">
        <f t="shared" si="4"/>
        <v>0.1388888888888889</v>
      </c>
      <c r="AC60" s="116">
        <f t="shared" si="5"/>
        <v>8.1018518518518517E-2</v>
      </c>
      <c r="AD60" s="116">
        <f t="shared" si="6"/>
        <v>7.1759259259259259E-2</v>
      </c>
      <c r="AE60" s="117">
        <f t="shared" si="7"/>
        <v>0.125</v>
      </c>
      <c r="AF60" s="115">
        <f t="shared" si="8"/>
        <v>0</v>
      </c>
      <c r="AG60" s="116">
        <f t="shared" si="9"/>
        <v>0</v>
      </c>
      <c r="AH60" s="116">
        <f t="shared" si="10"/>
        <v>0</v>
      </c>
      <c r="AI60" s="116">
        <f t="shared" si="11"/>
        <v>0</v>
      </c>
      <c r="AJ60" s="116">
        <f t="shared" si="12"/>
        <v>0</v>
      </c>
      <c r="AK60" s="117">
        <f t="shared" si="13"/>
        <v>0</v>
      </c>
      <c r="AL60" s="121">
        <f>Input!$C$11*QBs!D60+Input!$C$12*QBs!C60+Input!$C$13*QBs!E60+Input!$C$14*QBs!H60+Input!$C$15*QBs!Z60+Input!$C$16*QBs!AA60+Input!$C$17*QBs!AB60+Input!$C$18*QBs!AC60+Input!$C$19*QBs!AD60+Input!$C$20*QBs!AE60+Input!$C$21*QBs!F60+Input!$C$22*QBs!I60+Input!$C$23*QBs!J60+Input!$C$24*QBs!AF60+Input!$C$25*QBs!AG60+Input!$C$26*QBs!AH60+Input!$C$27*QBs!AI60+Input!$C$28*QBs!AJ60+Input!$C$29*QBs!AK60+Input!$C$30*QBs!K60+Input!$C$40*QBs!M60</f>
        <v>15.722037037037037</v>
      </c>
    </row>
    <row r="61" spans="1:38" x14ac:dyDescent="0.25">
      <c r="A61" s="93" t="s">
        <v>224</v>
      </c>
      <c r="B61" s="94" t="s">
        <v>158</v>
      </c>
      <c r="C61" s="36">
        <v>17</v>
      </c>
      <c r="D61" s="40">
        <v>30</v>
      </c>
      <c r="E61" s="37">
        <f>6.6*D61</f>
        <v>198</v>
      </c>
      <c r="F61" s="37">
        <v>0</v>
      </c>
      <c r="G61" s="37">
        <v>1</v>
      </c>
      <c r="H61" s="38">
        <v>1</v>
      </c>
      <c r="I61" s="45">
        <v>3</v>
      </c>
      <c r="J61" s="37">
        <f>3*I61</f>
        <v>9</v>
      </c>
      <c r="K61" s="37">
        <v>0</v>
      </c>
      <c r="L61" s="38">
        <v>0</v>
      </c>
      <c r="M61" s="37">
        <v>0</v>
      </c>
      <c r="N61" s="105">
        <v>0.35416666666666669</v>
      </c>
      <c r="O61" s="106">
        <v>0.22916666666666666</v>
      </c>
      <c r="P61" s="106">
        <v>0.1388888888888889</v>
      </c>
      <c r="Q61" s="106">
        <v>8.1018518518518517E-2</v>
      </c>
      <c r="R61" s="106">
        <v>7.1759259259259259E-2</v>
      </c>
      <c r="S61" s="107">
        <v>0.125</v>
      </c>
      <c r="T61" s="111">
        <v>0.9</v>
      </c>
      <c r="U61" s="90">
        <v>0.08</v>
      </c>
      <c r="V61" s="90">
        <v>1.4999999999999999E-2</v>
      </c>
      <c r="W61" s="90">
        <v>4.0000000000000001E-3</v>
      </c>
      <c r="X61" s="90">
        <v>1E-3</v>
      </c>
      <c r="Y61" s="112">
        <v>0</v>
      </c>
      <c r="Z61" s="115">
        <f t="shared" si="2"/>
        <v>0.35416666666666669</v>
      </c>
      <c r="AA61" s="116">
        <f t="shared" si="3"/>
        <v>0.22916666666666666</v>
      </c>
      <c r="AB61" s="116">
        <f t="shared" si="4"/>
        <v>0.1388888888888889</v>
      </c>
      <c r="AC61" s="116">
        <f t="shared" si="5"/>
        <v>8.1018518518518517E-2</v>
      </c>
      <c r="AD61" s="116">
        <f t="shared" si="6"/>
        <v>7.1759259259259259E-2</v>
      </c>
      <c r="AE61" s="117">
        <f t="shared" si="7"/>
        <v>0.125</v>
      </c>
      <c r="AF61" s="115">
        <f t="shared" si="8"/>
        <v>0</v>
      </c>
      <c r="AG61" s="116">
        <f t="shared" si="9"/>
        <v>0</v>
      </c>
      <c r="AH61" s="116">
        <f t="shared" si="10"/>
        <v>0</v>
      </c>
      <c r="AI61" s="116">
        <f t="shared" si="11"/>
        <v>0</v>
      </c>
      <c r="AJ61" s="116">
        <f t="shared" si="12"/>
        <v>0</v>
      </c>
      <c r="AK61" s="117">
        <f t="shared" si="13"/>
        <v>0</v>
      </c>
      <c r="AL61" s="121">
        <f>Input!$C$11*QBs!D61+Input!$C$12*QBs!C61+Input!$C$13*QBs!E61+Input!$C$14*QBs!H61+Input!$C$15*QBs!Z61+Input!$C$16*QBs!AA61+Input!$C$17*QBs!AB61+Input!$C$18*QBs!AC61+Input!$C$19*QBs!AD61+Input!$C$20*QBs!AE61+Input!$C$21*QBs!F61+Input!$C$22*QBs!I61+Input!$C$23*QBs!J61+Input!$C$24*QBs!AF61+Input!$C$25*QBs!AG61+Input!$C$26*QBs!AH61+Input!$C$27*QBs!AI61+Input!$C$28*QBs!AJ61+Input!$C$29*QBs!AK61+Input!$C$30*QBs!K61+Input!$C$40*QBs!M61</f>
        <v>15.462037037037037</v>
      </c>
    </row>
    <row r="62" spans="1:38" x14ac:dyDescent="0.25">
      <c r="A62" s="93" t="s">
        <v>225</v>
      </c>
      <c r="B62" s="94" t="s">
        <v>164</v>
      </c>
      <c r="C62" s="36">
        <v>17</v>
      </c>
      <c r="D62" s="40">
        <v>30</v>
      </c>
      <c r="E62" s="37">
        <f>6.6*D62</f>
        <v>198</v>
      </c>
      <c r="F62" s="37">
        <v>0</v>
      </c>
      <c r="G62" s="37">
        <v>1</v>
      </c>
      <c r="H62" s="38">
        <v>1</v>
      </c>
      <c r="I62" s="45">
        <v>2</v>
      </c>
      <c r="J62" s="37">
        <f>1.7*I62</f>
        <v>3.4</v>
      </c>
      <c r="K62" s="37">
        <v>0</v>
      </c>
      <c r="L62" s="38">
        <v>0</v>
      </c>
      <c r="M62" s="37">
        <v>0</v>
      </c>
      <c r="N62" s="105">
        <v>0.35416666666666669</v>
      </c>
      <c r="O62" s="106">
        <v>0.22916666666666666</v>
      </c>
      <c r="P62" s="106">
        <v>0.1388888888888889</v>
      </c>
      <c r="Q62" s="106">
        <v>8.1018518518518517E-2</v>
      </c>
      <c r="R62" s="106">
        <v>7.1759259259259259E-2</v>
      </c>
      <c r="S62" s="107">
        <v>0.125</v>
      </c>
      <c r="T62" s="111">
        <v>0.9</v>
      </c>
      <c r="U62" s="90">
        <v>0.08</v>
      </c>
      <c r="V62" s="90">
        <v>1.4999999999999999E-2</v>
      </c>
      <c r="W62" s="90">
        <v>4.0000000000000001E-3</v>
      </c>
      <c r="X62" s="90">
        <v>1E-3</v>
      </c>
      <c r="Y62" s="112">
        <v>0</v>
      </c>
      <c r="Z62" s="115">
        <f t="shared" si="2"/>
        <v>0.35416666666666669</v>
      </c>
      <c r="AA62" s="116">
        <f t="shared" si="3"/>
        <v>0.22916666666666666</v>
      </c>
      <c r="AB62" s="116">
        <f t="shared" si="4"/>
        <v>0.1388888888888889</v>
      </c>
      <c r="AC62" s="116">
        <f t="shared" si="5"/>
        <v>8.1018518518518517E-2</v>
      </c>
      <c r="AD62" s="116">
        <f t="shared" si="6"/>
        <v>7.1759259259259259E-2</v>
      </c>
      <c r="AE62" s="117">
        <f t="shared" si="7"/>
        <v>0.125</v>
      </c>
      <c r="AF62" s="115">
        <f t="shared" si="8"/>
        <v>0</v>
      </c>
      <c r="AG62" s="116">
        <f t="shared" si="9"/>
        <v>0</v>
      </c>
      <c r="AH62" s="116">
        <f t="shared" si="10"/>
        <v>0</v>
      </c>
      <c r="AI62" s="116">
        <f t="shared" si="11"/>
        <v>0</v>
      </c>
      <c r="AJ62" s="116">
        <f t="shared" si="12"/>
        <v>0</v>
      </c>
      <c r="AK62" s="117">
        <f t="shared" si="13"/>
        <v>0</v>
      </c>
      <c r="AL62" s="121">
        <f>Input!$C$11*QBs!D62+Input!$C$12*QBs!C62+Input!$C$13*QBs!E62+Input!$C$14*QBs!H62+Input!$C$15*QBs!Z62+Input!$C$16*QBs!AA62+Input!$C$17*QBs!AB62+Input!$C$18*QBs!AC62+Input!$C$19*QBs!AD62+Input!$C$20*QBs!AE62+Input!$C$21*QBs!F62+Input!$C$22*QBs!I62+Input!$C$23*QBs!J62+Input!$C$24*QBs!AF62+Input!$C$25*QBs!AG62+Input!$C$26*QBs!AH62+Input!$C$27*QBs!AI62+Input!$C$28*QBs!AJ62+Input!$C$29*QBs!AK62+Input!$C$30*QBs!K62+Input!$C$40*QBs!M62</f>
        <v>14.902037037037037</v>
      </c>
    </row>
    <row r="63" spans="1:38" x14ac:dyDescent="0.25">
      <c r="A63" s="93" t="s">
        <v>226</v>
      </c>
      <c r="B63" s="94" t="s">
        <v>174</v>
      </c>
      <c r="C63" s="36">
        <v>17</v>
      </c>
      <c r="D63" s="40">
        <v>30</v>
      </c>
      <c r="E63" s="37">
        <f>6.4*D63</f>
        <v>192</v>
      </c>
      <c r="F63" s="37">
        <v>0</v>
      </c>
      <c r="G63" s="37">
        <v>1</v>
      </c>
      <c r="H63" s="38">
        <v>1</v>
      </c>
      <c r="I63" s="45">
        <v>3</v>
      </c>
      <c r="J63" s="37">
        <f>0.5*I63</f>
        <v>1.5</v>
      </c>
      <c r="K63" s="37">
        <v>0</v>
      </c>
      <c r="L63" s="38">
        <v>0</v>
      </c>
      <c r="M63" s="37">
        <v>0</v>
      </c>
      <c r="N63" s="105">
        <v>0.35416666666666669</v>
      </c>
      <c r="O63" s="106">
        <v>0.22916666666666666</v>
      </c>
      <c r="P63" s="106">
        <v>0.1388888888888889</v>
      </c>
      <c r="Q63" s="106">
        <v>8.1018518518518517E-2</v>
      </c>
      <c r="R63" s="106">
        <v>7.1759259259259259E-2</v>
      </c>
      <c r="S63" s="107">
        <v>0.125</v>
      </c>
      <c r="T63" s="111">
        <v>0.9</v>
      </c>
      <c r="U63" s="90">
        <v>0.08</v>
      </c>
      <c r="V63" s="90">
        <v>1.4999999999999999E-2</v>
      </c>
      <c r="W63" s="90">
        <v>4.0000000000000001E-3</v>
      </c>
      <c r="X63" s="90">
        <v>1E-3</v>
      </c>
      <c r="Y63" s="112">
        <v>0</v>
      </c>
      <c r="Z63" s="115">
        <f t="shared" si="2"/>
        <v>0.35416666666666669</v>
      </c>
      <c r="AA63" s="116">
        <f t="shared" si="3"/>
        <v>0.22916666666666666</v>
      </c>
      <c r="AB63" s="116">
        <f t="shared" si="4"/>
        <v>0.1388888888888889</v>
      </c>
      <c r="AC63" s="116">
        <f t="shared" si="5"/>
        <v>8.1018518518518517E-2</v>
      </c>
      <c r="AD63" s="116">
        <f t="shared" si="6"/>
        <v>7.1759259259259259E-2</v>
      </c>
      <c r="AE63" s="117">
        <f t="shared" si="7"/>
        <v>0.125</v>
      </c>
      <c r="AF63" s="115">
        <f t="shared" si="8"/>
        <v>0</v>
      </c>
      <c r="AG63" s="116">
        <f t="shared" si="9"/>
        <v>0</v>
      </c>
      <c r="AH63" s="116">
        <f t="shared" si="10"/>
        <v>0</v>
      </c>
      <c r="AI63" s="116">
        <f t="shared" si="11"/>
        <v>0</v>
      </c>
      <c r="AJ63" s="116">
        <f t="shared" si="12"/>
        <v>0</v>
      </c>
      <c r="AK63" s="117">
        <f t="shared" si="13"/>
        <v>0</v>
      </c>
      <c r="AL63" s="121">
        <f>Input!$C$11*QBs!D63+Input!$C$12*QBs!C63+Input!$C$13*QBs!E63+Input!$C$14*QBs!H63+Input!$C$15*QBs!Z63+Input!$C$16*QBs!AA63+Input!$C$17*QBs!AB63+Input!$C$18*QBs!AC63+Input!$C$19*QBs!AD63+Input!$C$20*QBs!AE63+Input!$C$21*QBs!F63+Input!$C$22*QBs!I63+Input!$C$23*QBs!J63+Input!$C$24*QBs!AF63+Input!$C$25*QBs!AG63+Input!$C$26*QBs!AH63+Input!$C$27*QBs!AI63+Input!$C$28*QBs!AJ63+Input!$C$29*QBs!AK63+Input!$C$30*QBs!K63+Input!$C$40*QBs!M63</f>
        <v>14.412037037037038</v>
      </c>
    </row>
    <row r="64" spans="1:38" x14ac:dyDescent="0.25">
      <c r="A64" s="93" t="s">
        <v>227</v>
      </c>
      <c r="B64" s="94" t="s">
        <v>146</v>
      </c>
      <c r="C64" s="36">
        <v>20</v>
      </c>
      <c r="D64" s="40">
        <v>35</v>
      </c>
      <c r="E64" s="37">
        <f>6.5*D64</f>
        <v>227.5</v>
      </c>
      <c r="F64" s="37">
        <v>0</v>
      </c>
      <c r="G64" s="37">
        <v>1</v>
      </c>
      <c r="H64" s="38">
        <v>1</v>
      </c>
      <c r="I64" s="45">
        <v>5</v>
      </c>
      <c r="J64" s="37">
        <f>3.8*I64</f>
        <v>19</v>
      </c>
      <c r="K64" s="37">
        <v>0</v>
      </c>
      <c r="L64" s="38">
        <v>0</v>
      </c>
      <c r="M64" s="37">
        <v>0</v>
      </c>
      <c r="N64" s="105">
        <v>0.35416666666666669</v>
      </c>
      <c r="O64" s="106">
        <v>0.22916666666666666</v>
      </c>
      <c r="P64" s="106">
        <v>0.1388888888888889</v>
      </c>
      <c r="Q64" s="106">
        <v>8.1018518518518517E-2</v>
      </c>
      <c r="R64" s="106">
        <v>7.1759259259259259E-2</v>
      </c>
      <c r="S64" s="107">
        <v>0.125</v>
      </c>
      <c r="T64" s="111">
        <v>0.9</v>
      </c>
      <c r="U64" s="90">
        <v>0.08</v>
      </c>
      <c r="V64" s="90">
        <v>1.4999999999999999E-2</v>
      </c>
      <c r="W64" s="90">
        <v>4.0000000000000001E-3</v>
      </c>
      <c r="X64" s="90">
        <v>1E-3</v>
      </c>
      <c r="Y64" s="112">
        <v>0</v>
      </c>
      <c r="Z64" s="115">
        <f t="shared" si="2"/>
        <v>0.35416666666666669</v>
      </c>
      <c r="AA64" s="116">
        <f t="shared" si="3"/>
        <v>0.22916666666666666</v>
      </c>
      <c r="AB64" s="116">
        <f t="shared" si="4"/>
        <v>0.1388888888888889</v>
      </c>
      <c r="AC64" s="116">
        <f t="shared" si="5"/>
        <v>8.1018518518518517E-2</v>
      </c>
      <c r="AD64" s="116">
        <f t="shared" si="6"/>
        <v>7.1759259259259259E-2</v>
      </c>
      <c r="AE64" s="117">
        <f t="shared" si="7"/>
        <v>0.125</v>
      </c>
      <c r="AF64" s="115">
        <f t="shared" si="8"/>
        <v>0</v>
      </c>
      <c r="AG64" s="116">
        <f t="shared" si="9"/>
        <v>0</v>
      </c>
      <c r="AH64" s="116">
        <f t="shared" si="10"/>
        <v>0</v>
      </c>
      <c r="AI64" s="116">
        <f t="shared" si="11"/>
        <v>0</v>
      </c>
      <c r="AJ64" s="116">
        <f t="shared" si="12"/>
        <v>0</v>
      </c>
      <c r="AK64" s="117">
        <f t="shared" si="13"/>
        <v>0</v>
      </c>
      <c r="AL64" s="121">
        <f>Input!$C$11*QBs!D64+Input!$C$12*QBs!C64+Input!$C$13*QBs!E64+Input!$C$14*QBs!H64+Input!$C$15*QBs!Z64+Input!$C$16*QBs!AA64+Input!$C$17*QBs!AB64+Input!$C$18*QBs!AC64+Input!$C$19*QBs!AD64+Input!$C$20*QBs!AE64+Input!$C$21*QBs!F64+Input!$C$22*QBs!I64+Input!$C$23*QBs!J64+Input!$C$24*QBs!AF64+Input!$C$25*QBs!AG64+Input!$C$26*QBs!AH64+Input!$C$27*QBs!AI64+Input!$C$28*QBs!AJ64+Input!$C$29*QBs!AK64+Input!$C$30*QBs!K64+Input!$C$40*QBs!M64</f>
        <v>17.937037037037037</v>
      </c>
    </row>
    <row r="65" spans="1:38" x14ac:dyDescent="0.25">
      <c r="A65" s="93" t="s">
        <v>228</v>
      </c>
      <c r="B65" s="94" t="s">
        <v>138</v>
      </c>
      <c r="C65" s="42">
        <v>5</v>
      </c>
      <c r="D65" s="48">
        <v>10</v>
      </c>
      <c r="E65" s="43">
        <f>6.6*D65</f>
        <v>66</v>
      </c>
      <c r="F65" s="43">
        <v>0</v>
      </c>
      <c r="G65" s="43">
        <v>0</v>
      </c>
      <c r="H65" s="44">
        <v>0</v>
      </c>
      <c r="I65" s="46">
        <v>1</v>
      </c>
      <c r="J65" s="43">
        <f>3*I65</f>
        <v>3</v>
      </c>
      <c r="K65" s="43">
        <v>0</v>
      </c>
      <c r="L65" s="44">
        <v>0</v>
      </c>
      <c r="M65" s="43">
        <v>0</v>
      </c>
      <c r="N65" s="108">
        <v>0.35416666666666669</v>
      </c>
      <c r="O65" s="109">
        <v>0.22916666666666666</v>
      </c>
      <c r="P65" s="109">
        <v>0.1388888888888889</v>
      </c>
      <c r="Q65" s="109">
        <v>8.1018518518518517E-2</v>
      </c>
      <c r="R65" s="109">
        <v>7.1759259259259259E-2</v>
      </c>
      <c r="S65" s="110">
        <v>0.125</v>
      </c>
      <c r="T65" s="113">
        <v>0.9</v>
      </c>
      <c r="U65" s="92">
        <v>0.08</v>
      </c>
      <c r="V65" s="92">
        <v>1.4999999999999999E-2</v>
      </c>
      <c r="W65" s="92">
        <v>4.0000000000000001E-3</v>
      </c>
      <c r="X65" s="92">
        <v>1E-3</v>
      </c>
      <c r="Y65" s="114">
        <v>0</v>
      </c>
      <c r="Z65" s="118">
        <f t="shared" si="2"/>
        <v>0</v>
      </c>
      <c r="AA65" s="119">
        <f t="shared" si="3"/>
        <v>0</v>
      </c>
      <c r="AB65" s="119">
        <f t="shared" si="4"/>
        <v>0</v>
      </c>
      <c r="AC65" s="119">
        <f t="shared" si="5"/>
        <v>0</v>
      </c>
      <c r="AD65" s="119">
        <f t="shared" si="6"/>
        <v>0</v>
      </c>
      <c r="AE65" s="120">
        <f t="shared" si="7"/>
        <v>0</v>
      </c>
      <c r="AF65" s="118">
        <f t="shared" si="8"/>
        <v>0</v>
      </c>
      <c r="AG65" s="119">
        <f t="shared" si="9"/>
        <v>0</v>
      </c>
      <c r="AH65" s="119">
        <f t="shared" si="10"/>
        <v>0</v>
      </c>
      <c r="AI65" s="119">
        <f t="shared" si="11"/>
        <v>0</v>
      </c>
      <c r="AJ65" s="119">
        <f t="shared" si="12"/>
        <v>0</v>
      </c>
      <c r="AK65" s="120">
        <f t="shared" si="13"/>
        <v>0</v>
      </c>
      <c r="AL65" s="99">
        <f>Input!$C$11*QBs!D65+Input!$C$12*QBs!C65+Input!$C$13*QBs!E65+Input!$C$14*QBs!H65+Input!$C$15*QBs!Z65+Input!$C$16*QBs!AA65+Input!$C$17*QBs!AB65+Input!$C$18*QBs!AC65+Input!$C$19*QBs!AD65+Input!$C$20*QBs!AE65+Input!$C$21*QBs!F65+Input!$C$22*QBs!I65+Input!$C$23*QBs!J65+Input!$C$24*QBs!AF65+Input!$C$25*QBs!AG65+Input!$C$26*QBs!AH65+Input!$C$27*QBs!AI65+Input!$C$28*QBs!AJ65+Input!$C$29*QBs!AK65+Input!$C$30*QBs!K65+Input!$C$40*QBs!M65</f>
        <v>3.6000000000000005</v>
      </c>
    </row>
  </sheetData>
  <printOptions horizontalCentered="1"/>
  <pageMargins left="0.25" right="0.25" top="0.5" bottom="0.5" header="0.5" footer="0.5"/>
  <pageSetup scale="90" fitToHeight="1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8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24" sqref="B1:B24"/>
    </sheetView>
  </sheetViews>
  <sheetFormatPr defaultColWidth="9.109375" defaultRowHeight="13.2" x14ac:dyDescent="0.25"/>
  <cols>
    <col min="1" max="1" width="17.109375" style="1" customWidth="1"/>
    <col min="2" max="2" width="7" style="2" customWidth="1"/>
    <col min="3" max="3" width="4.88671875" style="4" customWidth="1"/>
    <col min="4" max="4" width="7.109375" style="3" customWidth="1"/>
    <col min="5" max="5" width="6" style="3" customWidth="1"/>
    <col min="6" max="6" width="4.33203125" style="4" customWidth="1"/>
    <col min="7" max="7" width="4.6640625" style="4" customWidth="1"/>
    <col min="8" max="8" width="6" style="3" customWidth="1"/>
    <col min="9" max="9" width="6.33203125" style="3" customWidth="1"/>
    <col min="10" max="10" width="5" style="4" customWidth="1"/>
    <col min="11" max="11" width="7.33203125" style="4" customWidth="1"/>
    <col min="12" max="12" width="6.5546875" style="49" hidden="1" customWidth="1"/>
    <col min="13" max="23" width="6.5546875" style="50" hidden="1" customWidth="1"/>
    <col min="24" max="24" width="4.5546875" style="52" hidden="1" customWidth="1"/>
    <col min="25" max="28" width="5.6640625" style="52" hidden="1" customWidth="1"/>
    <col min="29" max="30" width="4.5546875" style="52" hidden="1" customWidth="1"/>
    <col min="31" max="34" width="5.6640625" style="52" hidden="1" customWidth="1"/>
    <col min="35" max="35" width="4.5546875" style="52" hidden="1" customWidth="1"/>
    <col min="36" max="36" width="9.109375" style="68"/>
    <col min="37" max="16384" width="9.109375" style="1"/>
  </cols>
  <sheetData>
    <row r="1" spans="1:36" x14ac:dyDescent="0.25">
      <c r="A1" s="87"/>
      <c r="B1" s="101"/>
      <c r="C1" s="199" t="s">
        <v>113</v>
      </c>
      <c r="D1" s="200"/>
      <c r="E1" s="200"/>
      <c r="F1" s="201"/>
      <c r="G1" s="199" t="s">
        <v>229</v>
      </c>
      <c r="H1" s="200"/>
      <c r="I1" s="200"/>
      <c r="J1" s="201"/>
      <c r="K1" s="200" t="s">
        <v>114</v>
      </c>
      <c r="L1" s="202" t="s">
        <v>116</v>
      </c>
      <c r="M1" s="203"/>
      <c r="N1" s="203"/>
      <c r="O1" s="203"/>
      <c r="P1" s="203"/>
      <c r="Q1" s="204"/>
      <c r="R1" s="202" t="s">
        <v>230</v>
      </c>
      <c r="S1" s="203"/>
      <c r="T1" s="203"/>
      <c r="U1" s="203"/>
      <c r="V1" s="203"/>
      <c r="W1" s="204"/>
      <c r="X1" s="196" t="s">
        <v>118</v>
      </c>
      <c r="Y1" s="197"/>
      <c r="Z1" s="197"/>
      <c r="AA1" s="197"/>
      <c r="AB1" s="197"/>
      <c r="AC1" s="198"/>
      <c r="AD1" s="196" t="s">
        <v>231</v>
      </c>
      <c r="AE1" s="197"/>
      <c r="AF1" s="197"/>
      <c r="AG1" s="197"/>
      <c r="AH1" s="197"/>
      <c r="AI1" s="198"/>
      <c r="AJ1" s="98" t="s">
        <v>119</v>
      </c>
    </row>
    <row r="2" spans="1:36" x14ac:dyDescent="0.25">
      <c r="A2" s="122" t="s">
        <v>74</v>
      </c>
      <c r="B2" s="114" t="s">
        <v>3</v>
      </c>
      <c r="C2" s="113" t="s">
        <v>121</v>
      </c>
      <c r="D2" s="124" t="s">
        <v>122</v>
      </c>
      <c r="E2" s="124" t="s">
        <v>126</v>
      </c>
      <c r="F2" s="114" t="s">
        <v>124</v>
      </c>
      <c r="G2" s="113" t="s">
        <v>232</v>
      </c>
      <c r="H2" s="124" t="s">
        <v>122</v>
      </c>
      <c r="I2" s="124" t="s">
        <v>126</v>
      </c>
      <c r="J2" s="114" t="s">
        <v>124</v>
      </c>
      <c r="K2" s="92" t="s">
        <v>127</v>
      </c>
      <c r="L2" s="129" t="s">
        <v>128</v>
      </c>
      <c r="M2" s="130" t="s">
        <v>129</v>
      </c>
      <c r="N2" s="130" t="s">
        <v>130</v>
      </c>
      <c r="O2" s="130" t="s">
        <v>131</v>
      </c>
      <c r="P2" s="130" t="s">
        <v>132</v>
      </c>
      <c r="Q2" s="131" t="s">
        <v>133</v>
      </c>
      <c r="R2" s="129" t="s">
        <v>128</v>
      </c>
      <c r="S2" s="130" t="s">
        <v>129</v>
      </c>
      <c r="T2" s="130" t="s">
        <v>130</v>
      </c>
      <c r="U2" s="130" t="s">
        <v>131</v>
      </c>
      <c r="V2" s="130" t="s">
        <v>132</v>
      </c>
      <c r="W2" s="131" t="s">
        <v>133</v>
      </c>
      <c r="X2" s="133" t="s">
        <v>128</v>
      </c>
      <c r="Y2" s="134" t="s">
        <v>129</v>
      </c>
      <c r="Z2" s="134" t="s">
        <v>130</v>
      </c>
      <c r="AA2" s="134" t="s">
        <v>131</v>
      </c>
      <c r="AB2" s="134" t="s">
        <v>132</v>
      </c>
      <c r="AC2" s="135" t="s">
        <v>133</v>
      </c>
      <c r="AD2" s="133" t="s">
        <v>128</v>
      </c>
      <c r="AE2" s="134" t="s">
        <v>129</v>
      </c>
      <c r="AF2" s="134" t="s">
        <v>130</v>
      </c>
      <c r="AG2" s="134" t="s">
        <v>131</v>
      </c>
      <c r="AH2" s="134" t="s">
        <v>132</v>
      </c>
      <c r="AI2" s="135" t="s">
        <v>133</v>
      </c>
      <c r="AJ2" s="121" t="s">
        <v>134</v>
      </c>
    </row>
    <row r="3" spans="1:36" x14ac:dyDescent="0.25">
      <c r="A3" s="87" t="s">
        <v>233</v>
      </c>
      <c r="B3" s="88" t="s">
        <v>138</v>
      </c>
      <c r="C3" s="72">
        <v>330</v>
      </c>
      <c r="D3" s="73">
        <f>4.2*C3</f>
        <v>1386</v>
      </c>
      <c r="E3" s="73">
        <v>9</v>
      </c>
      <c r="F3" s="74">
        <v>13</v>
      </c>
      <c r="G3" s="72">
        <v>45</v>
      </c>
      <c r="H3" s="73">
        <f>9.5*G3</f>
        <v>427.5</v>
      </c>
      <c r="I3" s="73">
        <v>1</v>
      </c>
      <c r="J3" s="74">
        <v>3</v>
      </c>
      <c r="K3" s="73">
        <v>4</v>
      </c>
      <c r="L3" s="75">
        <v>0.72727272727272729</v>
      </c>
      <c r="M3" s="76">
        <v>9.7902097902097904E-2</v>
      </c>
      <c r="N3" s="76">
        <v>6.2937062937062943E-2</v>
      </c>
      <c r="O3" s="76">
        <v>2.097902097902098E-2</v>
      </c>
      <c r="P3" s="76">
        <v>2.7972027972027972E-2</v>
      </c>
      <c r="Q3" s="77">
        <v>6.2937062937062943E-2</v>
      </c>
      <c r="R3" s="75">
        <v>0.3</v>
      </c>
      <c r="S3" s="76">
        <v>0.33333333333333331</v>
      </c>
      <c r="T3" s="76">
        <v>0.16666666666666666</v>
      </c>
      <c r="U3" s="76">
        <v>0.1</v>
      </c>
      <c r="V3" s="76">
        <v>3.3333333333333333E-2</v>
      </c>
      <c r="W3" s="77">
        <v>6.6666666666666666E-2</v>
      </c>
      <c r="X3" s="78">
        <f t="shared" ref="X3:AC3" si="0">$F3*L3</f>
        <v>9.454545454545455</v>
      </c>
      <c r="Y3" s="79">
        <f t="shared" si="0"/>
        <v>1.2727272727272727</v>
      </c>
      <c r="Z3" s="79">
        <f t="shared" si="0"/>
        <v>0.81818181818181823</v>
      </c>
      <c r="AA3" s="79">
        <f t="shared" si="0"/>
        <v>0.27272727272727276</v>
      </c>
      <c r="AB3" s="79">
        <f t="shared" si="0"/>
        <v>0.36363636363636365</v>
      </c>
      <c r="AC3" s="80">
        <f t="shared" si="0"/>
        <v>0.81818181818181823</v>
      </c>
      <c r="AD3" s="78">
        <f t="shared" ref="AD3:AI3" si="1">R3*$J3</f>
        <v>0.89999999999999991</v>
      </c>
      <c r="AE3" s="79">
        <f t="shared" si="1"/>
        <v>1</v>
      </c>
      <c r="AF3" s="79">
        <f t="shared" si="1"/>
        <v>0.5</v>
      </c>
      <c r="AG3" s="79">
        <f t="shared" si="1"/>
        <v>0.30000000000000004</v>
      </c>
      <c r="AH3" s="79">
        <f t="shared" si="1"/>
        <v>0.1</v>
      </c>
      <c r="AI3" s="79">
        <f t="shared" si="1"/>
        <v>0.2</v>
      </c>
      <c r="AJ3" s="98">
        <f>Input!$D$22*RBs!C3+Input!$D$23*RBs!D3+Input!$D$24*RBs!X3+Input!$D$25*RBs!Y3+Input!$D$26*RBs!Z3+Input!$D$27*RBs!AA3+Input!$D$28*RBs!AB3+Input!$D$29*RBs!AC3+Input!$D$30*RBs!E3+Input!$D$31*RBs!G3+Input!$D$32*RBs!H3+Input!$D$33*RBs!AD3+Input!$D$34*RBs!AE3+Input!$D$35*RBs!AF3+Input!$D$36*RBs!AG3+Input!$D$37*RBs!AH3+Input!$D$38*RBs!AI3+Input!$D$39*RBs!I3+Input!$D$40*RBs!K3</f>
        <v>317.94090909090897</v>
      </c>
    </row>
    <row r="4" spans="1:36" x14ac:dyDescent="0.25">
      <c r="A4" s="89" t="s">
        <v>234</v>
      </c>
      <c r="B4" s="90" t="s">
        <v>136</v>
      </c>
      <c r="C4" s="45">
        <v>260</v>
      </c>
      <c r="D4" s="37">
        <f>4.7*C4</f>
        <v>1222</v>
      </c>
      <c r="E4" s="37">
        <v>7</v>
      </c>
      <c r="F4" s="38">
        <v>6</v>
      </c>
      <c r="G4" s="45">
        <v>75</v>
      </c>
      <c r="H4" s="37">
        <f>10.8*G4</f>
        <v>810</v>
      </c>
      <c r="I4" s="37">
        <v>2</v>
      </c>
      <c r="J4" s="38">
        <v>5</v>
      </c>
      <c r="K4" s="37">
        <v>3</v>
      </c>
      <c r="L4" s="81">
        <v>0.72727272727272729</v>
      </c>
      <c r="M4" s="82">
        <v>9.7902097902097904E-2</v>
      </c>
      <c r="N4" s="82">
        <v>6.2937062937062943E-2</v>
      </c>
      <c r="O4" s="82">
        <v>2.097902097902098E-2</v>
      </c>
      <c r="P4" s="82">
        <v>2.7972027972027972E-2</v>
      </c>
      <c r="Q4" s="83">
        <v>6.2937062937062943E-2</v>
      </c>
      <c r="R4" s="81">
        <v>0.3</v>
      </c>
      <c r="S4" s="82">
        <v>0.33333333333333331</v>
      </c>
      <c r="T4" s="82">
        <v>0.16666666666666666</v>
      </c>
      <c r="U4" s="82">
        <v>0.1</v>
      </c>
      <c r="V4" s="82">
        <v>3.3333333333333333E-2</v>
      </c>
      <c r="W4" s="83">
        <v>6.6666666666666666E-2</v>
      </c>
      <c r="X4" s="115">
        <f t="shared" ref="X4:X67" si="2">$F4*L4</f>
        <v>4.3636363636363633</v>
      </c>
      <c r="Y4" s="116">
        <f t="shared" ref="Y4:Y67" si="3">$F4*M4</f>
        <v>0.58741258741258739</v>
      </c>
      <c r="Z4" s="116">
        <f t="shared" ref="Z4:Z67" si="4">$F4*N4</f>
        <v>0.37762237762237766</v>
      </c>
      <c r="AA4" s="116">
        <f t="shared" ref="AA4:AA67" si="5">$F4*O4</f>
        <v>0.12587412587412589</v>
      </c>
      <c r="AB4" s="116">
        <f t="shared" ref="AB4:AB67" si="6">$F4*P4</f>
        <v>0.16783216783216784</v>
      </c>
      <c r="AC4" s="117">
        <f t="shared" ref="AC4:AC67" si="7">$F4*Q4</f>
        <v>0.37762237762237766</v>
      </c>
      <c r="AD4" s="115">
        <f t="shared" ref="AD4:AD67" si="8">R4*$J4</f>
        <v>1.5</v>
      </c>
      <c r="AE4" s="116">
        <f t="shared" ref="AE4:AE67" si="9">S4*$J4</f>
        <v>1.6666666666666665</v>
      </c>
      <c r="AF4" s="116">
        <f t="shared" ref="AF4:AF67" si="10">T4*$J4</f>
        <v>0.83333333333333326</v>
      </c>
      <c r="AG4" s="116">
        <f t="shared" ref="AG4:AG67" si="11">U4*$J4</f>
        <v>0.5</v>
      </c>
      <c r="AH4" s="116">
        <f t="shared" ref="AH4:AH67" si="12">V4*$J4</f>
        <v>0.16666666666666666</v>
      </c>
      <c r="AI4" s="116">
        <f t="shared" ref="AI4:AI67" si="13">W4*$J4</f>
        <v>0.33333333333333331</v>
      </c>
      <c r="AJ4" s="121">
        <f>Input!$D$22*RBs!C4+Input!$D$23*RBs!D4+Input!$D$24*RBs!X4+Input!$D$25*RBs!Y4+Input!$D$26*RBs!Z4+Input!$D$27*RBs!AA4+Input!$D$28*RBs!AB4+Input!$D$29*RBs!AC4+Input!$D$30*RBs!E4+Input!$D$31*RBs!G4+Input!$D$32*RBs!H4+Input!$D$33*RBs!AD4+Input!$D$34*RBs!AE4+Input!$D$35*RBs!AF4+Input!$D$36*RBs!AG4+Input!$D$37*RBs!AH4+Input!$D$38*RBs!AI4+Input!$D$39*RBs!I4+Input!$D$40*RBs!K4</f>
        <v>305.35734265734271</v>
      </c>
    </row>
    <row r="5" spans="1:36" x14ac:dyDescent="0.25">
      <c r="A5" s="89" t="s">
        <v>235</v>
      </c>
      <c r="B5" s="90" t="s">
        <v>154</v>
      </c>
      <c r="C5" s="45">
        <v>275</v>
      </c>
      <c r="D5" s="37">
        <f>4.4*C5</f>
        <v>1210</v>
      </c>
      <c r="E5" s="37">
        <v>7</v>
      </c>
      <c r="F5" s="38">
        <v>10</v>
      </c>
      <c r="G5" s="45">
        <v>34</v>
      </c>
      <c r="H5" s="37">
        <f>9.3*G5</f>
        <v>316.20000000000005</v>
      </c>
      <c r="I5" s="37">
        <v>0</v>
      </c>
      <c r="J5" s="38">
        <v>2</v>
      </c>
      <c r="K5" s="37">
        <v>3</v>
      </c>
      <c r="L5" s="81">
        <v>0.72727272727272729</v>
      </c>
      <c r="M5" s="82">
        <v>9.7902097902097904E-2</v>
      </c>
      <c r="N5" s="82">
        <v>6.2937062937062943E-2</v>
      </c>
      <c r="O5" s="82">
        <v>2.097902097902098E-2</v>
      </c>
      <c r="P5" s="82">
        <v>2.7972027972027972E-2</v>
      </c>
      <c r="Q5" s="83">
        <v>6.2937062937062943E-2</v>
      </c>
      <c r="R5" s="81">
        <v>0.3</v>
      </c>
      <c r="S5" s="82">
        <v>0.33333333333333331</v>
      </c>
      <c r="T5" s="82">
        <v>0.16666666666666666</v>
      </c>
      <c r="U5" s="82">
        <v>0.1</v>
      </c>
      <c r="V5" s="82">
        <v>3.3333333333333333E-2</v>
      </c>
      <c r="W5" s="83">
        <v>6.6666666666666666E-2</v>
      </c>
      <c r="X5" s="115">
        <f t="shared" si="2"/>
        <v>7.2727272727272734</v>
      </c>
      <c r="Y5" s="116">
        <f t="shared" si="3"/>
        <v>0.97902097902097907</v>
      </c>
      <c r="Z5" s="116">
        <f t="shared" si="4"/>
        <v>0.62937062937062938</v>
      </c>
      <c r="AA5" s="116">
        <f t="shared" si="5"/>
        <v>0.20979020979020979</v>
      </c>
      <c r="AB5" s="116">
        <f t="shared" si="6"/>
        <v>0.27972027972027974</v>
      </c>
      <c r="AC5" s="117">
        <f t="shared" si="7"/>
        <v>0.62937062937062938</v>
      </c>
      <c r="AD5" s="115">
        <f t="shared" si="8"/>
        <v>0.6</v>
      </c>
      <c r="AE5" s="116">
        <f t="shared" si="9"/>
        <v>0.66666666666666663</v>
      </c>
      <c r="AF5" s="116">
        <f t="shared" si="10"/>
        <v>0.33333333333333331</v>
      </c>
      <c r="AG5" s="116">
        <f t="shared" si="11"/>
        <v>0.2</v>
      </c>
      <c r="AH5" s="116">
        <f t="shared" si="12"/>
        <v>6.6666666666666666E-2</v>
      </c>
      <c r="AI5" s="116">
        <f t="shared" si="13"/>
        <v>0.13333333333333333</v>
      </c>
      <c r="AJ5" s="121">
        <f>Input!$D$22*RBs!C5+Input!$D$23*RBs!D5+Input!$D$24*RBs!X5+Input!$D$25*RBs!Y5+Input!$D$26*RBs!Z5+Input!$D$27*RBs!AA5+Input!$D$28*RBs!AB5+Input!$D$29*RBs!AC5+Input!$D$30*RBs!E5+Input!$D$31*RBs!G5+Input!$D$32*RBs!H5+Input!$D$33*RBs!AD5+Input!$D$34*RBs!AE5+Input!$D$35*RBs!AF5+Input!$D$36*RBs!AG5+Input!$D$37*RBs!AH5+Input!$D$38*RBs!AI5+Input!$D$39*RBs!I5+Input!$D$40*RBs!K5</f>
        <v>253.38223776223776</v>
      </c>
    </row>
    <row r="6" spans="1:36" x14ac:dyDescent="0.25">
      <c r="A6" s="89" t="s">
        <v>236</v>
      </c>
      <c r="B6" s="90" t="s">
        <v>142</v>
      </c>
      <c r="C6" s="45">
        <v>330</v>
      </c>
      <c r="D6" s="37">
        <f>3.9*C6</f>
        <v>1287</v>
      </c>
      <c r="E6" s="37">
        <v>6</v>
      </c>
      <c r="F6" s="38">
        <v>8</v>
      </c>
      <c r="G6" s="45">
        <v>40</v>
      </c>
      <c r="H6" s="37">
        <f>9*G6</f>
        <v>360</v>
      </c>
      <c r="I6" s="37">
        <v>0</v>
      </c>
      <c r="J6" s="38">
        <v>2</v>
      </c>
      <c r="K6" s="37">
        <v>4</v>
      </c>
      <c r="L6" s="81">
        <v>0.72727272727272729</v>
      </c>
      <c r="M6" s="82">
        <v>9.7902097902097904E-2</v>
      </c>
      <c r="N6" s="82">
        <v>6.2937062937062943E-2</v>
      </c>
      <c r="O6" s="82">
        <v>2.097902097902098E-2</v>
      </c>
      <c r="P6" s="82">
        <v>2.7972027972027972E-2</v>
      </c>
      <c r="Q6" s="83">
        <v>6.2937062937062943E-2</v>
      </c>
      <c r="R6" s="81">
        <v>0.3</v>
      </c>
      <c r="S6" s="82">
        <v>0.33333333333333331</v>
      </c>
      <c r="T6" s="82">
        <v>0.16666666666666666</v>
      </c>
      <c r="U6" s="82">
        <v>0.1</v>
      </c>
      <c r="V6" s="82">
        <v>3.3333333333333333E-2</v>
      </c>
      <c r="W6" s="83">
        <v>6.6666666666666666E-2</v>
      </c>
      <c r="X6" s="115">
        <f t="shared" si="2"/>
        <v>5.8181818181818183</v>
      </c>
      <c r="Y6" s="116">
        <f t="shared" si="3"/>
        <v>0.78321678321678323</v>
      </c>
      <c r="Z6" s="116">
        <f t="shared" si="4"/>
        <v>0.50349650349650354</v>
      </c>
      <c r="AA6" s="116">
        <f t="shared" si="5"/>
        <v>0.16783216783216784</v>
      </c>
      <c r="AB6" s="116">
        <f t="shared" si="6"/>
        <v>0.22377622377622378</v>
      </c>
      <c r="AC6" s="117">
        <f t="shared" si="7"/>
        <v>0.50349650349650354</v>
      </c>
      <c r="AD6" s="115">
        <f t="shared" si="8"/>
        <v>0.6</v>
      </c>
      <c r="AE6" s="116">
        <f t="shared" si="9"/>
        <v>0.66666666666666663</v>
      </c>
      <c r="AF6" s="116">
        <f t="shared" si="10"/>
        <v>0.33333333333333331</v>
      </c>
      <c r="AG6" s="116">
        <f t="shared" si="11"/>
        <v>0.2</v>
      </c>
      <c r="AH6" s="116">
        <f t="shared" si="12"/>
        <v>6.6666666666666666E-2</v>
      </c>
      <c r="AI6" s="116">
        <f t="shared" si="13"/>
        <v>0.13333333333333333</v>
      </c>
      <c r="AJ6" s="121">
        <f>Input!$D$22*RBs!C6+Input!$D$23*RBs!D6+Input!$D$24*RBs!X6+Input!$D$25*RBs!Y6+Input!$D$26*RBs!Z6+Input!$D$27*RBs!AA6+Input!$D$28*RBs!AB6+Input!$D$29*RBs!AC6+Input!$D$30*RBs!E6+Input!$D$31*RBs!G6+Input!$D$32*RBs!H6+Input!$D$33*RBs!AD6+Input!$D$34*RBs!AE6+Input!$D$35*RBs!AF6+Input!$D$36*RBs!AG6+Input!$D$37*RBs!AH6+Input!$D$38*RBs!AI6+Input!$D$39*RBs!I6+Input!$D$40*RBs!K6</f>
        <v>247.90979020979023</v>
      </c>
    </row>
    <row r="7" spans="1:36" x14ac:dyDescent="0.25">
      <c r="A7" s="89" t="s">
        <v>237</v>
      </c>
      <c r="B7" s="90" t="s">
        <v>168</v>
      </c>
      <c r="C7" s="45">
        <v>320</v>
      </c>
      <c r="D7" s="37">
        <f>4.2*C7</f>
        <v>1344</v>
      </c>
      <c r="E7" s="37">
        <v>7</v>
      </c>
      <c r="F7" s="38">
        <v>11</v>
      </c>
      <c r="G7" s="45">
        <v>22</v>
      </c>
      <c r="H7" s="37">
        <f>5.5*G7</f>
        <v>121</v>
      </c>
      <c r="I7" s="37">
        <v>0</v>
      </c>
      <c r="J7" s="38">
        <v>2</v>
      </c>
      <c r="K7" s="37">
        <v>3</v>
      </c>
      <c r="L7" s="81">
        <v>0.72727272727272729</v>
      </c>
      <c r="M7" s="82">
        <v>9.7902097902097904E-2</v>
      </c>
      <c r="N7" s="82">
        <v>6.2937062937062943E-2</v>
      </c>
      <c r="O7" s="82">
        <v>2.097902097902098E-2</v>
      </c>
      <c r="P7" s="82">
        <v>2.7972027972027972E-2</v>
      </c>
      <c r="Q7" s="83">
        <v>6.2937062937062943E-2</v>
      </c>
      <c r="R7" s="81">
        <v>0.3</v>
      </c>
      <c r="S7" s="82">
        <v>0.33333333333333331</v>
      </c>
      <c r="T7" s="82">
        <v>0.16666666666666666</v>
      </c>
      <c r="U7" s="82">
        <v>0.1</v>
      </c>
      <c r="V7" s="82">
        <v>3.3333333333333333E-2</v>
      </c>
      <c r="W7" s="83">
        <v>6.6666666666666666E-2</v>
      </c>
      <c r="X7" s="115">
        <f t="shared" si="2"/>
        <v>8</v>
      </c>
      <c r="Y7" s="116">
        <f t="shared" si="3"/>
        <v>1.0769230769230769</v>
      </c>
      <c r="Z7" s="116">
        <f t="shared" si="4"/>
        <v>0.6923076923076924</v>
      </c>
      <c r="AA7" s="116">
        <f t="shared" si="5"/>
        <v>0.23076923076923078</v>
      </c>
      <c r="AB7" s="116">
        <f t="shared" si="6"/>
        <v>0.30769230769230771</v>
      </c>
      <c r="AC7" s="117">
        <f t="shared" si="7"/>
        <v>0.6923076923076924</v>
      </c>
      <c r="AD7" s="115">
        <f t="shared" si="8"/>
        <v>0.6</v>
      </c>
      <c r="AE7" s="116">
        <f t="shared" si="9"/>
        <v>0.66666666666666663</v>
      </c>
      <c r="AF7" s="116">
        <f t="shared" si="10"/>
        <v>0.33333333333333331</v>
      </c>
      <c r="AG7" s="116">
        <f t="shared" si="11"/>
        <v>0.2</v>
      </c>
      <c r="AH7" s="116">
        <f t="shared" si="12"/>
        <v>6.6666666666666666E-2</v>
      </c>
      <c r="AI7" s="116">
        <f t="shared" si="13"/>
        <v>0.13333333333333333</v>
      </c>
      <c r="AJ7" s="121">
        <f>Input!$D$22*RBs!C7+Input!$D$23*RBs!D7+Input!$D$24*RBs!X7+Input!$D$25*RBs!Y7+Input!$D$26*RBs!Z7+Input!$D$27*RBs!AA7+Input!$D$28*RBs!AB7+Input!$D$29*RBs!AC7+Input!$D$30*RBs!E7+Input!$D$31*RBs!G7+Input!$D$32*RBs!H7+Input!$D$33*RBs!AD7+Input!$D$34*RBs!AE7+Input!$D$35*RBs!AF7+Input!$D$36*RBs!AG7+Input!$D$37*RBs!AH7+Input!$D$38*RBs!AI7+Input!$D$39*RBs!I7+Input!$D$40*RBs!K7</f>
        <v>254.03846153846155</v>
      </c>
    </row>
    <row r="8" spans="1:36" x14ac:dyDescent="0.25">
      <c r="A8" s="89" t="s">
        <v>238</v>
      </c>
      <c r="B8" s="90" t="s">
        <v>150</v>
      </c>
      <c r="C8" s="45">
        <v>310</v>
      </c>
      <c r="D8" s="37">
        <f>4.4*C8</f>
        <v>1364</v>
      </c>
      <c r="E8" s="37">
        <v>7</v>
      </c>
      <c r="F8" s="38">
        <v>12</v>
      </c>
      <c r="G8" s="45">
        <v>25</v>
      </c>
      <c r="H8" s="37">
        <f>8.2*G8</f>
        <v>204.99999999999997</v>
      </c>
      <c r="I8" s="37">
        <v>0</v>
      </c>
      <c r="J8" s="38">
        <v>1</v>
      </c>
      <c r="K8" s="37">
        <v>3</v>
      </c>
      <c r="L8" s="81">
        <v>0.72727272727272729</v>
      </c>
      <c r="M8" s="82">
        <v>9.7902097902097904E-2</v>
      </c>
      <c r="N8" s="82">
        <v>6.2937062937062943E-2</v>
      </c>
      <c r="O8" s="82">
        <v>2.097902097902098E-2</v>
      </c>
      <c r="P8" s="82">
        <v>2.7972027972027972E-2</v>
      </c>
      <c r="Q8" s="83">
        <v>6.2937062937062943E-2</v>
      </c>
      <c r="R8" s="81">
        <v>0.3</v>
      </c>
      <c r="S8" s="82">
        <v>0.33333333333333331</v>
      </c>
      <c r="T8" s="82">
        <v>0.16666666666666666</v>
      </c>
      <c r="U8" s="82">
        <v>0.1</v>
      </c>
      <c r="V8" s="82">
        <v>3.3333333333333333E-2</v>
      </c>
      <c r="W8" s="83">
        <v>6.6666666666666666E-2</v>
      </c>
      <c r="X8" s="115">
        <f t="shared" si="2"/>
        <v>8.7272727272727266</v>
      </c>
      <c r="Y8" s="116">
        <f t="shared" si="3"/>
        <v>1.1748251748251748</v>
      </c>
      <c r="Z8" s="116">
        <f t="shared" si="4"/>
        <v>0.75524475524475532</v>
      </c>
      <c r="AA8" s="116">
        <f t="shared" si="5"/>
        <v>0.25174825174825177</v>
      </c>
      <c r="AB8" s="116">
        <f t="shared" si="6"/>
        <v>0.33566433566433568</v>
      </c>
      <c r="AC8" s="117">
        <f t="shared" si="7"/>
        <v>0.75524475524475532</v>
      </c>
      <c r="AD8" s="115">
        <f t="shared" si="8"/>
        <v>0.3</v>
      </c>
      <c r="AE8" s="116">
        <f t="shared" si="9"/>
        <v>0.33333333333333331</v>
      </c>
      <c r="AF8" s="116">
        <f t="shared" si="10"/>
        <v>0.16666666666666666</v>
      </c>
      <c r="AG8" s="116">
        <f t="shared" si="11"/>
        <v>0.1</v>
      </c>
      <c r="AH8" s="116">
        <f t="shared" si="12"/>
        <v>3.3333333333333333E-2</v>
      </c>
      <c r="AI8" s="116">
        <f t="shared" si="13"/>
        <v>6.6666666666666666E-2</v>
      </c>
      <c r="AJ8" s="121">
        <f>Input!$D$22*RBs!C8+Input!$D$23*RBs!D8+Input!$D$24*RBs!X8+Input!$D$25*RBs!Y8+Input!$D$26*RBs!Z8+Input!$D$27*RBs!AA8+Input!$D$28*RBs!AB8+Input!$D$29*RBs!AC8+Input!$D$30*RBs!E8+Input!$D$31*RBs!G8+Input!$D$32*RBs!H8+Input!$D$33*RBs!AD8+Input!$D$34*RBs!AE8+Input!$D$35*RBs!AF8+Input!$D$36*RBs!AG8+Input!$D$37*RBs!AH8+Input!$D$38*RBs!AI8+Input!$D$39*RBs!I8+Input!$D$40*RBs!K8</f>
        <v>263.71468531468525</v>
      </c>
    </row>
    <row r="9" spans="1:36" x14ac:dyDescent="0.25">
      <c r="A9" s="89" t="s">
        <v>239</v>
      </c>
      <c r="B9" s="90" t="s">
        <v>162</v>
      </c>
      <c r="C9" s="45">
        <v>280</v>
      </c>
      <c r="D9" s="37">
        <f>4.7*C9</f>
        <v>1316</v>
      </c>
      <c r="E9" s="37">
        <v>6</v>
      </c>
      <c r="F9" s="38">
        <v>12</v>
      </c>
      <c r="G9" s="45">
        <v>20</v>
      </c>
      <c r="H9" s="37">
        <f>7.8*G9</f>
        <v>156</v>
      </c>
      <c r="I9" s="37">
        <v>0</v>
      </c>
      <c r="J9" s="38">
        <v>1</v>
      </c>
      <c r="K9" s="37">
        <v>3</v>
      </c>
      <c r="L9" s="81">
        <v>0.72727272727272729</v>
      </c>
      <c r="M9" s="82">
        <v>9.7902097902097904E-2</v>
      </c>
      <c r="N9" s="82">
        <v>6.2937062937062943E-2</v>
      </c>
      <c r="O9" s="82">
        <v>2.097902097902098E-2</v>
      </c>
      <c r="P9" s="82">
        <v>2.7972027972027972E-2</v>
      </c>
      <c r="Q9" s="83">
        <v>6.2937062937062943E-2</v>
      </c>
      <c r="R9" s="81">
        <v>0.3</v>
      </c>
      <c r="S9" s="82">
        <v>0.33333333333333331</v>
      </c>
      <c r="T9" s="82">
        <v>0.16666666666666666</v>
      </c>
      <c r="U9" s="82">
        <v>0.1</v>
      </c>
      <c r="V9" s="82">
        <v>3.3333333333333333E-2</v>
      </c>
      <c r="W9" s="83">
        <v>6.6666666666666666E-2</v>
      </c>
      <c r="X9" s="115">
        <f t="shared" si="2"/>
        <v>8.7272727272727266</v>
      </c>
      <c r="Y9" s="116">
        <f t="shared" si="3"/>
        <v>1.1748251748251748</v>
      </c>
      <c r="Z9" s="116">
        <f t="shared" si="4"/>
        <v>0.75524475524475532</v>
      </c>
      <c r="AA9" s="116">
        <f t="shared" si="5"/>
        <v>0.25174825174825177</v>
      </c>
      <c r="AB9" s="116">
        <f t="shared" si="6"/>
        <v>0.33566433566433568</v>
      </c>
      <c r="AC9" s="117">
        <f t="shared" si="7"/>
        <v>0.75524475524475532</v>
      </c>
      <c r="AD9" s="115">
        <f t="shared" si="8"/>
        <v>0.3</v>
      </c>
      <c r="AE9" s="116">
        <f t="shared" si="9"/>
        <v>0.33333333333333331</v>
      </c>
      <c r="AF9" s="116">
        <f t="shared" si="10"/>
        <v>0.16666666666666666</v>
      </c>
      <c r="AG9" s="116">
        <f t="shared" si="11"/>
        <v>0.1</v>
      </c>
      <c r="AH9" s="116">
        <f t="shared" si="12"/>
        <v>3.3333333333333333E-2</v>
      </c>
      <c r="AI9" s="116">
        <f t="shared" si="13"/>
        <v>6.6666666666666666E-2</v>
      </c>
      <c r="AJ9" s="121">
        <f>Input!$D$22*RBs!C9+Input!$D$23*RBs!D9+Input!$D$24*RBs!X9+Input!$D$25*RBs!Y9+Input!$D$26*RBs!Z9+Input!$D$27*RBs!AA9+Input!$D$28*RBs!AB9+Input!$D$29*RBs!AC9+Input!$D$30*RBs!E9+Input!$D$31*RBs!G9+Input!$D$32*RBs!H9+Input!$D$33*RBs!AD9+Input!$D$34*RBs!AE9+Input!$D$35*RBs!AF9+Input!$D$36*RBs!AG9+Input!$D$37*RBs!AH9+Input!$D$38*RBs!AI9+Input!$D$39*RBs!I9+Input!$D$40*RBs!K9</f>
        <v>251.01468531468535</v>
      </c>
    </row>
    <row r="10" spans="1:36" x14ac:dyDescent="0.25">
      <c r="A10" s="89" t="s">
        <v>240</v>
      </c>
      <c r="B10" s="90" t="s">
        <v>140</v>
      </c>
      <c r="C10" s="45">
        <v>300</v>
      </c>
      <c r="D10" s="37">
        <f>3.7*C10</f>
        <v>1110</v>
      </c>
      <c r="E10" s="37">
        <v>3</v>
      </c>
      <c r="F10" s="38">
        <v>7</v>
      </c>
      <c r="G10" s="45">
        <v>70</v>
      </c>
      <c r="H10" s="37">
        <f>7.7*G10</f>
        <v>539</v>
      </c>
      <c r="I10" s="37">
        <v>1</v>
      </c>
      <c r="J10" s="38">
        <v>3</v>
      </c>
      <c r="K10" s="37">
        <v>4</v>
      </c>
      <c r="L10" s="81">
        <v>0.72727272727272729</v>
      </c>
      <c r="M10" s="82">
        <v>9.7902097902097904E-2</v>
      </c>
      <c r="N10" s="82">
        <v>6.2937062937062943E-2</v>
      </c>
      <c r="O10" s="82">
        <v>2.097902097902098E-2</v>
      </c>
      <c r="P10" s="82">
        <v>2.7972027972027972E-2</v>
      </c>
      <c r="Q10" s="83">
        <v>6.2937062937062943E-2</v>
      </c>
      <c r="R10" s="81">
        <v>0.3</v>
      </c>
      <c r="S10" s="82">
        <v>0.33333333333333331</v>
      </c>
      <c r="T10" s="82">
        <v>0.16666666666666666</v>
      </c>
      <c r="U10" s="82">
        <v>0.1</v>
      </c>
      <c r="V10" s="82">
        <v>3.3333333333333333E-2</v>
      </c>
      <c r="W10" s="83">
        <v>6.6666666666666666E-2</v>
      </c>
      <c r="X10" s="115">
        <f t="shared" si="2"/>
        <v>5.0909090909090908</v>
      </c>
      <c r="Y10" s="116">
        <f t="shared" si="3"/>
        <v>0.68531468531468531</v>
      </c>
      <c r="Z10" s="116">
        <f t="shared" si="4"/>
        <v>0.44055944055944063</v>
      </c>
      <c r="AA10" s="116">
        <f t="shared" si="5"/>
        <v>0.14685314685314685</v>
      </c>
      <c r="AB10" s="116">
        <f t="shared" si="6"/>
        <v>0.19580419580419581</v>
      </c>
      <c r="AC10" s="117">
        <f t="shared" si="7"/>
        <v>0.44055944055944063</v>
      </c>
      <c r="AD10" s="115">
        <f t="shared" si="8"/>
        <v>0.89999999999999991</v>
      </c>
      <c r="AE10" s="116">
        <f t="shared" si="9"/>
        <v>1</v>
      </c>
      <c r="AF10" s="116">
        <f t="shared" si="10"/>
        <v>0.5</v>
      </c>
      <c r="AG10" s="116">
        <f t="shared" si="11"/>
        <v>0.30000000000000004</v>
      </c>
      <c r="AH10" s="116">
        <f t="shared" si="12"/>
        <v>0.1</v>
      </c>
      <c r="AI10" s="116">
        <f t="shared" si="13"/>
        <v>0.2</v>
      </c>
      <c r="AJ10" s="121">
        <f>Input!$D$22*RBs!C10+Input!$D$23*RBs!D10+Input!$D$24*RBs!X10+Input!$D$25*RBs!Y10+Input!$D$26*RBs!Z10+Input!$D$27*RBs!AA10+Input!$D$28*RBs!AB10+Input!$D$29*RBs!AC10+Input!$D$30*RBs!E10+Input!$D$31*RBs!G10+Input!$D$32*RBs!H10+Input!$D$33*RBs!AD10+Input!$D$34*RBs!AE10+Input!$D$35*RBs!AF10+Input!$D$36*RBs!AG10+Input!$D$37*RBs!AH10+Input!$D$38*RBs!AI10+Input!$D$39*RBs!I10+Input!$D$40*RBs!K10</f>
        <v>242.83356643356643</v>
      </c>
    </row>
    <row r="11" spans="1:36" x14ac:dyDescent="0.25">
      <c r="A11" s="89" t="s">
        <v>241</v>
      </c>
      <c r="B11" s="90" t="s">
        <v>178</v>
      </c>
      <c r="C11" s="45">
        <v>340</v>
      </c>
      <c r="D11" s="37">
        <f>3.8*C11</f>
        <v>1292</v>
      </c>
      <c r="E11" s="37">
        <v>5</v>
      </c>
      <c r="F11" s="38">
        <v>6</v>
      </c>
      <c r="G11" s="45">
        <v>45</v>
      </c>
      <c r="H11" s="37">
        <f>7.4*G11</f>
        <v>333</v>
      </c>
      <c r="I11" s="37">
        <v>0</v>
      </c>
      <c r="J11" s="38">
        <v>2</v>
      </c>
      <c r="K11" s="37">
        <v>3</v>
      </c>
      <c r="L11" s="81">
        <v>0.72727272727272729</v>
      </c>
      <c r="M11" s="82">
        <v>9.7902097902097904E-2</v>
      </c>
      <c r="N11" s="82">
        <v>6.2937062937062943E-2</v>
      </c>
      <c r="O11" s="82">
        <v>2.097902097902098E-2</v>
      </c>
      <c r="P11" s="82">
        <v>2.7972027972027972E-2</v>
      </c>
      <c r="Q11" s="83">
        <v>6.2937062937062943E-2</v>
      </c>
      <c r="R11" s="81">
        <v>0.3</v>
      </c>
      <c r="S11" s="82">
        <v>0.33333333333333331</v>
      </c>
      <c r="T11" s="82">
        <v>0.16666666666666666</v>
      </c>
      <c r="U11" s="82">
        <v>0.1</v>
      </c>
      <c r="V11" s="82">
        <v>3.3333333333333333E-2</v>
      </c>
      <c r="W11" s="83">
        <v>6.6666666666666666E-2</v>
      </c>
      <c r="X11" s="115">
        <f t="shared" si="2"/>
        <v>4.3636363636363633</v>
      </c>
      <c r="Y11" s="116">
        <f t="shared" si="3"/>
        <v>0.58741258741258739</v>
      </c>
      <c r="Z11" s="116">
        <f t="shared" si="4"/>
        <v>0.37762237762237766</v>
      </c>
      <c r="AA11" s="116">
        <f t="shared" si="5"/>
        <v>0.12587412587412589</v>
      </c>
      <c r="AB11" s="116">
        <f t="shared" si="6"/>
        <v>0.16783216783216784</v>
      </c>
      <c r="AC11" s="117">
        <f t="shared" si="7"/>
        <v>0.37762237762237766</v>
      </c>
      <c r="AD11" s="115">
        <f t="shared" si="8"/>
        <v>0.6</v>
      </c>
      <c r="AE11" s="116">
        <f t="shared" si="9"/>
        <v>0.66666666666666663</v>
      </c>
      <c r="AF11" s="116">
        <f t="shared" si="10"/>
        <v>0.33333333333333331</v>
      </c>
      <c r="AG11" s="116">
        <f t="shared" si="11"/>
        <v>0.2</v>
      </c>
      <c r="AH11" s="116">
        <f t="shared" si="12"/>
        <v>6.6666666666666666E-2</v>
      </c>
      <c r="AI11" s="116">
        <f t="shared" si="13"/>
        <v>0.13333333333333333</v>
      </c>
      <c r="AJ11" s="121">
        <f>Input!$D$22*RBs!C11+Input!$D$23*RBs!D11+Input!$D$24*RBs!X11+Input!$D$25*RBs!Y11+Input!$D$26*RBs!Z11+Input!$D$27*RBs!AA11+Input!$D$28*RBs!AB11+Input!$D$29*RBs!AC11+Input!$D$30*RBs!E11+Input!$D$31*RBs!G11+Input!$D$32*RBs!H11+Input!$D$33*RBs!AD11+Input!$D$34*RBs!AE11+Input!$D$35*RBs!AF11+Input!$D$36*RBs!AG11+Input!$D$37*RBs!AH11+Input!$D$38*RBs!AI11+Input!$D$39*RBs!I11+Input!$D$40*RBs!K11</f>
        <v>230.15734265734264</v>
      </c>
    </row>
    <row r="12" spans="1:36" x14ac:dyDescent="0.25">
      <c r="A12" s="89" t="s">
        <v>242</v>
      </c>
      <c r="B12" s="90" t="s">
        <v>170</v>
      </c>
      <c r="C12" s="36">
        <v>275</v>
      </c>
      <c r="D12" s="37">
        <f>4*C12</f>
        <v>1100</v>
      </c>
      <c r="E12" s="40">
        <v>5</v>
      </c>
      <c r="F12" s="41">
        <v>5</v>
      </c>
      <c r="G12" s="36">
        <v>50</v>
      </c>
      <c r="H12" s="40">
        <f>7.5*G12</f>
        <v>375</v>
      </c>
      <c r="I12" s="40">
        <v>0</v>
      </c>
      <c r="J12" s="41">
        <v>2</v>
      </c>
      <c r="K12" s="40">
        <v>5</v>
      </c>
      <c r="L12" s="81">
        <v>0.72727272727272729</v>
      </c>
      <c r="M12" s="82">
        <v>9.7902097902097904E-2</v>
      </c>
      <c r="N12" s="82">
        <v>6.2937062937062943E-2</v>
      </c>
      <c r="O12" s="82">
        <v>2.097902097902098E-2</v>
      </c>
      <c r="P12" s="82">
        <v>2.7972027972027972E-2</v>
      </c>
      <c r="Q12" s="83">
        <v>6.2937062937062943E-2</v>
      </c>
      <c r="R12" s="81">
        <v>0.3</v>
      </c>
      <c r="S12" s="82">
        <v>0.33333333333333331</v>
      </c>
      <c r="T12" s="82">
        <v>0.16666666666666666</v>
      </c>
      <c r="U12" s="82">
        <v>0.1</v>
      </c>
      <c r="V12" s="82">
        <v>3.3333333333333333E-2</v>
      </c>
      <c r="W12" s="83">
        <v>6.6666666666666666E-2</v>
      </c>
      <c r="X12" s="115">
        <f t="shared" si="2"/>
        <v>3.6363636363636367</v>
      </c>
      <c r="Y12" s="116">
        <f t="shared" si="3"/>
        <v>0.48951048951048953</v>
      </c>
      <c r="Z12" s="116">
        <f t="shared" si="4"/>
        <v>0.31468531468531469</v>
      </c>
      <c r="AA12" s="116">
        <f t="shared" si="5"/>
        <v>0.1048951048951049</v>
      </c>
      <c r="AB12" s="116">
        <f t="shared" si="6"/>
        <v>0.13986013986013987</v>
      </c>
      <c r="AC12" s="117">
        <f t="shared" si="7"/>
        <v>0.31468531468531469</v>
      </c>
      <c r="AD12" s="115">
        <f t="shared" si="8"/>
        <v>0.6</v>
      </c>
      <c r="AE12" s="116">
        <f t="shared" si="9"/>
        <v>0.66666666666666663</v>
      </c>
      <c r="AF12" s="116">
        <f t="shared" si="10"/>
        <v>0.33333333333333331</v>
      </c>
      <c r="AG12" s="116">
        <f t="shared" si="11"/>
        <v>0.2</v>
      </c>
      <c r="AH12" s="116">
        <f t="shared" si="12"/>
        <v>6.6666666666666666E-2</v>
      </c>
      <c r="AI12" s="116">
        <f t="shared" si="13"/>
        <v>0.13333333333333333</v>
      </c>
      <c r="AJ12" s="121">
        <f>Input!$D$22*RBs!C12+Input!$D$23*RBs!D12+Input!$D$24*RBs!X12+Input!$D$25*RBs!Y12+Input!$D$26*RBs!Z12+Input!$D$27*RBs!AA12+Input!$D$28*RBs!AB12+Input!$D$29*RBs!AC12+Input!$D$30*RBs!E12+Input!$D$31*RBs!G12+Input!$D$32*RBs!H12+Input!$D$33*RBs!AD12+Input!$D$34*RBs!AE12+Input!$D$35*RBs!AF12+Input!$D$36*RBs!AG12+Input!$D$37*RBs!AH12+Input!$D$38*RBs!AI12+Input!$D$39*RBs!I12+Input!$D$40*RBs!K12</f>
        <v>206.38111888111885</v>
      </c>
    </row>
    <row r="13" spans="1:36" x14ac:dyDescent="0.25">
      <c r="A13" s="89" t="s">
        <v>243</v>
      </c>
      <c r="B13" s="90" t="s">
        <v>188</v>
      </c>
      <c r="C13" s="45">
        <v>310</v>
      </c>
      <c r="D13" s="37">
        <f>3.9*C13</f>
        <v>1209</v>
      </c>
      <c r="E13" s="37">
        <v>4</v>
      </c>
      <c r="F13" s="38">
        <v>10</v>
      </c>
      <c r="G13" s="45">
        <v>18</v>
      </c>
      <c r="H13" s="37">
        <f>6*G13</f>
        <v>108</v>
      </c>
      <c r="I13" s="37">
        <v>0</v>
      </c>
      <c r="J13" s="38">
        <v>1</v>
      </c>
      <c r="K13" s="37">
        <v>4</v>
      </c>
      <c r="L13" s="81">
        <v>0.72727272727272729</v>
      </c>
      <c r="M13" s="82">
        <v>9.7902097902097904E-2</v>
      </c>
      <c r="N13" s="82">
        <v>6.2937062937062943E-2</v>
      </c>
      <c r="O13" s="82">
        <v>2.097902097902098E-2</v>
      </c>
      <c r="P13" s="82">
        <v>2.7972027972027972E-2</v>
      </c>
      <c r="Q13" s="83">
        <v>6.2937062937062943E-2</v>
      </c>
      <c r="R13" s="81">
        <v>0.3</v>
      </c>
      <c r="S13" s="82">
        <v>0.33333333333333331</v>
      </c>
      <c r="T13" s="82">
        <v>0.16666666666666666</v>
      </c>
      <c r="U13" s="82">
        <v>0.1</v>
      </c>
      <c r="V13" s="82">
        <v>3.3333333333333333E-2</v>
      </c>
      <c r="W13" s="83">
        <v>6.6666666666666666E-2</v>
      </c>
      <c r="X13" s="115">
        <f t="shared" si="2"/>
        <v>7.2727272727272734</v>
      </c>
      <c r="Y13" s="116">
        <f t="shared" si="3"/>
        <v>0.97902097902097907</v>
      </c>
      <c r="Z13" s="116">
        <f t="shared" si="4"/>
        <v>0.62937062937062938</v>
      </c>
      <c r="AA13" s="116">
        <f t="shared" si="5"/>
        <v>0.20979020979020979</v>
      </c>
      <c r="AB13" s="116">
        <f t="shared" si="6"/>
        <v>0.27972027972027974</v>
      </c>
      <c r="AC13" s="117">
        <f t="shared" si="7"/>
        <v>0.62937062937062938</v>
      </c>
      <c r="AD13" s="115">
        <f t="shared" si="8"/>
        <v>0.3</v>
      </c>
      <c r="AE13" s="116">
        <f t="shared" si="9"/>
        <v>0.33333333333333331</v>
      </c>
      <c r="AF13" s="116">
        <f t="shared" si="10"/>
        <v>0.16666666666666666</v>
      </c>
      <c r="AG13" s="116">
        <f t="shared" si="11"/>
        <v>0.1</v>
      </c>
      <c r="AH13" s="116">
        <f t="shared" si="12"/>
        <v>3.3333333333333333E-2</v>
      </c>
      <c r="AI13" s="116">
        <f t="shared" si="13"/>
        <v>6.6666666666666666E-2</v>
      </c>
      <c r="AJ13" s="121">
        <f>Input!$D$22*RBs!C13+Input!$D$23*RBs!D13+Input!$D$24*RBs!X13+Input!$D$25*RBs!Y13+Input!$D$26*RBs!Z13+Input!$D$27*RBs!AA13+Input!$D$28*RBs!AB13+Input!$D$29*RBs!AC13+Input!$D$30*RBs!E13+Input!$D$31*RBs!G13+Input!$D$32*RBs!H13+Input!$D$33*RBs!AD13+Input!$D$34*RBs!AE13+Input!$D$35*RBs!AF13+Input!$D$36*RBs!AG13+Input!$D$37*RBs!AH13+Input!$D$38*RBs!AI13+Input!$D$39*RBs!I13+Input!$D$40*RBs!K13</f>
        <v>214.96223776223786</v>
      </c>
    </row>
    <row r="14" spans="1:36" x14ac:dyDescent="0.25">
      <c r="A14" s="89" t="s">
        <v>244</v>
      </c>
      <c r="B14" s="90" t="s">
        <v>160</v>
      </c>
      <c r="C14" s="45">
        <v>275</v>
      </c>
      <c r="D14" s="37">
        <f>4.7*C14</f>
        <v>1292.5</v>
      </c>
      <c r="E14" s="37">
        <v>4</v>
      </c>
      <c r="F14" s="38">
        <v>5</v>
      </c>
      <c r="G14" s="45">
        <v>40</v>
      </c>
      <c r="H14" s="37">
        <f>6.9*G14</f>
        <v>276</v>
      </c>
      <c r="I14" s="37">
        <v>0</v>
      </c>
      <c r="J14" s="38">
        <v>1</v>
      </c>
      <c r="K14" s="37">
        <v>2</v>
      </c>
      <c r="L14" s="81">
        <v>0.72727272727272729</v>
      </c>
      <c r="M14" s="82">
        <v>9.7902097902097904E-2</v>
      </c>
      <c r="N14" s="82">
        <v>6.2937062937062943E-2</v>
      </c>
      <c r="O14" s="82">
        <v>2.097902097902098E-2</v>
      </c>
      <c r="P14" s="82">
        <v>2.7972027972027972E-2</v>
      </c>
      <c r="Q14" s="83">
        <v>6.2937062937062943E-2</v>
      </c>
      <c r="R14" s="81">
        <v>0.3</v>
      </c>
      <c r="S14" s="82">
        <v>0.33333333333333331</v>
      </c>
      <c r="T14" s="82">
        <v>0.16666666666666666</v>
      </c>
      <c r="U14" s="82">
        <v>0.1</v>
      </c>
      <c r="V14" s="82">
        <v>3.3333333333333333E-2</v>
      </c>
      <c r="W14" s="83">
        <v>6.6666666666666666E-2</v>
      </c>
      <c r="X14" s="115">
        <f t="shared" si="2"/>
        <v>3.6363636363636367</v>
      </c>
      <c r="Y14" s="116">
        <f t="shared" si="3"/>
        <v>0.48951048951048953</v>
      </c>
      <c r="Z14" s="116">
        <f t="shared" si="4"/>
        <v>0.31468531468531469</v>
      </c>
      <c r="AA14" s="116">
        <f t="shared" si="5"/>
        <v>0.1048951048951049</v>
      </c>
      <c r="AB14" s="116">
        <f t="shared" si="6"/>
        <v>0.13986013986013987</v>
      </c>
      <c r="AC14" s="117">
        <f t="shared" si="7"/>
        <v>0.31468531468531469</v>
      </c>
      <c r="AD14" s="115">
        <f t="shared" si="8"/>
        <v>0.3</v>
      </c>
      <c r="AE14" s="116">
        <f t="shared" si="9"/>
        <v>0.33333333333333331</v>
      </c>
      <c r="AF14" s="116">
        <f t="shared" si="10"/>
        <v>0.16666666666666666</v>
      </c>
      <c r="AG14" s="116">
        <f t="shared" si="11"/>
        <v>0.1</v>
      </c>
      <c r="AH14" s="116">
        <f t="shared" si="12"/>
        <v>3.3333333333333333E-2</v>
      </c>
      <c r="AI14" s="116">
        <f t="shared" si="13"/>
        <v>6.6666666666666666E-2</v>
      </c>
      <c r="AJ14" s="121">
        <f>Input!$D$22*RBs!C14+Input!$D$23*RBs!D14+Input!$D$24*RBs!X14+Input!$D$25*RBs!Y14+Input!$D$26*RBs!Z14+Input!$D$27*RBs!AA14+Input!$D$28*RBs!AB14+Input!$D$29*RBs!AC14+Input!$D$30*RBs!E14+Input!$D$31*RBs!G14+Input!$D$32*RBs!H14+Input!$D$33*RBs!AD14+Input!$D$34*RBs!AE14+Input!$D$35*RBs!AF14+Input!$D$36*RBs!AG14+Input!$D$37*RBs!AH14+Input!$D$38*RBs!AI14+Input!$D$39*RBs!I14+Input!$D$40*RBs!K14</f>
        <v>208.23111888111893</v>
      </c>
    </row>
    <row r="15" spans="1:36" x14ac:dyDescent="0.25">
      <c r="A15" s="89" t="s">
        <v>245</v>
      </c>
      <c r="B15" s="90" t="s">
        <v>152</v>
      </c>
      <c r="C15" s="45">
        <v>330</v>
      </c>
      <c r="D15" s="37">
        <f>3.7*C15</f>
        <v>1221</v>
      </c>
      <c r="E15" s="37">
        <v>4</v>
      </c>
      <c r="F15" s="38">
        <v>7</v>
      </c>
      <c r="G15" s="45">
        <v>40</v>
      </c>
      <c r="H15" s="37">
        <f>6.3*G15</f>
        <v>252</v>
      </c>
      <c r="I15" s="37">
        <v>0</v>
      </c>
      <c r="J15" s="38">
        <v>1</v>
      </c>
      <c r="K15" s="37">
        <v>3</v>
      </c>
      <c r="L15" s="81">
        <v>0.72727272727272729</v>
      </c>
      <c r="M15" s="82">
        <v>9.7902097902097904E-2</v>
      </c>
      <c r="N15" s="82">
        <v>6.2937062937062943E-2</v>
      </c>
      <c r="O15" s="82">
        <v>2.097902097902098E-2</v>
      </c>
      <c r="P15" s="82">
        <v>2.7972027972027972E-2</v>
      </c>
      <c r="Q15" s="83">
        <v>6.2937062937062943E-2</v>
      </c>
      <c r="R15" s="81">
        <v>0.3</v>
      </c>
      <c r="S15" s="82">
        <v>0.33333333333333331</v>
      </c>
      <c r="T15" s="82">
        <v>0.16666666666666666</v>
      </c>
      <c r="U15" s="82">
        <v>0.1</v>
      </c>
      <c r="V15" s="82">
        <v>3.3333333333333333E-2</v>
      </c>
      <c r="W15" s="83">
        <v>6.6666666666666666E-2</v>
      </c>
      <c r="X15" s="115">
        <f t="shared" si="2"/>
        <v>5.0909090909090908</v>
      </c>
      <c r="Y15" s="116">
        <f t="shared" si="3"/>
        <v>0.68531468531468531</v>
      </c>
      <c r="Z15" s="116">
        <f t="shared" si="4"/>
        <v>0.44055944055944063</v>
      </c>
      <c r="AA15" s="116">
        <f t="shared" si="5"/>
        <v>0.14685314685314685</v>
      </c>
      <c r="AB15" s="116">
        <f t="shared" si="6"/>
        <v>0.19580419580419581</v>
      </c>
      <c r="AC15" s="117">
        <f t="shared" si="7"/>
        <v>0.44055944055944063</v>
      </c>
      <c r="AD15" s="115">
        <f t="shared" si="8"/>
        <v>0.3</v>
      </c>
      <c r="AE15" s="116">
        <f t="shared" si="9"/>
        <v>0.33333333333333331</v>
      </c>
      <c r="AF15" s="116">
        <f t="shared" si="10"/>
        <v>0.16666666666666666</v>
      </c>
      <c r="AG15" s="116">
        <f t="shared" si="11"/>
        <v>0.1</v>
      </c>
      <c r="AH15" s="116">
        <f t="shared" si="12"/>
        <v>3.3333333333333333E-2</v>
      </c>
      <c r="AI15" s="116">
        <f t="shared" si="13"/>
        <v>6.6666666666666666E-2</v>
      </c>
      <c r="AJ15" s="121">
        <f>Input!$D$22*RBs!C15+Input!$D$23*RBs!D15+Input!$D$24*RBs!X15+Input!$D$25*RBs!Y15+Input!$D$26*RBs!Z15+Input!$D$27*RBs!AA15+Input!$D$28*RBs!AB15+Input!$D$29*RBs!AC15+Input!$D$30*RBs!E15+Input!$D$31*RBs!G15+Input!$D$32*RBs!H15+Input!$D$33*RBs!AD15+Input!$D$34*RBs!AE15+Input!$D$35*RBs!AF15+Input!$D$36*RBs!AG15+Input!$D$37*RBs!AH15+Input!$D$38*RBs!AI15+Input!$D$39*RBs!I15+Input!$D$40*RBs!K15</f>
        <v>211.23356643356647</v>
      </c>
    </row>
    <row r="16" spans="1:36" x14ac:dyDescent="0.25">
      <c r="A16" s="89" t="s">
        <v>246</v>
      </c>
      <c r="B16" s="90" t="s">
        <v>148</v>
      </c>
      <c r="C16" s="45">
        <v>240</v>
      </c>
      <c r="D16" s="37">
        <f>4.6*C16</f>
        <v>1104</v>
      </c>
      <c r="E16" s="37">
        <v>3</v>
      </c>
      <c r="F16" s="38">
        <v>4</v>
      </c>
      <c r="G16" s="45">
        <v>45</v>
      </c>
      <c r="H16" s="37">
        <f>8.4*G16</f>
        <v>378</v>
      </c>
      <c r="I16" s="37">
        <v>0</v>
      </c>
      <c r="J16" s="38">
        <v>2</v>
      </c>
      <c r="K16" s="37">
        <v>2</v>
      </c>
      <c r="L16" s="81">
        <v>0.72727272727272729</v>
      </c>
      <c r="M16" s="82">
        <v>9.7902097902097904E-2</v>
      </c>
      <c r="N16" s="82">
        <v>6.2937062937062943E-2</v>
      </c>
      <c r="O16" s="82">
        <v>2.097902097902098E-2</v>
      </c>
      <c r="P16" s="82">
        <v>2.7972027972027972E-2</v>
      </c>
      <c r="Q16" s="83">
        <v>6.2937062937062943E-2</v>
      </c>
      <c r="R16" s="81">
        <v>0.3</v>
      </c>
      <c r="S16" s="82">
        <v>0.33333333333333331</v>
      </c>
      <c r="T16" s="82">
        <v>0.16666666666666666</v>
      </c>
      <c r="U16" s="82">
        <v>0.1</v>
      </c>
      <c r="V16" s="82">
        <v>3.3333333333333333E-2</v>
      </c>
      <c r="W16" s="83">
        <v>6.6666666666666666E-2</v>
      </c>
      <c r="X16" s="115">
        <f t="shared" si="2"/>
        <v>2.9090909090909092</v>
      </c>
      <c r="Y16" s="116">
        <f t="shared" si="3"/>
        <v>0.39160839160839161</v>
      </c>
      <c r="Z16" s="116">
        <f t="shared" si="4"/>
        <v>0.25174825174825177</v>
      </c>
      <c r="AA16" s="116">
        <f t="shared" si="5"/>
        <v>8.3916083916083919E-2</v>
      </c>
      <c r="AB16" s="116">
        <f t="shared" si="6"/>
        <v>0.11188811188811189</v>
      </c>
      <c r="AC16" s="117">
        <f t="shared" si="7"/>
        <v>0.25174825174825177</v>
      </c>
      <c r="AD16" s="115">
        <f t="shared" si="8"/>
        <v>0.6</v>
      </c>
      <c r="AE16" s="116">
        <f t="shared" si="9"/>
        <v>0.66666666666666663</v>
      </c>
      <c r="AF16" s="116">
        <f t="shared" si="10"/>
        <v>0.33333333333333331</v>
      </c>
      <c r="AG16" s="116">
        <f t="shared" si="11"/>
        <v>0.2</v>
      </c>
      <c r="AH16" s="116">
        <f t="shared" si="12"/>
        <v>6.6666666666666666E-2</v>
      </c>
      <c r="AI16" s="116">
        <f t="shared" si="13"/>
        <v>0.13333333333333333</v>
      </c>
      <c r="AJ16" s="121">
        <f>Input!$D$22*RBs!C16+Input!$D$23*RBs!D16+Input!$D$24*RBs!X16+Input!$D$25*RBs!Y16+Input!$D$26*RBs!Z16+Input!$D$27*RBs!AA16+Input!$D$28*RBs!AB16+Input!$D$29*RBs!AC16+Input!$D$30*RBs!E16+Input!$D$31*RBs!G16+Input!$D$32*RBs!H16+Input!$D$33*RBs!AD16+Input!$D$34*RBs!AE16+Input!$D$35*RBs!AF16+Input!$D$36*RBs!AG16+Input!$D$37*RBs!AH16+Input!$D$38*RBs!AI16+Input!$D$39*RBs!I16+Input!$D$40*RBs!K16</f>
        <v>197.30489510489508</v>
      </c>
    </row>
    <row r="17" spans="1:36" x14ac:dyDescent="0.25">
      <c r="A17" s="89" t="s">
        <v>247</v>
      </c>
      <c r="B17" s="90" t="s">
        <v>144</v>
      </c>
      <c r="C17" s="45">
        <v>280</v>
      </c>
      <c r="D17" s="37">
        <f>3.7*C17</f>
        <v>1036</v>
      </c>
      <c r="E17" s="37">
        <v>2</v>
      </c>
      <c r="F17" s="38">
        <v>5</v>
      </c>
      <c r="G17" s="45">
        <v>45</v>
      </c>
      <c r="H17" s="37">
        <f>7*G17</f>
        <v>315</v>
      </c>
      <c r="I17" s="37">
        <v>0</v>
      </c>
      <c r="J17" s="38">
        <v>3</v>
      </c>
      <c r="K17" s="37">
        <v>4</v>
      </c>
      <c r="L17" s="81">
        <v>0.72727272727272729</v>
      </c>
      <c r="M17" s="82">
        <v>9.7902097902097904E-2</v>
      </c>
      <c r="N17" s="82">
        <v>6.2937062937062943E-2</v>
      </c>
      <c r="O17" s="82">
        <v>2.097902097902098E-2</v>
      </c>
      <c r="P17" s="82">
        <v>2.7972027972027972E-2</v>
      </c>
      <c r="Q17" s="83">
        <v>6.2937062937062943E-2</v>
      </c>
      <c r="R17" s="81">
        <v>0.3</v>
      </c>
      <c r="S17" s="82">
        <v>0.33333333333333331</v>
      </c>
      <c r="T17" s="82">
        <v>0.16666666666666666</v>
      </c>
      <c r="U17" s="82">
        <v>0.1</v>
      </c>
      <c r="V17" s="82">
        <v>3.3333333333333333E-2</v>
      </c>
      <c r="W17" s="83">
        <v>6.6666666666666666E-2</v>
      </c>
      <c r="X17" s="115">
        <f t="shared" si="2"/>
        <v>3.6363636363636367</v>
      </c>
      <c r="Y17" s="116">
        <f t="shared" si="3"/>
        <v>0.48951048951048953</v>
      </c>
      <c r="Z17" s="116">
        <f t="shared" si="4"/>
        <v>0.31468531468531469</v>
      </c>
      <c r="AA17" s="116">
        <f t="shared" si="5"/>
        <v>0.1048951048951049</v>
      </c>
      <c r="AB17" s="116">
        <f t="shared" si="6"/>
        <v>0.13986013986013987</v>
      </c>
      <c r="AC17" s="117">
        <f t="shared" si="7"/>
        <v>0.31468531468531469</v>
      </c>
      <c r="AD17" s="115">
        <f t="shared" si="8"/>
        <v>0.89999999999999991</v>
      </c>
      <c r="AE17" s="116">
        <f t="shared" si="9"/>
        <v>1</v>
      </c>
      <c r="AF17" s="116">
        <f t="shared" si="10"/>
        <v>0.5</v>
      </c>
      <c r="AG17" s="116">
        <f t="shared" si="11"/>
        <v>0.30000000000000004</v>
      </c>
      <c r="AH17" s="116">
        <f t="shared" si="12"/>
        <v>0.1</v>
      </c>
      <c r="AI17" s="116">
        <f t="shared" si="13"/>
        <v>0.2</v>
      </c>
      <c r="AJ17" s="121">
        <f>Input!$D$22*RBs!C17+Input!$D$23*RBs!D17+Input!$D$24*RBs!X17+Input!$D$25*RBs!Y17+Input!$D$26*RBs!Z17+Input!$D$27*RBs!AA17+Input!$D$28*RBs!AB17+Input!$D$29*RBs!AC17+Input!$D$30*RBs!E17+Input!$D$31*RBs!G17+Input!$D$32*RBs!H17+Input!$D$33*RBs!AD17+Input!$D$34*RBs!AE17+Input!$D$35*RBs!AF17+Input!$D$36*RBs!AG17+Input!$D$37*RBs!AH17+Input!$D$38*RBs!AI17+Input!$D$39*RBs!I17+Input!$D$40*RBs!K17</f>
        <v>193.4811188811189</v>
      </c>
    </row>
    <row r="18" spans="1:36" x14ac:dyDescent="0.25">
      <c r="A18" s="89" t="s">
        <v>248</v>
      </c>
      <c r="B18" s="90" t="s">
        <v>166</v>
      </c>
      <c r="C18" s="45">
        <v>275</v>
      </c>
      <c r="D18" s="37">
        <f>3.8*C18</f>
        <v>1045</v>
      </c>
      <c r="E18" s="37">
        <v>3</v>
      </c>
      <c r="F18" s="38">
        <v>10</v>
      </c>
      <c r="G18" s="45">
        <v>25</v>
      </c>
      <c r="H18" s="37">
        <f>6.7*G18</f>
        <v>167.5</v>
      </c>
      <c r="I18" s="37">
        <v>0</v>
      </c>
      <c r="J18" s="38">
        <v>1</v>
      </c>
      <c r="K18" s="37">
        <v>4</v>
      </c>
      <c r="L18" s="81">
        <v>0.72727272727272729</v>
      </c>
      <c r="M18" s="82">
        <v>9.7902097902097904E-2</v>
      </c>
      <c r="N18" s="82">
        <v>6.2937062937062943E-2</v>
      </c>
      <c r="O18" s="82">
        <v>2.097902097902098E-2</v>
      </c>
      <c r="P18" s="82">
        <v>2.7972027972027972E-2</v>
      </c>
      <c r="Q18" s="83">
        <v>6.2937062937062943E-2</v>
      </c>
      <c r="R18" s="81">
        <v>0.3</v>
      </c>
      <c r="S18" s="82">
        <v>0.33333333333333331</v>
      </c>
      <c r="T18" s="82">
        <v>0.16666666666666666</v>
      </c>
      <c r="U18" s="82">
        <v>0.1</v>
      </c>
      <c r="V18" s="82">
        <v>3.3333333333333333E-2</v>
      </c>
      <c r="W18" s="83">
        <v>6.6666666666666666E-2</v>
      </c>
      <c r="X18" s="115">
        <f t="shared" si="2"/>
        <v>7.2727272727272734</v>
      </c>
      <c r="Y18" s="116">
        <f t="shared" si="3"/>
        <v>0.97902097902097907</v>
      </c>
      <c r="Z18" s="116">
        <f t="shared" si="4"/>
        <v>0.62937062937062938</v>
      </c>
      <c r="AA18" s="116">
        <f t="shared" si="5"/>
        <v>0.20979020979020979</v>
      </c>
      <c r="AB18" s="116">
        <f t="shared" si="6"/>
        <v>0.27972027972027974</v>
      </c>
      <c r="AC18" s="117">
        <f t="shared" si="7"/>
        <v>0.62937062937062938</v>
      </c>
      <c r="AD18" s="115">
        <f t="shared" si="8"/>
        <v>0.3</v>
      </c>
      <c r="AE18" s="116">
        <f t="shared" si="9"/>
        <v>0.33333333333333331</v>
      </c>
      <c r="AF18" s="116">
        <f t="shared" si="10"/>
        <v>0.16666666666666666</v>
      </c>
      <c r="AG18" s="116">
        <f t="shared" si="11"/>
        <v>0.1</v>
      </c>
      <c r="AH18" s="116">
        <f t="shared" si="12"/>
        <v>3.3333333333333333E-2</v>
      </c>
      <c r="AI18" s="116">
        <f t="shared" si="13"/>
        <v>6.6666666666666666E-2</v>
      </c>
      <c r="AJ18" s="121">
        <f>Input!$D$22*RBs!C18+Input!$D$23*RBs!D18+Input!$D$24*RBs!X18+Input!$D$25*RBs!Y18+Input!$D$26*RBs!Z18+Input!$D$27*RBs!AA18+Input!$D$28*RBs!AB18+Input!$D$29*RBs!AC18+Input!$D$30*RBs!E18+Input!$D$31*RBs!G18+Input!$D$32*RBs!H18+Input!$D$33*RBs!AD18+Input!$D$34*RBs!AE18+Input!$D$35*RBs!AF18+Input!$D$36*RBs!AG18+Input!$D$37*RBs!AH18+Input!$D$38*RBs!AI18+Input!$D$39*RBs!I18+Input!$D$40*RBs!K18</f>
        <v>201.51223776223782</v>
      </c>
    </row>
    <row r="19" spans="1:36" x14ac:dyDescent="0.25">
      <c r="A19" s="89" t="s">
        <v>249</v>
      </c>
      <c r="B19" s="90" t="s">
        <v>182</v>
      </c>
      <c r="C19" s="45">
        <v>235</v>
      </c>
      <c r="D19" s="37">
        <f>3.9*C19</f>
        <v>916.5</v>
      </c>
      <c r="E19" s="37">
        <v>1</v>
      </c>
      <c r="F19" s="38">
        <v>8</v>
      </c>
      <c r="G19" s="45">
        <v>28</v>
      </c>
      <c r="H19" s="37">
        <f>7.5*G19</f>
        <v>210</v>
      </c>
      <c r="I19" s="37">
        <v>0</v>
      </c>
      <c r="J19" s="38">
        <v>1</v>
      </c>
      <c r="K19" s="37">
        <v>5</v>
      </c>
      <c r="L19" s="81">
        <v>0.72727272727272729</v>
      </c>
      <c r="M19" s="82">
        <v>9.7902097902097904E-2</v>
      </c>
      <c r="N19" s="82">
        <v>6.2937062937062943E-2</v>
      </c>
      <c r="O19" s="82">
        <v>2.097902097902098E-2</v>
      </c>
      <c r="P19" s="82">
        <v>2.7972027972027972E-2</v>
      </c>
      <c r="Q19" s="83">
        <v>6.2937062937062943E-2</v>
      </c>
      <c r="R19" s="81">
        <v>0.3</v>
      </c>
      <c r="S19" s="82">
        <v>0.33333333333333331</v>
      </c>
      <c r="T19" s="82">
        <v>0.16666666666666666</v>
      </c>
      <c r="U19" s="82">
        <v>0.1</v>
      </c>
      <c r="V19" s="82">
        <v>3.3333333333333333E-2</v>
      </c>
      <c r="W19" s="83">
        <v>6.6666666666666666E-2</v>
      </c>
      <c r="X19" s="115">
        <f t="shared" si="2"/>
        <v>5.8181818181818183</v>
      </c>
      <c r="Y19" s="116">
        <f t="shared" si="3"/>
        <v>0.78321678321678323</v>
      </c>
      <c r="Z19" s="116">
        <f t="shared" si="4"/>
        <v>0.50349650349650354</v>
      </c>
      <c r="AA19" s="116">
        <f t="shared" si="5"/>
        <v>0.16783216783216784</v>
      </c>
      <c r="AB19" s="116">
        <f t="shared" si="6"/>
        <v>0.22377622377622378</v>
      </c>
      <c r="AC19" s="117">
        <f t="shared" si="7"/>
        <v>0.50349650349650354</v>
      </c>
      <c r="AD19" s="115">
        <f t="shared" si="8"/>
        <v>0.3</v>
      </c>
      <c r="AE19" s="116">
        <f t="shared" si="9"/>
        <v>0.33333333333333331</v>
      </c>
      <c r="AF19" s="116">
        <f t="shared" si="10"/>
        <v>0.16666666666666666</v>
      </c>
      <c r="AG19" s="116">
        <f t="shared" si="11"/>
        <v>0.1</v>
      </c>
      <c r="AH19" s="116">
        <f t="shared" si="12"/>
        <v>3.3333333333333333E-2</v>
      </c>
      <c r="AI19" s="116">
        <f t="shared" si="13"/>
        <v>6.6666666666666666E-2</v>
      </c>
      <c r="AJ19" s="121">
        <f>Input!$D$22*RBs!C19+Input!$D$23*RBs!D19+Input!$D$24*RBs!X19+Input!$D$25*RBs!Y19+Input!$D$26*RBs!Z19+Input!$D$27*RBs!AA19+Input!$D$28*RBs!AB19+Input!$D$29*RBs!AC19+Input!$D$30*RBs!E19+Input!$D$31*RBs!G19+Input!$D$32*RBs!H19+Input!$D$33*RBs!AD19+Input!$D$34*RBs!AE19+Input!$D$35*RBs!AF19+Input!$D$36*RBs!AG19+Input!$D$37*RBs!AH19+Input!$D$38*RBs!AI19+Input!$D$39*RBs!I19+Input!$D$40*RBs!K19</f>
        <v>172.3597902097903</v>
      </c>
    </row>
    <row r="20" spans="1:36" x14ac:dyDescent="0.25">
      <c r="A20" s="89" t="s">
        <v>250</v>
      </c>
      <c r="B20" s="90" t="s">
        <v>184</v>
      </c>
      <c r="C20" s="45">
        <v>190</v>
      </c>
      <c r="D20" s="37">
        <f>3.78*C20</f>
        <v>718.19999999999993</v>
      </c>
      <c r="E20" s="37">
        <v>2</v>
      </c>
      <c r="F20" s="38">
        <v>5</v>
      </c>
      <c r="G20" s="45">
        <v>18</v>
      </c>
      <c r="H20" s="37">
        <f>8.5*G20</f>
        <v>153</v>
      </c>
      <c r="I20" s="37">
        <v>0</v>
      </c>
      <c r="J20" s="38">
        <v>1</v>
      </c>
      <c r="K20" s="37">
        <v>3</v>
      </c>
      <c r="L20" s="81">
        <v>0.72727272727272729</v>
      </c>
      <c r="M20" s="82">
        <v>9.7902097902097904E-2</v>
      </c>
      <c r="N20" s="82">
        <v>6.2937062937062943E-2</v>
      </c>
      <c r="O20" s="82">
        <v>2.097902097902098E-2</v>
      </c>
      <c r="P20" s="82">
        <v>2.7972027972027972E-2</v>
      </c>
      <c r="Q20" s="83">
        <v>6.2937062937062943E-2</v>
      </c>
      <c r="R20" s="81">
        <v>0.3</v>
      </c>
      <c r="S20" s="82">
        <v>0.33333333333333331</v>
      </c>
      <c r="T20" s="82">
        <v>0.16666666666666666</v>
      </c>
      <c r="U20" s="82">
        <v>0.1</v>
      </c>
      <c r="V20" s="82">
        <v>3.3333333333333333E-2</v>
      </c>
      <c r="W20" s="83">
        <v>6.6666666666666666E-2</v>
      </c>
      <c r="X20" s="115">
        <f t="shared" si="2"/>
        <v>3.6363636363636367</v>
      </c>
      <c r="Y20" s="116">
        <f t="shared" si="3"/>
        <v>0.48951048951048953</v>
      </c>
      <c r="Z20" s="116">
        <f t="shared" si="4"/>
        <v>0.31468531468531469</v>
      </c>
      <c r="AA20" s="116">
        <f t="shared" si="5"/>
        <v>0.1048951048951049</v>
      </c>
      <c r="AB20" s="116">
        <f t="shared" si="6"/>
        <v>0.13986013986013987</v>
      </c>
      <c r="AC20" s="117">
        <f t="shared" si="7"/>
        <v>0.31468531468531469</v>
      </c>
      <c r="AD20" s="115">
        <f t="shared" si="8"/>
        <v>0.3</v>
      </c>
      <c r="AE20" s="116">
        <f t="shared" si="9"/>
        <v>0.33333333333333331</v>
      </c>
      <c r="AF20" s="116">
        <f t="shared" si="10"/>
        <v>0.16666666666666666</v>
      </c>
      <c r="AG20" s="116">
        <f t="shared" si="11"/>
        <v>0.1</v>
      </c>
      <c r="AH20" s="116">
        <f t="shared" si="12"/>
        <v>3.3333333333333333E-2</v>
      </c>
      <c r="AI20" s="116">
        <f t="shared" si="13"/>
        <v>6.6666666666666666E-2</v>
      </c>
      <c r="AJ20" s="121">
        <f>Input!$D$22*RBs!C20+Input!$D$23*RBs!D20+Input!$D$24*RBs!X20+Input!$D$25*RBs!Y20+Input!$D$26*RBs!Z20+Input!$D$27*RBs!AA20+Input!$D$28*RBs!AB20+Input!$D$29*RBs!AC20+Input!$D$30*RBs!E20+Input!$D$31*RBs!G20+Input!$D$32*RBs!H20+Input!$D$33*RBs!AD20+Input!$D$34*RBs!AE20+Input!$D$35*RBs!AF20+Input!$D$36*RBs!AG20+Input!$D$37*RBs!AH20+Input!$D$38*RBs!AI20+Input!$D$39*RBs!I20+Input!$D$40*RBs!K20</f>
        <v>131.50111888111891</v>
      </c>
    </row>
    <row r="21" spans="1:36" x14ac:dyDescent="0.25">
      <c r="A21" s="89" t="s">
        <v>251</v>
      </c>
      <c r="B21" s="90" t="s">
        <v>190</v>
      </c>
      <c r="C21" s="45">
        <v>290</v>
      </c>
      <c r="D21" s="37">
        <f>3.7*C21</f>
        <v>1073</v>
      </c>
      <c r="E21" s="37">
        <v>2</v>
      </c>
      <c r="F21" s="38">
        <v>7</v>
      </c>
      <c r="G21" s="45">
        <v>25</v>
      </c>
      <c r="H21" s="37">
        <f>5.5*G21</f>
        <v>137.5</v>
      </c>
      <c r="I21" s="37">
        <v>0</v>
      </c>
      <c r="J21" s="38">
        <v>0</v>
      </c>
      <c r="K21" s="37">
        <v>2</v>
      </c>
      <c r="L21" s="81">
        <v>0.72727272727272729</v>
      </c>
      <c r="M21" s="82">
        <v>9.7902097902097904E-2</v>
      </c>
      <c r="N21" s="82">
        <v>6.2937062937062943E-2</v>
      </c>
      <c r="O21" s="82">
        <v>2.097902097902098E-2</v>
      </c>
      <c r="P21" s="82">
        <v>2.7972027972027972E-2</v>
      </c>
      <c r="Q21" s="83">
        <v>6.2937062937062943E-2</v>
      </c>
      <c r="R21" s="81">
        <v>0.3</v>
      </c>
      <c r="S21" s="82">
        <v>0.33333333333333331</v>
      </c>
      <c r="T21" s="82">
        <v>0.16666666666666666</v>
      </c>
      <c r="U21" s="82">
        <v>0.1</v>
      </c>
      <c r="V21" s="82">
        <v>3.3333333333333333E-2</v>
      </c>
      <c r="W21" s="83">
        <v>6.6666666666666666E-2</v>
      </c>
      <c r="X21" s="115">
        <f t="shared" si="2"/>
        <v>5.0909090909090908</v>
      </c>
      <c r="Y21" s="116">
        <f t="shared" si="3"/>
        <v>0.68531468531468531</v>
      </c>
      <c r="Z21" s="116">
        <f t="shared" si="4"/>
        <v>0.44055944055944063</v>
      </c>
      <c r="AA21" s="116">
        <f t="shared" si="5"/>
        <v>0.14685314685314685</v>
      </c>
      <c r="AB21" s="116">
        <f t="shared" si="6"/>
        <v>0.19580419580419581</v>
      </c>
      <c r="AC21" s="117">
        <f t="shared" si="7"/>
        <v>0.44055944055944063</v>
      </c>
      <c r="AD21" s="115">
        <f t="shared" si="8"/>
        <v>0</v>
      </c>
      <c r="AE21" s="116">
        <f t="shared" si="9"/>
        <v>0</v>
      </c>
      <c r="AF21" s="116">
        <f t="shared" si="10"/>
        <v>0</v>
      </c>
      <c r="AG21" s="116">
        <f t="shared" si="11"/>
        <v>0</v>
      </c>
      <c r="AH21" s="116">
        <f t="shared" si="12"/>
        <v>0</v>
      </c>
      <c r="AI21" s="116">
        <f t="shared" si="13"/>
        <v>0</v>
      </c>
      <c r="AJ21" s="121">
        <f>Input!$D$22*RBs!C21+Input!$D$23*RBs!D21+Input!$D$24*RBs!X21+Input!$D$25*RBs!Y21+Input!$D$26*RBs!Z21+Input!$D$27*RBs!AA21+Input!$D$28*RBs!AB21+Input!$D$29*RBs!AC21+Input!$D$30*RBs!E21+Input!$D$31*RBs!G21+Input!$D$32*RBs!H21+Input!$D$33*RBs!AD21+Input!$D$34*RBs!AE21+Input!$D$35*RBs!AF21+Input!$D$36*RBs!AG21+Input!$D$37*RBs!AH21+Input!$D$38*RBs!AI21+Input!$D$39*RBs!I21+Input!$D$40*RBs!K21</f>
        <v>172.48356643356644</v>
      </c>
    </row>
    <row r="22" spans="1:36" x14ac:dyDescent="0.25">
      <c r="A22" s="89" t="s">
        <v>252</v>
      </c>
      <c r="B22" s="90" t="s">
        <v>164</v>
      </c>
      <c r="C22" s="45">
        <v>250</v>
      </c>
      <c r="D22" s="37">
        <f>3.8*C22</f>
        <v>950</v>
      </c>
      <c r="E22" s="37">
        <v>2</v>
      </c>
      <c r="F22" s="38">
        <v>5</v>
      </c>
      <c r="G22" s="45">
        <v>35</v>
      </c>
      <c r="H22" s="37">
        <f>9*G22</f>
        <v>315</v>
      </c>
      <c r="I22" s="37">
        <v>0</v>
      </c>
      <c r="J22" s="38">
        <v>2</v>
      </c>
      <c r="K22" s="37">
        <v>3</v>
      </c>
      <c r="L22" s="81">
        <v>0.72727272727272729</v>
      </c>
      <c r="M22" s="82">
        <v>9.7902097902097904E-2</v>
      </c>
      <c r="N22" s="82">
        <v>6.2937062937062943E-2</v>
      </c>
      <c r="O22" s="82">
        <v>2.097902097902098E-2</v>
      </c>
      <c r="P22" s="82">
        <v>2.7972027972027972E-2</v>
      </c>
      <c r="Q22" s="83">
        <v>6.2937062937062943E-2</v>
      </c>
      <c r="R22" s="81">
        <v>0.3</v>
      </c>
      <c r="S22" s="82">
        <v>0.33333333333333331</v>
      </c>
      <c r="T22" s="82">
        <v>0.16666666666666666</v>
      </c>
      <c r="U22" s="82">
        <v>0.1</v>
      </c>
      <c r="V22" s="82">
        <v>3.3333333333333333E-2</v>
      </c>
      <c r="W22" s="83">
        <v>6.6666666666666666E-2</v>
      </c>
      <c r="X22" s="115">
        <f t="shared" si="2"/>
        <v>3.6363636363636367</v>
      </c>
      <c r="Y22" s="116">
        <f t="shared" si="3"/>
        <v>0.48951048951048953</v>
      </c>
      <c r="Z22" s="116">
        <f t="shared" si="4"/>
        <v>0.31468531468531469</v>
      </c>
      <c r="AA22" s="116">
        <f t="shared" si="5"/>
        <v>0.1048951048951049</v>
      </c>
      <c r="AB22" s="116">
        <f t="shared" si="6"/>
        <v>0.13986013986013987</v>
      </c>
      <c r="AC22" s="117">
        <f t="shared" si="7"/>
        <v>0.31468531468531469</v>
      </c>
      <c r="AD22" s="115">
        <f t="shared" si="8"/>
        <v>0.6</v>
      </c>
      <c r="AE22" s="116">
        <f t="shared" si="9"/>
        <v>0.66666666666666663</v>
      </c>
      <c r="AF22" s="116">
        <f t="shared" si="10"/>
        <v>0.33333333333333331</v>
      </c>
      <c r="AG22" s="116">
        <f t="shared" si="11"/>
        <v>0.2</v>
      </c>
      <c r="AH22" s="116">
        <f t="shared" si="12"/>
        <v>6.6666666666666666E-2</v>
      </c>
      <c r="AI22" s="116">
        <f t="shared" si="13"/>
        <v>0.13333333333333333</v>
      </c>
      <c r="AJ22" s="121">
        <f>Input!$D$22*RBs!C22+Input!$D$23*RBs!D22+Input!$D$24*RBs!X22+Input!$D$25*RBs!Y22+Input!$D$26*RBs!Z22+Input!$D$27*RBs!AA22+Input!$D$28*RBs!AB22+Input!$D$29*RBs!AC22+Input!$D$30*RBs!E22+Input!$D$31*RBs!G22+Input!$D$32*RBs!H22+Input!$D$33*RBs!AD22+Input!$D$34*RBs!AE22+Input!$D$35*RBs!AF22+Input!$D$36*RBs!AG22+Input!$D$37*RBs!AH22+Input!$D$38*RBs!AI22+Input!$D$39*RBs!I22+Input!$D$40*RBs!K22</f>
        <v>178.38111888111885</v>
      </c>
    </row>
    <row r="23" spans="1:36" x14ac:dyDescent="0.25">
      <c r="A23" s="89" t="s">
        <v>253</v>
      </c>
      <c r="B23" s="90" t="s">
        <v>186</v>
      </c>
      <c r="C23" s="45">
        <v>240</v>
      </c>
      <c r="D23" s="37">
        <f>3.9*C23</f>
        <v>936</v>
      </c>
      <c r="E23" s="37">
        <v>2</v>
      </c>
      <c r="F23" s="38">
        <v>7</v>
      </c>
      <c r="G23" s="45">
        <v>20</v>
      </c>
      <c r="H23" s="37">
        <f>10*G23</f>
        <v>200</v>
      </c>
      <c r="I23" s="37">
        <v>0</v>
      </c>
      <c r="J23" s="38">
        <v>1</v>
      </c>
      <c r="K23" s="37">
        <v>2</v>
      </c>
      <c r="L23" s="81">
        <v>0.72727272727272729</v>
      </c>
      <c r="M23" s="82">
        <v>9.7902097902097904E-2</v>
      </c>
      <c r="N23" s="82">
        <v>6.2937062937062943E-2</v>
      </c>
      <c r="O23" s="82">
        <v>2.097902097902098E-2</v>
      </c>
      <c r="P23" s="82">
        <v>2.7972027972027972E-2</v>
      </c>
      <c r="Q23" s="83">
        <v>6.2937062937062943E-2</v>
      </c>
      <c r="R23" s="81">
        <v>0.3</v>
      </c>
      <c r="S23" s="82">
        <v>0.33333333333333331</v>
      </c>
      <c r="T23" s="82">
        <v>0.16666666666666666</v>
      </c>
      <c r="U23" s="82">
        <v>0.1</v>
      </c>
      <c r="V23" s="82">
        <v>3.3333333333333333E-2</v>
      </c>
      <c r="W23" s="83">
        <v>6.6666666666666666E-2</v>
      </c>
      <c r="X23" s="115">
        <f t="shared" si="2"/>
        <v>5.0909090909090908</v>
      </c>
      <c r="Y23" s="116">
        <f t="shared" si="3"/>
        <v>0.68531468531468531</v>
      </c>
      <c r="Z23" s="116">
        <f t="shared" si="4"/>
        <v>0.44055944055944063</v>
      </c>
      <c r="AA23" s="116">
        <f t="shared" si="5"/>
        <v>0.14685314685314685</v>
      </c>
      <c r="AB23" s="116">
        <f t="shared" si="6"/>
        <v>0.19580419580419581</v>
      </c>
      <c r="AC23" s="117">
        <f t="shared" si="7"/>
        <v>0.44055944055944063</v>
      </c>
      <c r="AD23" s="115">
        <f t="shared" si="8"/>
        <v>0.3</v>
      </c>
      <c r="AE23" s="116">
        <f t="shared" si="9"/>
        <v>0.33333333333333331</v>
      </c>
      <c r="AF23" s="116">
        <f t="shared" si="10"/>
        <v>0.16666666666666666</v>
      </c>
      <c r="AG23" s="116">
        <f t="shared" si="11"/>
        <v>0.1</v>
      </c>
      <c r="AH23" s="116">
        <f t="shared" si="12"/>
        <v>3.3333333333333333E-2</v>
      </c>
      <c r="AI23" s="116">
        <f t="shared" si="13"/>
        <v>6.6666666666666666E-2</v>
      </c>
      <c r="AJ23" s="121">
        <f>Input!$D$22*RBs!C23+Input!$D$23*RBs!D23+Input!$D$24*RBs!X23+Input!$D$25*RBs!Y23+Input!$D$26*RBs!Z23+Input!$D$27*RBs!AA23+Input!$D$28*RBs!AB23+Input!$D$29*RBs!AC23+Input!$D$30*RBs!E23+Input!$D$31*RBs!G23+Input!$D$32*RBs!H23+Input!$D$33*RBs!AD23+Input!$D$34*RBs!AE23+Input!$D$35*RBs!AF23+Input!$D$36*RBs!AG23+Input!$D$37*RBs!AH23+Input!$D$38*RBs!AI23+Input!$D$39*RBs!I23+Input!$D$40*RBs!K23</f>
        <v>172.53356643356648</v>
      </c>
    </row>
    <row r="24" spans="1:36" x14ac:dyDescent="0.25">
      <c r="A24" s="89" t="s">
        <v>254</v>
      </c>
      <c r="B24" s="90" t="s">
        <v>158</v>
      </c>
      <c r="C24" s="45">
        <v>260</v>
      </c>
      <c r="D24" s="37">
        <f>3.6*C24</f>
        <v>936</v>
      </c>
      <c r="E24" s="37">
        <v>2</v>
      </c>
      <c r="F24" s="38">
        <v>7</v>
      </c>
      <c r="G24" s="45">
        <v>20</v>
      </c>
      <c r="H24" s="37">
        <f>6.3*G24</f>
        <v>126</v>
      </c>
      <c r="I24" s="37">
        <v>0</v>
      </c>
      <c r="J24" s="38">
        <v>1</v>
      </c>
      <c r="K24" s="37">
        <v>2</v>
      </c>
      <c r="L24" s="81">
        <v>0.72727272727272729</v>
      </c>
      <c r="M24" s="82">
        <v>9.7902097902097904E-2</v>
      </c>
      <c r="N24" s="82">
        <v>6.2937062937062943E-2</v>
      </c>
      <c r="O24" s="82">
        <v>2.097902097902098E-2</v>
      </c>
      <c r="P24" s="82">
        <v>2.7972027972027972E-2</v>
      </c>
      <c r="Q24" s="83">
        <v>6.2937062937062943E-2</v>
      </c>
      <c r="R24" s="81">
        <v>0.3</v>
      </c>
      <c r="S24" s="82">
        <v>0.33333333333333331</v>
      </c>
      <c r="T24" s="82">
        <v>0.16666666666666666</v>
      </c>
      <c r="U24" s="82">
        <v>0.1</v>
      </c>
      <c r="V24" s="82">
        <v>3.3333333333333333E-2</v>
      </c>
      <c r="W24" s="83">
        <v>6.6666666666666666E-2</v>
      </c>
      <c r="X24" s="115">
        <f t="shared" si="2"/>
        <v>5.0909090909090908</v>
      </c>
      <c r="Y24" s="116">
        <f t="shared" si="3"/>
        <v>0.68531468531468531</v>
      </c>
      <c r="Z24" s="116">
        <f t="shared" si="4"/>
        <v>0.44055944055944063</v>
      </c>
      <c r="AA24" s="116">
        <f t="shared" si="5"/>
        <v>0.14685314685314685</v>
      </c>
      <c r="AB24" s="116">
        <f t="shared" si="6"/>
        <v>0.19580419580419581</v>
      </c>
      <c r="AC24" s="117">
        <f t="shared" si="7"/>
        <v>0.44055944055944063</v>
      </c>
      <c r="AD24" s="115">
        <f t="shared" si="8"/>
        <v>0.3</v>
      </c>
      <c r="AE24" s="116">
        <f t="shared" si="9"/>
        <v>0.33333333333333331</v>
      </c>
      <c r="AF24" s="116">
        <f t="shared" si="10"/>
        <v>0.16666666666666666</v>
      </c>
      <c r="AG24" s="116">
        <f t="shared" si="11"/>
        <v>0.1</v>
      </c>
      <c r="AH24" s="116">
        <f t="shared" si="12"/>
        <v>3.3333333333333333E-2</v>
      </c>
      <c r="AI24" s="116">
        <f t="shared" si="13"/>
        <v>6.6666666666666666E-2</v>
      </c>
      <c r="AJ24" s="121">
        <f>Input!$D$22*RBs!C24+Input!$D$23*RBs!D24+Input!$D$24*RBs!X24+Input!$D$25*RBs!Y24+Input!$D$26*RBs!Z24+Input!$D$27*RBs!AA24+Input!$D$28*RBs!AB24+Input!$D$29*RBs!AC24+Input!$D$30*RBs!E24+Input!$D$31*RBs!G24+Input!$D$32*RBs!H24+Input!$D$33*RBs!AD24+Input!$D$34*RBs!AE24+Input!$D$35*RBs!AF24+Input!$D$36*RBs!AG24+Input!$D$37*RBs!AH24+Input!$D$38*RBs!AI24+Input!$D$39*RBs!I24+Input!$D$40*RBs!K24</f>
        <v>165.13356643356647</v>
      </c>
    </row>
    <row r="25" spans="1:36" x14ac:dyDescent="0.25">
      <c r="A25" s="89" t="s">
        <v>255</v>
      </c>
      <c r="B25" s="90" t="s">
        <v>146</v>
      </c>
      <c r="C25" s="45">
        <v>240</v>
      </c>
      <c r="D25" s="37">
        <f>3.9*C25</f>
        <v>936</v>
      </c>
      <c r="E25" s="37">
        <v>2</v>
      </c>
      <c r="F25" s="38">
        <v>6</v>
      </c>
      <c r="G25" s="45">
        <v>20</v>
      </c>
      <c r="H25" s="37">
        <f>8.5*G25</f>
        <v>170</v>
      </c>
      <c r="I25" s="37">
        <v>0</v>
      </c>
      <c r="J25" s="38">
        <v>1</v>
      </c>
      <c r="K25" s="37">
        <v>3</v>
      </c>
      <c r="L25" s="81">
        <v>0.72727272727272729</v>
      </c>
      <c r="M25" s="82">
        <v>9.7902097902097904E-2</v>
      </c>
      <c r="N25" s="82">
        <v>6.2937062937062943E-2</v>
      </c>
      <c r="O25" s="82">
        <v>2.097902097902098E-2</v>
      </c>
      <c r="P25" s="82">
        <v>2.7972027972027972E-2</v>
      </c>
      <c r="Q25" s="83">
        <v>6.2937062937062943E-2</v>
      </c>
      <c r="R25" s="81">
        <v>0.3</v>
      </c>
      <c r="S25" s="82">
        <v>0.33333333333333331</v>
      </c>
      <c r="T25" s="82">
        <v>0.16666666666666666</v>
      </c>
      <c r="U25" s="82">
        <v>0.1</v>
      </c>
      <c r="V25" s="82">
        <v>3.3333333333333333E-2</v>
      </c>
      <c r="W25" s="83">
        <v>6.6666666666666666E-2</v>
      </c>
      <c r="X25" s="115">
        <f t="shared" si="2"/>
        <v>4.3636363636363633</v>
      </c>
      <c r="Y25" s="116">
        <f t="shared" si="3"/>
        <v>0.58741258741258739</v>
      </c>
      <c r="Z25" s="116">
        <f t="shared" si="4"/>
        <v>0.37762237762237766</v>
      </c>
      <c r="AA25" s="116">
        <f t="shared" si="5"/>
        <v>0.12587412587412589</v>
      </c>
      <c r="AB25" s="116">
        <f t="shared" si="6"/>
        <v>0.16783216783216784</v>
      </c>
      <c r="AC25" s="117">
        <f t="shared" si="7"/>
        <v>0.37762237762237766</v>
      </c>
      <c r="AD25" s="115">
        <f t="shared" si="8"/>
        <v>0.3</v>
      </c>
      <c r="AE25" s="116">
        <f t="shared" si="9"/>
        <v>0.33333333333333331</v>
      </c>
      <c r="AF25" s="116">
        <f t="shared" si="10"/>
        <v>0.16666666666666666</v>
      </c>
      <c r="AG25" s="116">
        <f t="shared" si="11"/>
        <v>0.1</v>
      </c>
      <c r="AH25" s="116">
        <f t="shared" si="12"/>
        <v>3.3333333333333333E-2</v>
      </c>
      <c r="AI25" s="116">
        <f t="shared" si="13"/>
        <v>6.6666666666666666E-2</v>
      </c>
      <c r="AJ25" s="121">
        <f>Input!$D$22*RBs!C25+Input!$D$23*RBs!D25+Input!$D$24*RBs!X25+Input!$D$25*RBs!Y25+Input!$D$26*RBs!Z25+Input!$D$27*RBs!AA25+Input!$D$28*RBs!AB25+Input!$D$29*RBs!AC25+Input!$D$30*RBs!E25+Input!$D$31*RBs!G25+Input!$D$32*RBs!H25+Input!$D$33*RBs!AD25+Input!$D$34*RBs!AE25+Input!$D$35*RBs!AF25+Input!$D$36*RBs!AG25+Input!$D$37*RBs!AH25+Input!$D$38*RBs!AI25+Input!$D$39*RBs!I25+Input!$D$40*RBs!K25</f>
        <v>161.75734265734272</v>
      </c>
    </row>
    <row r="26" spans="1:36" x14ac:dyDescent="0.25">
      <c r="A26" s="89" t="s">
        <v>256</v>
      </c>
      <c r="B26" s="90" t="s">
        <v>182</v>
      </c>
      <c r="C26" s="45">
        <v>190</v>
      </c>
      <c r="D26" s="37">
        <f>3.8*C26</f>
        <v>722</v>
      </c>
      <c r="E26" s="37">
        <v>1</v>
      </c>
      <c r="F26" s="38">
        <v>2</v>
      </c>
      <c r="G26" s="45">
        <v>60</v>
      </c>
      <c r="H26" s="37">
        <f>8.2*G26</f>
        <v>491.99999999999994</v>
      </c>
      <c r="I26" s="37">
        <v>1</v>
      </c>
      <c r="J26" s="38">
        <v>2</v>
      </c>
      <c r="K26" s="37">
        <v>2</v>
      </c>
      <c r="L26" s="81">
        <v>0.72727272727272729</v>
      </c>
      <c r="M26" s="82">
        <v>9.7902097902097904E-2</v>
      </c>
      <c r="N26" s="82">
        <v>6.2937062937062943E-2</v>
      </c>
      <c r="O26" s="82">
        <v>2.097902097902098E-2</v>
      </c>
      <c r="P26" s="82">
        <v>2.7972027972027972E-2</v>
      </c>
      <c r="Q26" s="83">
        <v>6.2937062937062943E-2</v>
      </c>
      <c r="R26" s="81">
        <v>0.3</v>
      </c>
      <c r="S26" s="82">
        <v>0.33333333333333331</v>
      </c>
      <c r="T26" s="82">
        <v>0.16666666666666666</v>
      </c>
      <c r="U26" s="82">
        <v>0.1</v>
      </c>
      <c r="V26" s="82">
        <v>3.3333333333333333E-2</v>
      </c>
      <c r="W26" s="83">
        <v>6.6666666666666666E-2</v>
      </c>
      <c r="X26" s="115">
        <f t="shared" si="2"/>
        <v>1.4545454545454546</v>
      </c>
      <c r="Y26" s="116">
        <f t="shared" si="3"/>
        <v>0.19580419580419581</v>
      </c>
      <c r="Z26" s="116">
        <f t="shared" si="4"/>
        <v>0.12587412587412589</v>
      </c>
      <c r="AA26" s="116">
        <f t="shared" si="5"/>
        <v>4.195804195804196E-2</v>
      </c>
      <c r="AB26" s="116">
        <f t="shared" si="6"/>
        <v>5.5944055944055944E-2</v>
      </c>
      <c r="AC26" s="117">
        <f t="shared" si="7"/>
        <v>0.12587412587412589</v>
      </c>
      <c r="AD26" s="115">
        <f t="shared" si="8"/>
        <v>0.6</v>
      </c>
      <c r="AE26" s="116">
        <f t="shared" si="9"/>
        <v>0.66666666666666663</v>
      </c>
      <c r="AF26" s="116">
        <f t="shared" si="10"/>
        <v>0.33333333333333331</v>
      </c>
      <c r="AG26" s="116">
        <f t="shared" si="11"/>
        <v>0.2</v>
      </c>
      <c r="AH26" s="116">
        <f t="shared" si="12"/>
        <v>6.6666666666666666E-2</v>
      </c>
      <c r="AI26" s="116">
        <f t="shared" si="13"/>
        <v>0.13333333333333333</v>
      </c>
      <c r="AJ26" s="121">
        <f>Input!$D$22*RBs!C26+Input!$D$23*RBs!D26+Input!$D$24*RBs!X26+Input!$D$25*RBs!Y26+Input!$D$26*RBs!Z26+Input!$D$27*RBs!AA26+Input!$D$28*RBs!AB26+Input!$D$29*RBs!AC26+Input!$D$30*RBs!E26+Input!$D$31*RBs!G26+Input!$D$32*RBs!H26+Input!$D$33*RBs!AD26+Input!$D$34*RBs!AE26+Input!$D$35*RBs!AF26+Input!$D$36*RBs!AG26+Input!$D$37*RBs!AH26+Input!$D$38*RBs!AI26+Input!$D$39*RBs!I26+Input!$D$40*RBs!K26</f>
        <v>153.95244755244752</v>
      </c>
    </row>
    <row r="27" spans="1:36" x14ac:dyDescent="0.25">
      <c r="A27" s="89" t="s">
        <v>257</v>
      </c>
      <c r="B27" s="90" t="s">
        <v>156</v>
      </c>
      <c r="C27" s="45">
        <v>230</v>
      </c>
      <c r="D27" s="37">
        <f>4.4*C27</f>
        <v>1012.0000000000001</v>
      </c>
      <c r="E27" s="37">
        <v>2</v>
      </c>
      <c r="F27" s="38">
        <v>4</v>
      </c>
      <c r="G27" s="45">
        <v>28</v>
      </c>
      <c r="H27" s="37">
        <f>10*G27</f>
        <v>280</v>
      </c>
      <c r="I27" s="37">
        <v>0</v>
      </c>
      <c r="J27" s="38">
        <v>1</v>
      </c>
      <c r="K27" s="37">
        <v>2</v>
      </c>
      <c r="L27" s="81">
        <v>0.72727272727272729</v>
      </c>
      <c r="M27" s="82">
        <v>9.7902097902097904E-2</v>
      </c>
      <c r="N27" s="82">
        <v>6.2937062937062943E-2</v>
      </c>
      <c r="O27" s="82">
        <v>2.097902097902098E-2</v>
      </c>
      <c r="P27" s="82">
        <v>2.7972027972027972E-2</v>
      </c>
      <c r="Q27" s="83">
        <v>6.2937062937062943E-2</v>
      </c>
      <c r="R27" s="81">
        <v>0.3</v>
      </c>
      <c r="S27" s="82">
        <v>0.33333333333333331</v>
      </c>
      <c r="T27" s="82">
        <v>0.16666666666666666</v>
      </c>
      <c r="U27" s="82">
        <v>0.1</v>
      </c>
      <c r="V27" s="82">
        <v>3.3333333333333333E-2</v>
      </c>
      <c r="W27" s="83">
        <v>6.6666666666666666E-2</v>
      </c>
      <c r="X27" s="115">
        <f t="shared" si="2"/>
        <v>2.9090909090909092</v>
      </c>
      <c r="Y27" s="116">
        <f t="shared" si="3"/>
        <v>0.39160839160839161</v>
      </c>
      <c r="Z27" s="116">
        <f t="shared" si="4"/>
        <v>0.25174825174825177</v>
      </c>
      <c r="AA27" s="116">
        <f t="shared" si="5"/>
        <v>8.3916083916083919E-2</v>
      </c>
      <c r="AB27" s="116">
        <f t="shared" si="6"/>
        <v>0.11188811188811189</v>
      </c>
      <c r="AC27" s="117">
        <f t="shared" si="7"/>
        <v>0.25174825174825177</v>
      </c>
      <c r="AD27" s="115">
        <f t="shared" si="8"/>
        <v>0.3</v>
      </c>
      <c r="AE27" s="116">
        <f t="shared" si="9"/>
        <v>0.33333333333333331</v>
      </c>
      <c r="AF27" s="116">
        <f t="shared" si="10"/>
        <v>0.16666666666666666</v>
      </c>
      <c r="AG27" s="116">
        <f t="shared" si="11"/>
        <v>0.1</v>
      </c>
      <c r="AH27" s="116">
        <f t="shared" si="12"/>
        <v>3.3333333333333333E-2</v>
      </c>
      <c r="AI27" s="116">
        <f t="shared" si="13"/>
        <v>6.6666666666666666E-2</v>
      </c>
      <c r="AJ27" s="121">
        <f>Input!$D$22*RBs!C27+Input!$D$23*RBs!D27+Input!$D$24*RBs!X27+Input!$D$25*RBs!Y27+Input!$D$26*RBs!Z27+Input!$D$27*RBs!AA27+Input!$D$28*RBs!AB27+Input!$D$29*RBs!AC27+Input!$D$30*RBs!E27+Input!$D$31*RBs!G27+Input!$D$32*RBs!H27+Input!$D$33*RBs!AD27+Input!$D$34*RBs!AE27+Input!$D$35*RBs!AF27+Input!$D$36*RBs!AG27+Input!$D$37*RBs!AH27+Input!$D$38*RBs!AI27+Input!$D$39*RBs!I27+Input!$D$40*RBs!K27</f>
        <v>167.80489510489519</v>
      </c>
    </row>
    <row r="28" spans="1:36" x14ac:dyDescent="0.25">
      <c r="A28" s="89" t="s">
        <v>258</v>
      </c>
      <c r="B28" s="90" t="s">
        <v>194</v>
      </c>
      <c r="C28" s="45">
        <v>250</v>
      </c>
      <c r="D28" s="37">
        <f>3.7*C28</f>
        <v>925</v>
      </c>
      <c r="E28" s="37">
        <v>1</v>
      </c>
      <c r="F28" s="38">
        <v>6</v>
      </c>
      <c r="G28" s="45">
        <v>25</v>
      </c>
      <c r="H28" s="37">
        <f>6*G28</f>
        <v>150</v>
      </c>
      <c r="I28" s="37">
        <v>0</v>
      </c>
      <c r="J28" s="38">
        <v>0</v>
      </c>
      <c r="K28" s="37">
        <v>2</v>
      </c>
      <c r="L28" s="81">
        <v>0.72727272727272729</v>
      </c>
      <c r="M28" s="82">
        <v>9.7902097902097904E-2</v>
      </c>
      <c r="N28" s="82">
        <v>6.2937062937062943E-2</v>
      </c>
      <c r="O28" s="82">
        <v>2.097902097902098E-2</v>
      </c>
      <c r="P28" s="82">
        <v>2.7972027972027972E-2</v>
      </c>
      <c r="Q28" s="83">
        <v>6.2937062937062943E-2</v>
      </c>
      <c r="R28" s="81">
        <v>0.3</v>
      </c>
      <c r="S28" s="82">
        <v>0.33333333333333331</v>
      </c>
      <c r="T28" s="82">
        <v>0.16666666666666666</v>
      </c>
      <c r="U28" s="82">
        <v>0.1</v>
      </c>
      <c r="V28" s="82">
        <v>3.3333333333333333E-2</v>
      </c>
      <c r="W28" s="83">
        <v>6.6666666666666666E-2</v>
      </c>
      <c r="X28" s="115">
        <f t="shared" si="2"/>
        <v>4.3636363636363633</v>
      </c>
      <c r="Y28" s="116">
        <f t="shared" si="3"/>
        <v>0.58741258741258739</v>
      </c>
      <c r="Z28" s="116">
        <f t="shared" si="4"/>
        <v>0.37762237762237766</v>
      </c>
      <c r="AA28" s="116">
        <f t="shared" si="5"/>
        <v>0.12587412587412589</v>
      </c>
      <c r="AB28" s="116">
        <f t="shared" si="6"/>
        <v>0.16783216783216784</v>
      </c>
      <c r="AC28" s="117">
        <f t="shared" si="7"/>
        <v>0.37762237762237766</v>
      </c>
      <c r="AD28" s="115">
        <f t="shared" si="8"/>
        <v>0</v>
      </c>
      <c r="AE28" s="116">
        <f t="shared" si="9"/>
        <v>0</v>
      </c>
      <c r="AF28" s="116">
        <f t="shared" si="10"/>
        <v>0</v>
      </c>
      <c r="AG28" s="116">
        <f t="shared" si="11"/>
        <v>0</v>
      </c>
      <c r="AH28" s="116">
        <f t="shared" si="12"/>
        <v>0</v>
      </c>
      <c r="AI28" s="116">
        <f t="shared" si="13"/>
        <v>0</v>
      </c>
      <c r="AJ28" s="121">
        <f>Input!$D$22*RBs!C28+Input!$D$23*RBs!D28+Input!$D$24*RBs!X28+Input!$D$25*RBs!Y28+Input!$D$26*RBs!Z28+Input!$D$27*RBs!AA28+Input!$D$28*RBs!AB28+Input!$D$29*RBs!AC28+Input!$D$30*RBs!E28+Input!$D$31*RBs!G28+Input!$D$32*RBs!H28+Input!$D$33*RBs!AD28+Input!$D$34*RBs!AE28+Input!$D$35*RBs!AF28+Input!$D$36*RBs!AG28+Input!$D$37*RBs!AH28+Input!$D$38*RBs!AI28+Input!$D$39*RBs!I28+Input!$D$40*RBs!K28</f>
        <v>149.15734265734267</v>
      </c>
    </row>
    <row r="29" spans="1:36" x14ac:dyDescent="0.25">
      <c r="A29" s="89" t="s">
        <v>259</v>
      </c>
      <c r="B29" s="90" t="s">
        <v>196</v>
      </c>
      <c r="C29" s="45">
        <v>230</v>
      </c>
      <c r="D29" s="37">
        <f>3.7*C29</f>
        <v>851</v>
      </c>
      <c r="E29" s="37">
        <v>2</v>
      </c>
      <c r="F29" s="38">
        <v>6</v>
      </c>
      <c r="G29" s="45">
        <v>5</v>
      </c>
      <c r="H29" s="37">
        <f>6.5*G29</f>
        <v>32.5</v>
      </c>
      <c r="I29" s="37">
        <v>0</v>
      </c>
      <c r="J29" s="38">
        <v>0</v>
      </c>
      <c r="K29" s="37">
        <v>2</v>
      </c>
      <c r="L29" s="81">
        <v>0.72727272727272729</v>
      </c>
      <c r="M29" s="82">
        <v>9.7902097902097904E-2</v>
      </c>
      <c r="N29" s="82">
        <v>6.2937062937062943E-2</v>
      </c>
      <c r="O29" s="82">
        <v>2.097902097902098E-2</v>
      </c>
      <c r="P29" s="82">
        <v>2.7972027972027972E-2</v>
      </c>
      <c r="Q29" s="83">
        <v>6.2937062937062943E-2</v>
      </c>
      <c r="R29" s="81">
        <v>0.3</v>
      </c>
      <c r="S29" s="82">
        <v>0.33333333333333331</v>
      </c>
      <c r="T29" s="82">
        <v>0.16666666666666666</v>
      </c>
      <c r="U29" s="82">
        <v>0.1</v>
      </c>
      <c r="V29" s="82">
        <v>3.3333333333333333E-2</v>
      </c>
      <c r="W29" s="83">
        <v>6.6666666666666666E-2</v>
      </c>
      <c r="X29" s="115">
        <f t="shared" si="2"/>
        <v>4.3636363636363633</v>
      </c>
      <c r="Y29" s="116">
        <f t="shared" si="3"/>
        <v>0.58741258741258739</v>
      </c>
      <c r="Z29" s="116">
        <f t="shared" si="4"/>
        <v>0.37762237762237766</v>
      </c>
      <c r="AA29" s="116">
        <f t="shared" si="5"/>
        <v>0.12587412587412589</v>
      </c>
      <c r="AB29" s="116">
        <f t="shared" si="6"/>
        <v>0.16783216783216784</v>
      </c>
      <c r="AC29" s="117">
        <f t="shared" si="7"/>
        <v>0.37762237762237766</v>
      </c>
      <c r="AD29" s="115">
        <f t="shared" si="8"/>
        <v>0</v>
      </c>
      <c r="AE29" s="116">
        <f t="shared" si="9"/>
        <v>0</v>
      </c>
      <c r="AF29" s="116">
        <f t="shared" si="10"/>
        <v>0</v>
      </c>
      <c r="AG29" s="116">
        <f t="shared" si="11"/>
        <v>0</v>
      </c>
      <c r="AH29" s="116">
        <f t="shared" si="12"/>
        <v>0</v>
      </c>
      <c r="AI29" s="116">
        <f t="shared" si="13"/>
        <v>0</v>
      </c>
      <c r="AJ29" s="121">
        <f>Input!$D$22*RBs!C29+Input!$D$23*RBs!D29+Input!$D$24*RBs!X29+Input!$D$25*RBs!Y29+Input!$D$26*RBs!Z29+Input!$D$27*RBs!AA29+Input!$D$28*RBs!AB29+Input!$D$29*RBs!AC29+Input!$D$30*RBs!E29+Input!$D$31*RBs!G29+Input!$D$32*RBs!H29+Input!$D$33*RBs!AD29+Input!$D$34*RBs!AE29+Input!$D$35*RBs!AF29+Input!$D$36*RBs!AG29+Input!$D$37*RBs!AH29+Input!$D$38*RBs!AI29+Input!$D$39*RBs!I29+Input!$D$40*RBs!K29</f>
        <v>133.00734265734266</v>
      </c>
    </row>
    <row r="30" spans="1:36" x14ac:dyDescent="0.25">
      <c r="A30" s="89" t="s">
        <v>260</v>
      </c>
      <c r="B30" s="90" t="s">
        <v>174</v>
      </c>
      <c r="C30" s="45">
        <v>150</v>
      </c>
      <c r="D30" s="37">
        <f>3.6*C30</f>
        <v>540</v>
      </c>
      <c r="E30" s="37">
        <v>1</v>
      </c>
      <c r="F30" s="38">
        <v>6</v>
      </c>
      <c r="G30" s="45">
        <v>35</v>
      </c>
      <c r="H30" s="37">
        <f>6.5*G30</f>
        <v>227.5</v>
      </c>
      <c r="I30" s="37">
        <v>0</v>
      </c>
      <c r="J30" s="38">
        <v>1</v>
      </c>
      <c r="K30" s="37">
        <v>2</v>
      </c>
      <c r="L30" s="81">
        <v>0.72727272727272729</v>
      </c>
      <c r="M30" s="82">
        <v>9.7902097902097904E-2</v>
      </c>
      <c r="N30" s="82">
        <v>6.2937062937062943E-2</v>
      </c>
      <c r="O30" s="82">
        <v>2.097902097902098E-2</v>
      </c>
      <c r="P30" s="82">
        <v>2.7972027972027972E-2</v>
      </c>
      <c r="Q30" s="83">
        <v>6.2937062937062943E-2</v>
      </c>
      <c r="R30" s="81">
        <v>0.3</v>
      </c>
      <c r="S30" s="82">
        <v>0.33333333333333331</v>
      </c>
      <c r="T30" s="82">
        <v>0.16666666666666666</v>
      </c>
      <c r="U30" s="82">
        <v>0.1</v>
      </c>
      <c r="V30" s="82">
        <v>3.3333333333333333E-2</v>
      </c>
      <c r="W30" s="83">
        <v>6.6666666666666666E-2</v>
      </c>
      <c r="X30" s="115">
        <f t="shared" si="2"/>
        <v>4.3636363636363633</v>
      </c>
      <c r="Y30" s="116">
        <f t="shared" si="3"/>
        <v>0.58741258741258739</v>
      </c>
      <c r="Z30" s="116">
        <f t="shared" si="4"/>
        <v>0.37762237762237766</v>
      </c>
      <c r="AA30" s="116">
        <f t="shared" si="5"/>
        <v>0.12587412587412589</v>
      </c>
      <c r="AB30" s="116">
        <f t="shared" si="6"/>
        <v>0.16783216783216784</v>
      </c>
      <c r="AC30" s="117">
        <f t="shared" si="7"/>
        <v>0.37762237762237766</v>
      </c>
      <c r="AD30" s="115">
        <f t="shared" si="8"/>
        <v>0.3</v>
      </c>
      <c r="AE30" s="116">
        <f t="shared" si="9"/>
        <v>0.33333333333333331</v>
      </c>
      <c r="AF30" s="116">
        <f t="shared" si="10"/>
        <v>0.16666666666666666</v>
      </c>
      <c r="AG30" s="116">
        <f t="shared" si="11"/>
        <v>0.1</v>
      </c>
      <c r="AH30" s="116">
        <f t="shared" si="12"/>
        <v>3.3333333333333333E-2</v>
      </c>
      <c r="AI30" s="116">
        <f t="shared" si="13"/>
        <v>6.6666666666666666E-2</v>
      </c>
      <c r="AJ30" s="121">
        <f>Input!$D$22*RBs!C30+Input!$D$23*RBs!D30+Input!$D$24*RBs!X30+Input!$D$25*RBs!Y30+Input!$D$26*RBs!Z30+Input!$D$27*RBs!AA30+Input!$D$28*RBs!AB30+Input!$D$29*RBs!AC30+Input!$D$30*RBs!E30+Input!$D$31*RBs!G30+Input!$D$32*RBs!H30+Input!$D$33*RBs!AD30+Input!$D$34*RBs!AE30+Input!$D$35*RBs!AF30+Input!$D$36*RBs!AG30+Input!$D$37*RBs!AH30+Input!$D$38*RBs!AI30+Input!$D$39*RBs!I30+Input!$D$40*RBs!K30</f>
        <v>125.90734265734265</v>
      </c>
    </row>
    <row r="31" spans="1:36" x14ac:dyDescent="0.25">
      <c r="A31" s="89" t="s">
        <v>261</v>
      </c>
      <c r="B31" s="90" t="s">
        <v>180</v>
      </c>
      <c r="C31" s="45">
        <v>160</v>
      </c>
      <c r="D31" s="37">
        <f>3.5*C31</f>
        <v>560</v>
      </c>
      <c r="E31" s="37">
        <v>1</v>
      </c>
      <c r="F31" s="38">
        <v>4</v>
      </c>
      <c r="G31" s="45">
        <v>25</v>
      </c>
      <c r="H31" s="37">
        <f>8.7*G31</f>
        <v>217.49999999999997</v>
      </c>
      <c r="I31" s="37">
        <v>0</v>
      </c>
      <c r="J31" s="38">
        <v>1</v>
      </c>
      <c r="K31" s="37">
        <v>2</v>
      </c>
      <c r="L31" s="81">
        <v>0.72727272727272729</v>
      </c>
      <c r="M31" s="82">
        <v>9.7902097902097904E-2</v>
      </c>
      <c r="N31" s="82">
        <v>6.2937062937062943E-2</v>
      </c>
      <c r="O31" s="82">
        <v>2.097902097902098E-2</v>
      </c>
      <c r="P31" s="82">
        <v>2.7972027972027972E-2</v>
      </c>
      <c r="Q31" s="83">
        <v>6.2937062937062943E-2</v>
      </c>
      <c r="R31" s="81">
        <v>0.3</v>
      </c>
      <c r="S31" s="82">
        <v>0.33333333333333331</v>
      </c>
      <c r="T31" s="82">
        <v>0.16666666666666666</v>
      </c>
      <c r="U31" s="82">
        <v>0.1</v>
      </c>
      <c r="V31" s="82">
        <v>3.3333333333333333E-2</v>
      </c>
      <c r="W31" s="83">
        <v>6.6666666666666666E-2</v>
      </c>
      <c r="X31" s="115">
        <f t="shared" si="2"/>
        <v>2.9090909090909092</v>
      </c>
      <c r="Y31" s="116">
        <f t="shared" si="3"/>
        <v>0.39160839160839161</v>
      </c>
      <c r="Z31" s="116">
        <f t="shared" si="4"/>
        <v>0.25174825174825177</v>
      </c>
      <c r="AA31" s="116">
        <f t="shared" si="5"/>
        <v>8.3916083916083919E-2</v>
      </c>
      <c r="AB31" s="116">
        <f t="shared" si="6"/>
        <v>0.11188811188811189</v>
      </c>
      <c r="AC31" s="117">
        <f t="shared" si="7"/>
        <v>0.25174825174825177</v>
      </c>
      <c r="AD31" s="115">
        <f t="shared" si="8"/>
        <v>0.3</v>
      </c>
      <c r="AE31" s="116">
        <f t="shared" si="9"/>
        <v>0.33333333333333331</v>
      </c>
      <c r="AF31" s="116">
        <f t="shared" si="10"/>
        <v>0.16666666666666666</v>
      </c>
      <c r="AG31" s="116">
        <f t="shared" si="11"/>
        <v>0.1</v>
      </c>
      <c r="AH31" s="116">
        <f t="shared" si="12"/>
        <v>3.3333333333333333E-2</v>
      </c>
      <c r="AI31" s="116">
        <f t="shared" si="13"/>
        <v>6.6666666666666666E-2</v>
      </c>
      <c r="AJ31" s="121">
        <f>Input!$D$22*RBs!C31+Input!$D$23*RBs!D31+Input!$D$24*RBs!X31+Input!$D$25*RBs!Y31+Input!$D$26*RBs!Z31+Input!$D$27*RBs!AA31+Input!$D$28*RBs!AB31+Input!$D$29*RBs!AC31+Input!$D$30*RBs!E31+Input!$D$31*RBs!G31+Input!$D$32*RBs!H31+Input!$D$33*RBs!AD31+Input!$D$34*RBs!AE31+Input!$D$35*RBs!AF31+Input!$D$36*RBs!AG31+Input!$D$37*RBs!AH31+Input!$D$38*RBs!AI31+Input!$D$39*RBs!I31+Input!$D$40*RBs!K31</f>
        <v>113.35489510489511</v>
      </c>
    </row>
    <row r="32" spans="1:36" x14ac:dyDescent="0.25">
      <c r="A32" s="89" t="s">
        <v>262</v>
      </c>
      <c r="B32" s="90" t="s">
        <v>164</v>
      </c>
      <c r="C32" s="45">
        <v>170</v>
      </c>
      <c r="D32" s="37">
        <f>4*C32</f>
        <v>680</v>
      </c>
      <c r="E32" s="37">
        <v>1</v>
      </c>
      <c r="F32" s="38">
        <v>3</v>
      </c>
      <c r="G32" s="45">
        <v>25</v>
      </c>
      <c r="H32" s="37">
        <f>7.5*G32</f>
        <v>187.5</v>
      </c>
      <c r="I32" s="37">
        <v>0</v>
      </c>
      <c r="J32" s="38">
        <v>1</v>
      </c>
      <c r="K32" s="37">
        <v>2</v>
      </c>
      <c r="L32" s="81">
        <v>0.72727272727272729</v>
      </c>
      <c r="M32" s="82">
        <v>9.7902097902097904E-2</v>
      </c>
      <c r="N32" s="82">
        <v>6.2937062937062943E-2</v>
      </c>
      <c r="O32" s="82">
        <v>2.097902097902098E-2</v>
      </c>
      <c r="P32" s="82">
        <v>2.7972027972027972E-2</v>
      </c>
      <c r="Q32" s="83">
        <v>6.2937062937062943E-2</v>
      </c>
      <c r="R32" s="81">
        <v>0.3</v>
      </c>
      <c r="S32" s="82">
        <v>0.33333333333333331</v>
      </c>
      <c r="T32" s="82">
        <v>0.16666666666666666</v>
      </c>
      <c r="U32" s="82">
        <v>0.1</v>
      </c>
      <c r="V32" s="82">
        <v>3.3333333333333333E-2</v>
      </c>
      <c r="W32" s="83">
        <v>6.6666666666666666E-2</v>
      </c>
      <c r="X32" s="115">
        <f t="shared" si="2"/>
        <v>2.1818181818181817</v>
      </c>
      <c r="Y32" s="116">
        <f t="shared" si="3"/>
        <v>0.2937062937062937</v>
      </c>
      <c r="Z32" s="116">
        <f t="shared" si="4"/>
        <v>0.18881118881118883</v>
      </c>
      <c r="AA32" s="116">
        <f t="shared" si="5"/>
        <v>6.2937062937062943E-2</v>
      </c>
      <c r="AB32" s="116">
        <f t="shared" si="6"/>
        <v>8.3916083916083919E-2</v>
      </c>
      <c r="AC32" s="117">
        <f t="shared" si="7"/>
        <v>0.18881118881118883</v>
      </c>
      <c r="AD32" s="115">
        <f t="shared" si="8"/>
        <v>0.3</v>
      </c>
      <c r="AE32" s="116">
        <f t="shared" si="9"/>
        <v>0.33333333333333331</v>
      </c>
      <c r="AF32" s="116">
        <f t="shared" si="10"/>
        <v>0.16666666666666666</v>
      </c>
      <c r="AG32" s="116">
        <f t="shared" si="11"/>
        <v>0.1</v>
      </c>
      <c r="AH32" s="116">
        <f t="shared" si="12"/>
        <v>3.3333333333333333E-2</v>
      </c>
      <c r="AI32" s="116">
        <f t="shared" si="13"/>
        <v>6.6666666666666666E-2</v>
      </c>
      <c r="AJ32" s="121">
        <f>Input!$D$22*RBs!C32+Input!$D$23*RBs!D32+Input!$D$24*RBs!X32+Input!$D$25*RBs!Y32+Input!$D$26*RBs!Z32+Input!$D$27*RBs!AA32+Input!$D$28*RBs!AB32+Input!$D$29*RBs!AC32+Input!$D$30*RBs!E32+Input!$D$31*RBs!G32+Input!$D$32*RBs!H32+Input!$D$33*RBs!AD32+Input!$D$34*RBs!AE32+Input!$D$35*RBs!AF32+Input!$D$36*RBs!AG32+Input!$D$37*RBs!AH32+Input!$D$38*RBs!AI32+Input!$D$39*RBs!I32+Input!$D$40*RBs!K32</f>
        <v>115.57867132867131</v>
      </c>
    </row>
    <row r="33" spans="1:36" x14ac:dyDescent="0.25">
      <c r="A33" s="89" t="s">
        <v>263</v>
      </c>
      <c r="B33" s="90" t="s">
        <v>192</v>
      </c>
      <c r="C33" s="45">
        <v>120</v>
      </c>
      <c r="D33" s="37">
        <f>4.45*C33</f>
        <v>534</v>
      </c>
      <c r="E33" s="37">
        <v>1</v>
      </c>
      <c r="F33" s="38">
        <v>4</v>
      </c>
      <c r="G33" s="45">
        <v>20</v>
      </c>
      <c r="H33" s="37">
        <f>8.5*G33</f>
        <v>170</v>
      </c>
      <c r="I33" s="37">
        <v>0</v>
      </c>
      <c r="J33" s="38">
        <v>1</v>
      </c>
      <c r="K33" s="37">
        <v>2</v>
      </c>
      <c r="L33" s="81">
        <v>0.72727272727272729</v>
      </c>
      <c r="M33" s="82">
        <v>9.7902097902097904E-2</v>
      </c>
      <c r="N33" s="82">
        <v>6.2937062937062943E-2</v>
      </c>
      <c r="O33" s="82">
        <v>2.097902097902098E-2</v>
      </c>
      <c r="P33" s="82">
        <v>2.7972027972027972E-2</v>
      </c>
      <c r="Q33" s="83">
        <v>6.2937062937062943E-2</v>
      </c>
      <c r="R33" s="81">
        <v>0.3</v>
      </c>
      <c r="S33" s="82">
        <v>0.33333333333333331</v>
      </c>
      <c r="T33" s="82">
        <v>0.16666666666666666</v>
      </c>
      <c r="U33" s="82">
        <v>0.1</v>
      </c>
      <c r="V33" s="82">
        <v>3.3333333333333333E-2</v>
      </c>
      <c r="W33" s="83">
        <v>6.6666666666666666E-2</v>
      </c>
      <c r="X33" s="115">
        <f t="shared" si="2"/>
        <v>2.9090909090909092</v>
      </c>
      <c r="Y33" s="116">
        <f t="shared" si="3"/>
        <v>0.39160839160839161</v>
      </c>
      <c r="Z33" s="116">
        <f t="shared" si="4"/>
        <v>0.25174825174825177</v>
      </c>
      <c r="AA33" s="116">
        <f t="shared" si="5"/>
        <v>8.3916083916083919E-2</v>
      </c>
      <c r="AB33" s="116">
        <f t="shared" si="6"/>
        <v>0.11188811188811189</v>
      </c>
      <c r="AC33" s="117">
        <f t="shared" si="7"/>
        <v>0.25174825174825177</v>
      </c>
      <c r="AD33" s="115">
        <f t="shared" si="8"/>
        <v>0.3</v>
      </c>
      <c r="AE33" s="116">
        <f t="shared" si="9"/>
        <v>0.33333333333333331</v>
      </c>
      <c r="AF33" s="116">
        <f t="shared" si="10"/>
        <v>0.16666666666666666</v>
      </c>
      <c r="AG33" s="116">
        <f t="shared" si="11"/>
        <v>0.1</v>
      </c>
      <c r="AH33" s="116">
        <f t="shared" si="12"/>
        <v>3.3333333333333333E-2</v>
      </c>
      <c r="AI33" s="116">
        <f t="shared" si="13"/>
        <v>6.6666666666666666E-2</v>
      </c>
      <c r="AJ33" s="121">
        <f>Input!$D$22*RBs!C33+Input!$D$23*RBs!D33+Input!$D$24*RBs!X33+Input!$D$25*RBs!Y33+Input!$D$26*RBs!Z33+Input!$D$27*RBs!AA33+Input!$D$28*RBs!AB33+Input!$D$29*RBs!AC33+Input!$D$30*RBs!E33+Input!$D$31*RBs!G33+Input!$D$32*RBs!H33+Input!$D$33*RBs!AD33+Input!$D$34*RBs!AE33+Input!$D$35*RBs!AF33+Input!$D$36*RBs!AG33+Input!$D$37*RBs!AH33+Input!$D$38*RBs!AI33+Input!$D$39*RBs!I33+Input!$D$40*RBs!K33</f>
        <v>106.00489510489511</v>
      </c>
    </row>
    <row r="34" spans="1:36" x14ac:dyDescent="0.25">
      <c r="A34" s="89" t="s">
        <v>264</v>
      </c>
      <c r="B34" s="90" t="s">
        <v>176</v>
      </c>
      <c r="C34" s="45">
        <v>210</v>
      </c>
      <c r="D34" s="37">
        <f>3.8*C34</f>
        <v>798</v>
      </c>
      <c r="E34" s="37">
        <v>1</v>
      </c>
      <c r="F34" s="38">
        <v>5</v>
      </c>
      <c r="G34" s="45">
        <v>10</v>
      </c>
      <c r="H34" s="37">
        <f>6.5*G34</f>
        <v>65</v>
      </c>
      <c r="I34" s="37">
        <v>0</v>
      </c>
      <c r="J34" s="38">
        <v>0</v>
      </c>
      <c r="K34" s="37">
        <v>2</v>
      </c>
      <c r="L34" s="81">
        <v>0.72727272727272729</v>
      </c>
      <c r="M34" s="82">
        <v>9.7902097902097904E-2</v>
      </c>
      <c r="N34" s="82">
        <v>6.2937062937062943E-2</v>
      </c>
      <c r="O34" s="82">
        <v>2.097902097902098E-2</v>
      </c>
      <c r="P34" s="82">
        <v>2.7972027972027972E-2</v>
      </c>
      <c r="Q34" s="83">
        <v>6.2937062937062943E-2</v>
      </c>
      <c r="R34" s="81">
        <v>0.3</v>
      </c>
      <c r="S34" s="82">
        <v>0.33333333333333331</v>
      </c>
      <c r="T34" s="82">
        <v>0.16666666666666666</v>
      </c>
      <c r="U34" s="82">
        <v>0.1</v>
      </c>
      <c r="V34" s="82">
        <v>3.3333333333333333E-2</v>
      </c>
      <c r="W34" s="83">
        <v>6.6666666666666666E-2</v>
      </c>
      <c r="X34" s="115">
        <f t="shared" si="2"/>
        <v>3.6363636363636367</v>
      </c>
      <c r="Y34" s="116">
        <f t="shared" si="3"/>
        <v>0.48951048951048953</v>
      </c>
      <c r="Z34" s="116">
        <f t="shared" si="4"/>
        <v>0.31468531468531469</v>
      </c>
      <c r="AA34" s="116">
        <f t="shared" si="5"/>
        <v>0.1048951048951049</v>
      </c>
      <c r="AB34" s="116">
        <f t="shared" si="6"/>
        <v>0.13986013986013987</v>
      </c>
      <c r="AC34" s="117">
        <f t="shared" si="7"/>
        <v>0.31468531468531469</v>
      </c>
      <c r="AD34" s="115">
        <f t="shared" si="8"/>
        <v>0</v>
      </c>
      <c r="AE34" s="116">
        <f t="shared" si="9"/>
        <v>0</v>
      </c>
      <c r="AF34" s="116">
        <f t="shared" si="10"/>
        <v>0</v>
      </c>
      <c r="AG34" s="116">
        <f t="shared" si="11"/>
        <v>0</v>
      </c>
      <c r="AH34" s="116">
        <f t="shared" si="12"/>
        <v>0</v>
      </c>
      <c r="AI34" s="116">
        <f t="shared" si="13"/>
        <v>0</v>
      </c>
      <c r="AJ34" s="121">
        <f>Input!$D$22*RBs!C34+Input!$D$23*RBs!D34+Input!$D$24*RBs!X34+Input!$D$25*RBs!Y34+Input!$D$26*RBs!Z34+Input!$D$27*RBs!AA34+Input!$D$28*RBs!AB34+Input!$D$29*RBs!AC34+Input!$D$30*RBs!E34+Input!$D$31*RBs!G34+Input!$D$32*RBs!H34+Input!$D$33*RBs!AD34+Input!$D$34*RBs!AE34+Input!$D$35*RBs!AF34+Input!$D$36*RBs!AG34+Input!$D$37*RBs!AH34+Input!$D$38*RBs!AI34+Input!$D$39*RBs!I34+Input!$D$40*RBs!K34</f>
        <v>121.18111888111889</v>
      </c>
    </row>
    <row r="35" spans="1:36" x14ac:dyDescent="0.25">
      <c r="A35" s="89" t="s">
        <v>265</v>
      </c>
      <c r="B35" s="90" t="s">
        <v>148</v>
      </c>
      <c r="C35" s="45">
        <v>80</v>
      </c>
      <c r="D35" s="37">
        <f>4.7*C35</f>
        <v>376</v>
      </c>
      <c r="E35" s="37">
        <v>0</v>
      </c>
      <c r="F35" s="38">
        <v>5</v>
      </c>
      <c r="G35" s="45">
        <v>40</v>
      </c>
      <c r="H35" s="37">
        <f>8.9*G35</f>
        <v>356</v>
      </c>
      <c r="I35" s="37">
        <v>0</v>
      </c>
      <c r="J35" s="38">
        <v>1</v>
      </c>
      <c r="K35" s="37">
        <v>1</v>
      </c>
      <c r="L35" s="81">
        <v>0.72727272727272729</v>
      </c>
      <c r="M35" s="82">
        <v>9.7902097902097904E-2</v>
      </c>
      <c r="N35" s="82">
        <v>6.2937062937062943E-2</v>
      </c>
      <c r="O35" s="82">
        <v>2.097902097902098E-2</v>
      </c>
      <c r="P35" s="82">
        <v>2.7972027972027972E-2</v>
      </c>
      <c r="Q35" s="83">
        <v>6.2937062937062943E-2</v>
      </c>
      <c r="R35" s="81">
        <v>0.3</v>
      </c>
      <c r="S35" s="82">
        <v>0.33333333333333331</v>
      </c>
      <c r="T35" s="82">
        <v>0.16666666666666666</v>
      </c>
      <c r="U35" s="82">
        <v>0.1</v>
      </c>
      <c r="V35" s="82">
        <v>3.3333333333333333E-2</v>
      </c>
      <c r="W35" s="83">
        <v>6.6666666666666666E-2</v>
      </c>
      <c r="X35" s="115">
        <f t="shared" si="2"/>
        <v>3.6363636363636367</v>
      </c>
      <c r="Y35" s="116">
        <f t="shared" si="3"/>
        <v>0.48951048951048953</v>
      </c>
      <c r="Z35" s="116">
        <f t="shared" si="4"/>
        <v>0.31468531468531469</v>
      </c>
      <c r="AA35" s="116">
        <f t="shared" si="5"/>
        <v>0.1048951048951049</v>
      </c>
      <c r="AB35" s="116">
        <f t="shared" si="6"/>
        <v>0.13986013986013987</v>
      </c>
      <c r="AC35" s="117">
        <f t="shared" si="7"/>
        <v>0.31468531468531469</v>
      </c>
      <c r="AD35" s="115">
        <f t="shared" si="8"/>
        <v>0.3</v>
      </c>
      <c r="AE35" s="116">
        <f t="shared" si="9"/>
        <v>0.33333333333333331</v>
      </c>
      <c r="AF35" s="116">
        <f t="shared" si="10"/>
        <v>0.16666666666666666</v>
      </c>
      <c r="AG35" s="116">
        <f t="shared" si="11"/>
        <v>0.1</v>
      </c>
      <c r="AH35" s="116">
        <f t="shared" si="12"/>
        <v>3.3333333333333333E-2</v>
      </c>
      <c r="AI35" s="116">
        <f t="shared" si="13"/>
        <v>6.6666666666666666E-2</v>
      </c>
      <c r="AJ35" s="121">
        <f>Input!$D$22*RBs!C35+Input!$D$23*RBs!D35+Input!$D$24*RBs!X35+Input!$D$25*RBs!Y35+Input!$D$26*RBs!Z35+Input!$D$27*RBs!AA35+Input!$D$28*RBs!AB35+Input!$D$29*RBs!AC35+Input!$D$30*RBs!E35+Input!$D$31*RBs!G35+Input!$D$32*RBs!H35+Input!$D$33*RBs!AD35+Input!$D$34*RBs!AE35+Input!$D$35*RBs!AF35+Input!$D$36*RBs!AG35+Input!$D$37*RBs!AH35+Input!$D$38*RBs!AI35+Input!$D$39*RBs!I35+Input!$D$40*RBs!K35</f>
        <v>113.58111888111888</v>
      </c>
    </row>
    <row r="36" spans="1:36" x14ac:dyDescent="0.25">
      <c r="A36" s="89" t="s">
        <v>266</v>
      </c>
      <c r="B36" s="90" t="s">
        <v>172</v>
      </c>
      <c r="C36" s="45">
        <v>160</v>
      </c>
      <c r="D36" s="37">
        <f>4.2*C36</f>
        <v>672</v>
      </c>
      <c r="E36" s="37">
        <v>1</v>
      </c>
      <c r="F36" s="38">
        <v>3</v>
      </c>
      <c r="G36" s="45">
        <v>23</v>
      </c>
      <c r="H36" s="37">
        <f>7.3*G36</f>
        <v>167.9</v>
      </c>
      <c r="I36" s="37">
        <v>0</v>
      </c>
      <c r="J36" s="38">
        <v>1</v>
      </c>
      <c r="K36" s="37">
        <v>1</v>
      </c>
      <c r="L36" s="81">
        <v>0.72727272727272729</v>
      </c>
      <c r="M36" s="82">
        <v>9.7902097902097904E-2</v>
      </c>
      <c r="N36" s="82">
        <v>6.2937062937062943E-2</v>
      </c>
      <c r="O36" s="82">
        <v>2.097902097902098E-2</v>
      </c>
      <c r="P36" s="82">
        <v>2.7972027972027972E-2</v>
      </c>
      <c r="Q36" s="83">
        <v>6.2937062937062943E-2</v>
      </c>
      <c r="R36" s="81">
        <v>0.3</v>
      </c>
      <c r="S36" s="82">
        <v>0.33333333333333331</v>
      </c>
      <c r="T36" s="82">
        <v>0.16666666666666666</v>
      </c>
      <c r="U36" s="82">
        <v>0.1</v>
      </c>
      <c r="V36" s="82">
        <v>3.3333333333333333E-2</v>
      </c>
      <c r="W36" s="83">
        <v>6.6666666666666666E-2</v>
      </c>
      <c r="X36" s="115">
        <f t="shared" si="2"/>
        <v>2.1818181818181817</v>
      </c>
      <c r="Y36" s="116">
        <f t="shared" si="3"/>
        <v>0.2937062937062937</v>
      </c>
      <c r="Z36" s="116">
        <f t="shared" si="4"/>
        <v>0.18881118881118883</v>
      </c>
      <c r="AA36" s="116">
        <f t="shared" si="5"/>
        <v>6.2937062937062943E-2</v>
      </c>
      <c r="AB36" s="116">
        <f t="shared" si="6"/>
        <v>8.3916083916083919E-2</v>
      </c>
      <c r="AC36" s="117">
        <f t="shared" si="7"/>
        <v>0.18881118881118883</v>
      </c>
      <c r="AD36" s="115">
        <f t="shared" si="8"/>
        <v>0.3</v>
      </c>
      <c r="AE36" s="116">
        <f t="shared" si="9"/>
        <v>0.33333333333333331</v>
      </c>
      <c r="AF36" s="116">
        <f t="shared" si="10"/>
        <v>0.16666666666666666</v>
      </c>
      <c r="AG36" s="116">
        <f t="shared" si="11"/>
        <v>0.1</v>
      </c>
      <c r="AH36" s="116">
        <f t="shared" si="12"/>
        <v>3.3333333333333333E-2</v>
      </c>
      <c r="AI36" s="116">
        <f t="shared" si="13"/>
        <v>6.6666666666666666E-2</v>
      </c>
      <c r="AJ36" s="121">
        <f>Input!$D$22*RBs!C36+Input!$D$23*RBs!D36+Input!$D$24*RBs!X36+Input!$D$25*RBs!Y36+Input!$D$26*RBs!Z36+Input!$D$27*RBs!AA36+Input!$D$28*RBs!AB36+Input!$D$29*RBs!AC36+Input!$D$30*RBs!E36+Input!$D$31*RBs!G36+Input!$D$32*RBs!H36+Input!$D$33*RBs!AD36+Input!$D$34*RBs!AE36+Input!$D$35*RBs!AF36+Input!$D$36*RBs!AG36+Input!$D$37*RBs!AH36+Input!$D$38*RBs!AI36+Input!$D$39*RBs!I36+Input!$D$40*RBs!K36</f>
        <v>113.81867132867131</v>
      </c>
    </row>
    <row r="37" spans="1:36" x14ac:dyDescent="0.25">
      <c r="A37" s="89" t="s">
        <v>267</v>
      </c>
      <c r="B37" s="90" t="s">
        <v>146</v>
      </c>
      <c r="C37" s="45">
        <v>140</v>
      </c>
      <c r="D37" s="37">
        <f>4.4*C37</f>
        <v>616</v>
      </c>
      <c r="E37" s="37">
        <v>1</v>
      </c>
      <c r="F37" s="38">
        <v>3</v>
      </c>
      <c r="G37" s="45">
        <v>25</v>
      </c>
      <c r="H37" s="37">
        <f>8.6*G37</f>
        <v>215</v>
      </c>
      <c r="I37" s="37">
        <v>0</v>
      </c>
      <c r="J37" s="38">
        <v>1</v>
      </c>
      <c r="K37" s="37">
        <v>2</v>
      </c>
      <c r="L37" s="81">
        <v>0.72727272727272729</v>
      </c>
      <c r="M37" s="82">
        <v>9.7902097902097904E-2</v>
      </c>
      <c r="N37" s="82">
        <v>6.2937062937062943E-2</v>
      </c>
      <c r="O37" s="82">
        <v>2.097902097902098E-2</v>
      </c>
      <c r="P37" s="82">
        <v>2.7972027972027972E-2</v>
      </c>
      <c r="Q37" s="83">
        <v>6.2937062937062943E-2</v>
      </c>
      <c r="R37" s="81">
        <v>0.3</v>
      </c>
      <c r="S37" s="82">
        <v>0.33333333333333331</v>
      </c>
      <c r="T37" s="82">
        <v>0.16666666666666666</v>
      </c>
      <c r="U37" s="82">
        <v>0.1</v>
      </c>
      <c r="V37" s="82">
        <v>3.3333333333333333E-2</v>
      </c>
      <c r="W37" s="83">
        <v>6.6666666666666666E-2</v>
      </c>
      <c r="X37" s="115">
        <f t="shared" si="2"/>
        <v>2.1818181818181817</v>
      </c>
      <c r="Y37" s="116">
        <f t="shared" si="3"/>
        <v>0.2937062937062937</v>
      </c>
      <c r="Z37" s="116">
        <f t="shared" si="4"/>
        <v>0.18881118881118883</v>
      </c>
      <c r="AA37" s="116">
        <f t="shared" si="5"/>
        <v>6.2937062937062943E-2</v>
      </c>
      <c r="AB37" s="116">
        <f t="shared" si="6"/>
        <v>8.3916083916083919E-2</v>
      </c>
      <c r="AC37" s="117">
        <f t="shared" si="7"/>
        <v>0.18881118881118883</v>
      </c>
      <c r="AD37" s="115">
        <f t="shared" si="8"/>
        <v>0.3</v>
      </c>
      <c r="AE37" s="116">
        <f t="shared" si="9"/>
        <v>0.33333333333333331</v>
      </c>
      <c r="AF37" s="116">
        <f t="shared" si="10"/>
        <v>0.16666666666666666</v>
      </c>
      <c r="AG37" s="116">
        <f t="shared" si="11"/>
        <v>0.1</v>
      </c>
      <c r="AH37" s="116">
        <f t="shared" si="12"/>
        <v>3.3333333333333333E-2</v>
      </c>
      <c r="AI37" s="116">
        <f t="shared" si="13"/>
        <v>6.6666666666666666E-2</v>
      </c>
      <c r="AJ37" s="121">
        <f>Input!$D$22*RBs!C37+Input!$D$23*RBs!D37+Input!$D$24*RBs!X37+Input!$D$25*RBs!Y37+Input!$D$26*RBs!Z37+Input!$D$27*RBs!AA37+Input!$D$28*RBs!AB37+Input!$D$29*RBs!AC37+Input!$D$30*RBs!E37+Input!$D$31*RBs!G37+Input!$D$32*RBs!H37+Input!$D$33*RBs!AD37+Input!$D$34*RBs!AE37+Input!$D$35*RBs!AF37+Input!$D$36*RBs!AG37+Input!$D$37*RBs!AH37+Input!$D$38*RBs!AI37+Input!$D$39*RBs!I37+Input!$D$40*RBs!K37</f>
        <v>111.9286713286713</v>
      </c>
    </row>
    <row r="38" spans="1:36" x14ac:dyDescent="0.25">
      <c r="A38" s="89" t="s">
        <v>268</v>
      </c>
      <c r="B38" s="90" t="s">
        <v>156</v>
      </c>
      <c r="C38" s="45">
        <v>130</v>
      </c>
      <c r="D38" s="37">
        <f>3.7*C38</f>
        <v>481</v>
      </c>
      <c r="E38" s="37">
        <v>0</v>
      </c>
      <c r="F38" s="38">
        <v>5</v>
      </c>
      <c r="G38" s="45">
        <v>10</v>
      </c>
      <c r="H38" s="37">
        <f>6.5*G38</f>
        <v>65</v>
      </c>
      <c r="I38" s="37">
        <v>0</v>
      </c>
      <c r="J38" s="38">
        <v>0</v>
      </c>
      <c r="K38" s="37">
        <v>1</v>
      </c>
      <c r="L38" s="81">
        <v>0.72727272727272729</v>
      </c>
      <c r="M38" s="82">
        <v>9.7902097902097904E-2</v>
      </c>
      <c r="N38" s="82">
        <v>6.2937062937062943E-2</v>
      </c>
      <c r="O38" s="82">
        <v>2.097902097902098E-2</v>
      </c>
      <c r="P38" s="82">
        <v>2.7972027972027972E-2</v>
      </c>
      <c r="Q38" s="83">
        <v>6.2937062937062943E-2</v>
      </c>
      <c r="R38" s="81">
        <v>0.3</v>
      </c>
      <c r="S38" s="82">
        <v>0.33333333333333331</v>
      </c>
      <c r="T38" s="82">
        <v>0.16666666666666666</v>
      </c>
      <c r="U38" s="82">
        <v>0.1</v>
      </c>
      <c r="V38" s="82">
        <v>3.3333333333333333E-2</v>
      </c>
      <c r="W38" s="83">
        <v>6.6666666666666666E-2</v>
      </c>
      <c r="X38" s="115">
        <f t="shared" si="2"/>
        <v>3.6363636363636367</v>
      </c>
      <c r="Y38" s="116">
        <f t="shared" si="3"/>
        <v>0.48951048951048953</v>
      </c>
      <c r="Z38" s="116">
        <f t="shared" si="4"/>
        <v>0.31468531468531469</v>
      </c>
      <c r="AA38" s="116">
        <f t="shared" si="5"/>
        <v>0.1048951048951049</v>
      </c>
      <c r="AB38" s="116">
        <f t="shared" si="6"/>
        <v>0.13986013986013987</v>
      </c>
      <c r="AC38" s="117">
        <f t="shared" si="7"/>
        <v>0.31468531468531469</v>
      </c>
      <c r="AD38" s="115">
        <f t="shared" si="8"/>
        <v>0</v>
      </c>
      <c r="AE38" s="116">
        <f t="shared" si="9"/>
        <v>0</v>
      </c>
      <c r="AF38" s="116">
        <f t="shared" si="10"/>
        <v>0</v>
      </c>
      <c r="AG38" s="116">
        <f t="shared" si="11"/>
        <v>0</v>
      </c>
      <c r="AH38" s="116">
        <f t="shared" si="12"/>
        <v>0</v>
      </c>
      <c r="AI38" s="116">
        <f t="shared" si="13"/>
        <v>0</v>
      </c>
      <c r="AJ38" s="121">
        <f>Input!$D$22*RBs!C38+Input!$D$23*RBs!D38+Input!$D$24*RBs!X38+Input!$D$25*RBs!Y38+Input!$D$26*RBs!Z38+Input!$D$27*RBs!AA38+Input!$D$28*RBs!AB38+Input!$D$29*RBs!AC38+Input!$D$30*RBs!E38+Input!$D$31*RBs!G38+Input!$D$32*RBs!H38+Input!$D$33*RBs!AD38+Input!$D$34*RBs!AE38+Input!$D$35*RBs!AF38+Input!$D$36*RBs!AG38+Input!$D$37*RBs!AH38+Input!$D$38*RBs!AI38+Input!$D$39*RBs!I38+Input!$D$40*RBs!K38</f>
        <v>87.481118881118888</v>
      </c>
    </row>
    <row r="39" spans="1:36" x14ac:dyDescent="0.25">
      <c r="A39" s="89" t="s">
        <v>269</v>
      </c>
      <c r="B39" s="90" t="s">
        <v>190</v>
      </c>
      <c r="C39" s="45">
        <v>120</v>
      </c>
      <c r="D39" s="37">
        <f>4.6*C39</f>
        <v>552</v>
      </c>
      <c r="E39" s="37">
        <v>1</v>
      </c>
      <c r="F39" s="38">
        <v>3</v>
      </c>
      <c r="G39" s="45">
        <v>25</v>
      </c>
      <c r="H39" s="37">
        <f>9.3*G39</f>
        <v>232.50000000000003</v>
      </c>
      <c r="I39" s="37">
        <v>0</v>
      </c>
      <c r="J39" s="38">
        <v>1</v>
      </c>
      <c r="K39" s="37">
        <v>2</v>
      </c>
      <c r="L39" s="81">
        <v>0.72727272727272729</v>
      </c>
      <c r="M39" s="82">
        <v>9.7902097902097904E-2</v>
      </c>
      <c r="N39" s="82">
        <v>6.2937062937062943E-2</v>
      </c>
      <c r="O39" s="82">
        <v>2.097902097902098E-2</v>
      </c>
      <c r="P39" s="82">
        <v>2.7972027972027972E-2</v>
      </c>
      <c r="Q39" s="83">
        <v>6.2937062937062943E-2</v>
      </c>
      <c r="R39" s="81">
        <v>0.3</v>
      </c>
      <c r="S39" s="82">
        <v>0.33333333333333331</v>
      </c>
      <c r="T39" s="82">
        <v>0.16666666666666666</v>
      </c>
      <c r="U39" s="82">
        <v>0.1</v>
      </c>
      <c r="V39" s="82">
        <v>3.3333333333333333E-2</v>
      </c>
      <c r="W39" s="83">
        <v>6.6666666666666666E-2</v>
      </c>
      <c r="X39" s="115">
        <f t="shared" si="2"/>
        <v>2.1818181818181817</v>
      </c>
      <c r="Y39" s="116">
        <f t="shared" si="3"/>
        <v>0.2937062937062937</v>
      </c>
      <c r="Z39" s="116">
        <f t="shared" si="4"/>
        <v>0.18881118881118883</v>
      </c>
      <c r="AA39" s="116">
        <f t="shared" si="5"/>
        <v>6.2937062937062943E-2</v>
      </c>
      <c r="AB39" s="116">
        <f t="shared" si="6"/>
        <v>8.3916083916083919E-2</v>
      </c>
      <c r="AC39" s="117">
        <f t="shared" si="7"/>
        <v>0.18881118881118883</v>
      </c>
      <c r="AD39" s="115">
        <f t="shared" si="8"/>
        <v>0.3</v>
      </c>
      <c r="AE39" s="116">
        <f t="shared" si="9"/>
        <v>0.33333333333333331</v>
      </c>
      <c r="AF39" s="116">
        <f t="shared" si="10"/>
        <v>0.16666666666666666</v>
      </c>
      <c r="AG39" s="116">
        <f t="shared" si="11"/>
        <v>0.1</v>
      </c>
      <c r="AH39" s="116">
        <f t="shared" si="12"/>
        <v>3.3333333333333333E-2</v>
      </c>
      <c r="AI39" s="116">
        <f t="shared" si="13"/>
        <v>6.6666666666666666E-2</v>
      </c>
      <c r="AJ39" s="121">
        <f>Input!$D$22*RBs!C39+Input!$D$23*RBs!D39+Input!$D$24*RBs!X39+Input!$D$25*RBs!Y39+Input!$D$26*RBs!Z39+Input!$D$27*RBs!AA39+Input!$D$28*RBs!AB39+Input!$D$29*RBs!AC39+Input!$D$30*RBs!E39+Input!$D$31*RBs!G39+Input!$D$32*RBs!H39+Input!$D$33*RBs!AD39+Input!$D$34*RBs!AE39+Input!$D$35*RBs!AF39+Input!$D$36*RBs!AG39+Input!$D$37*RBs!AH39+Input!$D$38*RBs!AI39+Input!$D$39*RBs!I39+Input!$D$40*RBs!K39</f>
        <v>107.27867132867131</v>
      </c>
    </row>
    <row r="40" spans="1:36" x14ac:dyDescent="0.25">
      <c r="A40" s="89" t="s">
        <v>270</v>
      </c>
      <c r="B40" s="90" t="s">
        <v>176</v>
      </c>
      <c r="C40" s="45">
        <v>150</v>
      </c>
      <c r="D40" s="37">
        <f>3.7*C40</f>
        <v>555</v>
      </c>
      <c r="E40" s="37">
        <v>0</v>
      </c>
      <c r="F40" s="38">
        <v>3</v>
      </c>
      <c r="G40" s="45">
        <v>25</v>
      </c>
      <c r="H40" s="37">
        <f>7.9*G40</f>
        <v>197.5</v>
      </c>
      <c r="I40" s="37">
        <v>0</v>
      </c>
      <c r="J40" s="38">
        <v>1</v>
      </c>
      <c r="K40" s="37">
        <v>2</v>
      </c>
      <c r="L40" s="81">
        <v>0.72727272727272729</v>
      </c>
      <c r="M40" s="82">
        <v>9.7902097902097904E-2</v>
      </c>
      <c r="N40" s="82">
        <v>6.2937062937062943E-2</v>
      </c>
      <c r="O40" s="82">
        <v>2.097902097902098E-2</v>
      </c>
      <c r="P40" s="82">
        <v>2.7972027972027972E-2</v>
      </c>
      <c r="Q40" s="83">
        <v>6.2937062937062943E-2</v>
      </c>
      <c r="R40" s="81">
        <v>0.3</v>
      </c>
      <c r="S40" s="82">
        <v>0.33333333333333331</v>
      </c>
      <c r="T40" s="82">
        <v>0.16666666666666666</v>
      </c>
      <c r="U40" s="82">
        <v>0.1</v>
      </c>
      <c r="V40" s="82">
        <v>3.3333333333333333E-2</v>
      </c>
      <c r="W40" s="83">
        <v>6.6666666666666666E-2</v>
      </c>
      <c r="X40" s="115">
        <f t="shared" si="2"/>
        <v>2.1818181818181817</v>
      </c>
      <c r="Y40" s="116">
        <f t="shared" si="3"/>
        <v>0.2937062937062937</v>
      </c>
      <c r="Z40" s="116">
        <f t="shared" si="4"/>
        <v>0.18881118881118883</v>
      </c>
      <c r="AA40" s="116">
        <f t="shared" si="5"/>
        <v>6.2937062937062943E-2</v>
      </c>
      <c r="AB40" s="116">
        <f t="shared" si="6"/>
        <v>8.3916083916083919E-2</v>
      </c>
      <c r="AC40" s="117">
        <f t="shared" si="7"/>
        <v>0.18881118881118883</v>
      </c>
      <c r="AD40" s="115">
        <f t="shared" si="8"/>
        <v>0.3</v>
      </c>
      <c r="AE40" s="116">
        <f t="shared" si="9"/>
        <v>0.33333333333333331</v>
      </c>
      <c r="AF40" s="116">
        <f t="shared" si="10"/>
        <v>0.16666666666666666</v>
      </c>
      <c r="AG40" s="116">
        <f t="shared" si="11"/>
        <v>0.1</v>
      </c>
      <c r="AH40" s="116">
        <f t="shared" si="12"/>
        <v>3.3333333333333333E-2</v>
      </c>
      <c r="AI40" s="116">
        <f t="shared" si="13"/>
        <v>6.6666666666666666E-2</v>
      </c>
      <c r="AJ40" s="121">
        <f>Input!$D$22*RBs!C40+Input!$D$23*RBs!D40+Input!$D$24*RBs!X40+Input!$D$25*RBs!Y40+Input!$D$26*RBs!Z40+Input!$D$27*RBs!AA40+Input!$D$28*RBs!AB40+Input!$D$29*RBs!AC40+Input!$D$30*RBs!E40+Input!$D$31*RBs!G40+Input!$D$32*RBs!H40+Input!$D$33*RBs!AD40+Input!$D$34*RBs!AE40+Input!$D$35*RBs!AF40+Input!$D$36*RBs!AG40+Input!$D$37*RBs!AH40+Input!$D$38*RBs!AI40+Input!$D$39*RBs!I40+Input!$D$40*RBs!K40</f>
        <v>101.07867132867131</v>
      </c>
    </row>
    <row r="41" spans="1:36" x14ac:dyDescent="0.25">
      <c r="A41" s="89" t="s">
        <v>271</v>
      </c>
      <c r="B41" s="90" t="s">
        <v>172</v>
      </c>
      <c r="C41" s="45">
        <v>170</v>
      </c>
      <c r="D41" s="37">
        <f>3.9*C41</f>
        <v>663</v>
      </c>
      <c r="E41" s="37">
        <v>0</v>
      </c>
      <c r="F41" s="38">
        <v>2</v>
      </c>
      <c r="G41" s="45">
        <v>15</v>
      </c>
      <c r="H41" s="37">
        <f>8.3*G41</f>
        <v>124.50000000000001</v>
      </c>
      <c r="I41" s="37">
        <v>0</v>
      </c>
      <c r="J41" s="38">
        <v>0</v>
      </c>
      <c r="K41" s="37">
        <v>1</v>
      </c>
      <c r="L41" s="81">
        <v>0.72727272727272729</v>
      </c>
      <c r="M41" s="82">
        <v>9.7902097902097904E-2</v>
      </c>
      <c r="N41" s="82">
        <v>6.2937062937062943E-2</v>
      </c>
      <c r="O41" s="82">
        <v>2.097902097902098E-2</v>
      </c>
      <c r="P41" s="82">
        <v>2.7972027972027972E-2</v>
      </c>
      <c r="Q41" s="83">
        <v>6.2937062937062943E-2</v>
      </c>
      <c r="R41" s="81">
        <v>0.3</v>
      </c>
      <c r="S41" s="82">
        <v>0.33333333333333331</v>
      </c>
      <c r="T41" s="82">
        <v>0.16666666666666666</v>
      </c>
      <c r="U41" s="82">
        <v>0.1</v>
      </c>
      <c r="V41" s="82">
        <v>3.3333333333333333E-2</v>
      </c>
      <c r="W41" s="83">
        <v>6.6666666666666666E-2</v>
      </c>
      <c r="X41" s="115">
        <f t="shared" si="2"/>
        <v>1.4545454545454546</v>
      </c>
      <c r="Y41" s="116">
        <f t="shared" si="3"/>
        <v>0.19580419580419581</v>
      </c>
      <c r="Z41" s="116">
        <f t="shared" si="4"/>
        <v>0.12587412587412589</v>
      </c>
      <c r="AA41" s="116">
        <f t="shared" si="5"/>
        <v>4.195804195804196E-2</v>
      </c>
      <c r="AB41" s="116">
        <f t="shared" si="6"/>
        <v>5.5944055944055944E-2</v>
      </c>
      <c r="AC41" s="117">
        <f t="shared" si="7"/>
        <v>0.12587412587412589</v>
      </c>
      <c r="AD41" s="115">
        <f t="shared" si="8"/>
        <v>0</v>
      </c>
      <c r="AE41" s="116">
        <f t="shared" si="9"/>
        <v>0</v>
      </c>
      <c r="AF41" s="116">
        <f t="shared" si="10"/>
        <v>0</v>
      </c>
      <c r="AG41" s="116">
        <f t="shared" si="11"/>
        <v>0</v>
      </c>
      <c r="AH41" s="116">
        <f t="shared" si="12"/>
        <v>0</v>
      </c>
      <c r="AI41" s="116">
        <f t="shared" si="13"/>
        <v>0</v>
      </c>
      <c r="AJ41" s="121">
        <f>Input!$D$22*RBs!C41+Input!$D$23*RBs!D41+Input!$D$24*RBs!X41+Input!$D$25*RBs!Y41+Input!$D$26*RBs!Z41+Input!$D$27*RBs!AA41+Input!$D$28*RBs!AB41+Input!$D$29*RBs!AC41+Input!$D$30*RBs!E41+Input!$D$31*RBs!G41+Input!$D$32*RBs!H41+Input!$D$33*RBs!AD41+Input!$D$34*RBs!AE41+Input!$D$35*RBs!AF41+Input!$D$36*RBs!AG41+Input!$D$37*RBs!AH41+Input!$D$38*RBs!AI41+Input!$D$39*RBs!I41+Input!$D$40*RBs!K41</f>
        <v>91.30244755244756</v>
      </c>
    </row>
    <row r="42" spans="1:36" x14ac:dyDescent="0.25">
      <c r="A42" s="89" t="s">
        <v>272</v>
      </c>
      <c r="B42" s="90" t="s">
        <v>166</v>
      </c>
      <c r="C42" s="45">
        <v>60</v>
      </c>
      <c r="D42" s="37">
        <f>4*C42</f>
        <v>240</v>
      </c>
      <c r="E42" s="37">
        <v>0</v>
      </c>
      <c r="F42" s="38">
        <v>1</v>
      </c>
      <c r="G42" s="45">
        <v>58</v>
      </c>
      <c r="H42" s="37">
        <f>8.8*G42</f>
        <v>510.40000000000003</v>
      </c>
      <c r="I42" s="37">
        <v>0</v>
      </c>
      <c r="J42" s="38">
        <v>1</v>
      </c>
      <c r="K42" s="37">
        <v>1</v>
      </c>
      <c r="L42" s="81">
        <v>0.72727272727272729</v>
      </c>
      <c r="M42" s="82">
        <v>9.7902097902097904E-2</v>
      </c>
      <c r="N42" s="82">
        <v>6.2937062937062943E-2</v>
      </c>
      <c r="O42" s="82">
        <v>2.097902097902098E-2</v>
      </c>
      <c r="P42" s="82">
        <v>2.7972027972027972E-2</v>
      </c>
      <c r="Q42" s="83">
        <v>6.2937062937062943E-2</v>
      </c>
      <c r="R42" s="81">
        <v>0.3</v>
      </c>
      <c r="S42" s="82">
        <v>0.33333333333333331</v>
      </c>
      <c r="T42" s="82">
        <v>0.16666666666666666</v>
      </c>
      <c r="U42" s="82">
        <v>0.1</v>
      </c>
      <c r="V42" s="82">
        <v>3.3333333333333333E-2</v>
      </c>
      <c r="W42" s="83">
        <v>6.6666666666666666E-2</v>
      </c>
      <c r="X42" s="115">
        <f t="shared" si="2"/>
        <v>0.72727272727272729</v>
      </c>
      <c r="Y42" s="116">
        <f t="shared" si="3"/>
        <v>9.7902097902097904E-2</v>
      </c>
      <c r="Z42" s="116">
        <f t="shared" si="4"/>
        <v>6.2937062937062943E-2</v>
      </c>
      <c r="AA42" s="116">
        <f t="shared" si="5"/>
        <v>2.097902097902098E-2</v>
      </c>
      <c r="AB42" s="116">
        <f t="shared" si="6"/>
        <v>2.7972027972027972E-2</v>
      </c>
      <c r="AC42" s="117">
        <f t="shared" si="7"/>
        <v>6.2937062937062943E-2</v>
      </c>
      <c r="AD42" s="115">
        <f t="shared" si="8"/>
        <v>0.3</v>
      </c>
      <c r="AE42" s="116">
        <f t="shared" si="9"/>
        <v>0.33333333333333331</v>
      </c>
      <c r="AF42" s="116">
        <f t="shared" si="10"/>
        <v>0.16666666666666666</v>
      </c>
      <c r="AG42" s="116">
        <f t="shared" si="11"/>
        <v>0.1</v>
      </c>
      <c r="AH42" s="116">
        <f t="shared" si="12"/>
        <v>3.3333333333333333E-2</v>
      </c>
      <c r="AI42" s="116">
        <f t="shared" si="13"/>
        <v>6.6666666666666666E-2</v>
      </c>
      <c r="AJ42" s="121">
        <f>Input!$D$22*RBs!C42+Input!$D$23*RBs!D42+Input!$D$24*RBs!X42+Input!$D$25*RBs!Y42+Input!$D$26*RBs!Z42+Input!$D$27*RBs!AA42+Input!$D$28*RBs!AB42+Input!$D$29*RBs!AC42+Input!$D$30*RBs!E42+Input!$D$31*RBs!G42+Input!$D$32*RBs!H42+Input!$D$33*RBs!AD42+Input!$D$34*RBs!AE42+Input!$D$35*RBs!AF42+Input!$D$36*RBs!AG42+Input!$D$37*RBs!AH42+Input!$D$38*RBs!AI42+Input!$D$39*RBs!I42+Input!$D$40*RBs!K42</f>
        <v>88.316223776223765</v>
      </c>
    </row>
    <row r="43" spans="1:36" x14ac:dyDescent="0.25">
      <c r="A43" s="89" t="s">
        <v>273</v>
      </c>
      <c r="B43" s="90" t="s">
        <v>180</v>
      </c>
      <c r="C43" s="45">
        <v>155</v>
      </c>
      <c r="D43" s="37">
        <f>4*C43</f>
        <v>620</v>
      </c>
      <c r="E43" s="37">
        <v>0</v>
      </c>
      <c r="F43" s="38">
        <v>3</v>
      </c>
      <c r="G43" s="45">
        <v>28</v>
      </c>
      <c r="H43" s="37">
        <f>9.5*G43</f>
        <v>266</v>
      </c>
      <c r="I43" s="37">
        <v>0</v>
      </c>
      <c r="J43" s="38">
        <v>2</v>
      </c>
      <c r="K43" s="37">
        <v>1</v>
      </c>
      <c r="L43" s="81">
        <v>0.72727272727272729</v>
      </c>
      <c r="M43" s="82">
        <v>9.7902097902097904E-2</v>
      </c>
      <c r="N43" s="82">
        <v>6.2937062937062943E-2</v>
      </c>
      <c r="O43" s="82">
        <v>2.097902097902098E-2</v>
      </c>
      <c r="P43" s="82">
        <v>2.7972027972027972E-2</v>
      </c>
      <c r="Q43" s="83">
        <v>6.2937062937062943E-2</v>
      </c>
      <c r="R43" s="81">
        <v>0.3</v>
      </c>
      <c r="S43" s="82">
        <v>0.33333333333333331</v>
      </c>
      <c r="T43" s="82">
        <v>0.16666666666666666</v>
      </c>
      <c r="U43" s="82">
        <v>0.1</v>
      </c>
      <c r="V43" s="82">
        <v>3.3333333333333333E-2</v>
      </c>
      <c r="W43" s="83">
        <v>6.6666666666666666E-2</v>
      </c>
      <c r="X43" s="115">
        <f t="shared" si="2"/>
        <v>2.1818181818181817</v>
      </c>
      <c r="Y43" s="116">
        <f t="shared" si="3"/>
        <v>0.2937062937062937</v>
      </c>
      <c r="Z43" s="116">
        <f t="shared" si="4"/>
        <v>0.18881118881118883</v>
      </c>
      <c r="AA43" s="116">
        <f t="shared" si="5"/>
        <v>6.2937062937062943E-2</v>
      </c>
      <c r="AB43" s="116">
        <f t="shared" si="6"/>
        <v>8.3916083916083919E-2</v>
      </c>
      <c r="AC43" s="117">
        <f t="shared" si="7"/>
        <v>0.18881118881118883</v>
      </c>
      <c r="AD43" s="115">
        <f t="shared" si="8"/>
        <v>0.6</v>
      </c>
      <c r="AE43" s="116">
        <f t="shared" si="9"/>
        <v>0.66666666666666663</v>
      </c>
      <c r="AF43" s="116">
        <f t="shared" si="10"/>
        <v>0.33333333333333331</v>
      </c>
      <c r="AG43" s="116">
        <f t="shared" si="11"/>
        <v>0.2</v>
      </c>
      <c r="AH43" s="116">
        <f t="shared" si="12"/>
        <v>6.6666666666666666E-2</v>
      </c>
      <c r="AI43" s="116">
        <f t="shared" si="13"/>
        <v>0.13333333333333333</v>
      </c>
      <c r="AJ43" s="121">
        <f>Input!$D$22*RBs!C43+Input!$D$23*RBs!D43+Input!$D$24*RBs!X43+Input!$D$25*RBs!Y43+Input!$D$26*RBs!Z43+Input!$D$27*RBs!AA43+Input!$D$28*RBs!AB43+Input!$D$29*RBs!AC43+Input!$D$30*RBs!E43+Input!$D$31*RBs!G43+Input!$D$32*RBs!H43+Input!$D$33*RBs!AD43+Input!$D$34*RBs!AE43+Input!$D$35*RBs!AF43+Input!$D$36*RBs!AG43+Input!$D$37*RBs!AH43+Input!$D$38*RBs!AI43+Input!$D$39*RBs!I43+Input!$D$40*RBs!K43</f>
        <v>122.92867132867133</v>
      </c>
    </row>
    <row r="44" spans="1:36" x14ac:dyDescent="0.25">
      <c r="A44" s="89" t="s">
        <v>274</v>
      </c>
      <c r="B44" s="90" t="s">
        <v>168</v>
      </c>
      <c r="C44" s="45">
        <v>110</v>
      </c>
      <c r="D44" s="37">
        <f>4.3*C44</f>
        <v>473</v>
      </c>
      <c r="E44" s="37">
        <v>0</v>
      </c>
      <c r="F44" s="38">
        <v>3</v>
      </c>
      <c r="G44" s="45">
        <v>30</v>
      </c>
      <c r="H44" s="37">
        <f>6.6*G44</f>
        <v>198</v>
      </c>
      <c r="I44" s="37">
        <v>0</v>
      </c>
      <c r="J44" s="38">
        <v>1</v>
      </c>
      <c r="K44" s="37">
        <v>1</v>
      </c>
      <c r="L44" s="81">
        <v>0.72727272727272729</v>
      </c>
      <c r="M44" s="82">
        <v>9.7902097902097904E-2</v>
      </c>
      <c r="N44" s="82">
        <v>6.2937062937062943E-2</v>
      </c>
      <c r="O44" s="82">
        <v>2.097902097902098E-2</v>
      </c>
      <c r="P44" s="82">
        <v>2.7972027972027972E-2</v>
      </c>
      <c r="Q44" s="83">
        <v>6.2937062937062943E-2</v>
      </c>
      <c r="R44" s="81">
        <v>0.3</v>
      </c>
      <c r="S44" s="82">
        <v>0.33333333333333331</v>
      </c>
      <c r="T44" s="82">
        <v>0.16666666666666666</v>
      </c>
      <c r="U44" s="82">
        <v>0.1</v>
      </c>
      <c r="V44" s="82">
        <v>3.3333333333333333E-2</v>
      </c>
      <c r="W44" s="83">
        <v>6.6666666666666666E-2</v>
      </c>
      <c r="X44" s="115">
        <f t="shared" si="2"/>
        <v>2.1818181818181817</v>
      </c>
      <c r="Y44" s="116">
        <f t="shared" si="3"/>
        <v>0.2937062937062937</v>
      </c>
      <c r="Z44" s="116">
        <f t="shared" si="4"/>
        <v>0.18881118881118883</v>
      </c>
      <c r="AA44" s="116">
        <f t="shared" si="5"/>
        <v>6.2937062937062943E-2</v>
      </c>
      <c r="AB44" s="116">
        <f t="shared" si="6"/>
        <v>8.3916083916083919E-2</v>
      </c>
      <c r="AC44" s="117">
        <f t="shared" si="7"/>
        <v>0.18881118881118883</v>
      </c>
      <c r="AD44" s="115">
        <f t="shared" si="8"/>
        <v>0.3</v>
      </c>
      <c r="AE44" s="116">
        <f t="shared" si="9"/>
        <v>0.33333333333333331</v>
      </c>
      <c r="AF44" s="116">
        <f t="shared" si="10"/>
        <v>0.16666666666666666</v>
      </c>
      <c r="AG44" s="116">
        <f t="shared" si="11"/>
        <v>0.1</v>
      </c>
      <c r="AH44" s="116">
        <f t="shared" si="12"/>
        <v>3.3333333333333333E-2</v>
      </c>
      <c r="AI44" s="116">
        <f t="shared" si="13"/>
        <v>6.6666666666666666E-2</v>
      </c>
      <c r="AJ44" s="121">
        <f>Input!$D$22*RBs!C44+Input!$D$23*RBs!D44+Input!$D$24*RBs!X44+Input!$D$25*RBs!Y44+Input!$D$26*RBs!Z44+Input!$D$27*RBs!AA44+Input!$D$28*RBs!AB44+Input!$D$29*RBs!AC44+Input!$D$30*RBs!E44+Input!$D$31*RBs!G44+Input!$D$32*RBs!H44+Input!$D$33*RBs!AD44+Input!$D$34*RBs!AE44+Input!$D$35*RBs!AF44+Input!$D$36*RBs!AG44+Input!$D$37*RBs!AH44+Input!$D$38*RBs!AI44+Input!$D$39*RBs!I44+Input!$D$40*RBs!K44</f>
        <v>93.928671328671314</v>
      </c>
    </row>
    <row r="45" spans="1:36" x14ac:dyDescent="0.25">
      <c r="A45" s="89" t="s">
        <v>275</v>
      </c>
      <c r="B45" s="90" t="s">
        <v>162</v>
      </c>
      <c r="C45" s="45">
        <v>120</v>
      </c>
      <c r="D45" s="37">
        <f>4.3*C45</f>
        <v>516</v>
      </c>
      <c r="E45" s="37">
        <v>0</v>
      </c>
      <c r="F45" s="38">
        <v>3</v>
      </c>
      <c r="G45" s="45">
        <v>15</v>
      </c>
      <c r="H45" s="37">
        <f>7.6*G45</f>
        <v>114</v>
      </c>
      <c r="I45" s="37">
        <v>0</v>
      </c>
      <c r="J45" s="38">
        <v>0</v>
      </c>
      <c r="K45" s="37">
        <v>1</v>
      </c>
      <c r="L45" s="81">
        <v>0.72727272727272729</v>
      </c>
      <c r="M45" s="82">
        <v>9.7902097902097904E-2</v>
      </c>
      <c r="N45" s="82">
        <v>6.2937062937062943E-2</v>
      </c>
      <c r="O45" s="82">
        <v>2.097902097902098E-2</v>
      </c>
      <c r="P45" s="82">
        <v>2.7972027972027972E-2</v>
      </c>
      <c r="Q45" s="83">
        <v>6.2937062937062943E-2</v>
      </c>
      <c r="R45" s="81">
        <v>0.3</v>
      </c>
      <c r="S45" s="82">
        <v>0.33333333333333331</v>
      </c>
      <c r="T45" s="82">
        <v>0.16666666666666666</v>
      </c>
      <c r="U45" s="82">
        <v>0.1</v>
      </c>
      <c r="V45" s="82">
        <v>3.3333333333333333E-2</v>
      </c>
      <c r="W45" s="83">
        <v>6.6666666666666666E-2</v>
      </c>
      <c r="X45" s="115">
        <f t="shared" si="2"/>
        <v>2.1818181818181817</v>
      </c>
      <c r="Y45" s="116">
        <f t="shared" si="3"/>
        <v>0.2937062937062937</v>
      </c>
      <c r="Z45" s="116">
        <f t="shared" si="4"/>
        <v>0.18881118881118883</v>
      </c>
      <c r="AA45" s="116">
        <f t="shared" si="5"/>
        <v>6.2937062937062943E-2</v>
      </c>
      <c r="AB45" s="116">
        <f t="shared" si="6"/>
        <v>8.3916083916083919E-2</v>
      </c>
      <c r="AC45" s="117">
        <f t="shared" si="7"/>
        <v>0.18881118881118883</v>
      </c>
      <c r="AD45" s="115">
        <f t="shared" si="8"/>
        <v>0</v>
      </c>
      <c r="AE45" s="116">
        <f t="shared" si="9"/>
        <v>0</v>
      </c>
      <c r="AF45" s="116">
        <f t="shared" si="10"/>
        <v>0</v>
      </c>
      <c r="AG45" s="116">
        <f t="shared" si="11"/>
        <v>0</v>
      </c>
      <c r="AH45" s="116">
        <f t="shared" si="12"/>
        <v>0</v>
      </c>
      <c r="AI45" s="116">
        <f t="shared" si="13"/>
        <v>0</v>
      </c>
      <c r="AJ45" s="121">
        <f>Input!$D$22*RBs!C45+Input!$D$23*RBs!D45+Input!$D$24*RBs!X45+Input!$D$25*RBs!Y45+Input!$D$26*RBs!Z45+Input!$D$27*RBs!AA45+Input!$D$28*RBs!AB45+Input!$D$29*RBs!AC45+Input!$D$30*RBs!E45+Input!$D$31*RBs!G45+Input!$D$32*RBs!H45+Input!$D$33*RBs!AD45+Input!$D$34*RBs!AE45+Input!$D$35*RBs!AF45+Input!$D$36*RBs!AG45+Input!$D$37*RBs!AH45+Input!$D$38*RBs!AI45+Input!$D$39*RBs!I45+Input!$D$40*RBs!K45</f>
        <v>82.328671328671319</v>
      </c>
    </row>
    <row r="46" spans="1:36" x14ac:dyDescent="0.25">
      <c r="A46" s="89" t="s">
        <v>276</v>
      </c>
      <c r="B46" s="90" t="s">
        <v>174</v>
      </c>
      <c r="C46" s="45">
        <v>140</v>
      </c>
      <c r="D46" s="37">
        <f>3.5*C46</f>
        <v>490</v>
      </c>
      <c r="E46" s="37">
        <v>0</v>
      </c>
      <c r="F46" s="38">
        <v>2</v>
      </c>
      <c r="G46" s="45">
        <v>25</v>
      </c>
      <c r="H46" s="37">
        <f>6.3*G46</f>
        <v>157.5</v>
      </c>
      <c r="I46" s="37">
        <v>0</v>
      </c>
      <c r="J46" s="38">
        <v>1</v>
      </c>
      <c r="K46" s="37">
        <v>1</v>
      </c>
      <c r="L46" s="81">
        <v>0.72727272727272729</v>
      </c>
      <c r="M46" s="82">
        <v>9.7902097902097904E-2</v>
      </c>
      <c r="N46" s="82">
        <v>6.2937062937062943E-2</v>
      </c>
      <c r="O46" s="82">
        <v>2.097902097902098E-2</v>
      </c>
      <c r="P46" s="82">
        <v>2.7972027972027972E-2</v>
      </c>
      <c r="Q46" s="83">
        <v>6.2937062937062943E-2</v>
      </c>
      <c r="R46" s="81">
        <v>0.3</v>
      </c>
      <c r="S46" s="82">
        <v>0.33333333333333331</v>
      </c>
      <c r="T46" s="82">
        <v>0.16666666666666666</v>
      </c>
      <c r="U46" s="82">
        <v>0.1</v>
      </c>
      <c r="V46" s="82">
        <v>3.3333333333333333E-2</v>
      </c>
      <c r="W46" s="83">
        <v>6.6666666666666666E-2</v>
      </c>
      <c r="X46" s="115">
        <f t="shared" si="2"/>
        <v>1.4545454545454546</v>
      </c>
      <c r="Y46" s="116">
        <f t="shared" si="3"/>
        <v>0.19580419580419581</v>
      </c>
      <c r="Z46" s="116">
        <f t="shared" si="4"/>
        <v>0.12587412587412589</v>
      </c>
      <c r="AA46" s="116">
        <f t="shared" si="5"/>
        <v>4.195804195804196E-2</v>
      </c>
      <c r="AB46" s="116">
        <f t="shared" si="6"/>
        <v>5.5944055944055944E-2</v>
      </c>
      <c r="AC46" s="117">
        <f t="shared" si="7"/>
        <v>0.12587412587412589</v>
      </c>
      <c r="AD46" s="115">
        <f t="shared" si="8"/>
        <v>0.3</v>
      </c>
      <c r="AE46" s="116">
        <f t="shared" si="9"/>
        <v>0.33333333333333331</v>
      </c>
      <c r="AF46" s="116">
        <f t="shared" si="10"/>
        <v>0.16666666666666666</v>
      </c>
      <c r="AG46" s="116">
        <f t="shared" si="11"/>
        <v>0.1</v>
      </c>
      <c r="AH46" s="116">
        <f t="shared" si="12"/>
        <v>3.3333333333333333E-2</v>
      </c>
      <c r="AI46" s="116">
        <f t="shared" si="13"/>
        <v>6.6666666666666666E-2</v>
      </c>
      <c r="AJ46" s="121">
        <f>Input!$D$22*RBs!C46+Input!$D$23*RBs!D46+Input!$D$24*RBs!X46+Input!$D$25*RBs!Y46+Input!$D$26*RBs!Z46+Input!$D$27*RBs!AA46+Input!$D$28*RBs!AB46+Input!$D$29*RBs!AC46+Input!$D$30*RBs!E46+Input!$D$31*RBs!G46+Input!$D$32*RBs!H46+Input!$D$33*RBs!AD46+Input!$D$34*RBs!AE46+Input!$D$35*RBs!AF46+Input!$D$36*RBs!AG46+Input!$D$37*RBs!AH46+Input!$D$38*RBs!AI46+Input!$D$39*RBs!I46+Input!$D$40*RBs!K46</f>
        <v>84.802447552447546</v>
      </c>
    </row>
    <row r="47" spans="1:36" x14ac:dyDescent="0.25">
      <c r="A47" s="89" t="s">
        <v>277</v>
      </c>
      <c r="B47" s="90" t="s">
        <v>150</v>
      </c>
      <c r="C47" s="45">
        <v>15</v>
      </c>
      <c r="D47" s="37">
        <f>3.8*C47</f>
        <v>57</v>
      </c>
      <c r="E47" s="37">
        <v>0</v>
      </c>
      <c r="F47" s="38">
        <v>0</v>
      </c>
      <c r="G47" s="45">
        <v>70</v>
      </c>
      <c r="H47" s="37">
        <f>8*G47</f>
        <v>560</v>
      </c>
      <c r="I47" s="37">
        <v>0</v>
      </c>
      <c r="J47" s="38">
        <v>3</v>
      </c>
      <c r="K47" s="37">
        <v>0</v>
      </c>
      <c r="L47" s="81">
        <v>0.72727272727272729</v>
      </c>
      <c r="M47" s="82">
        <v>9.7902097902097904E-2</v>
      </c>
      <c r="N47" s="82">
        <v>6.2937062937062943E-2</v>
      </c>
      <c r="O47" s="82">
        <v>2.097902097902098E-2</v>
      </c>
      <c r="P47" s="82">
        <v>2.7972027972027972E-2</v>
      </c>
      <c r="Q47" s="83">
        <v>6.2937062937062943E-2</v>
      </c>
      <c r="R47" s="81">
        <v>0.3</v>
      </c>
      <c r="S47" s="82">
        <v>0.33333333333333331</v>
      </c>
      <c r="T47" s="82">
        <v>0.16666666666666666</v>
      </c>
      <c r="U47" s="82">
        <v>0.1</v>
      </c>
      <c r="V47" s="82">
        <v>3.3333333333333333E-2</v>
      </c>
      <c r="W47" s="83">
        <v>6.6666666666666666E-2</v>
      </c>
      <c r="X47" s="115">
        <f t="shared" si="2"/>
        <v>0</v>
      </c>
      <c r="Y47" s="116">
        <f t="shared" si="3"/>
        <v>0</v>
      </c>
      <c r="Z47" s="116">
        <f t="shared" si="4"/>
        <v>0</v>
      </c>
      <c r="AA47" s="116">
        <f t="shared" si="5"/>
        <v>0</v>
      </c>
      <c r="AB47" s="116">
        <f t="shared" si="6"/>
        <v>0</v>
      </c>
      <c r="AC47" s="117">
        <f t="shared" si="7"/>
        <v>0</v>
      </c>
      <c r="AD47" s="115">
        <f t="shared" si="8"/>
        <v>0.89999999999999991</v>
      </c>
      <c r="AE47" s="116">
        <f t="shared" si="9"/>
        <v>1</v>
      </c>
      <c r="AF47" s="116">
        <f t="shared" si="10"/>
        <v>0.5</v>
      </c>
      <c r="AG47" s="116">
        <f t="shared" si="11"/>
        <v>0.30000000000000004</v>
      </c>
      <c r="AH47" s="116">
        <f t="shared" si="12"/>
        <v>0.1</v>
      </c>
      <c r="AI47" s="116">
        <f t="shared" si="13"/>
        <v>0.2</v>
      </c>
      <c r="AJ47" s="121">
        <f>Input!$D$22*RBs!C47+Input!$D$23*RBs!D47+Input!$D$24*RBs!X47+Input!$D$25*RBs!Y47+Input!$D$26*RBs!Z47+Input!$D$27*RBs!AA47+Input!$D$28*RBs!AB47+Input!$D$29*RBs!AC47+Input!$D$30*RBs!E47+Input!$D$31*RBs!G47+Input!$D$32*RBs!H47+Input!$D$33*RBs!AD47+Input!$D$34*RBs!AE47+Input!$D$35*RBs!AF47+Input!$D$36*RBs!AG47+Input!$D$37*RBs!AH47+Input!$D$38*RBs!AI47+Input!$D$39*RBs!I47+Input!$D$40*RBs!K47</f>
        <v>84.200000000000017</v>
      </c>
    </row>
    <row r="48" spans="1:36" x14ac:dyDescent="0.25">
      <c r="A48" s="89" t="s">
        <v>278</v>
      </c>
      <c r="B48" s="90" t="s">
        <v>172</v>
      </c>
      <c r="C48" s="45">
        <v>100</v>
      </c>
      <c r="D48" s="37">
        <f>3.9*C48</f>
        <v>390</v>
      </c>
      <c r="E48" s="37">
        <v>0</v>
      </c>
      <c r="F48" s="38">
        <v>5</v>
      </c>
      <c r="G48" s="45">
        <v>8</v>
      </c>
      <c r="H48" s="37">
        <f>4.5*G48</f>
        <v>36</v>
      </c>
      <c r="I48" s="37">
        <v>0</v>
      </c>
      <c r="J48" s="38">
        <v>0</v>
      </c>
      <c r="K48" s="37">
        <v>1</v>
      </c>
      <c r="L48" s="81">
        <v>0.72727272727272729</v>
      </c>
      <c r="M48" s="82">
        <v>9.7902097902097904E-2</v>
      </c>
      <c r="N48" s="82">
        <v>6.2937062937062943E-2</v>
      </c>
      <c r="O48" s="82">
        <v>2.097902097902098E-2</v>
      </c>
      <c r="P48" s="82">
        <v>2.7972027972027972E-2</v>
      </c>
      <c r="Q48" s="83">
        <v>6.2937062937062943E-2</v>
      </c>
      <c r="R48" s="81">
        <v>0.3</v>
      </c>
      <c r="S48" s="82">
        <v>0.33333333333333331</v>
      </c>
      <c r="T48" s="82">
        <v>0.16666666666666666</v>
      </c>
      <c r="U48" s="82">
        <v>0.1</v>
      </c>
      <c r="V48" s="82">
        <v>3.3333333333333333E-2</v>
      </c>
      <c r="W48" s="83">
        <v>6.6666666666666666E-2</v>
      </c>
      <c r="X48" s="115">
        <f t="shared" si="2"/>
        <v>3.6363636363636367</v>
      </c>
      <c r="Y48" s="116">
        <f t="shared" si="3"/>
        <v>0.48951048951048953</v>
      </c>
      <c r="Z48" s="116">
        <f t="shared" si="4"/>
        <v>0.31468531468531469</v>
      </c>
      <c r="AA48" s="116">
        <f t="shared" si="5"/>
        <v>0.1048951048951049</v>
      </c>
      <c r="AB48" s="116">
        <f t="shared" si="6"/>
        <v>0.13986013986013987</v>
      </c>
      <c r="AC48" s="117">
        <f t="shared" si="7"/>
        <v>0.31468531468531469</v>
      </c>
      <c r="AD48" s="115">
        <f t="shared" si="8"/>
        <v>0</v>
      </c>
      <c r="AE48" s="116">
        <f t="shared" si="9"/>
        <v>0</v>
      </c>
      <c r="AF48" s="116">
        <f t="shared" si="10"/>
        <v>0</v>
      </c>
      <c r="AG48" s="116">
        <f t="shared" si="11"/>
        <v>0</v>
      </c>
      <c r="AH48" s="116">
        <f t="shared" si="12"/>
        <v>0</v>
      </c>
      <c r="AI48" s="116">
        <f t="shared" si="13"/>
        <v>0</v>
      </c>
      <c r="AJ48" s="121">
        <f>Input!$D$22*RBs!C48+Input!$D$23*RBs!D48+Input!$D$24*RBs!X48+Input!$D$25*RBs!Y48+Input!$D$26*RBs!Z48+Input!$D$27*RBs!AA48+Input!$D$28*RBs!AB48+Input!$D$29*RBs!AC48+Input!$D$30*RBs!E48+Input!$D$31*RBs!G48+Input!$D$32*RBs!H48+Input!$D$33*RBs!AD48+Input!$D$34*RBs!AE48+Input!$D$35*RBs!AF48+Input!$D$36*RBs!AG48+Input!$D$37*RBs!AH48+Input!$D$38*RBs!AI48+Input!$D$39*RBs!I48+Input!$D$40*RBs!K48</f>
        <v>75.481118881118888</v>
      </c>
    </row>
    <row r="49" spans="1:36" x14ac:dyDescent="0.25">
      <c r="A49" s="89" t="s">
        <v>279</v>
      </c>
      <c r="B49" s="90" t="s">
        <v>192</v>
      </c>
      <c r="C49" s="45">
        <v>20</v>
      </c>
      <c r="D49" s="37">
        <f>4.5*C49</f>
        <v>90</v>
      </c>
      <c r="E49" s="37">
        <v>0</v>
      </c>
      <c r="F49" s="38">
        <v>0</v>
      </c>
      <c r="G49" s="45">
        <v>5</v>
      </c>
      <c r="H49" s="37">
        <f>10*G49</f>
        <v>50</v>
      </c>
      <c r="I49" s="37">
        <v>0</v>
      </c>
      <c r="J49" s="38">
        <v>0</v>
      </c>
      <c r="K49" s="37">
        <v>0</v>
      </c>
      <c r="L49" s="81">
        <v>0.72727272727272729</v>
      </c>
      <c r="M49" s="82">
        <v>9.7902097902097904E-2</v>
      </c>
      <c r="N49" s="82">
        <v>6.2937062937062943E-2</v>
      </c>
      <c r="O49" s="82">
        <v>2.097902097902098E-2</v>
      </c>
      <c r="P49" s="82">
        <v>2.7972027972027972E-2</v>
      </c>
      <c r="Q49" s="83">
        <v>6.2937062937062943E-2</v>
      </c>
      <c r="R49" s="81">
        <v>0.3</v>
      </c>
      <c r="S49" s="82">
        <v>0.33333333333333331</v>
      </c>
      <c r="T49" s="82">
        <v>0.16666666666666666</v>
      </c>
      <c r="U49" s="82">
        <v>0.1</v>
      </c>
      <c r="V49" s="82">
        <v>3.3333333333333333E-2</v>
      </c>
      <c r="W49" s="83">
        <v>6.6666666666666666E-2</v>
      </c>
      <c r="X49" s="115">
        <f t="shared" si="2"/>
        <v>0</v>
      </c>
      <c r="Y49" s="116">
        <f t="shared" si="3"/>
        <v>0</v>
      </c>
      <c r="Z49" s="116">
        <f t="shared" si="4"/>
        <v>0</v>
      </c>
      <c r="AA49" s="116">
        <f t="shared" si="5"/>
        <v>0</v>
      </c>
      <c r="AB49" s="116">
        <f t="shared" si="6"/>
        <v>0</v>
      </c>
      <c r="AC49" s="117">
        <f t="shared" si="7"/>
        <v>0</v>
      </c>
      <c r="AD49" s="115">
        <f t="shared" si="8"/>
        <v>0</v>
      </c>
      <c r="AE49" s="116">
        <f t="shared" si="9"/>
        <v>0</v>
      </c>
      <c r="AF49" s="116">
        <f t="shared" si="10"/>
        <v>0</v>
      </c>
      <c r="AG49" s="116">
        <f t="shared" si="11"/>
        <v>0</v>
      </c>
      <c r="AH49" s="116">
        <f t="shared" si="12"/>
        <v>0</v>
      </c>
      <c r="AI49" s="116">
        <f t="shared" si="13"/>
        <v>0</v>
      </c>
      <c r="AJ49" s="121">
        <f>Input!$D$22*RBs!C49+Input!$D$23*RBs!D49+Input!$D$24*RBs!X49+Input!$D$25*RBs!Y49+Input!$D$26*RBs!Z49+Input!$D$27*RBs!AA49+Input!$D$28*RBs!AB49+Input!$D$29*RBs!AC49+Input!$D$30*RBs!E49+Input!$D$31*RBs!G49+Input!$D$32*RBs!H49+Input!$D$33*RBs!AD49+Input!$D$34*RBs!AE49+Input!$D$35*RBs!AF49+Input!$D$36*RBs!AG49+Input!$D$37*RBs!AH49+Input!$D$38*RBs!AI49+Input!$D$39*RBs!I49+Input!$D$40*RBs!K49</f>
        <v>14</v>
      </c>
    </row>
    <row r="50" spans="1:36" x14ac:dyDescent="0.25">
      <c r="A50" s="89" t="s">
        <v>280</v>
      </c>
      <c r="B50" s="90" t="s">
        <v>196</v>
      </c>
      <c r="C50" s="45">
        <v>60</v>
      </c>
      <c r="D50" s="37">
        <f>3.5*C50</f>
        <v>210</v>
      </c>
      <c r="E50" s="37">
        <v>0</v>
      </c>
      <c r="F50" s="38">
        <v>2</v>
      </c>
      <c r="G50" s="45">
        <v>44</v>
      </c>
      <c r="H50" s="37">
        <f>7.3*G50</f>
        <v>321.2</v>
      </c>
      <c r="I50" s="37">
        <v>0</v>
      </c>
      <c r="J50" s="38">
        <v>1</v>
      </c>
      <c r="K50" s="37">
        <v>1</v>
      </c>
      <c r="L50" s="81">
        <v>0.72727272727272729</v>
      </c>
      <c r="M50" s="82">
        <v>9.7902097902097904E-2</v>
      </c>
      <c r="N50" s="82">
        <v>6.2937062937062943E-2</v>
      </c>
      <c r="O50" s="82">
        <v>2.097902097902098E-2</v>
      </c>
      <c r="P50" s="82">
        <v>2.7972027972027972E-2</v>
      </c>
      <c r="Q50" s="83">
        <v>6.2937062937062943E-2</v>
      </c>
      <c r="R50" s="81">
        <v>0.3</v>
      </c>
      <c r="S50" s="82">
        <v>0.33333333333333331</v>
      </c>
      <c r="T50" s="82">
        <v>0.16666666666666666</v>
      </c>
      <c r="U50" s="82">
        <v>0.1</v>
      </c>
      <c r="V50" s="82">
        <v>3.3333333333333333E-2</v>
      </c>
      <c r="W50" s="83">
        <v>6.6666666666666666E-2</v>
      </c>
      <c r="X50" s="115">
        <f t="shared" si="2"/>
        <v>1.4545454545454546</v>
      </c>
      <c r="Y50" s="116">
        <f t="shared" si="3"/>
        <v>0.19580419580419581</v>
      </c>
      <c r="Z50" s="116">
        <f t="shared" si="4"/>
        <v>0.12587412587412589</v>
      </c>
      <c r="AA50" s="116">
        <f t="shared" si="5"/>
        <v>4.195804195804196E-2</v>
      </c>
      <c r="AB50" s="116">
        <f t="shared" si="6"/>
        <v>5.5944055944055944E-2</v>
      </c>
      <c r="AC50" s="117">
        <f t="shared" si="7"/>
        <v>0.12587412587412589</v>
      </c>
      <c r="AD50" s="115">
        <f t="shared" si="8"/>
        <v>0.3</v>
      </c>
      <c r="AE50" s="116">
        <f t="shared" si="9"/>
        <v>0.33333333333333331</v>
      </c>
      <c r="AF50" s="116">
        <f t="shared" si="10"/>
        <v>0.16666666666666666</v>
      </c>
      <c r="AG50" s="116">
        <f t="shared" si="11"/>
        <v>0.1</v>
      </c>
      <c r="AH50" s="116">
        <f t="shared" si="12"/>
        <v>3.3333333333333333E-2</v>
      </c>
      <c r="AI50" s="116">
        <f t="shared" si="13"/>
        <v>6.6666666666666666E-2</v>
      </c>
      <c r="AJ50" s="121">
        <f>Input!$D$22*RBs!C50+Input!$D$23*RBs!D50+Input!$D$24*RBs!X50+Input!$D$25*RBs!Y50+Input!$D$26*RBs!Z50+Input!$D$27*RBs!AA50+Input!$D$28*RBs!AB50+Input!$D$29*RBs!AC50+Input!$D$30*RBs!E50+Input!$D$31*RBs!G50+Input!$D$32*RBs!H50+Input!$D$33*RBs!AD50+Input!$D$34*RBs!AE50+Input!$D$35*RBs!AF50+Input!$D$36*RBs!AG50+Input!$D$37*RBs!AH50+Input!$D$38*RBs!AI50+Input!$D$39*RBs!I50+Input!$D$40*RBs!K50</f>
        <v>73.172447552447537</v>
      </c>
    </row>
    <row r="51" spans="1:36" x14ac:dyDescent="0.25">
      <c r="A51" s="89" t="s">
        <v>281</v>
      </c>
      <c r="B51" s="90" t="s">
        <v>170</v>
      </c>
      <c r="C51" s="36">
        <v>50</v>
      </c>
      <c r="D51" s="40">
        <f>3.5*C51</f>
        <v>175</v>
      </c>
      <c r="E51" s="40">
        <v>0</v>
      </c>
      <c r="F51" s="41">
        <v>1</v>
      </c>
      <c r="G51" s="36">
        <v>45</v>
      </c>
      <c r="H51" s="40">
        <f>7.3*G51</f>
        <v>328.5</v>
      </c>
      <c r="I51" s="40">
        <v>0</v>
      </c>
      <c r="J51" s="41">
        <v>2</v>
      </c>
      <c r="K51" s="40">
        <v>1</v>
      </c>
      <c r="L51" s="81">
        <v>0.72727272727272729</v>
      </c>
      <c r="M51" s="82">
        <v>9.7902097902097904E-2</v>
      </c>
      <c r="N51" s="82">
        <v>6.2937062937062943E-2</v>
      </c>
      <c r="O51" s="82">
        <v>2.097902097902098E-2</v>
      </c>
      <c r="P51" s="82">
        <v>2.7972027972027972E-2</v>
      </c>
      <c r="Q51" s="83">
        <v>6.2937062937062943E-2</v>
      </c>
      <c r="R51" s="81">
        <v>0.3</v>
      </c>
      <c r="S51" s="82">
        <v>0.33333333333333331</v>
      </c>
      <c r="T51" s="82">
        <v>0.16666666666666666</v>
      </c>
      <c r="U51" s="82">
        <v>0.1</v>
      </c>
      <c r="V51" s="82">
        <v>3.3333333333333333E-2</v>
      </c>
      <c r="W51" s="83">
        <v>6.6666666666666666E-2</v>
      </c>
      <c r="X51" s="115">
        <f t="shared" si="2"/>
        <v>0.72727272727272729</v>
      </c>
      <c r="Y51" s="116">
        <f t="shared" si="3"/>
        <v>9.7902097902097904E-2</v>
      </c>
      <c r="Z51" s="116">
        <f t="shared" si="4"/>
        <v>6.2937062937062943E-2</v>
      </c>
      <c r="AA51" s="116">
        <f t="shared" si="5"/>
        <v>2.097902097902098E-2</v>
      </c>
      <c r="AB51" s="116">
        <f t="shared" si="6"/>
        <v>2.7972027972027972E-2</v>
      </c>
      <c r="AC51" s="117">
        <f t="shared" si="7"/>
        <v>6.2937062937062943E-2</v>
      </c>
      <c r="AD51" s="115">
        <f t="shared" si="8"/>
        <v>0.6</v>
      </c>
      <c r="AE51" s="116">
        <f t="shared" si="9"/>
        <v>0.66666666666666663</v>
      </c>
      <c r="AF51" s="116">
        <f t="shared" si="10"/>
        <v>0.33333333333333331</v>
      </c>
      <c r="AG51" s="116">
        <f t="shared" si="11"/>
        <v>0.2</v>
      </c>
      <c r="AH51" s="116">
        <f t="shared" si="12"/>
        <v>6.6666666666666666E-2</v>
      </c>
      <c r="AI51" s="116">
        <f t="shared" si="13"/>
        <v>0.13333333333333333</v>
      </c>
      <c r="AJ51" s="121">
        <f>Input!$D$22*RBs!C51+Input!$D$23*RBs!D51+Input!$D$24*RBs!X51+Input!$D$25*RBs!Y51+Input!$D$26*RBs!Z51+Input!$D$27*RBs!AA51+Input!$D$28*RBs!AB51+Input!$D$29*RBs!AC51+Input!$D$30*RBs!E51+Input!$D$31*RBs!G51+Input!$D$32*RBs!H51+Input!$D$33*RBs!AD51+Input!$D$34*RBs!AE51+Input!$D$35*RBs!AF51+Input!$D$36*RBs!AG51+Input!$D$37*RBs!AH51+Input!$D$38*RBs!AI51+Input!$D$39*RBs!I51+Input!$D$40*RBs!K51</f>
        <v>71.126223776223782</v>
      </c>
    </row>
    <row r="52" spans="1:36" x14ac:dyDescent="0.25">
      <c r="A52" s="89" t="s">
        <v>282</v>
      </c>
      <c r="B52" s="90" t="s">
        <v>136</v>
      </c>
      <c r="C52" s="45">
        <v>65</v>
      </c>
      <c r="D52" s="37">
        <f>3.8*C52</f>
        <v>247</v>
      </c>
      <c r="E52" s="37">
        <v>0</v>
      </c>
      <c r="F52" s="38">
        <v>4</v>
      </c>
      <c r="G52" s="45">
        <v>15</v>
      </c>
      <c r="H52" s="37">
        <f>9*G52</f>
        <v>135</v>
      </c>
      <c r="I52" s="37">
        <v>0</v>
      </c>
      <c r="J52" s="38">
        <v>1</v>
      </c>
      <c r="K52" s="37">
        <v>1</v>
      </c>
      <c r="L52" s="81">
        <v>0.72727272727272729</v>
      </c>
      <c r="M52" s="82">
        <v>9.7902097902097904E-2</v>
      </c>
      <c r="N52" s="82">
        <v>6.2937062937062943E-2</v>
      </c>
      <c r="O52" s="82">
        <v>2.097902097902098E-2</v>
      </c>
      <c r="P52" s="82">
        <v>2.7972027972027972E-2</v>
      </c>
      <c r="Q52" s="83">
        <v>6.2937062937062943E-2</v>
      </c>
      <c r="R52" s="81">
        <v>0.3</v>
      </c>
      <c r="S52" s="82">
        <v>0.33333333333333331</v>
      </c>
      <c r="T52" s="82">
        <v>0.16666666666666666</v>
      </c>
      <c r="U52" s="82">
        <v>0.1</v>
      </c>
      <c r="V52" s="82">
        <v>3.3333333333333333E-2</v>
      </c>
      <c r="W52" s="83">
        <v>6.6666666666666666E-2</v>
      </c>
      <c r="X52" s="115">
        <f t="shared" si="2"/>
        <v>2.9090909090909092</v>
      </c>
      <c r="Y52" s="116">
        <f t="shared" si="3"/>
        <v>0.39160839160839161</v>
      </c>
      <c r="Z52" s="116">
        <f t="shared" si="4"/>
        <v>0.25174825174825177</v>
      </c>
      <c r="AA52" s="116">
        <f t="shared" si="5"/>
        <v>8.3916083916083919E-2</v>
      </c>
      <c r="AB52" s="116">
        <f t="shared" si="6"/>
        <v>0.11188811188811189</v>
      </c>
      <c r="AC52" s="117">
        <f t="shared" si="7"/>
        <v>0.25174825174825177</v>
      </c>
      <c r="AD52" s="115">
        <f t="shared" si="8"/>
        <v>0.3</v>
      </c>
      <c r="AE52" s="116">
        <f t="shared" si="9"/>
        <v>0.33333333333333331</v>
      </c>
      <c r="AF52" s="116">
        <f t="shared" si="10"/>
        <v>0.16666666666666666</v>
      </c>
      <c r="AG52" s="116">
        <f t="shared" si="11"/>
        <v>0.1</v>
      </c>
      <c r="AH52" s="116">
        <f t="shared" si="12"/>
        <v>3.3333333333333333E-2</v>
      </c>
      <c r="AI52" s="116">
        <f t="shared" si="13"/>
        <v>6.6666666666666666E-2</v>
      </c>
      <c r="AJ52" s="121">
        <f>Input!$D$22*RBs!C52+Input!$D$23*RBs!D52+Input!$D$24*RBs!X52+Input!$D$25*RBs!Y52+Input!$D$26*RBs!Z52+Input!$D$27*RBs!AA52+Input!$D$28*RBs!AB52+Input!$D$29*RBs!AC52+Input!$D$30*RBs!E52+Input!$D$31*RBs!G52+Input!$D$32*RBs!H52+Input!$D$33*RBs!AD52+Input!$D$34*RBs!AE52+Input!$D$35*RBs!AF52+Input!$D$36*RBs!AG52+Input!$D$37*RBs!AH52+Input!$D$38*RBs!AI52+Input!$D$39*RBs!I52+Input!$D$40*RBs!K52</f>
        <v>71.804895104895095</v>
      </c>
    </row>
    <row r="53" spans="1:36" x14ac:dyDescent="0.25">
      <c r="A53" s="89" t="s">
        <v>283</v>
      </c>
      <c r="B53" s="90" t="s">
        <v>184</v>
      </c>
      <c r="C53" s="45">
        <v>140</v>
      </c>
      <c r="D53" s="37">
        <f>4.2*C53</f>
        <v>588</v>
      </c>
      <c r="E53" s="37">
        <v>0</v>
      </c>
      <c r="F53" s="38">
        <v>3</v>
      </c>
      <c r="G53" s="45">
        <v>25</v>
      </c>
      <c r="H53" s="37">
        <f>7*G53</f>
        <v>175</v>
      </c>
      <c r="I53" s="37">
        <v>0</v>
      </c>
      <c r="J53" s="38">
        <v>1</v>
      </c>
      <c r="K53" s="37">
        <v>1</v>
      </c>
      <c r="L53" s="81">
        <v>0.72727272727272729</v>
      </c>
      <c r="M53" s="82">
        <v>9.7902097902097904E-2</v>
      </c>
      <c r="N53" s="82">
        <v>6.2937062937062943E-2</v>
      </c>
      <c r="O53" s="82">
        <v>2.097902097902098E-2</v>
      </c>
      <c r="P53" s="82">
        <v>2.7972027972027972E-2</v>
      </c>
      <c r="Q53" s="83">
        <v>6.2937062937062943E-2</v>
      </c>
      <c r="R53" s="81">
        <v>0.3</v>
      </c>
      <c r="S53" s="82">
        <v>0.33333333333333331</v>
      </c>
      <c r="T53" s="82">
        <v>0.16666666666666666</v>
      </c>
      <c r="U53" s="82">
        <v>0.1</v>
      </c>
      <c r="V53" s="82">
        <v>3.3333333333333333E-2</v>
      </c>
      <c r="W53" s="83">
        <v>6.6666666666666666E-2</v>
      </c>
      <c r="X53" s="115">
        <f t="shared" si="2"/>
        <v>2.1818181818181817</v>
      </c>
      <c r="Y53" s="116">
        <f t="shared" si="3"/>
        <v>0.2937062937062937</v>
      </c>
      <c r="Z53" s="116">
        <f t="shared" si="4"/>
        <v>0.18881118881118883</v>
      </c>
      <c r="AA53" s="116">
        <f t="shared" si="5"/>
        <v>6.2937062937062943E-2</v>
      </c>
      <c r="AB53" s="116">
        <f t="shared" si="6"/>
        <v>8.3916083916083919E-2</v>
      </c>
      <c r="AC53" s="117">
        <f t="shared" si="7"/>
        <v>0.18881118881118883</v>
      </c>
      <c r="AD53" s="115">
        <f t="shared" si="8"/>
        <v>0.3</v>
      </c>
      <c r="AE53" s="116">
        <f t="shared" si="9"/>
        <v>0.33333333333333331</v>
      </c>
      <c r="AF53" s="116">
        <f t="shared" si="10"/>
        <v>0.16666666666666666</v>
      </c>
      <c r="AG53" s="116">
        <f t="shared" si="11"/>
        <v>0.1</v>
      </c>
      <c r="AH53" s="116">
        <f t="shared" si="12"/>
        <v>3.3333333333333333E-2</v>
      </c>
      <c r="AI53" s="116">
        <f t="shared" si="13"/>
        <v>6.6666666666666666E-2</v>
      </c>
      <c r="AJ53" s="121">
        <f>Input!$D$22*RBs!C53+Input!$D$23*RBs!D53+Input!$D$24*RBs!X53+Input!$D$25*RBs!Y53+Input!$D$26*RBs!Z53+Input!$D$27*RBs!AA53+Input!$D$28*RBs!AB53+Input!$D$29*RBs!AC53+Input!$D$30*RBs!E53+Input!$D$31*RBs!G53+Input!$D$32*RBs!H53+Input!$D$33*RBs!AD53+Input!$D$34*RBs!AE53+Input!$D$35*RBs!AF53+Input!$D$36*RBs!AG53+Input!$D$37*RBs!AH53+Input!$D$38*RBs!AI53+Input!$D$39*RBs!I53+Input!$D$40*RBs!K53</f>
        <v>103.1286713286713</v>
      </c>
    </row>
    <row r="54" spans="1:36" x14ac:dyDescent="0.25">
      <c r="A54" s="89" t="s">
        <v>284</v>
      </c>
      <c r="B54" s="90" t="s">
        <v>154</v>
      </c>
      <c r="C54" s="45">
        <v>75</v>
      </c>
      <c r="D54" s="37">
        <f>4.2*C54</f>
        <v>315</v>
      </c>
      <c r="E54" s="37">
        <v>0</v>
      </c>
      <c r="F54" s="38">
        <v>2</v>
      </c>
      <c r="G54" s="45">
        <v>5</v>
      </c>
      <c r="H54" s="37">
        <f>8*G54</f>
        <v>40</v>
      </c>
      <c r="I54" s="37">
        <v>0</v>
      </c>
      <c r="J54" s="38">
        <v>0</v>
      </c>
      <c r="K54" s="37">
        <v>1</v>
      </c>
      <c r="L54" s="81">
        <v>0.72727272727272729</v>
      </c>
      <c r="M54" s="82">
        <v>9.7902097902097904E-2</v>
      </c>
      <c r="N54" s="82">
        <v>6.2937062937062943E-2</v>
      </c>
      <c r="O54" s="82">
        <v>2.097902097902098E-2</v>
      </c>
      <c r="P54" s="82">
        <v>2.7972027972027972E-2</v>
      </c>
      <c r="Q54" s="83">
        <v>6.2937062937062943E-2</v>
      </c>
      <c r="R54" s="81">
        <v>0.3</v>
      </c>
      <c r="S54" s="82">
        <v>0.33333333333333331</v>
      </c>
      <c r="T54" s="82">
        <v>0.16666666666666666</v>
      </c>
      <c r="U54" s="82">
        <v>0.1</v>
      </c>
      <c r="V54" s="82">
        <v>3.3333333333333333E-2</v>
      </c>
      <c r="W54" s="83">
        <v>6.6666666666666666E-2</v>
      </c>
      <c r="X54" s="115">
        <f t="shared" si="2"/>
        <v>1.4545454545454546</v>
      </c>
      <c r="Y54" s="116">
        <f t="shared" si="3"/>
        <v>0.19580419580419581</v>
      </c>
      <c r="Z54" s="116">
        <f t="shared" si="4"/>
        <v>0.12587412587412589</v>
      </c>
      <c r="AA54" s="116">
        <f t="shared" si="5"/>
        <v>4.195804195804196E-2</v>
      </c>
      <c r="AB54" s="116">
        <f t="shared" si="6"/>
        <v>5.5944055944055944E-2</v>
      </c>
      <c r="AC54" s="117">
        <f t="shared" si="7"/>
        <v>0.12587412587412589</v>
      </c>
      <c r="AD54" s="115">
        <f t="shared" si="8"/>
        <v>0</v>
      </c>
      <c r="AE54" s="116">
        <f t="shared" si="9"/>
        <v>0</v>
      </c>
      <c r="AF54" s="116">
        <f t="shared" si="10"/>
        <v>0</v>
      </c>
      <c r="AG54" s="116">
        <f t="shared" si="11"/>
        <v>0</v>
      </c>
      <c r="AH54" s="116">
        <f t="shared" si="12"/>
        <v>0</v>
      </c>
      <c r="AI54" s="116">
        <f t="shared" si="13"/>
        <v>0</v>
      </c>
      <c r="AJ54" s="121">
        <f>Input!$D$22*RBs!C54+Input!$D$23*RBs!D54+Input!$D$24*RBs!X54+Input!$D$25*RBs!Y54+Input!$D$26*RBs!Z54+Input!$D$27*RBs!AA54+Input!$D$28*RBs!AB54+Input!$D$29*RBs!AC54+Input!$D$30*RBs!E54+Input!$D$31*RBs!G54+Input!$D$32*RBs!H54+Input!$D$33*RBs!AD54+Input!$D$34*RBs!AE54+Input!$D$35*RBs!AF54+Input!$D$36*RBs!AG54+Input!$D$37*RBs!AH54+Input!$D$38*RBs!AI54+Input!$D$39*RBs!I54+Input!$D$40*RBs!K54</f>
        <v>48.05244755244756</v>
      </c>
    </row>
    <row r="55" spans="1:36" x14ac:dyDescent="0.25">
      <c r="A55" s="89" t="s">
        <v>285</v>
      </c>
      <c r="B55" s="90" t="s">
        <v>150</v>
      </c>
      <c r="C55" s="45">
        <v>70</v>
      </c>
      <c r="D55" s="37">
        <f>3.7*C55</f>
        <v>259</v>
      </c>
      <c r="E55" s="37">
        <v>0</v>
      </c>
      <c r="F55" s="38">
        <v>2</v>
      </c>
      <c r="G55" s="45">
        <v>20</v>
      </c>
      <c r="H55" s="37">
        <f>7.9*G55</f>
        <v>158</v>
      </c>
      <c r="I55" s="37">
        <v>0</v>
      </c>
      <c r="J55" s="38">
        <v>1</v>
      </c>
      <c r="K55" s="37">
        <v>1</v>
      </c>
      <c r="L55" s="81">
        <v>0.72727272727272729</v>
      </c>
      <c r="M55" s="82">
        <v>9.7902097902097904E-2</v>
      </c>
      <c r="N55" s="82">
        <v>6.2937062937062943E-2</v>
      </c>
      <c r="O55" s="82">
        <v>2.097902097902098E-2</v>
      </c>
      <c r="P55" s="82">
        <v>2.7972027972027972E-2</v>
      </c>
      <c r="Q55" s="83">
        <v>6.2937062937062943E-2</v>
      </c>
      <c r="R55" s="81">
        <v>0.3</v>
      </c>
      <c r="S55" s="82">
        <v>0.33333333333333331</v>
      </c>
      <c r="T55" s="82">
        <v>0.16666666666666666</v>
      </c>
      <c r="U55" s="82">
        <v>0.1</v>
      </c>
      <c r="V55" s="82">
        <v>3.3333333333333333E-2</v>
      </c>
      <c r="W55" s="83">
        <v>6.6666666666666666E-2</v>
      </c>
      <c r="X55" s="115">
        <f t="shared" si="2"/>
        <v>1.4545454545454546</v>
      </c>
      <c r="Y55" s="116">
        <f t="shared" si="3"/>
        <v>0.19580419580419581</v>
      </c>
      <c r="Z55" s="116">
        <f t="shared" si="4"/>
        <v>0.12587412587412589</v>
      </c>
      <c r="AA55" s="116">
        <f t="shared" si="5"/>
        <v>4.195804195804196E-2</v>
      </c>
      <c r="AB55" s="116">
        <f t="shared" si="6"/>
        <v>5.5944055944055944E-2</v>
      </c>
      <c r="AC55" s="117">
        <f t="shared" si="7"/>
        <v>0.12587412587412589</v>
      </c>
      <c r="AD55" s="115">
        <f t="shared" si="8"/>
        <v>0.3</v>
      </c>
      <c r="AE55" s="116">
        <f t="shared" si="9"/>
        <v>0.33333333333333331</v>
      </c>
      <c r="AF55" s="116">
        <f t="shared" si="10"/>
        <v>0.16666666666666666</v>
      </c>
      <c r="AG55" s="116">
        <f t="shared" si="11"/>
        <v>0.1</v>
      </c>
      <c r="AH55" s="116">
        <f t="shared" si="12"/>
        <v>3.3333333333333333E-2</v>
      </c>
      <c r="AI55" s="116">
        <f t="shared" si="13"/>
        <v>6.6666666666666666E-2</v>
      </c>
      <c r="AJ55" s="121">
        <f>Input!$D$22*RBs!C55+Input!$D$23*RBs!D55+Input!$D$24*RBs!X55+Input!$D$25*RBs!Y55+Input!$D$26*RBs!Z55+Input!$D$27*RBs!AA55+Input!$D$28*RBs!AB55+Input!$D$29*RBs!AC55+Input!$D$30*RBs!E55+Input!$D$31*RBs!G55+Input!$D$32*RBs!H55+Input!$D$33*RBs!AD55+Input!$D$34*RBs!AE55+Input!$D$35*RBs!AF55+Input!$D$36*RBs!AG55+Input!$D$37*RBs!AH55+Input!$D$38*RBs!AI55+Input!$D$39*RBs!I55+Input!$D$40*RBs!K55</f>
        <v>61.752447552447563</v>
      </c>
    </row>
    <row r="56" spans="1:36" x14ac:dyDescent="0.25">
      <c r="A56" s="89" t="s">
        <v>286</v>
      </c>
      <c r="B56" s="90" t="s">
        <v>172</v>
      </c>
      <c r="C56" s="45">
        <v>70</v>
      </c>
      <c r="D56" s="37">
        <f>4*C56</f>
        <v>280</v>
      </c>
      <c r="E56" s="37">
        <v>0</v>
      </c>
      <c r="F56" s="38">
        <v>2</v>
      </c>
      <c r="G56" s="45">
        <v>20</v>
      </c>
      <c r="H56" s="37">
        <f>5.7*G56</f>
        <v>114</v>
      </c>
      <c r="I56" s="37">
        <v>0</v>
      </c>
      <c r="J56" s="38">
        <v>1</v>
      </c>
      <c r="K56" s="37">
        <v>1</v>
      </c>
      <c r="L56" s="81">
        <v>0.72727272727272729</v>
      </c>
      <c r="M56" s="82">
        <v>9.7902097902097904E-2</v>
      </c>
      <c r="N56" s="82">
        <v>6.2937062937062943E-2</v>
      </c>
      <c r="O56" s="82">
        <v>2.097902097902098E-2</v>
      </c>
      <c r="P56" s="82">
        <v>2.7972027972027972E-2</v>
      </c>
      <c r="Q56" s="83">
        <v>6.2937062937062943E-2</v>
      </c>
      <c r="R56" s="81">
        <v>0.3</v>
      </c>
      <c r="S56" s="82">
        <v>0.33333333333333331</v>
      </c>
      <c r="T56" s="82">
        <v>0.16666666666666666</v>
      </c>
      <c r="U56" s="82">
        <v>0.1</v>
      </c>
      <c r="V56" s="82">
        <v>3.3333333333333333E-2</v>
      </c>
      <c r="W56" s="83">
        <v>6.6666666666666666E-2</v>
      </c>
      <c r="X56" s="115">
        <f t="shared" si="2"/>
        <v>1.4545454545454546</v>
      </c>
      <c r="Y56" s="116">
        <f t="shared" si="3"/>
        <v>0.19580419580419581</v>
      </c>
      <c r="Z56" s="116">
        <f t="shared" si="4"/>
        <v>0.12587412587412589</v>
      </c>
      <c r="AA56" s="116">
        <f t="shared" si="5"/>
        <v>4.195804195804196E-2</v>
      </c>
      <c r="AB56" s="116">
        <f t="shared" si="6"/>
        <v>5.5944055944055944E-2</v>
      </c>
      <c r="AC56" s="117">
        <f t="shared" si="7"/>
        <v>0.12587412587412589</v>
      </c>
      <c r="AD56" s="115">
        <f t="shared" si="8"/>
        <v>0.3</v>
      </c>
      <c r="AE56" s="116">
        <f t="shared" si="9"/>
        <v>0.33333333333333331</v>
      </c>
      <c r="AF56" s="116">
        <f t="shared" si="10"/>
        <v>0.16666666666666666</v>
      </c>
      <c r="AG56" s="116">
        <f t="shared" si="11"/>
        <v>0.1</v>
      </c>
      <c r="AH56" s="116">
        <f t="shared" si="12"/>
        <v>3.3333333333333333E-2</v>
      </c>
      <c r="AI56" s="116">
        <f t="shared" si="13"/>
        <v>6.6666666666666666E-2</v>
      </c>
      <c r="AJ56" s="121">
        <f>Input!$D$22*RBs!C56+Input!$D$23*RBs!D56+Input!$D$24*RBs!X56+Input!$D$25*RBs!Y56+Input!$D$26*RBs!Z56+Input!$D$27*RBs!AA56+Input!$D$28*RBs!AB56+Input!$D$29*RBs!AC56+Input!$D$30*RBs!E56+Input!$D$31*RBs!G56+Input!$D$32*RBs!H56+Input!$D$33*RBs!AD56+Input!$D$34*RBs!AE56+Input!$D$35*RBs!AF56+Input!$D$36*RBs!AG56+Input!$D$37*RBs!AH56+Input!$D$38*RBs!AI56+Input!$D$39*RBs!I56+Input!$D$40*RBs!K56</f>
        <v>59.452447552447559</v>
      </c>
    </row>
    <row r="57" spans="1:36" x14ac:dyDescent="0.25">
      <c r="A57" s="89" t="s">
        <v>287</v>
      </c>
      <c r="B57" s="90" t="s">
        <v>186</v>
      </c>
      <c r="C57" s="45">
        <v>80</v>
      </c>
      <c r="D57" s="37">
        <f>3.9*C57</f>
        <v>312</v>
      </c>
      <c r="E57" s="37">
        <v>0</v>
      </c>
      <c r="F57" s="38">
        <v>2</v>
      </c>
      <c r="G57" s="45">
        <v>15</v>
      </c>
      <c r="H57" s="37">
        <f>9.4*G57</f>
        <v>141</v>
      </c>
      <c r="I57" s="37">
        <v>0</v>
      </c>
      <c r="J57" s="38">
        <v>1</v>
      </c>
      <c r="K57" s="37">
        <v>1</v>
      </c>
      <c r="L57" s="81">
        <v>0.72727272727272729</v>
      </c>
      <c r="M57" s="82">
        <v>9.7902097902097904E-2</v>
      </c>
      <c r="N57" s="82">
        <v>6.2937062937062943E-2</v>
      </c>
      <c r="O57" s="82">
        <v>2.097902097902098E-2</v>
      </c>
      <c r="P57" s="82">
        <v>2.7972027972027972E-2</v>
      </c>
      <c r="Q57" s="83">
        <v>6.2937062937062943E-2</v>
      </c>
      <c r="R57" s="81">
        <v>0.3</v>
      </c>
      <c r="S57" s="82">
        <v>0.33333333333333331</v>
      </c>
      <c r="T57" s="82">
        <v>0.16666666666666666</v>
      </c>
      <c r="U57" s="82">
        <v>0.1</v>
      </c>
      <c r="V57" s="82">
        <v>3.3333333333333333E-2</v>
      </c>
      <c r="W57" s="83">
        <v>6.6666666666666666E-2</v>
      </c>
      <c r="X57" s="115">
        <f t="shared" si="2"/>
        <v>1.4545454545454546</v>
      </c>
      <c r="Y57" s="116">
        <f t="shared" si="3"/>
        <v>0.19580419580419581</v>
      </c>
      <c r="Z57" s="116">
        <f t="shared" si="4"/>
        <v>0.12587412587412589</v>
      </c>
      <c r="AA57" s="116">
        <f t="shared" si="5"/>
        <v>4.195804195804196E-2</v>
      </c>
      <c r="AB57" s="116">
        <f t="shared" si="6"/>
        <v>5.5944055944055944E-2</v>
      </c>
      <c r="AC57" s="117">
        <f t="shared" si="7"/>
        <v>0.12587412587412589</v>
      </c>
      <c r="AD57" s="115">
        <f t="shared" si="8"/>
        <v>0.3</v>
      </c>
      <c r="AE57" s="116">
        <f t="shared" si="9"/>
        <v>0.33333333333333331</v>
      </c>
      <c r="AF57" s="116">
        <f t="shared" si="10"/>
        <v>0.16666666666666666</v>
      </c>
      <c r="AG57" s="116">
        <f t="shared" si="11"/>
        <v>0.1</v>
      </c>
      <c r="AH57" s="116">
        <f t="shared" si="12"/>
        <v>3.3333333333333333E-2</v>
      </c>
      <c r="AI57" s="116">
        <f t="shared" si="13"/>
        <v>6.6666666666666666E-2</v>
      </c>
      <c r="AJ57" s="121">
        <f>Input!$D$22*RBs!C57+Input!$D$23*RBs!D57+Input!$D$24*RBs!X57+Input!$D$25*RBs!Y57+Input!$D$26*RBs!Z57+Input!$D$27*RBs!AA57+Input!$D$28*RBs!AB57+Input!$D$29*RBs!AC57+Input!$D$30*RBs!E57+Input!$D$31*RBs!G57+Input!$D$32*RBs!H57+Input!$D$33*RBs!AD57+Input!$D$34*RBs!AE57+Input!$D$35*RBs!AF57+Input!$D$36*RBs!AG57+Input!$D$37*RBs!AH57+Input!$D$38*RBs!AI57+Input!$D$39*RBs!I57+Input!$D$40*RBs!K57</f>
        <v>65.352447552447558</v>
      </c>
    </row>
    <row r="58" spans="1:36" x14ac:dyDescent="0.25">
      <c r="A58" s="89" t="s">
        <v>288</v>
      </c>
      <c r="B58" s="90" t="s">
        <v>144</v>
      </c>
      <c r="C58" s="45">
        <v>70</v>
      </c>
      <c r="D58" s="37">
        <f>3.9*C58</f>
        <v>273</v>
      </c>
      <c r="E58" s="37">
        <v>0</v>
      </c>
      <c r="F58" s="38">
        <v>1</v>
      </c>
      <c r="G58" s="45">
        <v>20</v>
      </c>
      <c r="H58" s="37">
        <f>9*G58</f>
        <v>180</v>
      </c>
      <c r="I58" s="37">
        <v>0</v>
      </c>
      <c r="J58" s="38">
        <v>1</v>
      </c>
      <c r="K58" s="37">
        <v>1</v>
      </c>
      <c r="L58" s="81">
        <v>0.72727272727272729</v>
      </c>
      <c r="M58" s="82">
        <v>9.7902097902097904E-2</v>
      </c>
      <c r="N58" s="82">
        <v>6.2937062937062943E-2</v>
      </c>
      <c r="O58" s="82">
        <v>2.097902097902098E-2</v>
      </c>
      <c r="P58" s="82">
        <v>2.7972027972027972E-2</v>
      </c>
      <c r="Q58" s="83">
        <v>6.2937062937062943E-2</v>
      </c>
      <c r="R58" s="81">
        <v>0.3</v>
      </c>
      <c r="S58" s="82">
        <v>0.33333333333333331</v>
      </c>
      <c r="T58" s="82">
        <v>0.16666666666666666</v>
      </c>
      <c r="U58" s="82">
        <v>0.1</v>
      </c>
      <c r="V58" s="82">
        <v>3.3333333333333333E-2</v>
      </c>
      <c r="W58" s="83">
        <v>6.6666666666666666E-2</v>
      </c>
      <c r="X58" s="115">
        <f t="shared" si="2"/>
        <v>0.72727272727272729</v>
      </c>
      <c r="Y58" s="116">
        <f t="shared" si="3"/>
        <v>9.7902097902097904E-2</v>
      </c>
      <c r="Z58" s="116">
        <f t="shared" si="4"/>
        <v>6.2937062937062943E-2</v>
      </c>
      <c r="AA58" s="116">
        <f t="shared" si="5"/>
        <v>2.097902097902098E-2</v>
      </c>
      <c r="AB58" s="116">
        <f t="shared" si="6"/>
        <v>2.7972027972027972E-2</v>
      </c>
      <c r="AC58" s="117">
        <f t="shared" si="7"/>
        <v>6.2937062937062943E-2</v>
      </c>
      <c r="AD58" s="115">
        <f t="shared" si="8"/>
        <v>0.3</v>
      </c>
      <c r="AE58" s="116">
        <f t="shared" si="9"/>
        <v>0.33333333333333331</v>
      </c>
      <c r="AF58" s="116">
        <f t="shared" si="10"/>
        <v>0.16666666666666666</v>
      </c>
      <c r="AG58" s="116">
        <f t="shared" si="11"/>
        <v>0.1</v>
      </c>
      <c r="AH58" s="116">
        <f t="shared" si="12"/>
        <v>3.3333333333333333E-2</v>
      </c>
      <c r="AI58" s="116">
        <f t="shared" si="13"/>
        <v>6.6666666666666666E-2</v>
      </c>
      <c r="AJ58" s="121">
        <f>Input!$D$22*RBs!C58+Input!$D$23*RBs!D58+Input!$D$24*RBs!X58+Input!$D$25*RBs!Y58+Input!$D$26*RBs!Z58+Input!$D$27*RBs!AA58+Input!$D$28*RBs!AB58+Input!$D$29*RBs!AC58+Input!$D$30*RBs!E58+Input!$D$31*RBs!G58+Input!$D$32*RBs!H58+Input!$D$33*RBs!AD58+Input!$D$34*RBs!AE58+Input!$D$35*RBs!AF58+Input!$D$36*RBs!AG58+Input!$D$37*RBs!AH58+Input!$D$38*RBs!AI58+Input!$D$39*RBs!I58+Input!$D$40*RBs!K58</f>
        <v>58.576223776223777</v>
      </c>
    </row>
    <row r="59" spans="1:36" x14ac:dyDescent="0.25">
      <c r="A59" s="89" t="s">
        <v>289</v>
      </c>
      <c r="B59" s="90" t="s">
        <v>194</v>
      </c>
      <c r="C59" s="45">
        <v>35</v>
      </c>
      <c r="D59" s="37">
        <f>2.8*C59</f>
        <v>98</v>
      </c>
      <c r="E59" s="37">
        <v>0</v>
      </c>
      <c r="F59" s="38">
        <v>3</v>
      </c>
      <c r="G59" s="45">
        <v>30</v>
      </c>
      <c r="H59" s="37">
        <f>7.4*G59</f>
        <v>222</v>
      </c>
      <c r="I59" s="37">
        <v>0</v>
      </c>
      <c r="J59" s="38">
        <v>1</v>
      </c>
      <c r="K59" s="37">
        <v>0</v>
      </c>
      <c r="L59" s="81">
        <v>0.72727272727272729</v>
      </c>
      <c r="M59" s="82">
        <v>9.7902097902097904E-2</v>
      </c>
      <c r="N59" s="82">
        <v>6.2937062937062943E-2</v>
      </c>
      <c r="O59" s="82">
        <v>2.097902097902098E-2</v>
      </c>
      <c r="P59" s="82">
        <v>2.7972027972027972E-2</v>
      </c>
      <c r="Q59" s="83">
        <v>6.2937062937062943E-2</v>
      </c>
      <c r="R59" s="81">
        <v>0.3</v>
      </c>
      <c r="S59" s="82">
        <v>0.33333333333333331</v>
      </c>
      <c r="T59" s="82">
        <v>0.16666666666666666</v>
      </c>
      <c r="U59" s="82">
        <v>0.1</v>
      </c>
      <c r="V59" s="82">
        <v>3.3333333333333333E-2</v>
      </c>
      <c r="W59" s="83">
        <v>6.6666666666666666E-2</v>
      </c>
      <c r="X59" s="115">
        <f t="shared" si="2"/>
        <v>2.1818181818181817</v>
      </c>
      <c r="Y59" s="116">
        <f t="shared" si="3"/>
        <v>0.2937062937062937</v>
      </c>
      <c r="Z59" s="116">
        <f t="shared" si="4"/>
        <v>0.18881118881118883</v>
      </c>
      <c r="AA59" s="116">
        <f t="shared" si="5"/>
        <v>6.2937062937062943E-2</v>
      </c>
      <c r="AB59" s="116">
        <f t="shared" si="6"/>
        <v>8.3916083916083919E-2</v>
      </c>
      <c r="AC59" s="117">
        <f t="shared" si="7"/>
        <v>0.18881118881118883</v>
      </c>
      <c r="AD59" s="115">
        <f t="shared" si="8"/>
        <v>0.3</v>
      </c>
      <c r="AE59" s="116">
        <f t="shared" si="9"/>
        <v>0.33333333333333331</v>
      </c>
      <c r="AF59" s="116">
        <f t="shared" si="10"/>
        <v>0.16666666666666666</v>
      </c>
      <c r="AG59" s="116">
        <f t="shared" si="11"/>
        <v>0.1</v>
      </c>
      <c r="AH59" s="116">
        <f t="shared" si="12"/>
        <v>3.3333333333333333E-2</v>
      </c>
      <c r="AI59" s="116">
        <f t="shared" si="13"/>
        <v>6.6666666666666666E-2</v>
      </c>
      <c r="AJ59" s="121">
        <f>Input!$D$22*RBs!C59+Input!$D$23*RBs!D59+Input!$D$24*RBs!X59+Input!$D$25*RBs!Y59+Input!$D$26*RBs!Z59+Input!$D$27*RBs!AA59+Input!$D$28*RBs!AB59+Input!$D$29*RBs!AC59+Input!$D$30*RBs!E59+Input!$D$31*RBs!G59+Input!$D$32*RBs!H59+Input!$D$33*RBs!AD59+Input!$D$34*RBs!AE59+Input!$D$35*RBs!AF59+Input!$D$36*RBs!AG59+Input!$D$37*RBs!AH59+Input!$D$38*RBs!AI59+Input!$D$39*RBs!I59+Input!$D$40*RBs!K59</f>
        <v>59.828671328671334</v>
      </c>
    </row>
    <row r="60" spans="1:36" x14ac:dyDescent="0.25">
      <c r="A60" s="89" t="s">
        <v>290</v>
      </c>
      <c r="B60" s="90" t="s">
        <v>186</v>
      </c>
      <c r="C60" s="45">
        <v>70</v>
      </c>
      <c r="D60" s="37">
        <f>3.6*C60</f>
        <v>252</v>
      </c>
      <c r="E60" s="37">
        <v>0</v>
      </c>
      <c r="F60" s="38">
        <v>1</v>
      </c>
      <c r="G60" s="45">
        <v>20</v>
      </c>
      <c r="H60" s="37">
        <f>9*G60</f>
        <v>180</v>
      </c>
      <c r="I60" s="37">
        <v>0</v>
      </c>
      <c r="J60" s="38">
        <v>1</v>
      </c>
      <c r="K60" s="37">
        <v>1</v>
      </c>
      <c r="L60" s="81">
        <v>0.72727272727272729</v>
      </c>
      <c r="M60" s="82">
        <v>9.7902097902097904E-2</v>
      </c>
      <c r="N60" s="82">
        <v>6.2937062937062943E-2</v>
      </c>
      <c r="O60" s="82">
        <v>2.097902097902098E-2</v>
      </c>
      <c r="P60" s="82">
        <v>2.7972027972027972E-2</v>
      </c>
      <c r="Q60" s="83">
        <v>6.2937062937062943E-2</v>
      </c>
      <c r="R60" s="81">
        <v>0.3</v>
      </c>
      <c r="S60" s="82">
        <v>0.33333333333333331</v>
      </c>
      <c r="T60" s="82">
        <v>0.16666666666666666</v>
      </c>
      <c r="U60" s="82">
        <v>0.1</v>
      </c>
      <c r="V60" s="82">
        <v>3.3333333333333333E-2</v>
      </c>
      <c r="W60" s="83">
        <v>6.6666666666666666E-2</v>
      </c>
      <c r="X60" s="115">
        <f t="shared" si="2"/>
        <v>0.72727272727272729</v>
      </c>
      <c r="Y60" s="116">
        <f t="shared" si="3"/>
        <v>9.7902097902097904E-2</v>
      </c>
      <c r="Z60" s="116">
        <f t="shared" si="4"/>
        <v>6.2937062937062943E-2</v>
      </c>
      <c r="AA60" s="116">
        <f t="shared" si="5"/>
        <v>2.097902097902098E-2</v>
      </c>
      <c r="AB60" s="116">
        <f t="shared" si="6"/>
        <v>2.7972027972027972E-2</v>
      </c>
      <c r="AC60" s="117">
        <f t="shared" si="7"/>
        <v>6.2937062937062943E-2</v>
      </c>
      <c r="AD60" s="115">
        <f t="shared" si="8"/>
        <v>0.3</v>
      </c>
      <c r="AE60" s="116">
        <f t="shared" si="9"/>
        <v>0.33333333333333331</v>
      </c>
      <c r="AF60" s="116">
        <f t="shared" si="10"/>
        <v>0.16666666666666666</v>
      </c>
      <c r="AG60" s="116">
        <f t="shared" si="11"/>
        <v>0.1</v>
      </c>
      <c r="AH60" s="116">
        <f t="shared" si="12"/>
        <v>3.3333333333333333E-2</v>
      </c>
      <c r="AI60" s="116">
        <f t="shared" si="13"/>
        <v>6.6666666666666666E-2</v>
      </c>
      <c r="AJ60" s="121">
        <f>Input!$D$22*RBs!C60+Input!$D$23*RBs!D60+Input!$D$24*RBs!X60+Input!$D$25*RBs!Y60+Input!$D$26*RBs!Z60+Input!$D$27*RBs!AA60+Input!$D$28*RBs!AB60+Input!$D$29*RBs!AC60+Input!$D$30*RBs!E60+Input!$D$31*RBs!G60+Input!$D$32*RBs!H60+Input!$D$33*RBs!AD60+Input!$D$34*RBs!AE60+Input!$D$35*RBs!AF60+Input!$D$36*RBs!AG60+Input!$D$37*RBs!AH60+Input!$D$38*RBs!AI60+Input!$D$39*RBs!I60+Input!$D$40*RBs!K60</f>
        <v>56.476223776223783</v>
      </c>
    </row>
    <row r="61" spans="1:36" x14ac:dyDescent="0.25">
      <c r="A61" s="89" t="s">
        <v>291</v>
      </c>
      <c r="B61" s="90" t="s">
        <v>176</v>
      </c>
      <c r="C61" s="45">
        <v>88</v>
      </c>
      <c r="D61" s="37">
        <v>350</v>
      </c>
      <c r="E61" s="37">
        <v>0</v>
      </c>
      <c r="F61" s="38">
        <v>3</v>
      </c>
      <c r="G61" s="45">
        <v>5</v>
      </c>
      <c r="H61" s="37">
        <f>7*G61</f>
        <v>35</v>
      </c>
      <c r="I61" s="37">
        <v>0</v>
      </c>
      <c r="J61" s="38">
        <v>0</v>
      </c>
      <c r="K61" s="37">
        <v>1</v>
      </c>
      <c r="L61" s="81">
        <v>0.72727272727272729</v>
      </c>
      <c r="M61" s="82">
        <v>9.7902097902097904E-2</v>
      </c>
      <c r="N61" s="82">
        <v>6.2937062937062943E-2</v>
      </c>
      <c r="O61" s="82">
        <v>2.097902097902098E-2</v>
      </c>
      <c r="P61" s="82">
        <v>2.7972027972027972E-2</v>
      </c>
      <c r="Q61" s="83">
        <v>6.2937062937062943E-2</v>
      </c>
      <c r="R61" s="81">
        <v>0.3</v>
      </c>
      <c r="S61" s="82">
        <v>0.33333333333333331</v>
      </c>
      <c r="T61" s="82">
        <v>0.16666666666666666</v>
      </c>
      <c r="U61" s="82">
        <v>0.1</v>
      </c>
      <c r="V61" s="82">
        <v>3.3333333333333333E-2</v>
      </c>
      <c r="W61" s="83">
        <v>6.6666666666666666E-2</v>
      </c>
      <c r="X61" s="115">
        <f t="shared" si="2"/>
        <v>2.1818181818181817</v>
      </c>
      <c r="Y61" s="116">
        <f t="shared" si="3"/>
        <v>0.2937062937062937</v>
      </c>
      <c r="Z61" s="116">
        <f t="shared" si="4"/>
        <v>0.18881118881118883</v>
      </c>
      <c r="AA61" s="116">
        <f t="shared" si="5"/>
        <v>6.2937062937062943E-2</v>
      </c>
      <c r="AB61" s="116">
        <f t="shared" si="6"/>
        <v>8.3916083916083919E-2</v>
      </c>
      <c r="AC61" s="117">
        <f t="shared" si="7"/>
        <v>0.18881118881118883</v>
      </c>
      <c r="AD61" s="115">
        <f t="shared" si="8"/>
        <v>0</v>
      </c>
      <c r="AE61" s="116">
        <f t="shared" si="9"/>
        <v>0</v>
      </c>
      <c r="AF61" s="116">
        <f t="shared" si="10"/>
        <v>0</v>
      </c>
      <c r="AG61" s="116">
        <f t="shared" si="11"/>
        <v>0</v>
      </c>
      <c r="AH61" s="116">
        <f t="shared" si="12"/>
        <v>0</v>
      </c>
      <c r="AI61" s="116">
        <f t="shared" si="13"/>
        <v>0</v>
      </c>
      <c r="AJ61" s="121">
        <f>Input!$D$22*RBs!C61+Input!$D$23*RBs!D61+Input!$D$24*RBs!X61+Input!$D$25*RBs!Y61+Input!$D$26*RBs!Z61+Input!$D$27*RBs!AA61+Input!$D$28*RBs!AB61+Input!$D$29*RBs!AC61+Input!$D$30*RBs!E61+Input!$D$31*RBs!G61+Input!$D$32*RBs!H61+Input!$D$33*RBs!AD61+Input!$D$34*RBs!AE61+Input!$D$35*RBs!AF61+Input!$D$36*RBs!AG61+Input!$D$37*RBs!AH61+Input!$D$38*RBs!AI61+Input!$D$39*RBs!I61+Input!$D$40*RBs!K61</f>
        <v>57.828671328671334</v>
      </c>
    </row>
    <row r="62" spans="1:36" x14ac:dyDescent="0.25">
      <c r="A62" s="89" t="s">
        <v>292</v>
      </c>
      <c r="B62" s="90" t="s">
        <v>158</v>
      </c>
      <c r="C62" s="45">
        <v>70</v>
      </c>
      <c r="D62" s="37">
        <f>3.6*C62</f>
        <v>252</v>
      </c>
      <c r="E62" s="37">
        <v>0</v>
      </c>
      <c r="F62" s="38">
        <v>1</v>
      </c>
      <c r="G62" s="45">
        <v>20</v>
      </c>
      <c r="H62" s="37">
        <f>8.8*G62</f>
        <v>176</v>
      </c>
      <c r="I62" s="37">
        <v>0</v>
      </c>
      <c r="J62" s="38">
        <v>1</v>
      </c>
      <c r="K62" s="37">
        <v>1</v>
      </c>
      <c r="L62" s="81">
        <v>0.72727272727272729</v>
      </c>
      <c r="M62" s="82">
        <v>9.7902097902097904E-2</v>
      </c>
      <c r="N62" s="82">
        <v>6.2937062937062943E-2</v>
      </c>
      <c r="O62" s="82">
        <v>2.097902097902098E-2</v>
      </c>
      <c r="P62" s="82">
        <v>2.7972027972027972E-2</v>
      </c>
      <c r="Q62" s="83">
        <v>6.2937062937062943E-2</v>
      </c>
      <c r="R62" s="81">
        <v>0.3</v>
      </c>
      <c r="S62" s="82">
        <v>0.33333333333333331</v>
      </c>
      <c r="T62" s="82">
        <v>0.16666666666666666</v>
      </c>
      <c r="U62" s="82">
        <v>0.1</v>
      </c>
      <c r="V62" s="82">
        <v>3.3333333333333333E-2</v>
      </c>
      <c r="W62" s="83">
        <v>6.6666666666666666E-2</v>
      </c>
      <c r="X62" s="115">
        <f t="shared" si="2"/>
        <v>0.72727272727272729</v>
      </c>
      <c r="Y62" s="116">
        <f t="shared" si="3"/>
        <v>9.7902097902097904E-2</v>
      </c>
      <c r="Z62" s="116">
        <f t="shared" si="4"/>
        <v>6.2937062937062943E-2</v>
      </c>
      <c r="AA62" s="116">
        <f t="shared" si="5"/>
        <v>2.097902097902098E-2</v>
      </c>
      <c r="AB62" s="116">
        <f t="shared" si="6"/>
        <v>2.7972027972027972E-2</v>
      </c>
      <c r="AC62" s="117">
        <f t="shared" si="7"/>
        <v>6.2937062937062943E-2</v>
      </c>
      <c r="AD62" s="115">
        <f t="shared" si="8"/>
        <v>0.3</v>
      </c>
      <c r="AE62" s="116">
        <f t="shared" si="9"/>
        <v>0.33333333333333331</v>
      </c>
      <c r="AF62" s="116">
        <f t="shared" si="10"/>
        <v>0.16666666666666666</v>
      </c>
      <c r="AG62" s="116">
        <f t="shared" si="11"/>
        <v>0.1</v>
      </c>
      <c r="AH62" s="116">
        <f t="shared" si="12"/>
        <v>3.3333333333333333E-2</v>
      </c>
      <c r="AI62" s="116">
        <f t="shared" si="13"/>
        <v>6.6666666666666666E-2</v>
      </c>
      <c r="AJ62" s="121">
        <f>Input!$D$22*RBs!C62+Input!$D$23*RBs!D62+Input!$D$24*RBs!X62+Input!$D$25*RBs!Y62+Input!$D$26*RBs!Z62+Input!$D$27*RBs!AA62+Input!$D$28*RBs!AB62+Input!$D$29*RBs!AC62+Input!$D$30*RBs!E62+Input!$D$31*RBs!G62+Input!$D$32*RBs!H62+Input!$D$33*RBs!AD62+Input!$D$34*RBs!AE62+Input!$D$35*RBs!AF62+Input!$D$36*RBs!AG62+Input!$D$37*RBs!AH62+Input!$D$38*RBs!AI62+Input!$D$39*RBs!I62+Input!$D$40*RBs!K62</f>
        <v>56.076223776223785</v>
      </c>
    </row>
    <row r="63" spans="1:36" x14ac:dyDescent="0.25">
      <c r="A63" s="89" t="s">
        <v>293</v>
      </c>
      <c r="B63" s="90" t="s">
        <v>194</v>
      </c>
      <c r="C63" s="45">
        <v>50</v>
      </c>
      <c r="D63" s="37">
        <f>4*C63</f>
        <v>200</v>
      </c>
      <c r="E63" s="37">
        <v>0</v>
      </c>
      <c r="F63" s="38">
        <v>1</v>
      </c>
      <c r="G63" s="45">
        <v>25</v>
      </c>
      <c r="H63" s="37">
        <f>8.5*G63</f>
        <v>212.5</v>
      </c>
      <c r="I63" s="37">
        <v>0</v>
      </c>
      <c r="J63" s="38">
        <v>1</v>
      </c>
      <c r="K63" s="37">
        <v>0</v>
      </c>
      <c r="L63" s="81">
        <v>0.72727272727272729</v>
      </c>
      <c r="M63" s="82">
        <v>9.7902097902097904E-2</v>
      </c>
      <c r="N63" s="82">
        <v>6.2937062937062943E-2</v>
      </c>
      <c r="O63" s="82">
        <v>2.097902097902098E-2</v>
      </c>
      <c r="P63" s="82">
        <v>2.7972027972027972E-2</v>
      </c>
      <c r="Q63" s="83">
        <v>6.2937062937062943E-2</v>
      </c>
      <c r="R63" s="81">
        <v>0.3</v>
      </c>
      <c r="S63" s="82">
        <v>0.33333333333333331</v>
      </c>
      <c r="T63" s="82">
        <v>0.16666666666666666</v>
      </c>
      <c r="U63" s="82">
        <v>0.1</v>
      </c>
      <c r="V63" s="82">
        <v>3.3333333333333333E-2</v>
      </c>
      <c r="W63" s="83">
        <v>6.6666666666666666E-2</v>
      </c>
      <c r="X63" s="115">
        <f t="shared" si="2"/>
        <v>0.72727272727272729</v>
      </c>
      <c r="Y63" s="116">
        <f t="shared" si="3"/>
        <v>9.7902097902097904E-2</v>
      </c>
      <c r="Z63" s="116">
        <f t="shared" si="4"/>
        <v>6.2937062937062943E-2</v>
      </c>
      <c r="AA63" s="116">
        <f t="shared" si="5"/>
        <v>2.097902097902098E-2</v>
      </c>
      <c r="AB63" s="116">
        <f t="shared" si="6"/>
        <v>2.7972027972027972E-2</v>
      </c>
      <c r="AC63" s="117">
        <f t="shared" si="7"/>
        <v>6.2937062937062943E-2</v>
      </c>
      <c r="AD63" s="115">
        <f t="shared" si="8"/>
        <v>0.3</v>
      </c>
      <c r="AE63" s="116">
        <f t="shared" si="9"/>
        <v>0.33333333333333331</v>
      </c>
      <c r="AF63" s="116">
        <f t="shared" si="10"/>
        <v>0.16666666666666666</v>
      </c>
      <c r="AG63" s="116">
        <f t="shared" si="11"/>
        <v>0.1</v>
      </c>
      <c r="AH63" s="116">
        <f t="shared" si="12"/>
        <v>3.3333333333333333E-2</v>
      </c>
      <c r="AI63" s="116">
        <f t="shared" si="13"/>
        <v>6.6666666666666666E-2</v>
      </c>
      <c r="AJ63" s="121">
        <f>Input!$D$22*RBs!C63+Input!$D$23*RBs!D63+Input!$D$24*RBs!X63+Input!$D$25*RBs!Y63+Input!$D$26*RBs!Z63+Input!$D$27*RBs!AA63+Input!$D$28*RBs!AB63+Input!$D$29*RBs!AC63+Input!$D$30*RBs!E63+Input!$D$31*RBs!G63+Input!$D$32*RBs!H63+Input!$D$33*RBs!AD63+Input!$D$34*RBs!AE63+Input!$D$35*RBs!AF63+Input!$D$36*RBs!AG63+Input!$D$37*RBs!AH63+Input!$D$38*RBs!AI63+Input!$D$39*RBs!I63+Input!$D$40*RBs!K63</f>
        <v>55.52622377622378</v>
      </c>
    </row>
    <row r="64" spans="1:36" x14ac:dyDescent="0.25">
      <c r="A64" s="89" t="s">
        <v>294</v>
      </c>
      <c r="B64" s="90" t="s">
        <v>138</v>
      </c>
      <c r="C64" s="45">
        <v>50</v>
      </c>
      <c r="D64" s="37">
        <f>3.6*C64</f>
        <v>180</v>
      </c>
      <c r="E64" s="37">
        <v>0</v>
      </c>
      <c r="F64" s="38">
        <v>2</v>
      </c>
      <c r="G64" s="45">
        <v>14</v>
      </c>
      <c r="H64" s="37">
        <f>8*G64</f>
        <v>112</v>
      </c>
      <c r="I64" s="37">
        <v>0</v>
      </c>
      <c r="J64" s="38">
        <v>1</v>
      </c>
      <c r="K64" s="37">
        <v>0</v>
      </c>
      <c r="L64" s="81">
        <v>0.72727272727272729</v>
      </c>
      <c r="M64" s="82">
        <v>9.7902097902097904E-2</v>
      </c>
      <c r="N64" s="82">
        <v>6.2937062937062943E-2</v>
      </c>
      <c r="O64" s="82">
        <v>2.097902097902098E-2</v>
      </c>
      <c r="P64" s="82">
        <v>2.7972027972027972E-2</v>
      </c>
      <c r="Q64" s="83">
        <v>6.2937062937062943E-2</v>
      </c>
      <c r="R64" s="81">
        <v>0.3</v>
      </c>
      <c r="S64" s="82">
        <v>0.33333333333333331</v>
      </c>
      <c r="T64" s="82">
        <v>0.16666666666666666</v>
      </c>
      <c r="U64" s="82">
        <v>0.1</v>
      </c>
      <c r="V64" s="82">
        <v>3.3333333333333333E-2</v>
      </c>
      <c r="W64" s="83">
        <v>6.6666666666666666E-2</v>
      </c>
      <c r="X64" s="115">
        <f t="shared" si="2"/>
        <v>1.4545454545454546</v>
      </c>
      <c r="Y64" s="116">
        <f t="shared" si="3"/>
        <v>0.19580419580419581</v>
      </c>
      <c r="Z64" s="116">
        <f t="shared" si="4"/>
        <v>0.12587412587412589</v>
      </c>
      <c r="AA64" s="116">
        <f t="shared" si="5"/>
        <v>4.195804195804196E-2</v>
      </c>
      <c r="AB64" s="116">
        <f t="shared" si="6"/>
        <v>5.5944055944055944E-2</v>
      </c>
      <c r="AC64" s="117">
        <f t="shared" si="7"/>
        <v>0.12587412587412589</v>
      </c>
      <c r="AD64" s="115">
        <f t="shared" si="8"/>
        <v>0.3</v>
      </c>
      <c r="AE64" s="116">
        <f t="shared" si="9"/>
        <v>0.33333333333333331</v>
      </c>
      <c r="AF64" s="116">
        <f t="shared" si="10"/>
        <v>0.16666666666666666</v>
      </c>
      <c r="AG64" s="116">
        <f t="shared" si="11"/>
        <v>0.1</v>
      </c>
      <c r="AH64" s="116">
        <f t="shared" si="12"/>
        <v>3.3333333333333333E-2</v>
      </c>
      <c r="AI64" s="116">
        <f t="shared" si="13"/>
        <v>6.6666666666666666E-2</v>
      </c>
      <c r="AJ64" s="121">
        <f>Input!$D$22*RBs!C64+Input!$D$23*RBs!D64+Input!$D$24*RBs!X64+Input!$D$25*RBs!Y64+Input!$D$26*RBs!Z64+Input!$D$27*RBs!AA64+Input!$D$28*RBs!AB64+Input!$D$29*RBs!AC64+Input!$D$30*RBs!E64+Input!$D$31*RBs!G64+Input!$D$32*RBs!H64+Input!$D$33*RBs!AD64+Input!$D$34*RBs!AE64+Input!$D$35*RBs!AF64+Input!$D$36*RBs!AG64+Input!$D$37*RBs!AH64+Input!$D$38*RBs!AI64+Input!$D$39*RBs!I64+Input!$D$40*RBs!K64</f>
        <v>50.252447552447549</v>
      </c>
    </row>
    <row r="65" spans="1:36" x14ac:dyDescent="0.25">
      <c r="A65" s="89" t="s">
        <v>295</v>
      </c>
      <c r="B65" s="90" t="s">
        <v>174</v>
      </c>
      <c r="C65" s="45">
        <v>100</v>
      </c>
      <c r="D65" s="37">
        <f>3.5*C65</f>
        <v>350</v>
      </c>
      <c r="E65" s="37">
        <v>0</v>
      </c>
      <c r="F65" s="38">
        <v>1</v>
      </c>
      <c r="G65" s="45">
        <v>20</v>
      </c>
      <c r="H65" s="37">
        <f>8.8*G65</f>
        <v>176</v>
      </c>
      <c r="I65" s="37">
        <v>0</v>
      </c>
      <c r="J65" s="38">
        <v>1</v>
      </c>
      <c r="K65" s="37">
        <v>1</v>
      </c>
      <c r="L65" s="81">
        <v>0.72727272727272729</v>
      </c>
      <c r="M65" s="82">
        <v>9.7902097902097904E-2</v>
      </c>
      <c r="N65" s="82">
        <v>6.2937062937062943E-2</v>
      </c>
      <c r="O65" s="82">
        <v>2.097902097902098E-2</v>
      </c>
      <c r="P65" s="82">
        <v>2.7972027972027972E-2</v>
      </c>
      <c r="Q65" s="83">
        <v>6.2937062937062943E-2</v>
      </c>
      <c r="R65" s="81">
        <v>0.3</v>
      </c>
      <c r="S65" s="82">
        <v>0.33333333333333331</v>
      </c>
      <c r="T65" s="82">
        <v>0.16666666666666666</v>
      </c>
      <c r="U65" s="82">
        <v>0.1</v>
      </c>
      <c r="V65" s="82">
        <v>3.3333333333333333E-2</v>
      </c>
      <c r="W65" s="83">
        <v>6.6666666666666666E-2</v>
      </c>
      <c r="X65" s="115">
        <f t="shared" si="2"/>
        <v>0.72727272727272729</v>
      </c>
      <c r="Y65" s="116">
        <f t="shared" si="3"/>
        <v>9.7902097902097904E-2</v>
      </c>
      <c r="Z65" s="116">
        <f t="shared" si="4"/>
        <v>6.2937062937062943E-2</v>
      </c>
      <c r="AA65" s="116">
        <f t="shared" si="5"/>
        <v>2.097902097902098E-2</v>
      </c>
      <c r="AB65" s="116">
        <f t="shared" si="6"/>
        <v>2.7972027972027972E-2</v>
      </c>
      <c r="AC65" s="117">
        <f t="shared" si="7"/>
        <v>6.2937062937062943E-2</v>
      </c>
      <c r="AD65" s="115">
        <f t="shared" si="8"/>
        <v>0.3</v>
      </c>
      <c r="AE65" s="116">
        <f t="shared" si="9"/>
        <v>0.33333333333333331</v>
      </c>
      <c r="AF65" s="116">
        <f t="shared" si="10"/>
        <v>0.16666666666666666</v>
      </c>
      <c r="AG65" s="116">
        <f t="shared" si="11"/>
        <v>0.1</v>
      </c>
      <c r="AH65" s="116">
        <f t="shared" si="12"/>
        <v>3.3333333333333333E-2</v>
      </c>
      <c r="AI65" s="116">
        <f t="shared" si="13"/>
        <v>6.6666666666666666E-2</v>
      </c>
      <c r="AJ65" s="121">
        <f>Input!$D$22*RBs!C65+Input!$D$23*RBs!D65+Input!$D$24*RBs!X65+Input!$D$25*RBs!Y65+Input!$D$26*RBs!Z65+Input!$D$27*RBs!AA65+Input!$D$28*RBs!AB65+Input!$D$29*RBs!AC65+Input!$D$30*RBs!E65+Input!$D$31*RBs!G65+Input!$D$32*RBs!H65+Input!$D$33*RBs!AD65+Input!$D$34*RBs!AE65+Input!$D$35*RBs!AF65+Input!$D$36*RBs!AG65+Input!$D$37*RBs!AH65+Input!$D$38*RBs!AI65+Input!$D$39*RBs!I65+Input!$D$40*RBs!K65</f>
        <v>65.876223776223767</v>
      </c>
    </row>
    <row r="66" spans="1:36" x14ac:dyDescent="0.25">
      <c r="A66" s="89" t="s">
        <v>296</v>
      </c>
      <c r="B66" s="90" t="s">
        <v>194</v>
      </c>
      <c r="C66" s="45">
        <v>75</v>
      </c>
      <c r="D66" s="37">
        <f>3.5*C66</f>
        <v>262.5</v>
      </c>
      <c r="E66" s="37">
        <v>0</v>
      </c>
      <c r="F66" s="38">
        <v>1</v>
      </c>
      <c r="G66" s="45">
        <v>10</v>
      </c>
      <c r="H66" s="37">
        <f>8.5*G66</f>
        <v>85</v>
      </c>
      <c r="I66" s="37">
        <v>0</v>
      </c>
      <c r="J66" s="38">
        <v>0</v>
      </c>
      <c r="K66" s="37">
        <v>1</v>
      </c>
      <c r="L66" s="81">
        <v>0.72727272727272729</v>
      </c>
      <c r="M66" s="82">
        <v>9.7902097902097904E-2</v>
      </c>
      <c r="N66" s="82">
        <v>6.2937062937062943E-2</v>
      </c>
      <c r="O66" s="82">
        <v>2.097902097902098E-2</v>
      </c>
      <c r="P66" s="82">
        <v>2.7972027972027972E-2</v>
      </c>
      <c r="Q66" s="83">
        <v>6.2937062937062943E-2</v>
      </c>
      <c r="R66" s="81">
        <v>0.3</v>
      </c>
      <c r="S66" s="82">
        <v>0.33333333333333331</v>
      </c>
      <c r="T66" s="82">
        <v>0.16666666666666666</v>
      </c>
      <c r="U66" s="82">
        <v>0.1</v>
      </c>
      <c r="V66" s="82">
        <v>3.3333333333333333E-2</v>
      </c>
      <c r="W66" s="83">
        <v>6.6666666666666666E-2</v>
      </c>
      <c r="X66" s="115">
        <f t="shared" si="2"/>
        <v>0.72727272727272729</v>
      </c>
      <c r="Y66" s="116">
        <f t="shared" si="3"/>
        <v>9.7902097902097904E-2</v>
      </c>
      <c r="Z66" s="116">
        <f t="shared" si="4"/>
        <v>6.2937062937062943E-2</v>
      </c>
      <c r="AA66" s="116">
        <f t="shared" si="5"/>
        <v>2.097902097902098E-2</v>
      </c>
      <c r="AB66" s="116">
        <f t="shared" si="6"/>
        <v>2.7972027972027972E-2</v>
      </c>
      <c r="AC66" s="117">
        <f t="shared" si="7"/>
        <v>6.2937062937062943E-2</v>
      </c>
      <c r="AD66" s="115">
        <f t="shared" si="8"/>
        <v>0</v>
      </c>
      <c r="AE66" s="116">
        <f t="shared" si="9"/>
        <v>0</v>
      </c>
      <c r="AF66" s="116">
        <f t="shared" si="10"/>
        <v>0</v>
      </c>
      <c r="AG66" s="116">
        <f t="shared" si="11"/>
        <v>0</v>
      </c>
      <c r="AH66" s="116">
        <f t="shared" si="12"/>
        <v>0</v>
      </c>
      <c r="AI66" s="116">
        <f t="shared" si="13"/>
        <v>0</v>
      </c>
      <c r="AJ66" s="121">
        <f>Input!$D$22*RBs!C66+Input!$D$23*RBs!D66+Input!$D$24*RBs!X66+Input!$D$25*RBs!Y66+Input!$D$26*RBs!Z66+Input!$D$27*RBs!AA66+Input!$D$28*RBs!AB66+Input!$D$29*RBs!AC66+Input!$D$30*RBs!E66+Input!$D$31*RBs!G66+Input!$D$32*RBs!H66+Input!$D$33*RBs!AD66+Input!$D$34*RBs!AE66+Input!$D$35*RBs!AF66+Input!$D$36*RBs!AG66+Input!$D$37*RBs!AH66+Input!$D$38*RBs!AI66+Input!$D$39*RBs!I66+Input!$D$40*RBs!K66</f>
        <v>40.526223776223773</v>
      </c>
    </row>
    <row r="67" spans="1:36" x14ac:dyDescent="0.25">
      <c r="A67" s="89" t="s">
        <v>297</v>
      </c>
      <c r="B67" s="90" t="s">
        <v>136</v>
      </c>
      <c r="C67" s="45">
        <v>65</v>
      </c>
      <c r="D67" s="37">
        <f>3.8*C67</f>
        <v>247</v>
      </c>
      <c r="E67" s="37">
        <v>0</v>
      </c>
      <c r="F67" s="38">
        <v>2</v>
      </c>
      <c r="G67" s="45">
        <v>10</v>
      </c>
      <c r="H67" s="37">
        <f>8.5*G67</f>
        <v>85</v>
      </c>
      <c r="I67" s="37">
        <v>0</v>
      </c>
      <c r="J67" s="38">
        <v>0</v>
      </c>
      <c r="K67" s="37">
        <v>0</v>
      </c>
      <c r="L67" s="81">
        <v>0.72727272727272729</v>
      </c>
      <c r="M67" s="82">
        <v>9.7902097902097904E-2</v>
      </c>
      <c r="N67" s="82">
        <v>6.2937062937062943E-2</v>
      </c>
      <c r="O67" s="82">
        <v>2.097902097902098E-2</v>
      </c>
      <c r="P67" s="82">
        <v>2.7972027972027972E-2</v>
      </c>
      <c r="Q67" s="83">
        <v>6.2937062937062943E-2</v>
      </c>
      <c r="R67" s="81">
        <v>0.3</v>
      </c>
      <c r="S67" s="82">
        <v>0.33333333333333331</v>
      </c>
      <c r="T67" s="82">
        <v>0.16666666666666666</v>
      </c>
      <c r="U67" s="82">
        <v>0.1</v>
      </c>
      <c r="V67" s="82">
        <v>3.3333333333333333E-2</v>
      </c>
      <c r="W67" s="83">
        <v>6.6666666666666666E-2</v>
      </c>
      <c r="X67" s="115">
        <f t="shared" si="2"/>
        <v>1.4545454545454546</v>
      </c>
      <c r="Y67" s="116">
        <f t="shared" si="3"/>
        <v>0.19580419580419581</v>
      </c>
      <c r="Z67" s="116">
        <f t="shared" si="4"/>
        <v>0.12587412587412589</v>
      </c>
      <c r="AA67" s="116">
        <f t="shared" si="5"/>
        <v>4.195804195804196E-2</v>
      </c>
      <c r="AB67" s="116">
        <f t="shared" si="6"/>
        <v>5.5944055944055944E-2</v>
      </c>
      <c r="AC67" s="117">
        <f t="shared" si="7"/>
        <v>0.12587412587412589</v>
      </c>
      <c r="AD67" s="115">
        <f t="shared" si="8"/>
        <v>0</v>
      </c>
      <c r="AE67" s="116">
        <f t="shared" si="9"/>
        <v>0</v>
      </c>
      <c r="AF67" s="116">
        <f t="shared" si="10"/>
        <v>0</v>
      </c>
      <c r="AG67" s="116">
        <f t="shared" si="11"/>
        <v>0</v>
      </c>
      <c r="AH67" s="116">
        <f t="shared" si="12"/>
        <v>0</v>
      </c>
      <c r="AI67" s="116">
        <f t="shared" si="13"/>
        <v>0</v>
      </c>
      <c r="AJ67" s="121">
        <f>Input!$D$22*RBs!C67+Input!$D$23*RBs!D67+Input!$D$24*RBs!X67+Input!$D$25*RBs!Y67+Input!$D$26*RBs!Z67+Input!$D$27*RBs!AA67+Input!$D$28*RBs!AB67+Input!$D$29*RBs!AC67+Input!$D$30*RBs!E67+Input!$D$31*RBs!G67+Input!$D$32*RBs!H67+Input!$D$33*RBs!AD67+Input!$D$34*RBs!AE67+Input!$D$35*RBs!AF67+Input!$D$36*RBs!AG67+Input!$D$37*RBs!AH67+Input!$D$38*RBs!AI67+Input!$D$39*RBs!I67+Input!$D$40*RBs!K67</f>
        <v>46.752447552447563</v>
      </c>
    </row>
    <row r="68" spans="1:36" x14ac:dyDescent="0.25">
      <c r="A68" s="89" t="s">
        <v>298</v>
      </c>
      <c r="B68" s="90" t="s">
        <v>178</v>
      </c>
      <c r="C68" s="45">
        <v>75</v>
      </c>
      <c r="D68" s="37">
        <f>3.7*C68</f>
        <v>277.5</v>
      </c>
      <c r="E68" s="37">
        <v>0</v>
      </c>
      <c r="F68" s="38">
        <v>1</v>
      </c>
      <c r="G68" s="45">
        <v>15</v>
      </c>
      <c r="H68" s="37">
        <f>7.5*G68</f>
        <v>112.5</v>
      </c>
      <c r="I68" s="37">
        <v>0</v>
      </c>
      <c r="J68" s="38">
        <v>0</v>
      </c>
      <c r="K68" s="37">
        <v>1</v>
      </c>
      <c r="L68" s="81">
        <v>0.72727272727272729</v>
      </c>
      <c r="M68" s="82">
        <v>9.7902097902097904E-2</v>
      </c>
      <c r="N68" s="82">
        <v>6.2937062937062943E-2</v>
      </c>
      <c r="O68" s="82">
        <v>2.097902097902098E-2</v>
      </c>
      <c r="P68" s="82">
        <v>2.7972027972027972E-2</v>
      </c>
      <c r="Q68" s="83">
        <v>6.2937062937062943E-2</v>
      </c>
      <c r="R68" s="81">
        <v>0.3</v>
      </c>
      <c r="S68" s="82">
        <v>0.33333333333333331</v>
      </c>
      <c r="T68" s="82">
        <v>0.16666666666666666</v>
      </c>
      <c r="U68" s="82">
        <v>0.1</v>
      </c>
      <c r="V68" s="82">
        <v>3.3333333333333333E-2</v>
      </c>
      <c r="W68" s="83">
        <v>6.6666666666666666E-2</v>
      </c>
      <c r="X68" s="115">
        <f t="shared" ref="X68:X110" si="14">$F68*L68</f>
        <v>0.72727272727272729</v>
      </c>
      <c r="Y68" s="116">
        <f t="shared" ref="Y68:Y110" si="15">$F68*M68</f>
        <v>9.7902097902097904E-2</v>
      </c>
      <c r="Z68" s="116">
        <f t="shared" ref="Z68:Z110" si="16">$F68*N68</f>
        <v>6.2937062937062943E-2</v>
      </c>
      <c r="AA68" s="116">
        <f t="shared" ref="AA68:AA110" si="17">$F68*O68</f>
        <v>2.097902097902098E-2</v>
      </c>
      <c r="AB68" s="116">
        <f t="shared" ref="AB68:AB110" si="18">$F68*P68</f>
        <v>2.7972027972027972E-2</v>
      </c>
      <c r="AC68" s="117">
        <f t="shared" ref="AC68:AC110" si="19">$F68*Q68</f>
        <v>6.2937062937062943E-2</v>
      </c>
      <c r="AD68" s="115">
        <f t="shared" ref="AD68:AD110" si="20">R68*$J68</f>
        <v>0</v>
      </c>
      <c r="AE68" s="116">
        <f t="shared" ref="AE68:AE110" si="21">S68*$J68</f>
        <v>0</v>
      </c>
      <c r="AF68" s="116">
        <f t="shared" ref="AF68:AF110" si="22">T68*$J68</f>
        <v>0</v>
      </c>
      <c r="AG68" s="116">
        <f t="shared" ref="AG68:AG110" si="23">U68*$J68</f>
        <v>0</v>
      </c>
      <c r="AH68" s="116">
        <f t="shared" ref="AH68:AH110" si="24">V68*$J68</f>
        <v>0</v>
      </c>
      <c r="AI68" s="116">
        <f t="shared" ref="AI68:AI110" si="25">W68*$J68</f>
        <v>0</v>
      </c>
      <c r="AJ68" s="121">
        <f>Input!$D$22*RBs!C68+Input!$D$23*RBs!D68+Input!$D$24*RBs!X68+Input!$D$25*RBs!Y68+Input!$D$26*RBs!Z68+Input!$D$27*RBs!AA68+Input!$D$28*RBs!AB68+Input!$D$29*RBs!AC68+Input!$D$30*RBs!E68+Input!$D$31*RBs!G68+Input!$D$32*RBs!H68+Input!$D$33*RBs!AD68+Input!$D$34*RBs!AE68+Input!$D$35*RBs!AF68+Input!$D$36*RBs!AG68+Input!$D$37*RBs!AH68+Input!$D$38*RBs!AI68+Input!$D$39*RBs!I68+Input!$D$40*RBs!K68</f>
        <v>44.776223776223773</v>
      </c>
    </row>
    <row r="69" spans="1:36" x14ac:dyDescent="0.25">
      <c r="A69" s="89" t="s">
        <v>299</v>
      </c>
      <c r="B69" s="90" t="s">
        <v>178</v>
      </c>
      <c r="C69" s="45">
        <v>20</v>
      </c>
      <c r="D69" s="37">
        <f>4*C69</f>
        <v>80</v>
      </c>
      <c r="E69" s="37">
        <v>0</v>
      </c>
      <c r="F69" s="38">
        <v>0</v>
      </c>
      <c r="G69" s="45">
        <v>30</v>
      </c>
      <c r="H69" s="37">
        <f>8.2*G69</f>
        <v>245.99999999999997</v>
      </c>
      <c r="I69" s="37">
        <v>0</v>
      </c>
      <c r="J69" s="38">
        <v>1</v>
      </c>
      <c r="K69" s="37">
        <v>0</v>
      </c>
      <c r="L69" s="81">
        <v>0.72727272727272729</v>
      </c>
      <c r="M69" s="82">
        <v>9.7902097902097904E-2</v>
      </c>
      <c r="N69" s="82">
        <v>6.2937062937062943E-2</v>
      </c>
      <c r="O69" s="82">
        <v>2.097902097902098E-2</v>
      </c>
      <c r="P69" s="82">
        <v>2.7972027972027972E-2</v>
      </c>
      <c r="Q69" s="83">
        <v>6.2937062937062943E-2</v>
      </c>
      <c r="R69" s="81">
        <v>0.3</v>
      </c>
      <c r="S69" s="82">
        <v>0.33333333333333331</v>
      </c>
      <c r="T69" s="82">
        <v>0.16666666666666666</v>
      </c>
      <c r="U69" s="82">
        <v>0.1</v>
      </c>
      <c r="V69" s="82">
        <v>3.3333333333333333E-2</v>
      </c>
      <c r="W69" s="83">
        <v>6.6666666666666666E-2</v>
      </c>
      <c r="X69" s="115">
        <f t="shared" si="14"/>
        <v>0</v>
      </c>
      <c r="Y69" s="116">
        <f t="shared" si="15"/>
        <v>0</v>
      </c>
      <c r="Z69" s="116">
        <f t="shared" si="16"/>
        <v>0</v>
      </c>
      <c r="AA69" s="116">
        <f t="shared" si="17"/>
        <v>0</v>
      </c>
      <c r="AB69" s="116">
        <f t="shared" si="18"/>
        <v>0</v>
      </c>
      <c r="AC69" s="117">
        <f t="shared" si="19"/>
        <v>0</v>
      </c>
      <c r="AD69" s="115">
        <f t="shared" si="20"/>
        <v>0.3</v>
      </c>
      <c r="AE69" s="116">
        <f t="shared" si="21"/>
        <v>0.33333333333333331</v>
      </c>
      <c r="AF69" s="116">
        <f t="shared" si="22"/>
        <v>0.16666666666666666</v>
      </c>
      <c r="AG69" s="116">
        <f t="shared" si="23"/>
        <v>0.1</v>
      </c>
      <c r="AH69" s="116">
        <f t="shared" si="24"/>
        <v>3.3333333333333333E-2</v>
      </c>
      <c r="AI69" s="116">
        <f t="shared" si="25"/>
        <v>6.6666666666666666E-2</v>
      </c>
      <c r="AJ69" s="121">
        <f>Input!$D$22*RBs!C69+Input!$D$23*RBs!D69+Input!$D$24*RBs!X69+Input!$D$25*RBs!Y69+Input!$D$26*RBs!Z69+Input!$D$27*RBs!AA69+Input!$D$28*RBs!AB69+Input!$D$29*RBs!AC69+Input!$D$30*RBs!E69+Input!$D$31*RBs!G69+Input!$D$32*RBs!H69+Input!$D$33*RBs!AD69+Input!$D$34*RBs!AE69+Input!$D$35*RBs!AF69+Input!$D$36*RBs!AG69+Input!$D$37*RBs!AH69+Input!$D$38*RBs!AI69+Input!$D$39*RBs!I69+Input!$D$40*RBs!K69</f>
        <v>40.099999999999994</v>
      </c>
    </row>
    <row r="70" spans="1:36" x14ac:dyDescent="0.25">
      <c r="A70" s="89" t="s">
        <v>300</v>
      </c>
      <c r="B70" s="90" t="s">
        <v>160</v>
      </c>
      <c r="C70" s="45">
        <v>60</v>
      </c>
      <c r="D70" s="37">
        <f>3.7*C70</f>
        <v>222</v>
      </c>
      <c r="E70" s="37">
        <v>0</v>
      </c>
      <c r="F70" s="38">
        <v>1</v>
      </c>
      <c r="G70" s="45">
        <v>3</v>
      </c>
      <c r="H70" s="37">
        <f>9*G70</f>
        <v>27</v>
      </c>
      <c r="I70" s="37">
        <v>0</v>
      </c>
      <c r="J70" s="38">
        <v>0</v>
      </c>
      <c r="K70" s="37">
        <v>0</v>
      </c>
      <c r="L70" s="81">
        <v>0.72727272727272729</v>
      </c>
      <c r="M70" s="82">
        <v>9.7902097902097904E-2</v>
      </c>
      <c r="N70" s="82">
        <v>6.2937062937062943E-2</v>
      </c>
      <c r="O70" s="82">
        <v>2.097902097902098E-2</v>
      </c>
      <c r="P70" s="82">
        <v>2.7972027972027972E-2</v>
      </c>
      <c r="Q70" s="83">
        <v>6.2937062937062943E-2</v>
      </c>
      <c r="R70" s="81">
        <v>0.3</v>
      </c>
      <c r="S70" s="82">
        <v>0.33333333333333331</v>
      </c>
      <c r="T70" s="82">
        <v>0.16666666666666666</v>
      </c>
      <c r="U70" s="82">
        <v>0.1</v>
      </c>
      <c r="V70" s="82">
        <v>3.3333333333333333E-2</v>
      </c>
      <c r="W70" s="83">
        <v>6.6666666666666666E-2</v>
      </c>
      <c r="X70" s="115">
        <f t="shared" si="14"/>
        <v>0.72727272727272729</v>
      </c>
      <c r="Y70" s="116">
        <f t="shared" si="15"/>
        <v>9.7902097902097904E-2</v>
      </c>
      <c r="Z70" s="116">
        <f t="shared" si="16"/>
        <v>6.2937062937062943E-2</v>
      </c>
      <c r="AA70" s="116">
        <f t="shared" si="17"/>
        <v>2.097902097902098E-2</v>
      </c>
      <c r="AB70" s="116">
        <f t="shared" si="18"/>
        <v>2.7972027972027972E-2</v>
      </c>
      <c r="AC70" s="117">
        <f t="shared" si="19"/>
        <v>6.2937062937062943E-2</v>
      </c>
      <c r="AD70" s="115">
        <f t="shared" si="20"/>
        <v>0</v>
      </c>
      <c r="AE70" s="116">
        <f t="shared" si="21"/>
        <v>0</v>
      </c>
      <c r="AF70" s="116">
        <f t="shared" si="22"/>
        <v>0</v>
      </c>
      <c r="AG70" s="116">
        <f t="shared" si="23"/>
        <v>0</v>
      </c>
      <c r="AH70" s="116">
        <f t="shared" si="24"/>
        <v>0</v>
      </c>
      <c r="AI70" s="116">
        <f t="shared" si="25"/>
        <v>0</v>
      </c>
      <c r="AJ70" s="121">
        <f>Input!$D$22*RBs!C70+Input!$D$23*RBs!D70+Input!$D$24*RBs!X70+Input!$D$25*RBs!Y70+Input!$D$26*RBs!Z70+Input!$D$27*RBs!AA70+Input!$D$28*RBs!AB70+Input!$D$29*RBs!AC70+Input!$D$30*RBs!E70+Input!$D$31*RBs!G70+Input!$D$32*RBs!H70+Input!$D$33*RBs!AD70+Input!$D$34*RBs!AE70+Input!$D$35*RBs!AF70+Input!$D$36*RBs!AG70+Input!$D$37*RBs!AH70+Input!$D$38*RBs!AI70+Input!$D$39*RBs!I70+Input!$D$40*RBs!K70</f>
        <v>31.676223776223782</v>
      </c>
    </row>
    <row r="71" spans="1:36" x14ac:dyDescent="0.25">
      <c r="A71" s="89" t="s">
        <v>301</v>
      </c>
      <c r="B71" s="90" t="s">
        <v>156</v>
      </c>
      <c r="C71" s="45">
        <v>30</v>
      </c>
      <c r="D71" s="37">
        <f>3*C71</f>
        <v>90</v>
      </c>
      <c r="E71" s="37">
        <v>0</v>
      </c>
      <c r="F71" s="38">
        <v>2</v>
      </c>
      <c r="G71" s="45">
        <v>20</v>
      </c>
      <c r="H71" s="37">
        <f>7.5*G71</f>
        <v>150</v>
      </c>
      <c r="I71" s="37">
        <v>0</v>
      </c>
      <c r="J71" s="38">
        <v>1</v>
      </c>
      <c r="K71" s="37">
        <v>0</v>
      </c>
      <c r="L71" s="81">
        <v>0.72727272727272729</v>
      </c>
      <c r="M71" s="82">
        <v>9.7902097902097904E-2</v>
      </c>
      <c r="N71" s="82">
        <v>6.2937062937062943E-2</v>
      </c>
      <c r="O71" s="82">
        <v>2.097902097902098E-2</v>
      </c>
      <c r="P71" s="82">
        <v>2.7972027972027972E-2</v>
      </c>
      <c r="Q71" s="83">
        <v>6.2937062937062943E-2</v>
      </c>
      <c r="R71" s="81">
        <v>0.3</v>
      </c>
      <c r="S71" s="82">
        <v>0.33333333333333331</v>
      </c>
      <c r="T71" s="82">
        <v>0.16666666666666666</v>
      </c>
      <c r="U71" s="82">
        <v>0.1</v>
      </c>
      <c r="V71" s="82">
        <v>3.3333333333333333E-2</v>
      </c>
      <c r="W71" s="83">
        <v>6.6666666666666666E-2</v>
      </c>
      <c r="X71" s="115">
        <f t="shared" si="14"/>
        <v>1.4545454545454546</v>
      </c>
      <c r="Y71" s="116">
        <f t="shared" si="15"/>
        <v>0.19580419580419581</v>
      </c>
      <c r="Z71" s="116">
        <f t="shared" si="16"/>
        <v>0.12587412587412589</v>
      </c>
      <c r="AA71" s="116">
        <f t="shared" si="17"/>
        <v>4.195804195804196E-2</v>
      </c>
      <c r="AB71" s="116">
        <f t="shared" si="18"/>
        <v>5.5944055944055944E-2</v>
      </c>
      <c r="AC71" s="117">
        <f t="shared" si="19"/>
        <v>0.12587412587412589</v>
      </c>
      <c r="AD71" s="115">
        <f t="shared" si="20"/>
        <v>0.3</v>
      </c>
      <c r="AE71" s="116">
        <f t="shared" si="21"/>
        <v>0.33333333333333331</v>
      </c>
      <c r="AF71" s="116">
        <f t="shared" si="22"/>
        <v>0.16666666666666666</v>
      </c>
      <c r="AG71" s="116">
        <f t="shared" si="23"/>
        <v>0.1</v>
      </c>
      <c r="AH71" s="116">
        <f t="shared" si="24"/>
        <v>3.3333333333333333E-2</v>
      </c>
      <c r="AI71" s="116">
        <f t="shared" si="25"/>
        <v>6.6666666666666666E-2</v>
      </c>
      <c r="AJ71" s="121">
        <f>Input!$D$22*RBs!C71+Input!$D$23*RBs!D71+Input!$D$24*RBs!X71+Input!$D$25*RBs!Y71+Input!$D$26*RBs!Z71+Input!$D$27*RBs!AA71+Input!$D$28*RBs!AB71+Input!$D$29*RBs!AC71+Input!$D$30*RBs!E71+Input!$D$31*RBs!G71+Input!$D$32*RBs!H71+Input!$D$33*RBs!AD71+Input!$D$34*RBs!AE71+Input!$D$35*RBs!AF71+Input!$D$36*RBs!AG71+Input!$D$37*RBs!AH71+Input!$D$38*RBs!AI71+Input!$D$39*RBs!I71+Input!$D$40*RBs!K71</f>
        <v>45.052447552447546</v>
      </c>
    </row>
    <row r="72" spans="1:36" x14ac:dyDescent="0.25">
      <c r="A72" s="89" t="s">
        <v>302</v>
      </c>
      <c r="B72" s="90" t="s">
        <v>188</v>
      </c>
      <c r="C72" s="45">
        <v>55</v>
      </c>
      <c r="D72" s="37">
        <f>3.8*C72</f>
        <v>209</v>
      </c>
      <c r="E72" s="37">
        <v>0</v>
      </c>
      <c r="F72" s="38">
        <v>1</v>
      </c>
      <c r="G72" s="45">
        <v>10</v>
      </c>
      <c r="H72" s="37">
        <f>8*G72</f>
        <v>80</v>
      </c>
      <c r="I72" s="37">
        <v>0</v>
      </c>
      <c r="J72" s="38">
        <v>1</v>
      </c>
      <c r="K72" s="37">
        <v>0</v>
      </c>
      <c r="L72" s="81">
        <v>0.72727272727272729</v>
      </c>
      <c r="M72" s="82">
        <v>9.7902097902097904E-2</v>
      </c>
      <c r="N72" s="82">
        <v>6.2937062937062943E-2</v>
      </c>
      <c r="O72" s="82">
        <v>2.097902097902098E-2</v>
      </c>
      <c r="P72" s="82">
        <v>2.7972027972027972E-2</v>
      </c>
      <c r="Q72" s="83">
        <v>6.2937062937062943E-2</v>
      </c>
      <c r="R72" s="81">
        <v>0.3</v>
      </c>
      <c r="S72" s="82">
        <v>0.33333333333333331</v>
      </c>
      <c r="T72" s="82">
        <v>0.16666666666666666</v>
      </c>
      <c r="U72" s="82">
        <v>0.1</v>
      </c>
      <c r="V72" s="82">
        <v>3.3333333333333333E-2</v>
      </c>
      <c r="W72" s="83">
        <v>6.6666666666666666E-2</v>
      </c>
      <c r="X72" s="115">
        <f t="shared" si="14"/>
        <v>0.72727272727272729</v>
      </c>
      <c r="Y72" s="116">
        <f t="shared" si="15"/>
        <v>9.7902097902097904E-2</v>
      </c>
      <c r="Z72" s="116">
        <f t="shared" si="16"/>
        <v>6.2937062937062943E-2</v>
      </c>
      <c r="AA72" s="116">
        <f t="shared" si="17"/>
        <v>2.097902097902098E-2</v>
      </c>
      <c r="AB72" s="116">
        <f t="shared" si="18"/>
        <v>2.7972027972027972E-2</v>
      </c>
      <c r="AC72" s="117">
        <f t="shared" si="19"/>
        <v>6.2937062937062943E-2</v>
      </c>
      <c r="AD72" s="115">
        <f t="shared" si="20"/>
        <v>0.3</v>
      </c>
      <c r="AE72" s="116">
        <f t="shared" si="21"/>
        <v>0.33333333333333331</v>
      </c>
      <c r="AF72" s="116">
        <f t="shared" si="22"/>
        <v>0.16666666666666666</v>
      </c>
      <c r="AG72" s="116">
        <f t="shared" si="23"/>
        <v>0.1</v>
      </c>
      <c r="AH72" s="116">
        <f t="shared" si="24"/>
        <v>3.3333333333333333E-2</v>
      </c>
      <c r="AI72" s="116">
        <f t="shared" si="25"/>
        <v>6.6666666666666666E-2</v>
      </c>
      <c r="AJ72" s="121">
        <f>Input!$D$22*RBs!C72+Input!$D$23*RBs!D72+Input!$D$24*RBs!X72+Input!$D$25*RBs!Y72+Input!$D$26*RBs!Z72+Input!$D$27*RBs!AA72+Input!$D$28*RBs!AB72+Input!$D$29*RBs!AC72+Input!$D$30*RBs!E72+Input!$D$31*RBs!G72+Input!$D$32*RBs!H72+Input!$D$33*RBs!AD72+Input!$D$34*RBs!AE72+Input!$D$35*RBs!AF72+Input!$D$36*RBs!AG72+Input!$D$37*RBs!AH72+Input!$D$38*RBs!AI72+Input!$D$39*RBs!I72+Input!$D$40*RBs!K72</f>
        <v>43.176223776223779</v>
      </c>
    </row>
    <row r="73" spans="1:36" x14ac:dyDescent="0.25">
      <c r="A73" s="89" t="s">
        <v>303</v>
      </c>
      <c r="B73" s="90" t="s">
        <v>192</v>
      </c>
      <c r="C73" s="45">
        <v>90</v>
      </c>
      <c r="D73" s="37">
        <f>3.8*C73</f>
        <v>342</v>
      </c>
      <c r="E73" s="37">
        <v>0</v>
      </c>
      <c r="F73" s="38">
        <v>1</v>
      </c>
      <c r="G73" s="45">
        <v>15</v>
      </c>
      <c r="H73" s="37">
        <f>8*G73</f>
        <v>120</v>
      </c>
      <c r="I73" s="37">
        <v>0</v>
      </c>
      <c r="J73" s="38">
        <v>0</v>
      </c>
      <c r="K73" s="37">
        <v>0</v>
      </c>
      <c r="L73" s="81">
        <v>0.72727272727272729</v>
      </c>
      <c r="M73" s="82">
        <v>9.7902097902097904E-2</v>
      </c>
      <c r="N73" s="82">
        <v>6.2937062937062943E-2</v>
      </c>
      <c r="O73" s="82">
        <v>2.097902097902098E-2</v>
      </c>
      <c r="P73" s="82">
        <v>2.7972027972027972E-2</v>
      </c>
      <c r="Q73" s="83">
        <v>6.2937062937062943E-2</v>
      </c>
      <c r="R73" s="81">
        <v>0.3</v>
      </c>
      <c r="S73" s="82">
        <v>0.33333333333333331</v>
      </c>
      <c r="T73" s="82">
        <v>0.16666666666666666</v>
      </c>
      <c r="U73" s="82">
        <v>0.1</v>
      </c>
      <c r="V73" s="82">
        <v>3.3333333333333333E-2</v>
      </c>
      <c r="W73" s="83">
        <v>6.6666666666666666E-2</v>
      </c>
      <c r="X73" s="115">
        <f t="shared" si="14"/>
        <v>0.72727272727272729</v>
      </c>
      <c r="Y73" s="116">
        <f t="shared" si="15"/>
        <v>9.7902097902097904E-2</v>
      </c>
      <c r="Z73" s="116">
        <f t="shared" si="16"/>
        <v>6.2937062937062943E-2</v>
      </c>
      <c r="AA73" s="116">
        <f t="shared" si="17"/>
        <v>2.097902097902098E-2</v>
      </c>
      <c r="AB73" s="116">
        <f t="shared" si="18"/>
        <v>2.7972027972027972E-2</v>
      </c>
      <c r="AC73" s="117">
        <f t="shared" si="19"/>
        <v>6.2937062937062943E-2</v>
      </c>
      <c r="AD73" s="115">
        <f t="shared" si="20"/>
        <v>0</v>
      </c>
      <c r="AE73" s="116">
        <f t="shared" si="21"/>
        <v>0</v>
      </c>
      <c r="AF73" s="116">
        <f t="shared" si="22"/>
        <v>0</v>
      </c>
      <c r="AG73" s="116">
        <f t="shared" si="23"/>
        <v>0</v>
      </c>
      <c r="AH73" s="116">
        <f t="shared" si="24"/>
        <v>0</v>
      </c>
      <c r="AI73" s="116">
        <f t="shared" si="25"/>
        <v>0</v>
      </c>
      <c r="AJ73" s="121">
        <f>Input!$D$22*RBs!C73+Input!$D$23*RBs!D73+Input!$D$24*RBs!X73+Input!$D$25*RBs!Y73+Input!$D$26*RBs!Z73+Input!$D$27*RBs!AA73+Input!$D$28*RBs!AB73+Input!$D$29*RBs!AC73+Input!$D$30*RBs!E73+Input!$D$31*RBs!G73+Input!$D$32*RBs!H73+Input!$D$33*RBs!AD73+Input!$D$34*RBs!AE73+Input!$D$35*RBs!AF73+Input!$D$36*RBs!AG73+Input!$D$37*RBs!AH73+Input!$D$38*RBs!AI73+Input!$D$39*RBs!I73+Input!$D$40*RBs!K73</f>
        <v>52.976223776223776</v>
      </c>
    </row>
    <row r="74" spans="1:36" x14ac:dyDescent="0.25">
      <c r="A74" s="89" t="s">
        <v>304</v>
      </c>
      <c r="B74" s="90" t="s">
        <v>148</v>
      </c>
      <c r="C74" s="45">
        <v>60</v>
      </c>
      <c r="D74" s="37">
        <f>4.7*C74</f>
        <v>282</v>
      </c>
      <c r="E74" s="37">
        <v>0</v>
      </c>
      <c r="F74" s="38">
        <v>1</v>
      </c>
      <c r="G74" s="45">
        <v>10</v>
      </c>
      <c r="H74" s="37">
        <f>6.5*G74</f>
        <v>65</v>
      </c>
      <c r="I74" s="37">
        <v>0</v>
      </c>
      <c r="J74" s="38">
        <v>0</v>
      </c>
      <c r="K74" s="37">
        <v>0</v>
      </c>
      <c r="L74" s="81">
        <v>0.72727272727272729</v>
      </c>
      <c r="M74" s="82">
        <v>9.7902097902097904E-2</v>
      </c>
      <c r="N74" s="82">
        <v>6.2937062937062943E-2</v>
      </c>
      <c r="O74" s="82">
        <v>2.097902097902098E-2</v>
      </c>
      <c r="P74" s="82">
        <v>2.7972027972027972E-2</v>
      </c>
      <c r="Q74" s="83">
        <v>6.2937062937062943E-2</v>
      </c>
      <c r="R74" s="81">
        <v>0.3</v>
      </c>
      <c r="S74" s="82">
        <v>0.33333333333333331</v>
      </c>
      <c r="T74" s="82">
        <v>0.16666666666666666</v>
      </c>
      <c r="U74" s="82">
        <v>0.1</v>
      </c>
      <c r="V74" s="82">
        <v>3.3333333333333333E-2</v>
      </c>
      <c r="W74" s="83">
        <v>6.6666666666666666E-2</v>
      </c>
      <c r="X74" s="115">
        <f t="shared" si="14"/>
        <v>0.72727272727272729</v>
      </c>
      <c r="Y74" s="116">
        <f t="shared" si="15"/>
        <v>9.7902097902097904E-2</v>
      </c>
      <c r="Z74" s="116">
        <f t="shared" si="16"/>
        <v>6.2937062937062943E-2</v>
      </c>
      <c r="AA74" s="116">
        <f t="shared" si="17"/>
        <v>2.097902097902098E-2</v>
      </c>
      <c r="AB74" s="116">
        <f t="shared" si="18"/>
        <v>2.7972027972027972E-2</v>
      </c>
      <c r="AC74" s="117">
        <f t="shared" si="19"/>
        <v>6.2937062937062943E-2</v>
      </c>
      <c r="AD74" s="115">
        <f t="shared" si="20"/>
        <v>0</v>
      </c>
      <c r="AE74" s="116">
        <f t="shared" si="21"/>
        <v>0</v>
      </c>
      <c r="AF74" s="116">
        <f t="shared" si="22"/>
        <v>0</v>
      </c>
      <c r="AG74" s="116">
        <f t="shared" si="23"/>
        <v>0</v>
      </c>
      <c r="AH74" s="116">
        <f t="shared" si="24"/>
        <v>0</v>
      </c>
      <c r="AI74" s="116">
        <f t="shared" si="25"/>
        <v>0</v>
      </c>
      <c r="AJ74" s="121">
        <f>Input!$D$22*RBs!C74+Input!$D$23*RBs!D74+Input!$D$24*RBs!X74+Input!$D$25*RBs!Y74+Input!$D$26*RBs!Z74+Input!$D$27*RBs!AA74+Input!$D$28*RBs!AB74+Input!$D$29*RBs!AC74+Input!$D$30*RBs!E74+Input!$D$31*RBs!G74+Input!$D$32*RBs!H74+Input!$D$33*RBs!AD74+Input!$D$34*RBs!AE74+Input!$D$35*RBs!AF74+Input!$D$36*RBs!AG74+Input!$D$37*RBs!AH74+Input!$D$38*RBs!AI74+Input!$D$39*RBs!I74+Input!$D$40*RBs!K74</f>
        <v>41.476223776223776</v>
      </c>
    </row>
    <row r="75" spans="1:36" x14ac:dyDescent="0.25">
      <c r="A75" s="89" t="s">
        <v>305</v>
      </c>
      <c r="B75" s="90" t="s">
        <v>180</v>
      </c>
      <c r="C75" s="45">
        <v>50</v>
      </c>
      <c r="D75" s="37">
        <f>3.4*C75</f>
        <v>170</v>
      </c>
      <c r="E75" s="37">
        <v>0</v>
      </c>
      <c r="F75" s="38">
        <v>3</v>
      </c>
      <c r="G75" s="45">
        <v>4</v>
      </c>
      <c r="H75" s="37">
        <f>7.8*G75</f>
        <v>31.2</v>
      </c>
      <c r="I75" s="37">
        <v>0</v>
      </c>
      <c r="J75" s="38">
        <v>0</v>
      </c>
      <c r="K75" s="37">
        <v>0</v>
      </c>
      <c r="L75" s="81">
        <v>0.72727272727272729</v>
      </c>
      <c r="M75" s="82">
        <v>9.7902097902097904E-2</v>
      </c>
      <c r="N75" s="82">
        <v>6.2937062937062943E-2</v>
      </c>
      <c r="O75" s="82">
        <v>2.097902097902098E-2</v>
      </c>
      <c r="P75" s="82">
        <v>2.7972027972027972E-2</v>
      </c>
      <c r="Q75" s="83">
        <v>6.2937062937062943E-2</v>
      </c>
      <c r="R75" s="81">
        <v>0.3</v>
      </c>
      <c r="S75" s="82">
        <v>0.33333333333333331</v>
      </c>
      <c r="T75" s="82">
        <v>0.16666666666666666</v>
      </c>
      <c r="U75" s="82">
        <v>0.1</v>
      </c>
      <c r="V75" s="82">
        <v>3.3333333333333333E-2</v>
      </c>
      <c r="W75" s="83">
        <v>6.6666666666666666E-2</v>
      </c>
      <c r="X75" s="115">
        <f t="shared" si="14"/>
        <v>2.1818181818181817</v>
      </c>
      <c r="Y75" s="116">
        <f t="shared" si="15"/>
        <v>0.2937062937062937</v>
      </c>
      <c r="Z75" s="116">
        <f t="shared" si="16"/>
        <v>0.18881118881118883</v>
      </c>
      <c r="AA75" s="116">
        <f t="shared" si="17"/>
        <v>6.2937062937062943E-2</v>
      </c>
      <c r="AB75" s="116">
        <f t="shared" si="18"/>
        <v>8.3916083916083919E-2</v>
      </c>
      <c r="AC75" s="117">
        <f t="shared" si="19"/>
        <v>0.18881118881118883</v>
      </c>
      <c r="AD75" s="115">
        <f t="shared" si="20"/>
        <v>0</v>
      </c>
      <c r="AE75" s="116">
        <f t="shared" si="21"/>
        <v>0</v>
      </c>
      <c r="AF75" s="116">
        <f t="shared" si="22"/>
        <v>0</v>
      </c>
      <c r="AG75" s="116">
        <f t="shared" si="23"/>
        <v>0</v>
      </c>
      <c r="AH75" s="116">
        <f t="shared" si="24"/>
        <v>0</v>
      </c>
      <c r="AI75" s="116">
        <f t="shared" si="25"/>
        <v>0</v>
      </c>
      <c r="AJ75" s="121">
        <f>Input!$D$22*RBs!C75+Input!$D$23*RBs!D75+Input!$D$24*RBs!X75+Input!$D$25*RBs!Y75+Input!$D$26*RBs!Z75+Input!$D$27*RBs!AA75+Input!$D$28*RBs!AB75+Input!$D$29*RBs!AC75+Input!$D$30*RBs!E75+Input!$D$31*RBs!G75+Input!$D$32*RBs!H75+Input!$D$33*RBs!AD75+Input!$D$34*RBs!AE75+Input!$D$35*RBs!AF75+Input!$D$36*RBs!AG75+Input!$D$37*RBs!AH75+Input!$D$38*RBs!AI75+Input!$D$39*RBs!I75+Input!$D$40*RBs!K75</f>
        <v>40.448671328671331</v>
      </c>
    </row>
    <row r="76" spans="1:36" x14ac:dyDescent="0.25">
      <c r="A76" s="89" t="s">
        <v>306</v>
      </c>
      <c r="B76" s="90" t="s">
        <v>184</v>
      </c>
      <c r="C76" s="45">
        <v>35</v>
      </c>
      <c r="D76" s="37">
        <f>3.3*C76</f>
        <v>115.5</v>
      </c>
      <c r="E76" s="37">
        <v>0</v>
      </c>
      <c r="F76" s="38">
        <v>1</v>
      </c>
      <c r="G76" s="45">
        <v>20</v>
      </c>
      <c r="H76" s="37">
        <f>7.2*G76</f>
        <v>144</v>
      </c>
      <c r="I76" s="37">
        <v>0</v>
      </c>
      <c r="J76" s="38">
        <v>1</v>
      </c>
      <c r="K76" s="37">
        <v>0</v>
      </c>
      <c r="L76" s="81">
        <v>0.72727272727272729</v>
      </c>
      <c r="M76" s="82">
        <v>9.7902097902097904E-2</v>
      </c>
      <c r="N76" s="82">
        <v>6.2937062937062943E-2</v>
      </c>
      <c r="O76" s="82">
        <v>2.097902097902098E-2</v>
      </c>
      <c r="P76" s="82">
        <v>2.7972027972027972E-2</v>
      </c>
      <c r="Q76" s="83">
        <v>6.2937062937062943E-2</v>
      </c>
      <c r="R76" s="81">
        <v>0.3</v>
      </c>
      <c r="S76" s="82">
        <v>0.33333333333333331</v>
      </c>
      <c r="T76" s="82">
        <v>0.16666666666666666</v>
      </c>
      <c r="U76" s="82">
        <v>0.1</v>
      </c>
      <c r="V76" s="82">
        <v>3.3333333333333333E-2</v>
      </c>
      <c r="W76" s="83">
        <v>6.6666666666666666E-2</v>
      </c>
      <c r="X76" s="115">
        <f t="shared" si="14"/>
        <v>0.72727272727272729</v>
      </c>
      <c r="Y76" s="116">
        <f t="shared" si="15"/>
        <v>9.7902097902097904E-2</v>
      </c>
      <c r="Z76" s="116">
        <f t="shared" si="16"/>
        <v>6.2937062937062943E-2</v>
      </c>
      <c r="AA76" s="116">
        <f t="shared" si="17"/>
        <v>2.097902097902098E-2</v>
      </c>
      <c r="AB76" s="116">
        <f t="shared" si="18"/>
        <v>2.7972027972027972E-2</v>
      </c>
      <c r="AC76" s="117">
        <f t="shared" si="19"/>
        <v>6.2937062937062943E-2</v>
      </c>
      <c r="AD76" s="115">
        <f t="shared" si="20"/>
        <v>0.3</v>
      </c>
      <c r="AE76" s="116">
        <f t="shared" si="21"/>
        <v>0.33333333333333331</v>
      </c>
      <c r="AF76" s="116">
        <f t="shared" si="22"/>
        <v>0.16666666666666666</v>
      </c>
      <c r="AG76" s="116">
        <f t="shared" si="23"/>
        <v>0.1</v>
      </c>
      <c r="AH76" s="116">
        <f t="shared" si="24"/>
        <v>3.3333333333333333E-2</v>
      </c>
      <c r="AI76" s="116">
        <f t="shared" si="25"/>
        <v>6.6666666666666666E-2</v>
      </c>
      <c r="AJ76" s="121">
        <f>Input!$D$22*RBs!C76+Input!$D$23*RBs!D76+Input!$D$24*RBs!X76+Input!$D$25*RBs!Y76+Input!$D$26*RBs!Z76+Input!$D$27*RBs!AA76+Input!$D$28*RBs!AB76+Input!$D$29*RBs!AC76+Input!$D$30*RBs!E76+Input!$D$31*RBs!G76+Input!$D$32*RBs!H76+Input!$D$33*RBs!AD76+Input!$D$34*RBs!AE76+Input!$D$35*RBs!AF76+Input!$D$36*RBs!AG76+Input!$D$37*RBs!AH76+Input!$D$38*RBs!AI76+Input!$D$39*RBs!I76+Input!$D$40*RBs!K76</f>
        <v>40.226223776223783</v>
      </c>
    </row>
    <row r="77" spans="1:36" x14ac:dyDescent="0.25">
      <c r="A77" s="89" t="s">
        <v>307</v>
      </c>
      <c r="B77" s="90" t="s">
        <v>140</v>
      </c>
      <c r="C77" s="45">
        <v>15</v>
      </c>
      <c r="D77" s="37">
        <f>3.7*C77</f>
        <v>55.5</v>
      </c>
      <c r="E77" s="37">
        <v>0</v>
      </c>
      <c r="F77" s="38">
        <v>1</v>
      </c>
      <c r="G77" s="45">
        <v>30</v>
      </c>
      <c r="H77" s="37">
        <f>6.8*G77</f>
        <v>204</v>
      </c>
      <c r="I77" s="37">
        <v>0</v>
      </c>
      <c r="J77" s="38">
        <v>1</v>
      </c>
      <c r="K77" s="37">
        <v>0</v>
      </c>
      <c r="L77" s="81">
        <v>0.72727272727272729</v>
      </c>
      <c r="M77" s="82">
        <v>9.7902097902097904E-2</v>
      </c>
      <c r="N77" s="82">
        <v>6.2937062937062943E-2</v>
      </c>
      <c r="O77" s="82">
        <v>2.097902097902098E-2</v>
      </c>
      <c r="P77" s="82">
        <v>2.7972027972027972E-2</v>
      </c>
      <c r="Q77" s="83">
        <v>6.2937062937062943E-2</v>
      </c>
      <c r="R77" s="81">
        <v>0.3</v>
      </c>
      <c r="S77" s="82">
        <v>0.33333333333333331</v>
      </c>
      <c r="T77" s="82">
        <v>0.16666666666666666</v>
      </c>
      <c r="U77" s="82">
        <v>0.1</v>
      </c>
      <c r="V77" s="82">
        <v>3.3333333333333333E-2</v>
      </c>
      <c r="W77" s="83">
        <v>6.6666666666666666E-2</v>
      </c>
      <c r="X77" s="115">
        <f t="shared" si="14"/>
        <v>0.72727272727272729</v>
      </c>
      <c r="Y77" s="116">
        <f t="shared" si="15"/>
        <v>9.7902097902097904E-2</v>
      </c>
      <c r="Z77" s="116">
        <f t="shared" si="16"/>
        <v>6.2937062937062943E-2</v>
      </c>
      <c r="AA77" s="116">
        <f t="shared" si="17"/>
        <v>2.097902097902098E-2</v>
      </c>
      <c r="AB77" s="116">
        <f t="shared" si="18"/>
        <v>2.7972027972027972E-2</v>
      </c>
      <c r="AC77" s="117">
        <f t="shared" si="19"/>
        <v>6.2937062937062943E-2</v>
      </c>
      <c r="AD77" s="115">
        <f t="shared" si="20"/>
        <v>0.3</v>
      </c>
      <c r="AE77" s="116">
        <f t="shared" si="21"/>
        <v>0.33333333333333331</v>
      </c>
      <c r="AF77" s="116">
        <f t="shared" si="22"/>
        <v>0.16666666666666666</v>
      </c>
      <c r="AG77" s="116">
        <f t="shared" si="23"/>
        <v>0.1</v>
      </c>
      <c r="AH77" s="116">
        <f t="shared" si="24"/>
        <v>3.3333333333333333E-2</v>
      </c>
      <c r="AI77" s="116">
        <f t="shared" si="25"/>
        <v>6.6666666666666666E-2</v>
      </c>
      <c r="AJ77" s="121">
        <f>Input!$D$22*RBs!C77+Input!$D$23*RBs!D77+Input!$D$24*RBs!X77+Input!$D$25*RBs!Y77+Input!$D$26*RBs!Z77+Input!$D$27*RBs!AA77+Input!$D$28*RBs!AB77+Input!$D$29*RBs!AC77+Input!$D$30*RBs!E77+Input!$D$31*RBs!G77+Input!$D$32*RBs!H77+Input!$D$33*RBs!AD77+Input!$D$34*RBs!AE77+Input!$D$35*RBs!AF77+Input!$D$36*RBs!AG77+Input!$D$37*RBs!AH77+Input!$D$38*RBs!AI77+Input!$D$39*RBs!I77+Input!$D$40*RBs!K77</f>
        <v>40.226223776223776</v>
      </c>
    </row>
    <row r="78" spans="1:36" x14ac:dyDescent="0.25">
      <c r="A78" s="89" t="s">
        <v>308</v>
      </c>
      <c r="B78" s="90" t="s">
        <v>146</v>
      </c>
      <c r="C78" s="45">
        <v>6</v>
      </c>
      <c r="D78" s="37">
        <f>2.6*C78</f>
        <v>15.600000000000001</v>
      </c>
      <c r="E78" s="37">
        <v>0</v>
      </c>
      <c r="F78" s="38">
        <v>0</v>
      </c>
      <c r="G78" s="45">
        <v>35</v>
      </c>
      <c r="H78" s="37">
        <f>8.6*G78</f>
        <v>301</v>
      </c>
      <c r="I78" s="37">
        <v>0</v>
      </c>
      <c r="J78" s="38">
        <v>1</v>
      </c>
      <c r="K78" s="37">
        <v>0</v>
      </c>
      <c r="L78" s="81">
        <v>0.72727272727272729</v>
      </c>
      <c r="M78" s="82">
        <v>9.7902097902097904E-2</v>
      </c>
      <c r="N78" s="82">
        <v>6.2937062937062943E-2</v>
      </c>
      <c r="O78" s="82">
        <v>2.097902097902098E-2</v>
      </c>
      <c r="P78" s="82">
        <v>2.7972027972027972E-2</v>
      </c>
      <c r="Q78" s="83">
        <v>6.2937062937062943E-2</v>
      </c>
      <c r="R78" s="81">
        <v>0.3</v>
      </c>
      <c r="S78" s="82">
        <v>0.33333333333333331</v>
      </c>
      <c r="T78" s="82">
        <v>0.16666666666666666</v>
      </c>
      <c r="U78" s="82">
        <v>0.1</v>
      </c>
      <c r="V78" s="82">
        <v>3.3333333333333333E-2</v>
      </c>
      <c r="W78" s="83">
        <v>6.6666666666666666E-2</v>
      </c>
      <c r="X78" s="115">
        <f t="shared" si="14"/>
        <v>0</v>
      </c>
      <c r="Y78" s="116">
        <f t="shared" si="15"/>
        <v>0</v>
      </c>
      <c r="Z78" s="116">
        <f t="shared" si="16"/>
        <v>0</v>
      </c>
      <c r="AA78" s="116">
        <f t="shared" si="17"/>
        <v>0</v>
      </c>
      <c r="AB78" s="116">
        <f t="shared" si="18"/>
        <v>0</v>
      </c>
      <c r="AC78" s="117">
        <f t="shared" si="19"/>
        <v>0</v>
      </c>
      <c r="AD78" s="115">
        <f t="shared" si="20"/>
        <v>0.3</v>
      </c>
      <c r="AE78" s="116">
        <f t="shared" si="21"/>
        <v>0.33333333333333331</v>
      </c>
      <c r="AF78" s="116">
        <f t="shared" si="22"/>
        <v>0.16666666666666666</v>
      </c>
      <c r="AG78" s="116">
        <f t="shared" si="23"/>
        <v>0.1</v>
      </c>
      <c r="AH78" s="116">
        <f t="shared" si="24"/>
        <v>3.3333333333333333E-2</v>
      </c>
      <c r="AI78" s="116">
        <f t="shared" si="25"/>
        <v>6.6666666666666666E-2</v>
      </c>
      <c r="AJ78" s="121">
        <f>Input!$D$22*RBs!C78+Input!$D$23*RBs!D78+Input!$D$24*RBs!X78+Input!$D$25*RBs!Y78+Input!$D$26*RBs!Z78+Input!$D$27*RBs!AA78+Input!$D$28*RBs!AB78+Input!$D$29*RBs!AC78+Input!$D$30*RBs!E78+Input!$D$31*RBs!G78+Input!$D$32*RBs!H78+Input!$D$33*RBs!AD78+Input!$D$34*RBs!AE78+Input!$D$35*RBs!AF78+Input!$D$36*RBs!AG78+Input!$D$37*RBs!AH78+Input!$D$38*RBs!AI78+Input!$D$39*RBs!I78+Input!$D$40*RBs!K78</f>
        <v>39.160000000000004</v>
      </c>
    </row>
    <row r="79" spans="1:36" x14ac:dyDescent="0.25">
      <c r="A79" s="89" t="s">
        <v>309</v>
      </c>
      <c r="B79" s="90" t="s">
        <v>188</v>
      </c>
      <c r="C79" s="45">
        <v>30</v>
      </c>
      <c r="D79" s="37">
        <f>3.2*C79</f>
        <v>96</v>
      </c>
      <c r="E79" s="37">
        <v>0</v>
      </c>
      <c r="F79" s="38">
        <v>1</v>
      </c>
      <c r="G79" s="45">
        <v>20</v>
      </c>
      <c r="H79" s="37">
        <f>7*G79</f>
        <v>140</v>
      </c>
      <c r="I79" s="37">
        <v>0</v>
      </c>
      <c r="J79" s="38">
        <v>1</v>
      </c>
      <c r="K79" s="37">
        <v>0</v>
      </c>
      <c r="L79" s="81">
        <v>0.72727272727272729</v>
      </c>
      <c r="M79" s="82">
        <v>9.7902097902097904E-2</v>
      </c>
      <c r="N79" s="82">
        <v>6.2937062937062943E-2</v>
      </c>
      <c r="O79" s="82">
        <v>2.097902097902098E-2</v>
      </c>
      <c r="P79" s="82">
        <v>2.7972027972027972E-2</v>
      </c>
      <c r="Q79" s="83">
        <v>6.2937062937062943E-2</v>
      </c>
      <c r="R79" s="81">
        <v>0.3</v>
      </c>
      <c r="S79" s="82">
        <v>0.33333333333333331</v>
      </c>
      <c r="T79" s="82">
        <v>0.16666666666666666</v>
      </c>
      <c r="U79" s="82">
        <v>0.1</v>
      </c>
      <c r="V79" s="82">
        <v>3.3333333333333333E-2</v>
      </c>
      <c r="W79" s="83">
        <v>6.6666666666666666E-2</v>
      </c>
      <c r="X79" s="115">
        <f t="shared" si="14"/>
        <v>0.72727272727272729</v>
      </c>
      <c r="Y79" s="116">
        <f t="shared" si="15"/>
        <v>9.7902097902097904E-2</v>
      </c>
      <c r="Z79" s="116">
        <f t="shared" si="16"/>
        <v>6.2937062937062943E-2</v>
      </c>
      <c r="AA79" s="116">
        <f t="shared" si="17"/>
        <v>2.097902097902098E-2</v>
      </c>
      <c r="AB79" s="116">
        <f t="shared" si="18"/>
        <v>2.7972027972027972E-2</v>
      </c>
      <c r="AC79" s="117">
        <f t="shared" si="19"/>
        <v>6.2937062937062943E-2</v>
      </c>
      <c r="AD79" s="115">
        <f t="shared" si="20"/>
        <v>0.3</v>
      </c>
      <c r="AE79" s="116">
        <f t="shared" si="21"/>
        <v>0.33333333333333331</v>
      </c>
      <c r="AF79" s="116">
        <f t="shared" si="22"/>
        <v>0.16666666666666666</v>
      </c>
      <c r="AG79" s="116">
        <f t="shared" si="23"/>
        <v>0.1</v>
      </c>
      <c r="AH79" s="116">
        <f t="shared" si="24"/>
        <v>3.3333333333333333E-2</v>
      </c>
      <c r="AI79" s="116">
        <f t="shared" si="25"/>
        <v>6.6666666666666666E-2</v>
      </c>
      <c r="AJ79" s="121">
        <f>Input!$D$22*RBs!C79+Input!$D$23*RBs!D79+Input!$D$24*RBs!X79+Input!$D$25*RBs!Y79+Input!$D$26*RBs!Z79+Input!$D$27*RBs!AA79+Input!$D$28*RBs!AB79+Input!$D$29*RBs!AC79+Input!$D$30*RBs!E79+Input!$D$31*RBs!G79+Input!$D$32*RBs!H79+Input!$D$33*RBs!AD79+Input!$D$34*RBs!AE79+Input!$D$35*RBs!AF79+Input!$D$36*RBs!AG79+Input!$D$37*RBs!AH79+Input!$D$38*RBs!AI79+Input!$D$39*RBs!I79+Input!$D$40*RBs!K79</f>
        <v>37.876223776223782</v>
      </c>
    </row>
    <row r="80" spans="1:36" x14ac:dyDescent="0.25">
      <c r="A80" s="89" t="s">
        <v>310</v>
      </c>
      <c r="B80" s="90" t="s">
        <v>152</v>
      </c>
      <c r="C80" s="45">
        <v>20</v>
      </c>
      <c r="D80" s="37">
        <f>3.7*C80</f>
        <v>74</v>
      </c>
      <c r="E80" s="37">
        <v>0</v>
      </c>
      <c r="F80" s="38">
        <v>1</v>
      </c>
      <c r="G80" s="45">
        <v>25</v>
      </c>
      <c r="H80" s="37">
        <f>7.8*G80</f>
        <v>195</v>
      </c>
      <c r="I80" s="37">
        <v>0</v>
      </c>
      <c r="J80" s="38">
        <v>0</v>
      </c>
      <c r="K80" s="37">
        <v>0</v>
      </c>
      <c r="L80" s="81">
        <v>0.72727272727272729</v>
      </c>
      <c r="M80" s="82">
        <v>9.7902097902097904E-2</v>
      </c>
      <c r="N80" s="82">
        <v>6.2937062937062943E-2</v>
      </c>
      <c r="O80" s="82">
        <v>2.097902097902098E-2</v>
      </c>
      <c r="P80" s="82">
        <v>2.7972027972027972E-2</v>
      </c>
      <c r="Q80" s="83">
        <v>6.2937062937062943E-2</v>
      </c>
      <c r="R80" s="81">
        <v>0.3</v>
      </c>
      <c r="S80" s="82">
        <v>0.33333333333333331</v>
      </c>
      <c r="T80" s="82">
        <v>0.16666666666666666</v>
      </c>
      <c r="U80" s="82">
        <v>0.1</v>
      </c>
      <c r="V80" s="82">
        <v>3.3333333333333333E-2</v>
      </c>
      <c r="W80" s="83">
        <v>6.6666666666666666E-2</v>
      </c>
      <c r="X80" s="115">
        <f t="shared" si="14"/>
        <v>0.72727272727272729</v>
      </c>
      <c r="Y80" s="116">
        <f t="shared" si="15"/>
        <v>9.7902097902097904E-2</v>
      </c>
      <c r="Z80" s="116">
        <f t="shared" si="16"/>
        <v>6.2937062937062943E-2</v>
      </c>
      <c r="AA80" s="116">
        <f t="shared" si="17"/>
        <v>2.097902097902098E-2</v>
      </c>
      <c r="AB80" s="116">
        <f t="shared" si="18"/>
        <v>2.7972027972027972E-2</v>
      </c>
      <c r="AC80" s="117">
        <f t="shared" si="19"/>
        <v>6.2937062937062943E-2</v>
      </c>
      <c r="AD80" s="115">
        <f t="shared" si="20"/>
        <v>0</v>
      </c>
      <c r="AE80" s="116">
        <f t="shared" si="21"/>
        <v>0</v>
      </c>
      <c r="AF80" s="116">
        <f t="shared" si="22"/>
        <v>0</v>
      </c>
      <c r="AG80" s="116">
        <f t="shared" si="23"/>
        <v>0</v>
      </c>
      <c r="AH80" s="116">
        <f t="shared" si="24"/>
        <v>0</v>
      </c>
      <c r="AI80" s="116">
        <f t="shared" si="25"/>
        <v>0</v>
      </c>
      <c r="AJ80" s="121">
        <f>Input!$D$22*RBs!C80+Input!$D$23*RBs!D80+Input!$D$24*RBs!X80+Input!$D$25*RBs!Y80+Input!$D$26*RBs!Z80+Input!$D$27*RBs!AA80+Input!$D$28*RBs!AB80+Input!$D$29*RBs!AC80+Input!$D$30*RBs!E80+Input!$D$31*RBs!G80+Input!$D$32*RBs!H80+Input!$D$33*RBs!AD80+Input!$D$34*RBs!AE80+Input!$D$35*RBs!AF80+Input!$D$36*RBs!AG80+Input!$D$37*RBs!AH80+Input!$D$38*RBs!AI80+Input!$D$39*RBs!I80+Input!$D$40*RBs!K80</f>
        <v>33.676223776223779</v>
      </c>
    </row>
    <row r="81" spans="1:36" x14ac:dyDescent="0.25">
      <c r="A81" s="89" t="s">
        <v>311</v>
      </c>
      <c r="B81" s="90" t="s">
        <v>160</v>
      </c>
      <c r="C81" s="45">
        <v>35</v>
      </c>
      <c r="D81" s="37">
        <f>3.4*C81</f>
        <v>119</v>
      </c>
      <c r="E81" s="37">
        <v>0</v>
      </c>
      <c r="F81" s="38">
        <v>1</v>
      </c>
      <c r="G81" s="45">
        <v>10</v>
      </c>
      <c r="H81" s="37">
        <f>6*G81</f>
        <v>60</v>
      </c>
      <c r="I81" s="37">
        <v>0</v>
      </c>
      <c r="J81" s="38">
        <v>0</v>
      </c>
      <c r="K81" s="37">
        <v>0</v>
      </c>
      <c r="L81" s="81">
        <v>0.72727272727272729</v>
      </c>
      <c r="M81" s="82">
        <v>9.7902097902097904E-2</v>
      </c>
      <c r="N81" s="82">
        <v>6.2937062937062943E-2</v>
      </c>
      <c r="O81" s="82">
        <v>2.097902097902098E-2</v>
      </c>
      <c r="P81" s="82">
        <v>2.7972027972027972E-2</v>
      </c>
      <c r="Q81" s="83">
        <v>6.2937062937062943E-2</v>
      </c>
      <c r="R81" s="81">
        <v>0.3</v>
      </c>
      <c r="S81" s="82">
        <v>0.33333333333333331</v>
      </c>
      <c r="T81" s="82">
        <v>0.16666666666666666</v>
      </c>
      <c r="U81" s="82">
        <v>0.1</v>
      </c>
      <c r="V81" s="82">
        <v>3.3333333333333333E-2</v>
      </c>
      <c r="W81" s="83">
        <v>6.6666666666666666E-2</v>
      </c>
      <c r="X81" s="115">
        <f t="shared" si="14"/>
        <v>0.72727272727272729</v>
      </c>
      <c r="Y81" s="116">
        <f t="shared" si="15"/>
        <v>9.7902097902097904E-2</v>
      </c>
      <c r="Z81" s="116">
        <f t="shared" si="16"/>
        <v>6.2937062937062943E-2</v>
      </c>
      <c r="AA81" s="116">
        <f t="shared" si="17"/>
        <v>2.097902097902098E-2</v>
      </c>
      <c r="AB81" s="116">
        <f t="shared" si="18"/>
        <v>2.7972027972027972E-2</v>
      </c>
      <c r="AC81" s="117">
        <f t="shared" si="19"/>
        <v>6.2937062937062943E-2</v>
      </c>
      <c r="AD81" s="115">
        <f t="shared" si="20"/>
        <v>0</v>
      </c>
      <c r="AE81" s="116">
        <f t="shared" si="21"/>
        <v>0</v>
      </c>
      <c r="AF81" s="116">
        <f t="shared" si="22"/>
        <v>0</v>
      </c>
      <c r="AG81" s="116">
        <f t="shared" si="23"/>
        <v>0</v>
      </c>
      <c r="AH81" s="116">
        <f t="shared" si="24"/>
        <v>0</v>
      </c>
      <c r="AI81" s="116">
        <f t="shared" si="25"/>
        <v>0</v>
      </c>
      <c r="AJ81" s="121">
        <f>Input!$D$22*RBs!C81+Input!$D$23*RBs!D81+Input!$D$24*RBs!X81+Input!$D$25*RBs!Y81+Input!$D$26*RBs!Z81+Input!$D$27*RBs!AA81+Input!$D$28*RBs!AB81+Input!$D$29*RBs!AC81+Input!$D$30*RBs!E81+Input!$D$31*RBs!G81+Input!$D$32*RBs!H81+Input!$D$33*RBs!AD81+Input!$D$34*RBs!AE81+Input!$D$35*RBs!AF81+Input!$D$36*RBs!AG81+Input!$D$37*RBs!AH81+Input!$D$38*RBs!AI81+Input!$D$39*RBs!I81+Input!$D$40*RBs!K81</f>
        <v>24.676223776223782</v>
      </c>
    </row>
    <row r="82" spans="1:36" x14ac:dyDescent="0.25">
      <c r="A82" s="89" t="s">
        <v>312</v>
      </c>
      <c r="B82" s="90" t="s">
        <v>196</v>
      </c>
      <c r="C82" s="45">
        <v>50</v>
      </c>
      <c r="D82" s="37">
        <f>3.7*C82</f>
        <v>185</v>
      </c>
      <c r="E82" s="37">
        <v>0</v>
      </c>
      <c r="F82" s="38">
        <v>1</v>
      </c>
      <c r="G82" s="45">
        <v>10</v>
      </c>
      <c r="H82" s="37">
        <f>7*G82</f>
        <v>70</v>
      </c>
      <c r="I82" s="37">
        <v>0</v>
      </c>
      <c r="J82" s="38">
        <v>0</v>
      </c>
      <c r="K82" s="37">
        <v>0</v>
      </c>
      <c r="L82" s="81">
        <v>0.72727272727272729</v>
      </c>
      <c r="M82" s="82">
        <v>9.7902097902097904E-2</v>
      </c>
      <c r="N82" s="82">
        <v>6.2937062937062943E-2</v>
      </c>
      <c r="O82" s="82">
        <v>2.097902097902098E-2</v>
      </c>
      <c r="P82" s="82">
        <v>2.7972027972027972E-2</v>
      </c>
      <c r="Q82" s="83">
        <v>6.2937062937062943E-2</v>
      </c>
      <c r="R82" s="81">
        <v>0.3</v>
      </c>
      <c r="S82" s="82">
        <v>0.33333333333333331</v>
      </c>
      <c r="T82" s="82">
        <v>0.16666666666666666</v>
      </c>
      <c r="U82" s="82">
        <v>0.1</v>
      </c>
      <c r="V82" s="82">
        <v>3.3333333333333333E-2</v>
      </c>
      <c r="W82" s="83">
        <v>6.6666666666666666E-2</v>
      </c>
      <c r="X82" s="115">
        <f t="shared" si="14"/>
        <v>0.72727272727272729</v>
      </c>
      <c r="Y82" s="116">
        <f t="shared" si="15"/>
        <v>9.7902097902097904E-2</v>
      </c>
      <c r="Z82" s="116">
        <f t="shared" si="16"/>
        <v>6.2937062937062943E-2</v>
      </c>
      <c r="AA82" s="116">
        <f t="shared" si="17"/>
        <v>2.097902097902098E-2</v>
      </c>
      <c r="AB82" s="116">
        <f t="shared" si="18"/>
        <v>2.7972027972027972E-2</v>
      </c>
      <c r="AC82" s="117">
        <f t="shared" si="19"/>
        <v>6.2937062937062943E-2</v>
      </c>
      <c r="AD82" s="115">
        <f t="shared" si="20"/>
        <v>0</v>
      </c>
      <c r="AE82" s="116">
        <f t="shared" si="21"/>
        <v>0</v>
      </c>
      <c r="AF82" s="116">
        <f t="shared" si="22"/>
        <v>0</v>
      </c>
      <c r="AG82" s="116">
        <f t="shared" si="23"/>
        <v>0</v>
      </c>
      <c r="AH82" s="116">
        <f t="shared" si="24"/>
        <v>0</v>
      </c>
      <c r="AI82" s="116">
        <f t="shared" si="25"/>
        <v>0</v>
      </c>
      <c r="AJ82" s="121">
        <f>Input!$D$22*RBs!C82+Input!$D$23*RBs!D82+Input!$D$24*RBs!X82+Input!$D$25*RBs!Y82+Input!$D$26*RBs!Z82+Input!$D$27*RBs!AA82+Input!$D$28*RBs!AB82+Input!$D$29*RBs!AC82+Input!$D$30*RBs!E82+Input!$D$31*RBs!G82+Input!$D$32*RBs!H82+Input!$D$33*RBs!AD82+Input!$D$34*RBs!AE82+Input!$D$35*RBs!AF82+Input!$D$36*RBs!AG82+Input!$D$37*RBs!AH82+Input!$D$38*RBs!AI82+Input!$D$39*RBs!I82+Input!$D$40*RBs!K82</f>
        <v>32.27622377622378</v>
      </c>
    </row>
    <row r="83" spans="1:36" x14ac:dyDescent="0.25">
      <c r="A83" s="89" t="s">
        <v>313</v>
      </c>
      <c r="B83" s="90" t="s">
        <v>166</v>
      </c>
      <c r="C83" s="45">
        <v>50</v>
      </c>
      <c r="D83" s="37">
        <f>4*C83</f>
        <v>200</v>
      </c>
      <c r="E83" s="37">
        <v>0</v>
      </c>
      <c r="F83" s="38">
        <v>1</v>
      </c>
      <c r="G83" s="45">
        <v>7</v>
      </c>
      <c r="H83" s="37">
        <f>G83*6.8</f>
        <v>47.6</v>
      </c>
      <c r="I83" s="37">
        <v>0</v>
      </c>
      <c r="J83" s="38">
        <v>0</v>
      </c>
      <c r="K83" s="37">
        <v>0</v>
      </c>
      <c r="L83" s="81">
        <v>0.72727272727272729</v>
      </c>
      <c r="M83" s="82">
        <v>9.7902097902097904E-2</v>
      </c>
      <c r="N83" s="82">
        <v>6.2937062937062943E-2</v>
      </c>
      <c r="O83" s="82">
        <v>2.097902097902098E-2</v>
      </c>
      <c r="P83" s="82">
        <v>2.7972027972027972E-2</v>
      </c>
      <c r="Q83" s="83">
        <v>6.2937062937062943E-2</v>
      </c>
      <c r="R83" s="81">
        <v>0.3</v>
      </c>
      <c r="S83" s="82">
        <v>0.33333333333333331</v>
      </c>
      <c r="T83" s="82">
        <v>0.16666666666666666</v>
      </c>
      <c r="U83" s="82">
        <v>0.1</v>
      </c>
      <c r="V83" s="82">
        <v>3.3333333333333333E-2</v>
      </c>
      <c r="W83" s="83">
        <v>6.6666666666666666E-2</v>
      </c>
      <c r="X83" s="115">
        <f t="shared" si="14"/>
        <v>0.72727272727272729</v>
      </c>
      <c r="Y83" s="116">
        <f t="shared" si="15"/>
        <v>9.7902097902097904E-2</v>
      </c>
      <c r="Z83" s="116">
        <f t="shared" si="16"/>
        <v>6.2937062937062943E-2</v>
      </c>
      <c r="AA83" s="116">
        <f t="shared" si="17"/>
        <v>2.097902097902098E-2</v>
      </c>
      <c r="AB83" s="116">
        <f t="shared" si="18"/>
        <v>2.7972027972027972E-2</v>
      </c>
      <c r="AC83" s="117">
        <f t="shared" si="19"/>
        <v>6.2937062937062943E-2</v>
      </c>
      <c r="AD83" s="115">
        <f t="shared" si="20"/>
        <v>0</v>
      </c>
      <c r="AE83" s="116">
        <f t="shared" si="21"/>
        <v>0</v>
      </c>
      <c r="AF83" s="116">
        <f t="shared" si="22"/>
        <v>0</v>
      </c>
      <c r="AG83" s="116">
        <f t="shared" si="23"/>
        <v>0</v>
      </c>
      <c r="AH83" s="116">
        <f t="shared" si="24"/>
        <v>0</v>
      </c>
      <c r="AI83" s="116">
        <f t="shared" si="25"/>
        <v>0</v>
      </c>
      <c r="AJ83" s="121">
        <f>Input!$D$22*RBs!C83+Input!$D$23*RBs!D83+Input!$D$24*RBs!X83+Input!$D$25*RBs!Y83+Input!$D$26*RBs!Z83+Input!$D$27*RBs!AA83+Input!$D$28*RBs!AB83+Input!$D$29*RBs!AC83+Input!$D$30*RBs!E83+Input!$D$31*RBs!G83+Input!$D$32*RBs!H83+Input!$D$33*RBs!AD83+Input!$D$34*RBs!AE83+Input!$D$35*RBs!AF83+Input!$D$36*RBs!AG83+Input!$D$37*RBs!AH83+Input!$D$38*RBs!AI83+Input!$D$39*RBs!I83+Input!$D$40*RBs!K83</f>
        <v>31.536223776223782</v>
      </c>
    </row>
    <row r="84" spans="1:36" x14ac:dyDescent="0.25">
      <c r="A84" s="89" t="s">
        <v>314</v>
      </c>
      <c r="B84" s="90" t="s">
        <v>158</v>
      </c>
      <c r="C84" s="45">
        <v>5</v>
      </c>
      <c r="D84" s="37">
        <f>3.5*C84</f>
        <v>17.5</v>
      </c>
      <c r="E84" s="37">
        <v>0</v>
      </c>
      <c r="F84" s="38">
        <v>0</v>
      </c>
      <c r="G84" s="45">
        <v>20</v>
      </c>
      <c r="H84" s="37">
        <f>8.4*G84</f>
        <v>168</v>
      </c>
      <c r="I84" s="37">
        <v>0</v>
      </c>
      <c r="J84" s="38">
        <v>2</v>
      </c>
      <c r="K84" s="37">
        <v>0</v>
      </c>
      <c r="L84" s="81">
        <v>0.72727272727272729</v>
      </c>
      <c r="M84" s="82">
        <v>9.7902097902097904E-2</v>
      </c>
      <c r="N84" s="82">
        <v>6.2937062937062943E-2</v>
      </c>
      <c r="O84" s="82">
        <v>2.097902097902098E-2</v>
      </c>
      <c r="P84" s="82">
        <v>2.7972027972027972E-2</v>
      </c>
      <c r="Q84" s="83">
        <v>6.2937062937062943E-2</v>
      </c>
      <c r="R84" s="81">
        <v>0.3</v>
      </c>
      <c r="S84" s="82">
        <v>0.33333333333333331</v>
      </c>
      <c r="T84" s="82">
        <v>0.16666666666666666</v>
      </c>
      <c r="U84" s="82">
        <v>0.1</v>
      </c>
      <c r="V84" s="82">
        <v>3.3333333333333333E-2</v>
      </c>
      <c r="W84" s="83">
        <v>6.6666666666666666E-2</v>
      </c>
      <c r="X84" s="115">
        <f t="shared" si="14"/>
        <v>0</v>
      </c>
      <c r="Y84" s="116">
        <f t="shared" si="15"/>
        <v>0</v>
      </c>
      <c r="Z84" s="116">
        <f t="shared" si="16"/>
        <v>0</v>
      </c>
      <c r="AA84" s="116">
        <f t="shared" si="17"/>
        <v>0</v>
      </c>
      <c r="AB84" s="116">
        <f t="shared" si="18"/>
        <v>0</v>
      </c>
      <c r="AC84" s="117">
        <f t="shared" si="19"/>
        <v>0</v>
      </c>
      <c r="AD84" s="115">
        <f t="shared" si="20"/>
        <v>0.6</v>
      </c>
      <c r="AE84" s="116">
        <f t="shared" si="21"/>
        <v>0.66666666666666663</v>
      </c>
      <c r="AF84" s="116">
        <f t="shared" si="22"/>
        <v>0.33333333333333331</v>
      </c>
      <c r="AG84" s="116">
        <f t="shared" si="23"/>
        <v>0.2</v>
      </c>
      <c r="AH84" s="116">
        <f t="shared" si="24"/>
        <v>6.6666666666666666E-2</v>
      </c>
      <c r="AI84" s="116">
        <f t="shared" si="25"/>
        <v>0.13333333333333333</v>
      </c>
      <c r="AJ84" s="121">
        <f>Input!$D$22*RBs!C84+Input!$D$23*RBs!D84+Input!$D$24*RBs!X84+Input!$D$25*RBs!Y84+Input!$D$26*RBs!Z84+Input!$D$27*RBs!AA84+Input!$D$28*RBs!AB84+Input!$D$29*RBs!AC84+Input!$D$30*RBs!E84+Input!$D$31*RBs!G84+Input!$D$32*RBs!H84+Input!$D$33*RBs!AD84+Input!$D$34*RBs!AE84+Input!$D$35*RBs!AF84+Input!$D$36*RBs!AG84+Input!$D$37*RBs!AH84+Input!$D$38*RBs!AI84+Input!$D$39*RBs!I84+Input!$D$40*RBs!K84</f>
        <v>33.549999999999997</v>
      </c>
    </row>
    <row r="85" spans="1:36" x14ac:dyDescent="0.25">
      <c r="A85" s="89" t="s">
        <v>315</v>
      </c>
      <c r="B85" s="90" t="s">
        <v>192</v>
      </c>
      <c r="C85" s="45">
        <v>50</v>
      </c>
      <c r="D85" s="37">
        <f>3.2*C85</f>
        <v>160</v>
      </c>
      <c r="E85" s="37">
        <v>0</v>
      </c>
      <c r="F85" s="38">
        <v>2</v>
      </c>
      <c r="G85" s="45">
        <v>3</v>
      </c>
      <c r="H85" s="37">
        <f>6*G85</f>
        <v>18</v>
      </c>
      <c r="I85" s="37">
        <v>0</v>
      </c>
      <c r="J85" s="38">
        <v>0</v>
      </c>
      <c r="K85" s="37">
        <v>0</v>
      </c>
      <c r="L85" s="81">
        <v>0.72727272727272729</v>
      </c>
      <c r="M85" s="82">
        <v>9.7902097902097904E-2</v>
      </c>
      <c r="N85" s="82">
        <v>6.2937062937062943E-2</v>
      </c>
      <c r="O85" s="82">
        <v>2.097902097902098E-2</v>
      </c>
      <c r="P85" s="82">
        <v>2.7972027972027972E-2</v>
      </c>
      <c r="Q85" s="83">
        <v>6.2937062937062943E-2</v>
      </c>
      <c r="R85" s="81">
        <v>0.3</v>
      </c>
      <c r="S85" s="82">
        <v>0.33333333333333331</v>
      </c>
      <c r="T85" s="82">
        <v>0.16666666666666666</v>
      </c>
      <c r="U85" s="82">
        <v>0.1</v>
      </c>
      <c r="V85" s="82">
        <v>3.3333333333333333E-2</v>
      </c>
      <c r="W85" s="83">
        <v>6.6666666666666666E-2</v>
      </c>
      <c r="X85" s="115">
        <f t="shared" si="14"/>
        <v>1.4545454545454546</v>
      </c>
      <c r="Y85" s="116">
        <f t="shared" si="15"/>
        <v>0.19580419580419581</v>
      </c>
      <c r="Z85" s="116">
        <f t="shared" si="16"/>
        <v>0.12587412587412589</v>
      </c>
      <c r="AA85" s="116">
        <f t="shared" si="17"/>
        <v>4.195804195804196E-2</v>
      </c>
      <c r="AB85" s="116">
        <f t="shared" si="18"/>
        <v>5.5944055944055944E-2</v>
      </c>
      <c r="AC85" s="117">
        <f t="shared" si="19"/>
        <v>0.12587412587412589</v>
      </c>
      <c r="AD85" s="115">
        <f t="shared" si="20"/>
        <v>0</v>
      </c>
      <c r="AE85" s="116">
        <f t="shared" si="21"/>
        <v>0</v>
      </c>
      <c r="AF85" s="116">
        <f t="shared" si="22"/>
        <v>0</v>
      </c>
      <c r="AG85" s="116">
        <f t="shared" si="23"/>
        <v>0</v>
      </c>
      <c r="AH85" s="116">
        <f t="shared" si="24"/>
        <v>0</v>
      </c>
      <c r="AI85" s="116">
        <f t="shared" si="25"/>
        <v>0</v>
      </c>
      <c r="AJ85" s="121">
        <f>Input!$D$22*RBs!C85+Input!$D$23*RBs!D85+Input!$D$24*RBs!X85+Input!$D$25*RBs!Y85+Input!$D$26*RBs!Z85+Input!$D$27*RBs!AA85+Input!$D$28*RBs!AB85+Input!$D$29*RBs!AC85+Input!$D$30*RBs!E85+Input!$D$31*RBs!G85+Input!$D$32*RBs!H85+Input!$D$33*RBs!AD85+Input!$D$34*RBs!AE85+Input!$D$35*RBs!AF85+Input!$D$36*RBs!AG85+Input!$D$37*RBs!AH85+Input!$D$38*RBs!AI85+Input!$D$39*RBs!I85+Input!$D$40*RBs!K85</f>
        <v>31.352447552447551</v>
      </c>
    </row>
    <row r="86" spans="1:36" x14ac:dyDescent="0.25">
      <c r="A86" s="89" t="s">
        <v>316</v>
      </c>
      <c r="B86" s="90" t="s">
        <v>158</v>
      </c>
      <c r="C86" s="45">
        <v>40</v>
      </c>
      <c r="D86" s="37">
        <f>3.7*C86</f>
        <v>148</v>
      </c>
      <c r="E86" s="37">
        <v>0</v>
      </c>
      <c r="F86" s="38">
        <v>1</v>
      </c>
      <c r="G86" s="45">
        <v>12</v>
      </c>
      <c r="H86" s="37">
        <f>7*G86</f>
        <v>84</v>
      </c>
      <c r="I86" s="37">
        <v>0</v>
      </c>
      <c r="J86" s="38">
        <v>0</v>
      </c>
      <c r="K86" s="37">
        <v>0</v>
      </c>
      <c r="L86" s="81">
        <v>0.72727272727272729</v>
      </c>
      <c r="M86" s="82">
        <v>9.7902097902097904E-2</v>
      </c>
      <c r="N86" s="82">
        <v>6.2937062937062943E-2</v>
      </c>
      <c r="O86" s="82">
        <v>2.097902097902098E-2</v>
      </c>
      <c r="P86" s="82">
        <v>2.7972027972027972E-2</v>
      </c>
      <c r="Q86" s="83">
        <v>6.2937062937062943E-2</v>
      </c>
      <c r="R86" s="81">
        <v>0.3</v>
      </c>
      <c r="S86" s="82">
        <v>0.33333333333333331</v>
      </c>
      <c r="T86" s="82">
        <v>0.16666666666666666</v>
      </c>
      <c r="U86" s="82">
        <v>0.1</v>
      </c>
      <c r="V86" s="82">
        <v>3.3333333333333333E-2</v>
      </c>
      <c r="W86" s="83">
        <v>6.6666666666666666E-2</v>
      </c>
      <c r="X86" s="115">
        <f t="shared" si="14"/>
        <v>0.72727272727272729</v>
      </c>
      <c r="Y86" s="116">
        <f t="shared" si="15"/>
        <v>9.7902097902097904E-2</v>
      </c>
      <c r="Z86" s="116">
        <f t="shared" si="16"/>
        <v>6.2937062937062943E-2</v>
      </c>
      <c r="AA86" s="116">
        <f t="shared" si="17"/>
        <v>2.097902097902098E-2</v>
      </c>
      <c r="AB86" s="116">
        <f t="shared" si="18"/>
        <v>2.7972027972027972E-2</v>
      </c>
      <c r="AC86" s="117">
        <f t="shared" si="19"/>
        <v>6.2937062937062943E-2</v>
      </c>
      <c r="AD86" s="115">
        <f t="shared" si="20"/>
        <v>0</v>
      </c>
      <c r="AE86" s="116">
        <f t="shared" si="21"/>
        <v>0</v>
      </c>
      <c r="AF86" s="116">
        <f t="shared" si="22"/>
        <v>0</v>
      </c>
      <c r="AG86" s="116">
        <f t="shared" si="23"/>
        <v>0</v>
      </c>
      <c r="AH86" s="116">
        <f t="shared" si="24"/>
        <v>0</v>
      </c>
      <c r="AI86" s="116">
        <f t="shared" si="25"/>
        <v>0</v>
      </c>
      <c r="AJ86" s="121">
        <f>Input!$D$22*RBs!C86+Input!$D$23*RBs!D86+Input!$D$24*RBs!X86+Input!$D$25*RBs!Y86+Input!$D$26*RBs!Z86+Input!$D$27*RBs!AA86+Input!$D$28*RBs!AB86+Input!$D$29*RBs!AC86+Input!$D$30*RBs!E86+Input!$D$31*RBs!G86+Input!$D$32*RBs!H86+Input!$D$33*RBs!AD86+Input!$D$34*RBs!AE86+Input!$D$35*RBs!AF86+Input!$D$36*RBs!AG86+Input!$D$37*RBs!AH86+Input!$D$38*RBs!AI86+Input!$D$39*RBs!I86+Input!$D$40*RBs!K86</f>
        <v>29.976223776223783</v>
      </c>
    </row>
    <row r="87" spans="1:36" x14ac:dyDescent="0.25">
      <c r="A87" s="89" t="s">
        <v>317</v>
      </c>
      <c r="B87" s="90" t="s">
        <v>140</v>
      </c>
      <c r="C87" s="45">
        <v>40</v>
      </c>
      <c r="D87" s="37">
        <f>5.4*C87</f>
        <v>216</v>
      </c>
      <c r="E87" s="37">
        <v>0</v>
      </c>
      <c r="F87" s="38">
        <v>1</v>
      </c>
      <c r="G87" s="45">
        <v>2</v>
      </c>
      <c r="H87" s="37">
        <f>5*G87</f>
        <v>10</v>
      </c>
      <c r="I87" s="37">
        <v>0</v>
      </c>
      <c r="J87" s="38">
        <v>0</v>
      </c>
      <c r="K87" s="37">
        <v>0</v>
      </c>
      <c r="L87" s="81">
        <v>0.72727272727272729</v>
      </c>
      <c r="M87" s="82">
        <v>9.7902097902097904E-2</v>
      </c>
      <c r="N87" s="82">
        <v>6.2937062937062943E-2</v>
      </c>
      <c r="O87" s="82">
        <v>2.097902097902098E-2</v>
      </c>
      <c r="P87" s="82">
        <v>2.7972027972027972E-2</v>
      </c>
      <c r="Q87" s="83">
        <v>6.2937062937062943E-2</v>
      </c>
      <c r="R87" s="81">
        <v>0.3</v>
      </c>
      <c r="S87" s="82">
        <v>0.33333333333333331</v>
      </c>
      <c r="T87" s="82">
        <v>0.16666666666666666</v>
      </c>
      <c r="U87" s="82">
        <v>0.1</v>
      </c>
      <c r="V87" s="82">
        <v>3.3333333333333333E-2</v>
      </c>
      <c r="W87" s="83">
        <v>6.6666666666666666E-2</v>
      </c>
      <c r="X87" s="115">
        <f t="shared" si="14"/>
        <v>0.72727272727272729</v>
      </c>
      <c r="Y87" s="116">
        <f t="shared" si="15"/>
        <v>9.7902097902097904E-2</v>
      </c>
      <c r="Z87" s="116">
        <f t="shared" si="16"/>
        <v>6.2937062937062943E-2</v>
      </c>
      <c r="AA87" s="116">
        <f t="shared" si="17"/>
        <v>2.097902097902098E-2</v>
      </c>
      <c r="AB87" s="116">
        <f t="shared" si="18"/>
        <v>2.7972027972027972E-2</v>
      </c>
      <c r="AC87" s="117">
        <f t="shared" si="19"/>
        <v>6.2937062937062943E-2</v>
      </c>
      <c r="AD87" s="115">
        <f t="shared" si="20"/>
        <v>0</v>
      </c>
      <c r="AE87" s="116">
        <f t="shared" si="21"/>
        <v>0</v>
      </c>
      <c r="AF87" s="116">
        <f t="shared" si="22"/>
        <v>0</v>
      </c>
      <c r="AG87" s="116">
        <f t="shared" si="23"/>
        <v>0</v>
      </c>
      <c r="AH87" s="116">
        <f t="shared" si="24"/>
        <v>0</v>
      </c>
      <c r="AI87" s="116">
        <f t="shared" si="25"/>
        <v>0</v>
      </c>
      <c r="AJ87" s="121">
        <f>Input!$D$22*RBs!C87+Input!$D$23*RBs!D87+Input!$D$24*RBs!X87+Input!$D$25*RBs!Y87+Input!$D$26*RBs!Z87+Input!$D$27*RBs!AA87+Input!$D$28*RBs!AB87+Input!$D$29*RBs!AC87+Input!$D$30*RBs!E87+Input!$D$31*RBs!G87+Input!$D$32*RBs!H87+Input!$D$33*RBs!AD87+Input!$D$34*RBs!AE87+Input!$D$35*RBs!AF87+Input!$D$36*RBs!AG87+Input!$D$37*RBs!AH87+Input!$D$38*RBs!AI87+Input!$D$39*RBs!I87+Input!$D$40*RBs!K87</f>
        <v>29.376223776223782</v>
      </c>
    </row>
    <row r="88" spans="1:36" x14ac:dyDescent="0.25">
      <c r="A88" s="89" t="s">
        <v>318</v>
      </c>
      <c r="B88" s="90" t="s">
        <v>170</v>
      </c>
      <c r="C88" s="36">
        <v>25</v>
      </c>
      <c r="D88" s="40">
        <f>3.8*C88</f>
        <v>95</v>
      </c>
      <c r="E88" s="37">
        <v>0</v>
      </c>
      <c r="F88" s="41">
        <v>1</v>
      </c>
      <c r="G88" s="36">
        <v>15</v>
      </c>
      <c r="H88" s="40">
        <f>8.4*G88</f>
        <v>126</v>
      </c>
      <c r="I88" s="40">
        <v>0</v>
      </c>
      <c r="J88" s="41">
        <v>0</v>
      </c>
      <c r="K88" s="40">
        <v>0</v>
      </c>
      <c r="L88" s="81">
        <v>0.72727272727272729</v>
      </c>
      <c r="M88" s="82">
        <v>9.7902097902097904E-2</v>
      </c>
      <c r="N88" s="82">
        <v>6.2937062937062943E-2</v>
      </c>
      <c r="O88" s="82">
        <v>2.097902097902098E-2</v>
      </c>
      <c r="P88" s="82">
        <v>2.7972027972027972E-2</v>
      </c>
      <c r="Q88" s="83">
        <v>6.2937062937062943E-2</v>
      </c>
      <c r="R88" s="81">
        <v>0.3</v>
      </c>
      <c r="S88" s="82">
        <v>0.33333333333333331</v>
      </c>
      <c r="T88" s="82">
        <v>0.16666666666666666</v>
      </c>
      <c r="U88" s="82">
        <v>0.1</v>
      </c>
      <c r="V88" s="82">
        <v>3.3333333333333333E-2</v>
      </c>
      <c r="W88" s="83">
        <v>6.6666666666666666E-2</v>
      </c>
      <c r="X88" s="115">
        <f t="shared" si="14"/>
        <v>0.72727272727272729</v>
      </c>
      <c r="Y88" s="116">
        <f t="shared" si="15"/>
        <v>9.7902097902097904E-2</v>
      </c>
      <c r="Z88" s="116">
        <f t="shared" si="16"/>
        <v>6.2937062937062943E-2</v>
      </c>
      <c r="AA88" s="116">
        <f t="shared" si="17"/>
        <v>2.097902097902098E-2</v>
      </c>
      <c r="AB88" s="116">
        <f t="shared" si="18"/>
        <v>2.7972027972027972E-2</v>
      </c>
      <c r="AC88" s="117">
        <f t="shared" si="19"/>
        <v>6.2937062937062943E-2</v>
      </c>
      <c r="AD88" s="115">
        <f t="shared" si="20"/>
        <v>0</v>
      </c>
      <c r="AE88" s="116">
        <f t="shared" si="21"/>
        <v>0</v>
      </c>
      <c r="AF88" s="116">
        <f t="shared" si="22"/>
        <v>0</v>
      </c>
      <c r="AG88" s="116">
        <f t="shared" si="23"/>
        <v>0</v>
      </c>
      <c r="AH88" s="116">
        <f t="shared" si="24"/>
        <v>0</v>
      </c>
      <c r="AI88" s="116">
        <f t="shared" si="25"/>
        <v>0</v>
      </c>
      <c r="AJ88" s="121">
        <f>Input!$D$22*RBs!C88+Input!$D$23*RBs!D88+Input!$D$24*RBs!X88+Input!$D$25*RBs!Y88+Input!$D$26*RBs!Z88+Input!$D$27*RBs!AA88+Input!$D$28*RBs!AB88+Input!$D$29*RBs!AC88+Input!$D$30*RBs!E88+Input!$D$31*RBs!G88+Input!$D$32*RBs!H88+Input!$D$33*RBs!AD88+Input!$D$34*RBs!AE88+Input!$D$35*RBs!AF88+Input!$D$36*RBs!AG88+Input!$D$37*RBs!AH88+Input!$D$38*RBs!AI88+Input!$D$39*RBs!I88+Input!$D$40*RBs!K88</f>
        <v>28.876223776223778</v>
      </c>
    </row>
    <row r="89" spans="1:36" x14ac:dyDescent="0.25">
      <c r="A89" s="89" t="s">
        <v>319</v>
      </c>
      <c r="B89" s="90" t="s">
        <v>142</v>
      </c>
      <c r="C89" s="45">
        <v>40</v>
      </c>
      <c r="D89" s="37">
        <f>3.8*C89</f>
        <v>152</v>
      </c>
      <c r="E89" s="37">
        <v>0</v>
      </c>
      <c r="F89" s="38">
        <v>1</v>
      </c>
      <c r="G89" s="45">
        <v>8</v>
      </c>
      <c r="H89" s="37">
        <f>8.5*G89</f>
        <v>68</v>
      </c>
      <c r="I89" s="37">
        <v>0</v>
      </c>
      <c r="J89" s="38">
        <v>0</v>
      </c>
      <c r="K89" s="37">
        <v>0</v>
      </c>
      <c r="L89" s="81">
        <v>0.72727272727272729</v>
      </c>
      <c r="M89" s="82">
        <v>9.7902097902097904E-2</v>
      </c>
      <c r="N89" s="82">
        <v>6.2937062937062943E-2</v>
      </c>
      <c r="O89" s="82">
        <v>2.097902097902098E-2</v>
      </c>
      <c r="P89" s="82">
        <v>2.7972027972027972E-2</v>
      </c>
      <c r="Q89" s="83">
        <v>6.2937062937062943E-2</v>
      </c>
      <c r="R89" s="81">
        <v>0.3</v>
      </c>
      <c r="S89" s="82">
        <v>0.33333333333333331</v>
      </c>
      <c r="T89" s="82">
        <v>0.16666666666666666</v>
      </c>
      <c r="U89" s="82">
        <v>0.1</v>
      </c>
      <c r="V89" s="82">
        <v>3.3333333333333333E-2</v>
      </c>
      <c r="W89" s="83">
        <v>6.6666666666666666E-2</v>
      </c>
      <c r="X89" s="115">
        <f t="shared" si="14"/>
        <v>0.72727272727272729</v>
      </c>
      <c r="Y89" s="116">
        <f t="shared" si="15"/>
        <v>9.7902097902097904E-2</v>
      </c>
      <c r="Z89" s="116">
        <f t="shared" si="16"/>
        <v>6.2937062937062943E-2</v>
      </c>
      <c r="AA89" s="116">
        <f t="shared" si="17"/>
        <v>2.097902097902098E-2</v>
      </c>
      <c r="AB89" s="116">
        <f t="shared" si="18"/>
        <v>2.7972027972027972E-2</v>
      </c>
      <c r="AC89" s="117">
        <f t="shared" si="19"/>
        <v>6.2937062937062943E-2</v>
      </c>
      <c r="AD89" s="115">
        <f t="shared" si="20"/>
        <v>0</v>
      </c>
      <c r="AE89" s="116">
        <f t="shared" si="21"/>
        <v>0</v>
      </c>
      <c r="AF89" s="116">
        <f t="shared" si="22"/>
        <v>0</v>
      </c>
      <c r="AG89" s="116">
        <f t="shared" si="23"/>
        <v>0</v>
      </c>
      <c r="AH89" s="116">
        <f t="shared" si="24"/>
        <v>0</v>
      </c>
      <c r="AI89" s="116">
        <f t="shared" si="25"/>
        <v>0</v>
      </c>
      <c r="AJ89" s="121">
        <f>Input!$D$22*RBs!C89+Input!$D$23*RBs!D89+Input!$D$24*RBs!X89+Input!$D$25*RBs!Y89+Input!$D$26*RBs!Z89+Input!$D$27*RBs!AA89+Input!$D$28*RBs!AB89+Input!$D$29*RBs!AC89+Input!$D$30*RBs!E89+Input!$D$31*RBs!G89+Input!$D$32*RBs!H89+Input!$D$33*RBs!AD89+Input!$D$34*RBs!AE89+Input!$D$35*RBs!AF89+Input!$D$36*RBs!AG89+Input!$D$37*RBs!AH89+Input!$D$38*RBs!AI89+Input!$D$39*RBs!I89+Input!$D$40*RBs!K89</f>
        <v>28.77622377622378</v>
      </c>
    </row>
    <row r="90" spans="1:36" x14ac:dyDescent="0.25">
      <c r="A90" s="89" t="s">
        <v>320</v>
      </c>
      <c r="B90" s="90" t="s">
        <v>146</v>
      </c>
      <c r="C90" s="45">
        <v>40</v>
      </c>
      <c r="D90" s="37">
        <f>2.5*C90</f>
        <v>100</v>
      </c>
      <c r="E90" s="37">
        <v>0</v>
      </c>
      <c r="F90" s="38">
        <v>2</v>
      </c>
      <c r="G90" s="45">
        <v>8</v>
      </c>
      <c r="H90" s="37">
        <f>6.5*G90</f>
        <v>52</v>
      </c>
      <c r="I90" s="37">
        <v>0</v>
      </c>
      <c r="J90" s="38">
        <v>0</v>
      </c>
      <c r="K90" s="37">
        <v>0</v>
      </c>
      <c r="L90" s="81">
        <v>0.72727272727272729</v>
      </c>
      <c r="M90" s="82">
        <v>9.7902097902097904E-2</v>
      </c>
      <c r="N90" s="82">
        <v>6.2937062937062943E-2</v>
      </c>
      <c r="O90" s="82">
        <v>2.097902097902098E-2</v>
      </c>
      <c r="P90" s="82">
        <v>2.7972027972027972E-2</v>
      </c>
      <c r="Q90" s="83">
        <v>6.2937062937062943E-2</v>
      </c>
      <c r="R90" s="81">
        <v>0.3</v>
      </c>
      <c r="S90" s="82">
        <v>0.33333333333333331</v>
      </c>
      <c r="T90" s="82">
        <v>0.16666666666666666</v>
      </c>
      <c r="U90" s="82">
        <v>0.1</v>
      </c>
      <c r="V90" s="82">
        <v>3.3333333333333333E-2</v>
      </c>
      <c r="W90" s="83">
        <v>6.6666666666666666E-2</v>
      </c>
      <c r="X90" s="115">
        <f t="shared" si="14"/>
        <v>1.4545454545454546</v>
      </c>
      <c r="Y90" s="116">
        <f t="shared" si="15"/>
        <v>0.19580419580419581</v>
      </c>
      <c r="Z90" s="116">
        <f t="shared" si="16"/>
        <v>0.12587412587412589</v>
      </c>
      <c r="AA90" s="116">
        <f t="shared" si="17"/>
        <v>4.195804195804196E-2</v>
      </c>
      <c r="AB90" s="116">
        <f t="shared" si="18"/>
        <v>5.5944055944055944E-2</v>
      </c>
      <c r="AC90" s="117">
        <f t="shared" si="19"/>
        <v>0.12587412587412589</v>
      </c>
      <c r="AD90" s="115">
        <f t="shared" si="20"/>
        <v>0</v>
      </c>
      <c r="AE90" s="116">
        <f t="shared" si="21"/>
        <v>0</v>
      </c>
      <c r="AF90" s="116">
        <f t="shared" si="22"/>
        <v>0</v>
      </c>
      <c r="AG90" s="116">
        <f t="shared" si="23"/>
        <v>0</v>
      </c>
      <c r="AH90" s="116">
        <f t="shared" si="24"/>
        <v>0</v>
      </c>
      <c r="AI90" s="116">
        <f t="shared" si="25"/>
        <v>0</v>
      </c>
      <c r="AJ90" s="121">
        <f>Input!$D$22*RBs!C90+Input!$D$23*RBs!D90+Input!$D$24*RBs!X90+Input!$D$25*RBs!Y90+Input!$D$26*RBs!Z90+Input!$D$27*RBs!AA90+Input!$D$28*RBs!AB90+Input!$D$29*RBs!AC90+Input!$D$30*RBs!E90+Input!$D$31*RBs!G90+Input!$D$32*RBs!H90+Input!$D$33*RBs!AD90+Input!$D$34*RBs!AE90+Input!$D$35*RBs!AF90+Input!$D$36*RBs!AG90+Input!$D$37*RBs!AH90+Input!$D$38*RBs!AI90+Input!$D$39*RBs!I90+Input!$D$40*RBs!K90</f>
        <v>28.752447552447549</v>
      </c>
    </row>
    <row r="91" spans="1:36" x14ac:dyDescent="0.25">
      <c r="A91" s="89" t="s">
        <v>321</v>
      </c>
      <c r="B91" s="90" t="s">
        <v>164</v>
      </c>
      <c r="C91" s="45">
        <v>10</v>
      </c>
      <c r="D91" s="37">
        <f>3*C91</f>
        <v>30</v>
      </c>
      <c r="E91" s="37">
        <v>0</v>
      </c>
      <c r="F91" s="38">
        <v>0</v>
      </c>
      <c r="G91" s="45">
        <v>25</v>
      </c>
      <c r="H91" s="37">
        <f>6.7*G91</f>
        <v>167.5</v>
      </c>
      <c r="I91" s="37">
        <v>0</v>
      </c>
      <c r="J91" s="38">
        <v>1</v>
      </c>
      <c r="K91" s="37">
        <v>0</v>
      </c>
      <c r="L91" s="81">
        <v>0.72727272727272729</v>
      </c>
      <c r="M91" s="82">
        <v>9.7902097902097904E-2</v>
      </c>
      <c r="N91" s="82">
        <v>6.2937062937062943E-2</v>
      </c>
      <c r="O91" s="82">
        <v>2.097902097902098E-2</v>
      </c>
      <c r="P91" s="82">
        <v>2.7972027972027972E-2</v>
      </c>
      <c r="Q91" s="83">
        <v>6.2937062937062943E-2</v>
      </c>
      <c r="R91" s="81">
        <v>0.3</v>
      </c>
      <c r="S91" s="82">
        <v>0.33333333333333331</v>
      </c>
      <c r="T91" s="82">
        <v>0.16666666666666666</v>
      </c>
      <c r="U91" s="82">
        <v>0.1</v>
      </c>
      <c r="V91" s="82">
        <v>3.3333333333333333E-2</v>
      </c>
      <c r="W91" s="83">
        <v>6.6666666666666666E-2</v>
      </c>
      <c r="X91" s="115">
        <f t="shared" si="14"/>
        <v>0</v>
      </c>
      <c r="Y91" s="116">
        <f t="shared" si="15"/>
        <v>0</v>
      </c>
      <c r="Z91" s="116">
        <f t="shared" si="16"/>
        <v>0</v>
      </c>
      <c r="AA91" s="116">
        <f t="shared" si="17"/>
        <v>0</v>
      </c>
      <c r="AB91" s="116">
        <f t="shared" si="18"/>
        <v>0</v>
      </c>
      <c r="AC91" s="117">
        <f t="shared" si="19"/>
        <v>0</v>
      </c>
      <c r="AD91" s="115">
        <f t="shared" si="20"/>
        <v>0.3</v>
      </c>
      <c r="AE91" s="116">
        <f t="shared" si="21"/>
        <v>0.33333333333333331</v>
      </c>
      <c r="AF91" s="116">
        <f t="shared" si="22"/>
        <v>0.16666666666666666</v>
      </c>
      <c r="AG91" s="116">
        <f t="shared" si="23"/>
        <v>0.1</v>
      </c>
      <c r="AH91" s="116">
        <f t="shared" si="24"/>
        <v>3.3333333333333333E-2</v>
      </c>
      <c r="AI91" s="116">
        <f t="shared" si="25"/>
        <v>6.6666666666666666E-2</v>
      </c>
      <c r="AJ91" s="121">
        <f>Input!$D$22*RBs!C91+Input!$D$23*RBs!D91+Input!$D$24*RBs!X91+Input!$D$25*RBs!Y91+Input!$D$26*RBs!Z91+Input!$D$27*RBs!AA91+Input!$D$28*RBs!AB91+Input!$D$29*RBs!AC91+Input!$D$30*RBs!E91+Input!$D$31*RBs!G91+Input!$D$32*RBs!H91+Input!$D$33*RBs!AD91+Input!$D$34*RBs!AE91+Input!$D$35*RBs!AF91+Input!$D$36*RBs!AG91+Input!$D$37*RBs!AH91+Input!$D$38*RBs!AI91+Input!$D$39*RBs!I91+Input!$D$40*RBs!K91</f>
        <v>27.249999999999996</v>
      </c>
    </row>
    <row r="92" spans="1:36" x14ac:dyDescent="0.25">
      <c r="A92" s="89" t="s">
        <v>322</v>
      </c>
      <c r="B92" s="90" t="s">
        <v>162</v>
      </c>
      <c r="C92" s="45">
        <v>20</v>
      </c>
      <c r="D92" s="37">
        <f>3.7*C92</f>
        <v>74</v>
      </c>
      <c r="E92" s="37">
        <v>0</v>
      </c>
      <c r="F92" s="38">
        <v>0</v>
      </c>
      <c r="G92" s="45">
        <v>15</v>
      </c>
      <c r="H92" s="37">
        <f>7*G92</f>
        <v>105</v>
      </c>
      <c r="I92" s="37">
        <v>0</v>
      </c>
      <c r="J92" s="38">
        <v>1</v>
      </c>
      <c r="K92" s="37">
        <v>0</v>
      </c>
      <c r="L92" s="81">
        <v>0.72727272727272729</v>
      </c>
      <c r="M92" s="82">
        <v>9.7902097902097904E-2</v>
      </c>
      <c r="N92" s="82">
        <v>6.2937062937062943E-2</v>
      </c>
      <c r="O92" s="82">
        <v>2.097902097902098E-2</v>
      </c>
      <c r="P92" s="82">
        <v>2.7972027972027972E-2</v>
      </c>
      <c r="Q92" s="83">
        <v>6.2937062937062943E-2</v>
      </c>
      <c r="R92" s="81">
        <v>0.3</v>
      </c>
      <c r="S92" s="82">
        <v>0.33333333333333331</v>
      </c>
      <c r="T92" s="82">
        <v>0.16666666666666666</v>
      </c>
      <c r="U92" s="82">
        <v>0.1</v>
      </c>
      <c r="V92" s="82">
        <v>3.3333333333333333E-2</v>
      </c>
      <c r="W92" s="83">
        <v>6.6666666666666666E-2</v>
      </c>
      <c r="X92" s="115">
        <f t="shared" si="14"/>
        <v>0</v>
      </c>
      <c r="Y92" s="116">
        <f t="shared" si="15"/>
        <v>0</v>
      </c>
      <c r="Z92" s="116">
        <f t="shared" si="16"/>
        <v>0</v>
      </c>
      <c r="AA92" s="116">
        <f t="shared" si="17"/>
        <v>0</v>
      </c>
      <c r="AB92" s="116">
        <f t="shared" si="18"/>
        <v>0</v>
      </c>
      <c r="AC92" s="117">
        <f t="shared" si="19"/>
        <v>0</v>
      </c>
      <c r="AD92" s="115">
        <f t="shared" si="20"/>
        <v>0.3</v>
      </c>
      <c r="AE92" s="116">
        <f t="shared" si="21"/>
        <v>0.33333333333333331</v>
      </c>
      <c r="AF92" s="116">
        <f t="shared" si="22"/>
        <v>0.16666666666666666</v>
      </c>
      <c r="AG92" s="116">
        <f t="shared" si="23"/>
        <v>0.1</v>
      </c>
      <c r="AH92" s="116">
        <f t="shared" si="24"/>
        <v>3.3333333333333333E-2</v>
      </c>
      <c r="AI92" s="116">
        <f t="shared" si="25"/>
        <v>6.6666666666666666E-2</v>
      </c>
      <c r="AJ92" s="121">
        <f>Input!$D$22*RBs!C92+Input!$D$23*RBs!D92+Input!$D$24*RBs!X92+Input!$D$25*RBs!Y92+Input!$D$26*RBs!Z92+Input!$D$27*RBs!AA92+Input!$D$28*RBs!AB92+Input!$D$29*RBs!AC92+Input!$D$30*RBs!E92+Input!$D$31*RBs!G92+Input!$D$32*RBs!H92+Input!$D$33*RBs!AD92+Input!$D$34*RBs!AE92+Input!$D$35*RBs!AF92+Input!$D$36*RBs!AG92+Input!$D$37*RBs!AH92+Input!$D$38*RBs!AI92+Input!$D$39*RBs!I92+Input!$D$40*RBs!K92</f>
        <v>25.399999999999995</v>
      </c>
    </row>
    <row r="93" spans="1:36" x14ac:dyDescent="0.25">
      <c r="A93" s="89" t="s">
        <v>323</v>
      </c>
      <c r="B93" s="90" t="s">
        <v>186</v>
      </c>
      <c r="C93" s="45">
        <v>10</v>
      </c>
      <c r="D93" s="37">
        <f>3.5*C93</f>
        <v>35</v>
      </c>
      <c r="E93" s="37">
        <v>0</v>
      </c>
      <c r="F93" s="38">
        <v>1</v>
      </c>
      <c r="G93" s="45">
        <v>15</v>
      </c>
      <c r="H93" s="37">
        <f>9.5*G93</f>
        <v>142.5</v>
      </c>
      <c r="I93" s="37">
        <v>0</v>
      </c>
      <c r="J93" s="38">
        <v>0</v>
      </c>
      <c r="K93" s="37">
        <v>0</v>
      </c>
      <c r="L93" s="81">
        <v>0.72727272727272729</v>
      </c>
      <c r="M93" s="82">
        <v>9.7902097902097904E-2</v>
      </c>
      <c r="N93" s="82">
        <v>6.2937062937062943E-2</v>
      </c>
      <c r="O93" s="82">
        <v>2.097902097902098E-2</v>
      </c>
      <c r="P93" s="82">
        <v>2.7972027972027972E-2</v>
      </c>
      <c r="Q93" s="83">
        <v>6.2937062937062943E-2</v>
      </c>
      <c r="R93" s="81">
        <v>0.3</v>
      </c>
      <c r="S93" s="82">
        <v>0.33333333333333331</v>
      </c>
      <c r="T93" s="82">
        <v>0.16666666666666666</v>
      </c>
      <c r="U93" s="82">
        <v>0.1</v>
      </c>
      <c r="V93" s="82">
        <v>3.3333333333333333E-2</v>
      </c>
      <c r="W93" s="83">
        <v>6.6666666666666666E-2</v>
      </c>
      <c r="X93" s="115">
        <f t="shared" si="14"/>
        <v>0.72727272727272729</v>
      </c>
      <c r="Y93" s="116">
        <f t="shared" si="15"/>
        <v>9.7902097902097904E-2</v>
      </c>
      <c r="Z93" s="116">
        <f t="shared" si="16"/>
        <v>6.2937062937062943E-2</v>
      </c>
      <c r="AA93" s="116">
        <f t="shared" si="17"/>
        <v>2.097902097902098E-2</v>
      </c>
      <c r="AB93" s="116">
        <f t="shared" si="18"/>
        <v>2.7972027972027972E-2</v>
      </c>
      <c r="AC93" s="117">
        <f t="shared" si="19"/>
        <v>6.2937062937062943E-2</v>
      </c>
      <c r="AD93" s="115">
        <f t="shared" si="20"/>
        <v>0</v>
      </c>
      <c r="AE93" s="116">
        <f t="shared" si="21"/>
        <v>0</v>
      </c>
      <c r="AF93" s="116">
        <f t="shared" si="22"/>
        <v>0</v>
      </c>
      <c r="AG93" s="116">
        <f t="shared" si="23"/>
        <v>0</v>
      </c>
      <c r="AH93" s="116">
        <f t="shared" si="24"/>
        <v>0</v>
      </c>
      <c r="AI93" s="116">
        <f t="shared" si="25"/>
        <v>0</v>
      </c>
      <c r="AJ93" s="121">
        <f>Input!$D$22*RBs!C93+Input!$D$23*RBs!D93+Input!$D$24*RBs!X93+Input!$D$25*RBs!Y93+Input!$D$26*RBs!Z93+Input!$D$27*RBs!AA93+Input!$D$28*RBs!AB93+Input!$D$29*RBs!AC93+Input!$D$30*RBs!E93+Input!$D$31*RBs!G93+Input!$D$32*RBs!H93+Input!$D$33*RBs!AD93+Input!$D$34*RBs!AE93+Input!$D$35*RBs!AF93+Input!$D$36*RBs!AG93+Input!$D$37*RBs!AH93+Input!$D$38*RBs!AI93+Input!$D$39*RBs!I93+Input!$D$40*RBs!K93</f>
        <v>24.526223776223773</v>
      </c>
    </row>
    <row r="94" spans="1:36" x14ac:dyDescent="0.25">
      <c r="A94" s="89" t="s">
        <v>324</v>
      </c>
      <c r="B94" s="90" t="s">
        <v>196</v>
      </c>
      <c r="C94" s="45">
        <v>2</v>
      </c>
      <c r="D94" s="37">
        <f>1.5*C94</f>
        <v>3</v>
      </c>
      <c r="E94" s="37">
        <v>0</v>
      </c>
      <c r="F94" s="38">
        <v>0</v>
      </c>
      <c r="G94" s="45">
        <v>30</v>
      </c>
      <c r="H94" s="37">
        <f>5.5*G94</f>
        <v>165</v>
      </c>
      <c r="I94" s="37">
        <v>0</v>
      </c>
      <c r="J94" s="38">
        <v>1</v>
      </c>
      <c r="K94" s="37">
        <v>0</v>
      </c>
      <c r="L94" s="81">
        <v>0.72727272727272729</v>
      </c>
      <c r="M94" s="82">
        <v>9.7902097902097904E-2</v>
      </c>
      <c r="N94" s="82">
        <v>6.2937062937062943E-2</v>
      </c>
      <c r="O94" s="82">
        <v>2.097902097902098E-2</v>
      </c>
      <c r="P94" s="82">
        <v>2.7972027972027972E-2</v>
      </c>
      <c r="Q94" s="83">
        <v>6.2937062937062943E-2</v>
      </c>
      <c r="R94" s="81">
        <v>0.3</v>
      </c>
      <c r="S94" s="82">
        <v>0.33333333333333331</v>
      </c>
      <c r="T94" s="82">
        <v>0.16666666666666666</v>
      </c>
      <c r="U94" s="82">
        <v>0.1</v>
      </c>
      <c r="V94" s="82">
        <v>3.3333333333333333E-2</v>
      </c>
      <c r="W94" s="83">
        <v>6.6666666666666666E-2</v>
      </c>
      <c r="X94" s="115">
        <f t="shared" si="14"/>
        <v>0</v>
      </c>
      <c r="Y94" s="116">
        <f t="shared" si="15"/>
        <v>0</v>
      </c>
      <c r="Z94" s="116">
        <f t="shared" si="16"/>
        <v>0</v>
      </c>
      <c r="AA94" s="116">
        <f t="shared" si="17"/>
        <v>0</v>
      </c>
      <c r="AB94" s="116">
        <f t="shared" si="18"/>
        <v>0</v>
      </c>
      <c r="AC94" s="117">
        <f t="shared" si="19"/>
        <v>0</v>
      </c>
      <c r="AD94" s="115">
        <f t="shared" si="20"/>
        <v>0.3</v>
      </c>
      <c r="AE94" s="116">
        <f t="shared" si="21"/>
        <v>0.33333333333333331</v>
      </c>
      <c r="AF94" s="116">
        <f t="shared" si="22"/>
        <v>0.16666666666666666</v>
      </c>
      <c r="AG94" s="116">
        <f t="shared" si="23"/>
        <v>0.1</v>
      </c>
      <c r="AH94" s="116">
        <f t="shared" si="24"/>
        <v>3.3333333333333333E-2</v>
      </c>
      <c r="AI94" s="116">
        <f t="shared" si="25"/>
        <v>6.6666666666666666E-2</v>
      </c>
      <c r="AJ94" s="121">
        <f>Input!$D$22*RBs!C94+Input!$D$23*RBs!D94+Input!$D$24*RBs!X94+Input!$D$25*RBs!Y94+Input!$D$26*RBs!Z94+Input!$D$27*RBs!AA94+Input!$D$28*RBs!AB94+Input!$D$29*RBs!AC94+Input!$D$30*RBs!E94+Input!$D$31*RBs!G94+Input!$D$32*RBs!H94+Input!$D$33*RBs!AD94+Input!$D$34*RBs!AE94+Input!$D$35*RBs!AF94+Input!$D$36*RBs!AG94+Input!$D$37*RBs!AH94+Input!$D$38*RBs!AI94+Input!$D$39*RBs!I94+Input!$D$40*RBs!K94</f>
        <v>24.299999999999997</v>
      </c>
    </row>
    <row r="95" spans="1:36" x14ac:dyDescent="0.25">
      <c r="A95" s="89" t="s">
        <v>325</v>
      </c>
      <c r="B95" s="90" t="s">
        <v>152</v>
      </c>
      <c r="C95" s="45">
        <v>40</v>
      </c>
      <c r="D95" s="37">
        <f>3.7*C95</f>
        <v>148</v>
      </c>
      <c r="E95" s="37">
        <v>0</v>
      </c>
      <c r="F95" s="38">
        <v>1</v>
      </c>
      <c r="G95" s="45">
        <v>3</v>
      </c>
      <c r="H95" s="37">
        <f>6*G95</f>
        <v>18</v>
      </c>
      <c r="I95" s="37">
        <v>0</v>
      </c>
      <c r="J95" s="38">
        <v>0</v>
      </c>
      <c r="K95" s="37">
        <v>0</v>
      </c>
      <c r="L95" s="81">
        <v>0.72727272727272729</v>
      </c>
      <c r="M95" s="82">
        <v>9.7902097902097904E-2</v>
      </c>
      <c r="N95" s="82">
        <v>6.2937062937062943E-2</v>
      </c>
      <c r="O95" s="82">
        <v>2.097902097902098E-2</v>
      </c>
      <c r="P95" s="82">
        <v>2.7972027972027972E-2</v>
      </c>
      <c r="Q95" s="83">
        <v>6.2937062937062943E-2</v>
      </c>
      <c r="R95" s="81">
        <v>0.3</v>
      </c>
      <c r="S95" s="82">
        <v>0.33333333333333331</v>
      </c>
      <c r="T95" s="82">
        <v>0.16666666666666666</v>
      </c>
      <c r="U95" s="82">
        <v>0.1</v>
      </c>
      <c r="V95" s="82">
        <v>3.3333333333333333E-2</v>
      </c>
      <c r="W95" s="83">
        <v>6.6666666666666666E-2</v>
      </c>
      <c r="X95" s="115">
        <f t="shared" si="14"/>
        <v>0.72727272727272729</v>
      </c>
      <c r="Y95" s="116">
        <f t="shared" si="15"/>
        <v>9.7902097902097904E-2</v>
      </c>
      <c r="Z95" s="116">
        <f t="shared" si="16"/>
        <v>6.2937062937062943E-2</v>
      </c>
      <c r="AA95" s="116">
        <f t="shared" si="17"/>
        <v>2.097902097902098E-2</v>
      </c>
      <c r="AB95" s="116">
        <f t="shared" si="18"/>
        <v>2.7972027972027972E-2</v>
      </c>
      <c r="AC95" s="117">
        <f t="shared" si="19"/>
        <v>6.2937062937062943E-2</v>
      </c>
      <c r="AD95" s="115">
        <f t="shared" si="20"/>
        <v>0</v>
      </c>
      <c r="AE95" s="116">
        <f t="shared" si="21"/>
        <v>0</v>
      </c>
      <c r="AF95" s="116">
        <f t="shared" si="22"/>
        <v>0</v>
      </c>
      <c r="AG95" s="116">
        <f t="shared" si="23"/>
        <v>0</v>
      </c>
      <c r="AH95" s="116">
        <f t="shared" si="24"/>
        <v>0</v>
      </c>
      <c r="AI95" s="116">
        <f t="shared" si="25"/>
        <v>0</v>
      </c>
      <c r="AJ95" s="121">
        <f>Input!$D$22*RBs!C95+Input!$D$23*RBs!D95+Input!$D$24*RBs!X95+Input!$D$25*RBs!Y95+Input!$D$26*RBs!Z95+Input!$D$27*RBs!AA95+Input!$D$28*RBs!AB95+Input!$D$29*RBs!AC95+Input!$D$30*RBs!E95+Input!$D$31*RBs!G95+Input!$D$32*RBs!H95+Input!$D$33*RBs!AD95+Input!$D$34*RBs!AE95+Input!$D$35*RBs!AF95+Input!$D$36*RBs!AG95+Input!$D$37*RBs!AH95+Input!$D$38*RBs!AI95+Input!$D$39*RBs!I95+Input!$D$40*RBs!K95</f>
        <v>23.376223776223782</v>
      </c>
    </row>
    <row r="96" spans="1:36" x14ac:dyDescent="0.25">
      <c r="A96" s="89" t="s">
        <v>326</v>
      </c>
      <c r="B96" s="90" t="s">
        <v>150</v>
      </c>
      <c r="C96" s="45">
        <v>30</v>
      </c>
      <c r="D96" s="37">
        <f>3.7*C96</f>
        <v>111</v>
      </c>
      <c r="E96" s="37">
        <v>0</v>
      </c>
      <c r="F96" s="38">
        <v>1</v>
      </c>
      <c r="G96" s="45">
        <v>5</v>
      </c>
      <c r="H96" s="37">
        <f>7.9*G96</f>
        <v>39.5</v>
      </c>
      <c r="I96" s="37">
        <v>0</v>
      </c>
      <c r="J96" s="38">
        <v>0</v>
      </c>
      <c r="K96" s="37">
        <v>0</v>
      </c>
      <c r="L96" s="81">
        <v>0.72727272727272729</v>
      </c>
      <c r="M96" s="82">
        <v>9.7902097902097904E-2</v>
      </c>
      <c r="N96" s="82">
        <v>6.2937062937062943E-2</v>
      </c>
      <c r="O96" s="82">
        <v>2.097902097902098E-2</v>
      </c>
      <c r="P96" s="82">
        <v>2.7972027972027972E-2</v>
      </c>
      <c r="Q96" s="83">
        <v>6.2937062937062943E-2</v>
      </c>
      <c r="R96" s="81">
        <v>0.3</v>
      </c>
      <c r="S96" s="82">
        <v>0.33333333333333331</v>
      </c>
      <c r="T96" s="82">
        <v>0.16666666666666666</v>
      </c>
      <c r="U96" s="82">
        <v>0.1</v>
      </c>
      <c r="V96" s="82">
        <v>3.3333333333333333E-2</v>
      </c>
      <c r="W96" s="83">
        <v>6.6666666666666666E-2</v>
      </c>
      <c r="X96" s="115">
        <f t="shared" si="14"/>
        <v>0.72727272727272729</v>
      </c>
      <c r="Y96" s="116">
        <f t="shared" si="15"/>
        <v>9.7902097902097904E-2</v>
      </c>
      <c r="Z96" s="116">
        <f t="shared" si="16"/>
        <v>6.2937062937062943E-2</v>
      </c>
      <c r="AA96" s="116">
        <f t="shared" si="17"/>
        <v>2.097902097902098E-2</v>
      </c>
      <c r="AB96" s="116">
        <f t="shared" si="18"/>
        <v>2.7972027972027972E-2</v>
      </c>
      <c r="AC96" s="117">
        <f t="shared" si="19"/>
        <v>6.2937062937062943E-2</v>
      </c>
      <c r="AD96" s="115">
        <f t="shared" si="20"/>
        <v>0</v>
      </c>
      <c r="AE96" s="116">
        <f t="shared" si="21"/>
        <v>0</v>
      </c>
      <c r="AF96" s="116">
        <f t="shared" si="22"/>
        <v>0</v>
      </c>
      <c r="AG96" s="116">
        <f t="shared" si="23"/>
        <v>0</v>
      </c>
      <c r="AH96" s="116">
        <f t="shared" si="24"/>
        <v>0</v>
      </c>
      <c r="AI96" s="116">
        <f t="shared" si="25"/>
        <v>0</v>
      </c>
      <c r="AJ96" s="121">
        <f>Input!$D$22*RBs!C96+Input!$D$23*RBs!D96+Input!$D$24*RBs!X96+Input!$D$25*RBs!Y96+Input!$D$26*RBs!Z96+Input!$D$27*RBs!AA96+Input!$D$28*RBs!AB96+Input!$D$29*RBs!AC96+Input!$D$30*RBs!E96+Input!$D$31*RBs!G96+Input!$D$32*RBs!H96+Input!$D$33*RBs!AD96+Input!$D$34*RBs!AE96+Input!$D$35*RBs!AF96+Input!$D$36*RBs!AG96+Input!$D$37*RBs!AH96+Input!$D$38*RBs!AI96+Input!$D$39*RBs!I96+Input!$D$40*RBs!K96</f>
        <v>21.826223776223781</v>
      </c>
    </row>
    <row r="97" spans="1:36" x14ac:dyDescent="0.25">
      <c r="A97" s="89" t="s">
        <v>327</v>
      </c>
      <c r="B97" s="90" t="s">
        <v>166</v>
      </c>
      <c r="C97" s="45">
        <v>35</v>
      </c>
      <c r="D97" s="37">
        <f>3.3*C97</f>
        <v>115.5</v>
      </c>
      <c r="E97" s="37">
        <v>0</v>
      </c>
      <c r="F97" s="38">
        <v>1</v>
      </c>
      <c r="G97" s="45">
        <v>0</v>
      </c>
      <c r="H97" s="37">
        <v>0</v>
      </c>
      <c r="I97" s="37">
        <v>0</v>
      </c>
      <c r="J97" s="38">
        <v>0</v>
      </c>
      <c r="K97" s="37">
        <v>0</v>
      </c>
      <c r="L97" s="81">
        <v>0.72727272727272729</v>
      </c>
      <c r="M97" s="82">
        <v>9.7902097902097904E-2</v>
      </c>
      <c r="N97" s="82">
        <v>6.2937062937062943E-2</v>
      </c>
      <c r="O97" s="82">
        <v>2.097902097902098E-2</v>
      </c>
      <c r="P97" s="82">
        <v>2.7972027972027972E-2</v>
      </c>
      <c r="Q97" s="83">
        <v>6.2937062937062943E-2</v>
      </c>
      <c r="R97" s="81">
        <v>0.3</v>
      </c>
      <c r="S97" s="82">
        <v>0.33333333333333331</v>
      </c>
      <c r="T97" s="82">
        <v>0.16666666666666666</v>
      </c>
      <c r="U97" s="82">
        <v>0.1</v>
      </c>
      <c r="V97" s="82">
        <v>3.3333333333333333E-2</v>
      </c>
      <c r="W97" s="83">
        <v>6.6666666666666666E-2</v>
      </c>
      <c r="X97" s="115">
        <f t="shared" si="14"/>
        <v>0.72727272727272729</v>
      </c>
      <c r="Y97" s="116">
        <f t="shared" si="15"/>
        <v>9.7902097902097904E-2</v>
      </c>
      <c r="Z97" s="116">
        <f t="shared" si="16"/>
        <v>6.2937062937062943E-2</v>
      </c>
      <c r="AA97" s="116">
        <f t="shared" si="17"/>
        <v>2.097902097902098E-2</v>
      </c>
      <c r="AB97" s="116">
        <f t="shared" si="18"/>
        <v>2.7972027972027972E-2</v>
      </c>
      <c r="AC97" s="117">
        <f t="shared" si="19"/>
        <v>6.2937062937062943E-2</v>
      </c>
      <c r="AD97" s="115">
        <f t="shared" si="20"/>
        <v>0</v>
      </c>
      <c r="AE97" s="116">
        <f t="shared" si="21"/>
        <v>0</v>
      </c>
      <c r="AF97" s="116">
        <f t="shared" si="22"/>
        <v>0</v>
      </c>
      <c r="AG97" s="116">
        <f t="shared" si="23"/>
        <v>0</v>
      </c>
      <c r="AH97" s="116">
        <f t="shared" si="24"/>
        <v>0</v>
      </c>
      <c r="AI97" s="116">
        <f t="shared" si="25"/>
        <v>0</v>
      </c>
      <c r="AJ97" s="121">
        <f>Input!$D$22*RBs!C97+Input!$D$23*RBs!D97+Input!$D$24*RBs!X97+Input!$D$25*RBs!Y97+Input!$D$26*RBs!Z97+Input!$D$27*RBs!AA97+Input!$D$28*RBs!AB97+Input!$D$29*RBs!AC97+Input!$D$30*RBs!E97+Input!$D$31*RBs!G97+Input!$D$32*RBs!H97+Input!$D$33*RBs!AD97+Input!$D$34*RBs!AE97+Input!$D$35*RBs!AF97+Input!$D$36*RBs!AG97+Input!$D$37*RBs!AH97+Input!$D$38*RBs!AI97+Input!$D$39*RBs!I97+Input!$D$40*RBs!K97</f>
        <v>18.326223776223781</v>
      </c>
    </row>
    <row r="98" spans="1:36" x14ac:dyDescent="0.25">
      <c r="A98" s="89" t="s">
        <v>328</v>
      </c>
      <c r="B98" s="90" t="s">
        <v>174</v>
      </c>
      <c r="C98" s="45">
        <v>6</v>
      </c>
      <c r="D98" s="37">
        <f>4.1*C98</f>
        <v>24.599999999999998</v>
      </c>
      <c r="E98" s="37">
        <v>0</v>
      </c>
      <c r="F98" s="38">
        <v>0</v>
      </c>
      <c r="G98" s="45">
        <v>19</v>
      </c>
      <c r="H98" s="37">
        <f>7*G98</f>
        <v>133</v>
      </c>
      <c r="I98" s="37">
        <v>0</v>
      </c>
      <c r="J98" s="38">
        <v>0</v>
      </c>
      <c r="K98" s="37">
        <v>0</v>
      </c>
      <c r="L98" s="81">
        <v>0.72727272727272729</v>
      </c>
      <c r="M98" s="82">
        <v>9.7902097902097904E-2</v>
      </c>
      <c r="N98" s="82">
        <v>6.2937062937062943E-2</v>
      </c>
      <c r="O98" s="82">
        <v>2.097902097902098E-2</v>
      </c>
      <c r="P98" s="82">
        <v>2.7972027972027972E-2</v>
      </c>
      <c r="Q98" s="83">
        <v>6.2937062937062943E-2</v>
      </c>
      <c r="R98" s="81">
        <v>0.3</v>
      </c>
      <c r="S98" s="82">
        <v>0.33333333333333331</v>
      </c>
      <c r="T98" s="82">
        <v>0.16666666666666666</v>
      </c>
      <c r="U98" s="82">
        <v>0.1</v>
      </c>
      <c r="V98" s="82">
        <v>3.3333333333333333E-2</v>
      </c>
      <c r="W98" s="83">
        <v>6.6666666666666666E-2</v>
      </c>
      <c r="X98" s="115">
        <f t="shared" si="14"/>
        <v>0</v>
      </c>
      <c r="Y98" s="116">
        <f t="shared" si="15"/>
        <v>0</v>
      </c>
      <c r="Z98" s="116">
        <f t="shared" si="16"/>
        <v>0</v>
      </c>
      <c r="AA98" s="116">
        <f t="shared" si="17"/>
        <v>0</v>
      </c>
      <c r="AB98" s="116">
        <f t="shared" si="18"/>
        <v>0</v>
      </c>
      <c r="AC98" s="117">
        <f t="shared" si="19"/>
        <v>0</v>
      </c>
      <c r="AD98" s="115">
        <f t="shared" si="20"/>
        <v>0</v>
      </c>
      <c r="AE98" s="116">
        <f t="shared" si="21"/>
        <v>0</v>
      </c>
      <c r="AF98" s="116">
        <f t="shared" si="22"/>
        <v>0</v>
      </c>
      <c r="AG98" s="116">
        <f t="shared" si="23"/>
        <v>0</v>
      </c>
      <c r="AH98" s="116">
        <f t="shared" si="24"/>
        <v>0</v>
      </c>
      <c r="AI98" s="116">
        <f t="shared" si="25"/>
        <v>0</v>
      </c>
      <c r="AJ98" s="121">
        <f>Input!$D$22*RBs!C98+Input!$D$23*RBs!D98+Input!$D$24*RBs!X98+Input!$D$25*RBs!Y98+Input!$D$26*RBs!Z98+Input!$D$27*RBs!AA98+Input!$D$28*RBs!AB98+Input!$D$29*RBs!AC98+Input!$D$30*RBs!E98+Input!$D$31*RBs!G98+Input!$D$32*RBs!H98+Input!$D$33*RBs!AD98+Input!$D$34*RBs!AE98+Input!$D$35*RBs!AF98+Input!$D$36*RBs!AG98+Input!$D$37*RBs!AH98+Input!$D$38*RBs!AI98+Input!$D$39*RBs!I98+Input!$D$40*RBs!K98</f>
        <v>15.760000000000002</v>
      </c>
    </row>
    <row r="99" spans="1:36" x14ac:dyDescent="0.25">
      <c r="A99" s="89" t="s">
        <v>329</v>
      </c>
      <c r="B99" s="90" t="s">
        <v>144</v>
      </c>
      <c r="C99" s="45">
        <v>20</v>
      </c>
      <c r="D99" s="37">
        <f>4*C99</f>
        <v>80</v>
      </c>
      <c r="E99" s="37">
        <v>0</v>
      </c>
      <c r="F99" s="38">
        <v>0</v>
      </c>
      <c r="G99" s="45">
        <v>4</v>
      </c>
      <c r="H99" s="37">
        <f>7.5*G99</f>
        <v>30</v>
      </c>
      <c r="I99" s="37">
        <v>0</v>
      </c>
      <c r="J99" s="38">
        <v>0</v>
      </c>
      <c r="K99" s="37">
        <v>0</v>
      </c>
      <c r="L99" s="81">
        <v>0.72727272727272729</v>
      </c>
      <c r="M99" s="82">
        <v>9.7902097902097904E-2</v>
      </c>
      <c r="N99" s="82">
        <v>6.2937062937062943E-2</v>
      </c>
      <c r="O99" s="82">
        <v>2.097902097902098E-2</v>
      </c>
      <c r="P99" s="82">
        <v>2.7972027972027972E-2</v>
      </c>
      <c r="Q99" s="83">
        <v>6.2937062937062943E-2</v>
      </c>
      <c r="R99" s="81">
        <v>0.3</v>
      </c>
      <c r="S99" s="82">
        <v>0.33333333333333331</v>
      </c>
      <c r="T99" s="82">
        <v>0.16666666666666666</v>
      </c>
      <c r="U99" s="82">
        <v>0.1</v>
      </c>
      <c r="V99" s="82">
        <v>3.3333333333333333E-2</v>
      </c>
      <c r="W99" s="83">
        <v>6.6666666666666666E-2</v>
      </c>
      <c r="X99" s="115">
        <f t="shared" si="14"/>
        <v>0</v>
      </c>
      <c r="Y99" s="116">
        <f t="shared" si="15"/>
        <v>0</v>
      </c>
      <c r="Z99" s="116">
        <f t="shared" si="16"/>
        <v>0</v>
      </c>
      <c r="AA99" s="116">
        <f t="shared" si="17"/>
        <v>0</v>
      </c>
      <c r="AB99" s="116">
        <f t="shared" si="18"/>
        <v>0</v>
      </c>
      <c r="AC99" s="117">
        <f t="shared" si="19"/>
        <v>0</v>
      </c>
      <c r="AD99" s="115">
        <f t="shared" si="20"/>
        <v>0</v>
      </c>
      <c r="AE99" s="116">
        <f t="shared" si="21"/>
        <v>0</v>
      </c>
      <c r="AF99" s="116">
        <f t="shared" si="22"/>
        <v>0</v>
      </c>
      <c r="AG99" s="116">
        <f t="shared" si="23"/>
        <v>0</v>
      </c>
      <c r="AH99" s="116">
        <f t="shared" si="24"/>
        <v>0</v>
      </c>
      <c r="AI99" s="116">
        <f t="shared" si="25"/>
        <v>0</v>
      </c>
      <c r="AJ99" s="121">
        <f>Input!$D$22*RBs!C99+Input!$D$23*RBs!D99+Input!$D$24*RBs!X99+Input!$D$25*RBs!Y99+Input!$D$26*RBs!Z99+Input!$D$27*RBs!AA99+Input!$D$28*RBs!AB99+Input!$D$29*RBs!AC99+Input!$D$30*RBs!E99+Input!$D$31*RBs!G99+Input!$D$32*RBs!H99+Input!$D$33*RBs!AD99+Input!$D$34*RBs!AE99+Input!$D$35*RBs!AF99+Input!$D$36*RBs!AG99+Input!$D$37*RBs!AH99+Input!$D$38*RBs!AI99+Input!$D$39*RBs!I99+Input!$D$40*RBs!K99</f>
        <v>11</v>
      </c>
    </row>
    <row r="100" spans="1:36" x14ac:dyDescent="0.25">
      <c r="A100" s="89" t="s">
        <v>330</v>
      </c>
      <c r="B100" s="90" t="s">
        <v>154</v>
      </c>
      <c r="C100" s="45">
        <v>5</v>
      </c>
      <c r="D100" s="37">
        <f>2.9*C100</f>
        <v>14.5</v>
      </c>
      <c r="E100" s="37">
        <v>0</v>
      </c>
      <c r="F100" s="38">
        <v>0</v>
      </c>
      <c r="G100" s="45">
        <v>12</v>
      </c>
      <c r="H100" s="37">
        <f>7.5*G100</f>
        <v>90</v>
      </c>
      <c r="I100" s="37">
        <v>0</v>
      </c>
      <c r="J100" s="38">
        <v>0</v>
      </c>
      <c r="K100" s="37">
        <v>0</v>
      </c>
      <c r="L100" s="81">
        <v>0.72727272727272729</v>
      </c>
      <c r="M100" s="82">
        <v>9.7902097902097904E-2</v>
      </c>
      <c r="N100" s="82">
        <v>6.2937062937062943E-2</v>
      </c>
      <c r="O100" s="82">
        <v>2.097902097902098E-2</v>
      </c>
      <c r="P100" s="82">
        <v>2.7972027972027972E-2</v>
      </c>
      <c r="Q100" s="83">
        <v>6.2937062937062943E-2</v>
      </c>
      <c r="R100" s="81">
        <v>0.3</v>
      </c>
      <c r="S100" s="82">
        <v>0.33333333333333331</v>
      </c>
      <c r="T100" s="82">
        <v>0.16666666666666666</v>
      </c>
      <c r="U100" s="82">
        <v>0.1</v>
      </c>
      <c r="V100" s="82">
        <v>3.3333333333333333E-2</v>
      </c>
      <c r="W100" s="83">
        <v>6.6666666666666666E-2</v>
      </c>
      <c r="X100" s="115">
        <f t="shared" si="14"/>
        <v>0</v>
      </c>
      <c r="Y100" s="116">
        <f t="shared" si="15"/>
        <v>0</v>
      </c>
      <c r="Z100" s="116">
        <f t="shared" si="16"/>
        <v>0</v>
      </c>
      <c r="AA100" s="116">
        <f t="shared" si="17"/>
        <v>0</v>
      </c>
      <c r="AB100" s="116">
        <f t="shared" si="18"/>
        <v>0</v>
      </c>
      <c r="AC100" s="117">
        <f t="shared" si="19"/>
        <v>0</v>
      </c>
      <c r="AD100" s="115">
        <f t="shared" si="20"/>
        <v>0</v>
      </c>
      <c r="AE100" s="116">
        <f t="shared" si="21"/>
        <v>0</v>
      </c>
      <c r="AF100" s="116">
        <f t="shared" si="22"/>
        <v>0</v>
      </c>
      <c r="AG100" s="116">
        <f t="shared" si="23"/>
        <v>0</v>
      </c>
      <c r="AH100" s="116">
        <f t="shared" si="24"/>
        <v>0</v>
      </c>
      <c r="AI100" s="116">
        <f t="shared" si="25"/>
        <v>0</v>
      </c>
      <c r="AJ100" s="121">
        <f>Input!$D$22*RBs!C100+Input!$D$23*RBs!D100+Input!$D$24*RBs!X100+Input!$D$25*RBs!Y100+Input!$D$26*RBs!Z100+Input!$D$27*RBs!AA100+Input!$D$28*RBs!AB100+Input!$D$29*RBs!AC100+Input!$D$30*RBs!E100+Input!$D$31*RBs!G100+Input!$D$32*RBs!H100+Input!$D$33*RBs!AD100+Input!$D$34*RBs!AE100+Input!$D$35*RBs!AF100+Input!$D$36*RBs!AG100+Input!$D$37*RBs!AH100+Input!$D$38*RBs!AI100+Input!$D$39*RBs!I100+Input!$D$40*RBs!K100</f>
        <v>10.45</v>
      </c>
    </row>
    <row r="101" spans="1:36" x14ac:dyDescent="0.25">
      <c r="A101" s="89" t="s">
        <v>331</v>
      </c>
      <c r="B101" s="90" t="s">
        <v>190</v>
      </c>
      <c r="C101" s="45">
        <v>4</v>
      </c>
      <c r="D101" s="37">
        <f>3.2*C101</f>
        <v>12.8</v>
      </c>
      <c r="E101" s="37">
        <v>0</v>
      </c>
      <c r="F101" s="38">
        <v>0</v>
      </c>
      <c r="G101" s="45">
        <v>12</v>
      </c>
      <c r="H101" s="37">
        <f>7.1*G101</f>
        <v>85.199999999999989</v>
      </c>
      <c r="I101" s="37">
        <v>0</v>
      </c>
      <c r="J101" s="38">
        <v>0</v>
      </c>
      <c r="K101" s="37">
        <v>0</v>
      </c>
      <c r="L101" s="81">
        <v>0.72727272727272729</v>
      </c>
      <c r="M101" s="82">
        <v>9.7902097902097904E-2</v>
      </c>
      <c r="N101" s="82">
        <v>6.2937062937062943E-2</v>
      </c>
      <c r="O101" s="82">
        <v>2.097902097902098E-2</v>
      </c>
      <c r="P101" s="82">
        <v>2.7972027972027972E-2</v>
      </c>
      <c r="Q101" s="83">
        <v>6.2937062937062943E-2</v>
      </c>
      <c r="R101" s="81">
        <v>0.3</v>
      </c>
      <c r="S101" s="82">
        <v>0.33333333333333331</v>
      </c>
      <c r="T101" s="82">
        <v>0.16666666666666666</v>
      </c>
      <c r="U101" s="82">
        <v>0.1</v>
      </c>
      <c r="V101" s="82">
        <v>3.3333333333333333E-2</v>
      </c>
      <c r="W101" s="83">
        <v>6.6666666666666666E-2</v>
      </c>
      <c r="X101" s="115">
        <f t="shared" si="14"/>
        <v>0</v>
      </c>
      <c r="Y101" s="116">
        <f t="shared" si="15"/>
        <v>0</v>
      </c>
      <c r="Z101" s="116">
        <f t="shared" si="16"/>
        <v>0</v>
      </c>
      <c r="AA101" s="116">
        <f t="shared" si="17"/>
        <v>0</v>
      </c>
      <c r="AB101" s="116">
        <f t="shared" si="18"/>
        <v>0</v>
      </c>
      <c r="AC101" s="117">
        <f t="shared" si="19"/>
        <v>0</v>
      </c>
      <c r="AD101" s="115">
        <f t="shared" si="20"/>
        <v>0</v>
      </c>
      <c r="AE101" s="116">
        <f t="shared" si="21"/>
        <v>0</v>
      </c>
      <c r="AF101" s="116">
        <f t="shared" si="22"/>
        <v>0</v>
      </c>
      <c r="AG101" s="116">
        <f t="shared" si="23"/>
        <v>0</v>
      </c>
      <c r="AH101" s="116">
        <f t="shared" si="24"/>
        <v>0</v>
      </c>
      <c r="AI101" s="116">
        <f t="shared" si="25"/>
        <v>0</v>
      </c>
      <c r="AJ101" s="121">
        <f>Input!$D$22*RBs!C101+Input!$D$23*RBs!D101+Input!$D$24*RBs!X101+Input!$D$25*RBs!Y101+Input!$D$26*RBs!Z101+Input!$D$27*RBs!AA101+Input!$D$28*RBs!AB101+Input!$D$29*RBs!AC101+Input!$D$30*RBs!E101+Input!$D$31*RBs!G101+Input!$D$32*RBs!H101+Input!$D$33*RBs!AD101+Input!$D$34*RBs!AE101+Input!$D$35*RBs!AF101+Input!$D$36*RBs!AG101+Input!$D$37*RBs!AH101+Input!$D$38*RBs!AI101+Input!$D$39*RBs!I101+Input!$D$40*RBs!K101</f>
        <v>9.8000000000000007</v>
      </c>
    </row>
    <row r="102" spans="1:36" x14ac:dyDescent="0.25">
      <c r="A102" s="89" t="s">
        <v>332</v>
      </c>
      <c r="B102" s="90" t="s">
        <v>154</v>
      </c>
      <c r="C102" s="45">
        <v>40</v>
      </c>
      <c r="D102" s="37">
        <f>3.9*C102</f>
        <v>156</v>
      </c>
      <c r="E102" s="37">
        <v>0</v>
      </c>
      <c r="F102" s="38">
        <v>1</v>
      </c>
      <c r="G102" s="45">
        <v>6</v>
      </c>
      <c r="H102" s="37">
        <f>6*G102</f>
        <v>36</v>
      </c>
      <c r="I102" s="37">
        <v>0</v>
      </c>
      <c r="J102" s="38">
        <v>0</v>
      </c>
      <c r="K102" s="37">
        <v>0</v>
      </c>
      <c r="L102" s="81">
        <v>0.72727272727272729</v>
      </c>
      <c r="M102" s="82">
        <v>9.7902097902097904E-2</v>
      </c>
      <c r="N102" s="82">
        <v>6.2937062937062943E-2</v>
      </c>
      <c r="O102" s="82">
        <v>2.097902097902098E-2</v>
      </c>
      <c r="P102" s="82">
        <v>2.7972027972027972E-2</v>
      </c>
      <c r="Q102" s="83">
        <v>6.2937062937062943E-2</v>
      </c>
      <c r="R102" s="81">
        <v>0.3</v>
      </c>
      <c r="S102" s="82">
        <v>0.33333333333333331</v>
      </c>
      <c r="T102" s="82">
        <v>0.16666666666666666</v>
      </c>
      <c r="U102" s="82">
        <v>0.1</v>
      </c>
      <c r="V102" s="82">
        <v>3.3333333333333333E-2</v>
      </c>
      <c r="W102" s="83">
        <v>6.6666666666666666E-2</v>
      </c>
      <c r="X102" s="115">
        <f t="shared" si="14"/>
        <v>0.72727272727272729</v>
      </c>
      <c r="Y102" s="116">
        <f t="shared" si="15"/>
        <v>9.7902097902097904E-2</v>
      </c>
      <c r="Z102" s="116">
        <f t="shared" si="16"/>
        <v>6.2937062937062943E-2</v>
      </c>
      <c r="AA102" s="116">
        <f t="shared" si="17"/>
        <v>2.097902097902098E-2</v>
      </c>
      <c r="AB102" s="116">
        <f t="shared" si="18"/>
        <v>2.7972027972027972E-2</v>
      </c>
      <c r="AC102" s="117">
        <f t="shared" si="19"/>
        <v>6.2937062937062943E-2</v>
      </c>
      <c r="AD102" s="115">
        <f t="shared" si="20"/>
        <v>0</v>
      </c>
      <c r="AE102" s="116">
        <f t="shared" si="21"/>
        <v>0</v>
      </c>
      <c r="AF102" s="116">
        <f t="shared" si="22"/>
        <v>0</v>
      </c>
      <c r="AG102" s="116">
        <f t="shared" si="23"/>
        <v>0</v>
      </c>
      <c r="AH102" s="116">
        <f t="shared" si="24"/>
        <v>0</v>
      </c>
      <c r="AI102" s="116">
        <f t="shared" si="25"/>
        <v>0</v>
      </c>
      <c r="AJ102" s="121">
        <f>Input!$D$22*RBs!C102+Input!$D$23*RBs!D102+Input!$D$24*RBs!X102+Input!$D$25*RBs!Y102+Input!$D$26*RBs!Z102+Input!$D$27*RBs!AA102+Input!$D$28*RBs!AB102+Input!$D$29*RBs!AC102+Input!$D$30*RBs!E102+Input!$D$31*RBs!G102+Input!$D$32*RBs!H102+Input!$D$33*RBs!AD102+Input!$D$34*RBs!AE102+Input!$D$35*RBs!AF102+Input!$D$36*RBs!AG102+Input!$D$37*RBs!AH102+Input!$D$38*RBs!AI102+Input!$D$39*RBs!I102+Input!$D$40*RBs!K102</f>
        <v>25.976223776223783</v>
      </c>
    </row>
    <row r="103" spans="1:36" x14ac:dyDescent="0.25">
      <c r="A103" s="89" t="s">
        <v>333</v>
      </c>
      <c r="B103" s="90" t="s">
        <v>138</v>
      </c>
      <c r="C103" s="45">
        <v>20</v>
      </c>
      <c r="D103" s="37">
        <f>3*C103</f>
        <v>60</v>
      </c>
      <c r="E103" s="37">
        <v>0</v>
      </c>
      <c r="F103" s="38">
        <v>0</v>
      </c>
      <c r="G103" s="45">
        <v>5</v>
      </c>
      <c r="H103" s="37">
        <f>6.7*G103</f>
        <v>33.5</v>
      </c>
      <c r="I103" s="37">
        <v>0</v>
      </c>
      <c r="J103" s="38">
        <v>0</v>
      </c>
      <c r="K103" s="37">
        <v>0</v>
      </c>
      <c r="L103" s="81">
        <v>0.72727272727272729</v>
      </c>
      <c r="M103" s="82">
        <v>9.7902097902097904E-2</v>
      </c>
      <c r="N103" s="82">
        <v>6.2937062937062943E-2</v>
      </c>
      <c r="O103" s="82">
        <v>2.097902097902098E-2</v>
      </c>
      <c r="P103" s="82">
        <v>2.7972027972027972E-2</v>
      </c>
      <c r="Q103" s="83">
        <v>6.2937062937062943E-2</v>
      </c>
      <c r="R103" s="81">
        <v>0.3</v>
      </c>
      <c r="S103" s="82">
        <v>0.33333333333333331</v>
      </c>
      <c r="T103" s="82">
        <v>0.16666666666666666</v>
      </c>
      <c r="U103" s="82">
        <v>0.1</v>
      </c>
      <c r="V103" s="82">
        <v>3.3333333333333333E-2</v>
      </c>
      <c r="W103" s="83">
        <v>6.6666666666666666E-2</v>
      </c>
      <c r="X103" s="115">
        <f t="shared" si="14"/>
        <v>0</v>
      </c>
      <c r="Y103" s="116">
        <f t="shared" si="15"/>
        <v>0</v>
      </c>
      <c r="Z103" s="116">
        <f t="shared" si="16"/>
        <v>0</v>
      </c>
      <c r="AA103" s="116">
        <f t="shared" si="17"/>
        <v>0</v>
      </c>
      <c r="AB103" s="116">
        <f t="shared" si="18"/>
        <v>0</v>
      </c>
      <c r="AC103" s="117">
        <f t="shared" si="19"/>
        <v>0</v>
      </c>
      <c r="AD103" s="115">
        <f t="shared" si="20"/>
        <v>0</v>
      </c>
      <c r="AE103" s="116">
        <f t="shared" si="21"/>
        <v>0</v>
      </c>
      <c r="AF103" s="116">
        <f t="shared" si="22"/>
        <v>0</v>
      </c>
      <c r="AG103" s="116">
        <f t="shared" si="23"/>
        <v>0</v>
      </c>
      <c r="AH103" s="116">
        <f t="shared" si="24"/>
        <v>0</v>
      </c>
      <c r="AI103" s="116">
        <f t="shared" si="25"/>
        <v>0</v>
      </c>
      <c r="AJ103" s="121">
        <f>Input!$D$22*RBs!C103+Input!$D$23*RBs!D103+Input!$D$24*RBs!X103+Input!$D$25*RBs!Y103+Input!$D$26*RBs!Z103+Input!$D$27*RBs!AA103+Input!$D$28*RBs!AB103+Input!$D$29*RBs!AC103+Input!$D$30*RBs!E103+Input!$D$31*RBs!G103+Input!$D$32*RBs!H103+Input!$D$33*RBs!AD103+Input!$D$34*RBs!AE103+Input!$D$35*RBs!AF103+Input!$D$36*RBs!AG103+Input!$D$37*RBs!AH103+Input!$D$38*RBs!AI103+Input!$D$39*RBs!I103+Input!$D$40*RBs!K103</f>
        <v>9.35</v>
      </c>
    </row>
    <row r="104" spans="1:36" x14ac:dyDescent="0.25">
      <c r="A104" s="89" t="s">
        <v>334</v>
      </c>
      <c r="B104" s="90" t="s">
        <v>180</v>
      </c>
      <c r="C104" s="45">
        <v>10</v>
      </c>
      <c r="D104" s="37">
        <v>20</v>
      </c>
      <c r="E104" s="37">
        <v>0</v>
      </c>
      <c r="F104" s="38">
        <v>0</v>
      </c>
      <c r="G104" s="45">
        <v>10</v>
      </c>
      <c r="H104" s="37">
        <f>7*G104</f>
        <v>70</v>
      </c>
      <c r="I104" s="37">
        <v>0</v>
      </c>
      <c r="J104" s="38">
        <v>0</v>
      </c>
      <c r="K104" s="37">
        <v>0</v>
      </c>
      <c r="L104" s="81">
        <v>0.72727272727272729</v>
      </c>
      <c r="M104" s="82">
        <v>9.7902097902097904E-2</v>
      </c>
      <c r="N104" s="82">
        <v>6.2937062937062943E-2</v>
      </c>
      <c r="O104" s="82">
        <v>2.097902097902098E-2</v>
      </c>
      <c r="P104" s="82">
        <v>2.7972027972027972E-2</v>
      </c>
      <c r="Q104" s="83">
        <v>6.2937062937062943E-2</v>
      </c>
      <c r="R104" s="81">
        <v>0.3</v>
      </c>
      <c r="S104" s="82">
        <v>0.33333333333333331</v>
      </c>
      <c r="T104" s="82">
        <v>0.16666666666666666</v>
      </c>
      <c r="U104" s="82">
        <v>0.1</v>
      </c>
      <c r="V104" s="82">
        <v>3.3333333333333333E-2</v>
      </c>
      <c r="W104" s="83">
        <v>6.6666666666666666E-2</v>
      </c>
      <c r="X104" s="115">
        <f t="shared" si="14"/>
        <v>0</v>
      </c>
      <c r="Y104" s="116">
        <f t="shared" si="15"/>
        <v>0</v>
      </c>
      <c r="Z104" s="116">
        <f t="shared" si="16"/>
        <v>0</v>
      </c>
      <c r="AA104" s="116">
        <f t="shared" si="17"/>
        <v>0</v>
      </c>
      <c r="AB104" s="116">
        <f t="shared" si="18"/>
        <v>0</v>
      </c>
      <c r="AC104" s="117">
        <f t="shared" si="19"/>
        <v>0</v>
      </c>
      <c r="AD104" s="115">
        <f t="shared" si="20"/>
        <v>0</v>
      </c>
      <c r="AE104" s="116">
        <f t="shared" si="21"/>
        <v>0</v>
      </c>
      <c r="AF104" s="116">
        <f t="shared" si="22"/>
        <v>0</v>
      </c>
      <c r="AG104" s="116">
        <f t="shared" si="23"/>
        <v>0</v>
      </c>
      <c r="AH104" s="116">
        <f t="shared" si="24"/>
        <v>0</v>
      </c>
      <c r="AI104" s="116">
        <f t="shared" si="25"/>
        <v>0</v>
      </c>
      <c r="AJ104" s="121">
        <f>Input!$D$22*RBs!C104+Input!$D$23*RBs!D104+Input!$D$24*RBs!X104+Input!$D$25*RBs!Y104+Input!$D$26*RBs!Z104+Input!$D$27*RBs!AA104+Input!$D$28*RBs!AB104+Input!$D$29*RBs!AC104+Input!$D$30*RBs!E104+Input!$D$31*RBs!G104+Input!$D$32*RBs!H104+Input!$D$33*RBs!AD104+Input!$D$34*RBs!AE104+Input!$D$35*RBs!AF104+Input!$D$36*RBs!AG104+Input!$D$37*RBs!AH104+Input!$D$38*RBs!AI104+Input!$D$39*RBs!I104+Input!$D$40*RBs!K104</f>
        <v>9</v>
      </c>
    </row>
    <row r="105" spans="1:36" x14ac:dyDescent="0.25">
      <c r="A105" s="89" t="s">
        <v>335</v>
      </c>
      <c r="B105" s="90" t="s">
        <v>184</v>
      </c>
      <c r="C105" s="45">
        <v>25</v>
      </c>
      <c r="D105" s="37">
        <f>3.5*C105</f>
        <v>87.5</v>
      </c>
      <c r="E105" s="37">
        <v>0</v>
      </c>
      <c r="F105" s="38">
        <v>0</v>
      </c>
      <c r="G105" s="45">
        <v>10</v>
      </c>
      <c r="H105" s="37">
        <f>5.5*G105</f>
        <v>55</v>
      </c>
      <c r="I105" s="37">
        <v>0</v>
      </c>
      <c r="J105" s="38">
        <v>0</v>
      </c>
      <c r="K105" s="37">
        <v>0</v>
      </c>
      <c r="L105" s="81">
        <v>0.72727272727272729</v>
      </c>
      <c r="M105" s="82">
        <v>9.7902097902097904E-2</v>
      </c>
      <c r="N105" s="82">
        <v>6.2937062937062943E-2</v>
      </c>
      <c r="O105" s="82">
        <v>2.097902097902098E-2</v>
      </c>
      <c r="P105" s="82">
        <v>2.7972027972027972E-2</v>
      </c>
      <c r="Q105" s="83">
        <v>6.2937062937062943E-2</v>
      </c>
      <c r="R105" s="81">
        <v>0.3</v>
      </c>
      <c r="S105" s="82">
        <v>0.33333333333333331</v>
      </c>
      <c r="T105" s="82">
        <v>0.16666666666666666</v>
      </c>
      <c r="U105" s="82">
        <v>0.1</v>
      </c>
      <c r="V105" s="82">
        <v>3.3333333333333333E-2</v>
      </c>
      <c r="W105" s="83">
        <v>6.6666666666666666E-2</v>
      </c>
      <c r="X105" s="115">
        <f t="shared" si="14"/>
        <v>0</v>
      </c>
      <c r="Y105" s="116">
        <f t="shared" si="15"/>
        <v>0</v>
      </c>
      <c r="Z105" s="116">
        <f t="shared" si="16"/>
        <v>0</v>
      </c>
      <c r="AA105" s="116">
        <f t="shared" si="17"/>
        <v>0</v>
      </c>
      <c r="AB105" s="116">
        <f t="shared" si="18"/>
        <v>0</v>
      </c>
      <c r="AC105" s="117">
        <f t="shared" si="19"/>
        <v>0</v>
      </c>
      <c r="AD105" s="115">
        <f t="shared" si="20"/>
        <v>0</v>
      </c>
      <c r="AE105" s="116">
        <f t="shared" si="21"/>
        <v>0</v>
      </c>
      <c r="AF105" s="116">
        <f t="shared" si="22"/>
        <v>0</v>
      </c>
      <c r="AG105" s="116">
        <f t="shared" si="23"/>
        <v>0</v>
      </c>
      <c r="AH105" s="116">
        <f t="shared" si="24"/>
        <v>0</v>
      </c>
      <c r="AI105" s="116">
        <f t="shared" si="25"/>
        <v>0</v>
      </c>
      <c r="AJ105" s="121">
        <f>Input!$D$22*RBs!C105+Input!$D$23*RBs!D105+Input!$D$24*RBs!X105+Input!$D$25*RBs!Y105+Input!$D$26*RBs!Z105+Input!$D$27*RBs!AA105+Input!$D$28*RBs!AB105+Input!$D$29*RBs!AC105+Input!$D$30*RBs!E105+Input!$D$31*RBs!G105+Input!$D$32*RBs!H105+Input!$D$33*RBs!AD105+Input!$D$34*RBs!AE105+Input!$D$35*RBs!AF105+Input!$D$36*RBs!AG105+Input!$D$37*RBs!AH105+Input!$D$38*RBs!AI105+Input!$D$39*RBs!I105+Input!$D$40*RBs!K105</f>
        <v>14.25</v>
      </c>
    </row>
    <row r="106" spans="1:36" x14ac:dyDescent="0.25">
      <c r="A106" s="89" t="s">
        <v>336</v>
      </c>
      <c r="B106" s="90" t="s">
        <v>182</v>
      </c>
      <c r="C106" s="45">
        <v>10</v>
      </c>
      <c r="D106" s="37">
        <f>3.4*C106</f>
        <v>34</v>
      </c>
      <c r="E106" s="37">
        <v>0</v>
      </c>
      <c r="F106" s="38">
        <v>0</v>
      </c>
      <c r="G106" s="45">
        <v>5</v>
      </c>
      <c r="H106" s="37">
        <f>6.5*G106</f>
        <v>32.5</v>
      </c>
      <c r="I106" s="37">
        <v>0</v>
      </c>
      <c r="J106" s="38">
        <v>0</v>
      </c>
      <c r="K106" s="37">
        <v>0</v>
      </c>
      <c r="L106" s="81">
        <v>0.72727272727272729</v>
      </c>
      <c r="M106" s="82">
        <v>9.7902097902097904E-2</v>
      </c>
      <c r="N106" s="82">
        <v>6.2937062937062943E-2</v>
      </c>
      <c r="O106" s="82">
        <v>2.097902097902098E-2</v>
      </c>
      <c r="P106" s="82">
        <v>2.7972027972027972E-2</v>
      </c>
      <c r="Q106" s="83">
        <v>6.2937062937062943E-2</v>
      </c>
      <c r="R106" s="81">
        <v>0.3</v>
      </c>
      <c r="S106" s="82">
        <v>0.33333333333333331</v>
      </c>
      <c r="T106" s="82">
        <v>0.16666666666666666</v>
      </c>
      <c r="U106" s="82">
        <v>0.1</v>
      </c>
      <c r="V106" s="82">
        <v>3.3333333333333333E-2</v>
      </c>
      <c r="W106" s="83">
        <v>6.6666666666666666E-2</v>
      </c>
      <c r="X106" s="115">
        <f t="shared" si="14"/>
        <v>0</v>
      </c>
      <c r="Y106" s="116">
        <f t="shared" si="15"/>
        <v>0</v>
      </c>
      <c r="Z106" s="116">
        <f t="shared" si="16"/>
        <v>0</v>
      </c>
      <c r="AA106" s="116">
        <f t="shared" si="17"/>
        <v>0</v>
      </c>
      <c r="AB106" s="116">
        <f t="shared" si="18"/>
        <v>0</v>
      </c>
      <c r="AC106" s="117">
        <f t="shared" si="19"/>
        <v>0</v>
      </c>
      <c r="AD106" s="115">
        <f t="shared" si="20"/>
        <v>0</v>
      </c>
      <c r="AE106" s="116">
        <f t="shared" si="21"/>
        <v>0</v>
      </c>
      <c r="AF106" s="116">
        <f t="shared" si="22"/>
        <v>0</v>
      </c>
      <c r="AG106" s="116">
        <f t="shared" si="23"/>
        <v>0</v>
      </c>
      <c r="AH106" s="116">
        <f t="shared" si="24"/>
        <v>0</v>
      </c>
      <c r="AI106" s="116">
        <f t="shared" si="25"/>
        <v>0</v>
      </c>
      <c r="AJ106" s="121">
        <f>Input!$D$22*RBs!C106+Input!$D$23*RBs!D106+Input!$D$24*RBs!X106+Input!$D$25*RBs!Y106+Input!$D$26*RBs!Z106+Input!$D$27*RBs!AA106+Input!$D$28*RBs!AB106+Input!$D$29*RBs!AC106+Input!$D$30*RBs!E106+Input!$D$31*RBs!G106+Input!$D$32*RBs!H106+Input!$D$33*RBs!AD106+Input!$D$34*RBs!AE106+Input!$D$35*RBs!AF106+Input!$D$36*RBs!AG106+Input!$D$37*RBs!AH106+Input!$D$38*RBs!AI106+Input!$D$39*RBs!I106+Input!$D$40*RBs!K106</f>
        <v>6.65</v>
      </c>
    </row>
    <row r="107" spans="1:36" x14ac:dyDescent="0.25">
      <c r="A107" s="89" t="s">
        <v>337</v>
      </c>
      <c r="B107" s="90" t="s">
        <v>188</v>
      </c>
      <c r="C107" s="45">
        <v>10</v>
      </c>
      <c r="D107" s="37">
        <f>3.8*C107</f>
        <v>38</v>
      </c>
      <c r="E107" s="37">
        <v>0</v>
      </c>
      <c r="F107" s="38">
        <v>0</v>
      </c>
      <c r="G107" s="45">
        <v>4</v>
      </c>
      <c r="H107" s="37">
        <f>6.7*G107</f>
        <v>26.8</v>
      </c>
      <c r="I107" s="37">
        <v>0</v>
      </c>
      <c r="J107" s="38">
        <v>0</v>
      </c>
      <c r="K107" s="37">
        <v>0</v>
      </c>
      <c r="L107" s="81">
        <v>0.72727272727272729</v>
      </c>
      <c r="M107" s="82">
        <v>9.7902097902097904E-2</v>
      </c>
      <c r="N107" s="82">
        <v>6.2937062937062943E-2</v>
      </c>
      <c r="O107" s="82">
        <v>2.097902097902098E-2</v>
      </c>
      <c r="P107" s="82">
        <v>2.7972027972027972E-2</v>
      </c>
      <c r="Q107" s="83">
        <v>6.2937062937062943E-2</v>
      </c>
      <c r="R107" s="81">
        <v>0.3</v>
      </c>
      <c r="S107" s="82">
        <v>0.33333333333333331</v>
      </c>
      <c r="T107" s="82">
        <v>0.16666666666666666</v>
      </c>
      <c r="U107" s="82">
        <v>0.1</v>
      </c>
      <c r="V107" s="82">
        <v>3.3333333333333333E-2</v>
      </c>
      <c r="W107" s="83">
        <v>6.6666666666666666E-2</v>
      </c>
      <c r="X107" s="115">
        <f t="shared" si="14"/>
        <v>0</v>
      </c>
      <c r="Y107" s="116">
        <f t="shared" si="15"/>
        <v>0</v>
      </c>
      <c r="Z107" s="116">
        <f t="shared" si="16"/>
        <v>0</v>
      </c>
      <c r="AA107" s="116">
        <f t="shared" si="17"/>
        <v>0</v>
      </c>
      <c r="AB107" s="116">
        <f t="shared" si="18"/>
        <v>0</v>
      </c>
      <c r="AC107" s="117">
        <f t="shared" si="19"/>
        <v>0</v>
      </c>
      <c r="AD107" s="115">
        <f t="shared" si="20"/>
        <v>0</v>
      </c>
      <c r="AE107" s="116">
        <f t="shared" si="21"/>
        <v>0</v>
      </c>
      <c r="AF107" s="116">
        <f t="shared" si="22"/>
        <v>0</v>
      </c>
      <c r="AG107" s="116">
        <f t="shared" si="23"/>
        <v>0</v>
      </c>
      <c r="AH107" s="116">
        <f t="shared" si="24"/>
        <v>0</v>
      </c>
      <c r="AI107" s="116">
        <f t="shared" si="25"/>
        <v>0</v>
      </c>
      <c r="AJ107" s="121">
        <f>Input!$D$22*RBs!C107+Input!$D$23*RBs!D107+Input!$D$24*RBs!X107+Input!$D$25*RBs!Y107+Input!$D$26*RBs!Z107+Input!$D$27*RBs!AA107+Input!$D$28*RBs!AB107+Input!$D$29*RBs!AC107+Input!$D$30*RBs!E107+Input!$D$31*RBs!G107+Input!$D$32*RBs!H107+Input!$D$33*RBs!AD107+Input!$D$34*RBs!AE107+Input!$D$35*RBs!AF107+Input!$D$36*RBs!AG107+Input!$D$37*RBs!AH107+Input!$D$38*RBs!AI107+Input!$D$39*RBs!I107+Input!$D$40*RBs!K107</f>
        <v>6.48</v>
      </c>
    </row>
    <row r="108" spans="1:36" x14ac:dyDescent="0.25">
      <c r="A108" s="89" t="s">
        <v>338</v>
      </c>
      <c r="B108" s="90" t="s">
        <v>190</v>
      </c>
      <c r="C108" s="45">
        <v>15</v>
      </c>
      <c r="D108" s="37">
        <f>3*C108</f>
        <v>45</v>
      </c>
      <c r="E108" s="37">
        <v>0</v>
      </c>
      <c r="F108" s="38">
        <v>0</v>
      </c>
      <c r="G108" s="45">
        <v>2</v>
      </c>
      <c r="H108" s="37">
        <f>8.5*G108</f>
        <v>17</v>
      </c>
      <c r="I108" s="37">
        <v>0</v>
      </c>
      <c r="J108" s="38">
        <v>0</v>
      </c>
      <c r="K108" s="37">
        <v>0</v>
      </c>
      <c r="L108" s="81">
        <v>0.72727272727272729</v>
      </c>
      <c r="M108" s="82">
        <v>9.7902097902097904E-2</v>
      </c>
      <c r="N108" s="82">
        <v>6.2937062937062943E-2</v>
      </c>
      <c r="O108" s="82">
        <v>2.097902097902098E-2</v>
      </c>
      <c r="P108" s="82">
        <v>2.7972027972027972E-2</v>
      </c>
      <c r="Q108" s="83">
        <v>6.2937062937062943E-2</v>
      </c>
      <c r="R108" s="81">
        <v>0.3</v>
      </c>
      <c r="S108" s="82">
        <v>0.33333333333333331</v>
      </c>
      <c r="T108" s="82">
        <v>0.16666666666666666</v>
      </c>
      <c r="U108" s="82">
        <v>0.1</v>
      </c>
      <c r="V108" s="82">
        <v>3.3333333333333333E-2</v>
      </c>
      <c r="W108" s="83">
        <v>6.6666666666666666E-2</v>
      </c>
      <c r="X108" s="115">
        <f t="shared" si="14"/>
        <v>0</v>
      </c>
      <c r="Y108" s="116">
        <f t="shared" si="15"/>
        <v>0</v>
      </c>
      <c r="Z108" s="116">
        <f t="shared" si="16"/>
        <v>0</v>
      </c>
      <c r="AA108" s="116">
        <f t="shared" si="17"/>
        <v>0</v>
      </c>
      <c r="AB108" s="116">
        <f t="shared" si="18"/>
        <v>0</v>
      </c>
      <c r="AC108" s="117">
        <f t="shared" si="19"/>
        <v>0</v>
      </c>
      <c r="AD108" s="115">
        <f t="shared" si="20"/>
        <v>0</v>
      </c>
      <c r="AE108" s="116">
        <f t="shared" si="21"/>
        <v>0</v>
      </c>
      <c r="AF108" s="116">
        <f t="shared" si="22"/>
        <v>0</v>
      </c>
      <c r="AG108" s="116">
        <f t="shared" si="23"/>
        <v>0</v>
      </c>
      <c r="AH108" s="116">
        <f t="shared" si="24"/>
        <v>0</v>
      </c>
      <c r="AI108" s="116">
        <f t="shared" si="25"/>
        <v>0</v>
      </c>
      <c r="AJ108" s="121">
        <f>Input!$D$22*RBs!C108+Input!$D$23*RBs!D108+Input!$D$24*RBs!X108+Input!$D$25*RBs!Y108+Input!$D$26*RBs!Z108+Input!$D$27*RBs!AA108+Input!$D$28*RBs!AB108+Input!$D$29*RBs!AC108+Input!$D$30*RBs!E108+Input!$D$31*RBs!G108+Input!$D$32*RBs!H108+Input!$D$33*RBs!AD108+Input!$D$34*RBs!AE108+Input!$D$35*RBs!AF108+Input!$D$36*RBs!AG108+Input!$D$37*RBs!AH108+Input!$D$38*RBs!AI108+Input!$D$39*RBs!I108+Input!$D$40*RBs!K108</f>
        <v>6.2</v>
      </c>
    </row>
    <row r="109" spans="1:36" x14ac:dyDescent="0.25">
      <c r="A109" s="89" t="s">
        <v>339</v>
      </c>
      <c r="B109" s="90" t="s">
        <v>142</v>
      </c>
      <c r="C109" s="45">
        <v>5</v>
      </c>
      <c r="D109" s="37">
        <f>3.9*C109</f>
        <v>19.5</v>
      </c>
      <c r="E109" s="37">
        <v>0</v>
      </c>
      <c r="F109" s="38">
        <v>0</v>
      </c>
      <c r="G109" s="45">
        <v>8</v>
      </c>
      <c r="H109" s="37">
        <f>5*G109</f>
        <v>40</v>
      </c>
      <c r="I109" s="37">
        <v>0</v>
      </c>
      <c r="J109" s="38">
        <v>0</v>
      </c>
      <c r="K109" s="37">
        <v>0</v>
      </c>
      <c r="L109" s="81">
        <v>0.72727272727272729</v>
      </c>
      <c r="M109" s="82">
        <v>9.7902097902097904E-2</v>
      </c>
      <c r="N109" s="82">
        <v>6.2937062937062943E-2</v>
      </c>
      <c r="O109" s="82">
        <v>2.097902097902098E-2</v>
      </c>
      <c r="P109" s="82">
        <v>2.7972027972027972E-2</v>
      </c>
      <c r="Q109" s="83">
        <v>6.2937062937062943E-2</v>
      </c>
      <c r="R109" s="81">
        <v>0.3</v>
      </c>
      <c r="S109" s="82">
        <v>0.33333333333333331</v>
      </c>
      <c r="T109" s="82">
        <v>0.16666666666666666</v>
      </c>
      <c r="U109" s="82">
        <v>0.1</v>
      </c>
      <c r="V109" s="82">
        <v>3.3333333333333333E-2</v>
      </c>
      <c r="W109" s="83">
        <v>6.6666666666666666E-2</v>
      </c>
      <c r="X109" s="115">
        <f t="shared" si="14"/>
        <v>0</v>
      </c>
      <c r="Y109" s="116">
        <f t="shared" si="15"/>
        <v>0</v>
      </c>
      <c r="Z109" s="116">
        <f t="shared" si="16"/>
        <v>0</v>
      </c>
      <c r="AA109" s="116">
        <f t="shared" si="17"/>
        <v>0</v>
      </c>
      <c r="AB109" s="116">
        <f t="shared" si="18"/>
        <v>0</v>
      </c>
      <c r="AC109" s="117">
        <f t="shared" si="19"/>
        <v>0</v>
      </c>
      <c r="AD109" s="115">
        <f t="shared" si="20"/>
        <v>0</v>
      </c>
      <c r="AE109" s="116">
        <f t="shared" si="21"/>
        <v>0</v>
      </c>
      <c r="AF109" s="116">
        <f t="shared" si="22"/>
        <v>0</v>
      </c>
      <c r="AG109" s="116">
        <f t="shared" si="23"/>
        <v>0</v>
      </c>
      <c r="AH109" s="116">
        <f t="shared" si="24"/>
        <v>0</v>
      </c>
      <c r="AI109" s="116">
        <f t="shared" si="25"/>
        <v>0</v>
      </c>
      <c r="AJ109" s="121">
        <f>Input!$D$22*RBs!C109+Input!$D$23*RBs!D109+Input!$D$24*RBs!X109+Input!$D$25*RBs!Y109+Input!$D$26*RBs!Z109+Input!$D$27*RBs!AA109+Input!$D$28*RBs!AB109+Input!$D$29*RBs!AC109+Input!$D$30*RBs!E109+Input!$D$31*RBs!G109+Input!$D$32*RBs!H109+Input!$D$33*RBs!AD109+Input!$D$34*RBs!AE109+Input!$D$35*RBs!AF109+Input!$D$36*RBs!AG109+Input!$D$37*RBs!AH109+Input!$D$38*RBs!AI109+Input!$D$39*RBs!I109+Input!$D$40*RBs!K109</f>
        <v>5.95</v>
      </c>
    </row>
    <row r="110" spans="1:36" x14ac:dyDescent="0.25">
      <c r="A110" s="89" t="s">
        <v>340</v>
      </c>
      <c r="B110" s="90" t="s">
        <v>168</v>
      </c>
      <c r="C110" s="45">
        <v>10</v>
      </c>
      <c r="D110" s="37">
        <f>3.7*C110</f>
        <v>37</v>
      </c>
      <c r="E110" s="37">
        <v>0</v>
      </c>
      <c r="F110" s="38">
        <v>0</v>
      </c>
      <c r="G110" s="45">
        <v>2</v>
      </c>
      <c r="H110" s="37">
        <f>6*G110</f>
        <v>12</v>
      </c>
      <c r="I110" s="37">
        <v>0</v>
      </c>
      <c r="J110" s="38">
        <v>0</v>
      </c>
      <c r="K110" s="37">
        <v>0</v>
      </c>
      <c r="L110" s="81">
        <v>0.72727272727272729</v>
      </c>
      <c r="M110" s="82">
        <v>9.7902097902097904E-2</v>
      </c>
      <c r="N110" s="82">
        <v>6.2937062937062943E-2</v>
      </c>
      <c r="O110" s="82">
        <v>2.097902097902098E-2</v>
      </c>
      <c r="P110" s="82">
        <v>2.7972027972027972E-2</v>
      </c>
      <c r="Q110" s="83">
        <v>6.2937062937062943E-2</v>
      </c>
      <c r="R110" s="81">
        <v>0.3</v>
      </c>
      <c r="S110" s="82">
        <v>0.33333333333333331</v>
      </c>
      <c r="T110" s="82">
        <v>0.16666666666666666</v>
      </c>
      <c r="U110" s="82">
        <v>0.1</v>
      </c>
      <c r="V110" s="82">
        <v>3.3333333333333333E-2</v>
      </c>
      <c r="W110" s="83">
        <v>6.6666666666666666E-2</v>
      </c>
      <c r="X110" s="115">
        <f t="shared" si="14"/>
        <v>0</v>
      </c>
      <c r="Y110" s="116">
        <f t="shared" si="15"/>
        <v>0</v>
      </c>
      <c r="Z110" s="116">
        <f t="shared" si="16"/>
        <v>0</v>
      </c>
      <c r="AA110" s="116">
        <f t="shared" si="17"/>
        <v>0</v>
      </c>
      <c r="AB110" s="116">
        <f t="shared" si="18"/>
        <v>0</v>
      </c>
      <c r="AC110" s="117">
        <f t="shared" si="19"/>
        <v>0</v>
      </c>
      <c r="AD110" s="115">
        <f t="shared" si="20"/>
        <v>0</v>
      </c>
      <c r="AE110" s="116">
        <f t="shared" si="21"/>
        <v>0</v>
      </c>
      <c r="AF110" s="116">
        <f t="shared" si="22"/>
        <v>0</v>
      </c>
      <c r="AG110" s="116">
        <f t="shared" si="23"/>
        <v>0</v>
      </c>
      <c r="AH110" s="116">
        <f t="shared" si="24"/>
        <v>0</v>
      </c>
      <c r="AI110" s="116">
        <f t="shared" si="25"/>
        <v>0</v>
      </c>
      <c r="AJ110" s="121">
        <f>Input!$D$22*RBs!C110+Input!$D$23*RBs!D110+Input!$D$24*RBs!X110+Input!$D$25*RBs!Y110+Input!$D$26*RBs!Z110+Input!$D$27*RBs!AA110+Input!$D$28*RBs!AB110+Input!$D$29*RBs!AC110+Input!$D$30*RBs!E110+Input!$D$31*RBs!G110+Input!$D$32*RBs!H110+Input!$D$33*RBs!AD110+Input!$D$34*RBs!AE110+Input!$D$35*RBs!AF110+Input!$D$36*RBs!AG110+Input!$D$37*RBs!AH110+Input!$D$38*RBs!AI110+Input!$D$39*RBs!I110+Input!$D$40*RBs!K110</f>
        <v>4.9000000000000004</v>
      </c>
    </row>
    <row r="111" spans="1:36" x14ac:dyDescent="0.25">
      <c r="A111" s="91" t="s">
        <v>341</v>
      </c>
      <c r="B111" s="92" t="s">
        <v>192</v>
      </c>
      <c r="C111" s="46">
        <v>100</v>
      </c>
      <c r="D111" s="43">
        <v>340</v>
      </c>
      <c r="E111" s="43">
        <v>0</v>
      </c>
      <c r="F111" s="44">
        <v>2</v>
      </c>
      <c r="G111" s="46">
        <v>20</v>
      </c>
      <c r="H111" s="43">
        <v>160</v>
      </c>
      <c r="I111" s="43">
        <v>0</v>
      </c>
      <c r="J111" s="44">
        <v>1</v>
      </c>
      <c r="K111" s="43">
        <v>1</v>
      </c>
      <c r="L111" s="84">
        <v>0.72727272727272729</v>
      </c>
      <c r="M111" s="85">
        <v>9.7902097902097904E-2</v>
      </c>
      <c r="N111" s="85">
        <v>6.2937062937062943E-2</v>
      </c>
      <c r="O111" s="85">
        <v>2.097902097902098E-2</v>
      </c>
      <c r="P111" s="85">
        <v>2.7972027972027972E-2</v>
      </c>
      <c r="Q111" s="86">
        <v>6.2937062937062943E-2</v>
      </c>
      <c r="R111" s="84">
        <v>0.3</v>
      </c>
      <c r="S111" s="85">
        <v>0.33333333333333331</v>
      </c>
      <c r="T111" s="85">
        <v>0.16666666666666666</v>
      </c>
      <c r="U111" s="85">
        <v>0.1</v>
      </c>
      <c r="V111" s="85">
        <v>3.3333333333333333E-2</v>
      </c>
      <c r="W111" s="86">
        <v>6.6666666666666666E-2</v>
      </c>
      <c r="X111" s="118">
        <f t="shared" ref="X111:AC111" si="26">$F111*L111</f>
        <v>1.4545454545454546</v>
      </c>
      <c r="Y111" s="119">
        <f t="shared" si="26"/>
        <v>0.19580419580419581</v>
      </c>
      <c r="Z111" s="119">
        <f t="shared" si="26"/>
        <v>0.12587412587412589</v>
      </c>
      <c r="AA111" s="119">
        <f t="shared" si="26"/>
        <v>4.195804195804196E-2</v>
      </c>
      <c r="AB111" s="119">
        <f t="shared" si="26"/>
        <v>5.5944055944055944E-2</v>
      </c>
      <c r="AC111" s="120">
        <f t="shared" si="26"/>
        <v>0.12587412587412589</v>
      </c>
      <c r="AD111" s="118">
        <f t="shared" ref="AD111:AI111" si="27">R111*$J111</f>
        <v>0.3</v>
      </c>
      <c r="AE111" s="119">
        <f t="shared" si="27"/>
        <v>0.33333333333333331</v>
      </c>
      <c r="AF111" s="119">
        <f t="shared" si="27"/>
        <v>0.16666666666666666</v>
      </c>
      <c r="AG111" s="119">
        <f t="shared" si="27"/>
        <v>0.1</v>
      </c>
      <c r="AH111" s="119">
        <f t="shared" si="27"/>
        <v>3.3333333333333333E-2</v>
      </c>
      <c r="AI111" s="119">
        <f t="shared" si="27"/>
        <v>6.6666666666666666E-2</v>
      </c>
      <c r="AJ111" s="99">
        <f>Input!$D$22*RBs!C111+Input!$D$23*RBs!D111+Input!$D$24*RBs!X111+Input!$D$25*RBs!Y111+Input!$D$26*RBs!Z111+Input!$D$27*RBs!AA111+Input!$D$28*RBs!AB111+Input!$D$29*RBs!AC111+Input!$D$30*RBs!E111+Input!$D$31*RBs!G111+Input!$D$32*RBs!H111+Input!$D$33*RBs!AD111+Input!$D$34*RBs!AE111+Input!$D$35*RBs!AF111+Input!$D$36*RBs!AG111+Input!$D$37*RBs!AH111+Input!$D$38*RBs!AI111+Input!$D$39*RBs!I111+Input!$D$40*RBs!K111</f>
        <v>70.052447552447546</v>
      </c>
    </row>
    <row r="112" spans="1:36" x14ac:dyDescent="0.25">
      <c r="C112" s="5"/>
      <c r="F112" s="5"/>
      <c r="G112" s="5"/>
      <c r="J112" s="5"/>
      <c r="K112" s="5"/>
      <c r="L112" s="50"/>
    </row>
    <row r="113" spans="3:12" x14ac:dyDescent="0.25">
      <c r="C113" s="5"/>
      <c r="F113" s="5"/>
      <c r="G113" s="5"/>
      <c r="J113" s="5"/>
      <c r="K113" s="5"/>
      <c r="L113" s="50"/>
    </row>
    <row r="114" spans="3:12" x14ac:dyDescent="0.25">
      <c r="C114" s="5"/>
      <c r="F114" s="5"/>
      <c r="G114" s="5"/>
      <c r="J114" s="5"/>
      <c r="K114" s="5"/>
      <c r="L114" s="50"/>
    </row>
    <row r="115" spans="3:12" x14ac:dyDescent="0.25">
      <c r="C115" s="5"/>
      <c r="F115" s="5"/>
      <c r="G115" s="5"/>
      <c r="J115" s="5"/>
      <c r="K115" s="5"/>
      <c r="L115" s="50"/>
    </row>
    <row r="116" spans="3:12" x14ac:dyDescent="0.25">
      <c r="C116" s="5"/>
      <c r="F116" s="5"/>
      <c r="G116" s="5"/>
      <c r="J116" s="5"/>
      <c r="K116" s="5"/>
      <c r="L116" s="50"/>
    </row>
    <row r="117" spans="3:12" x14ac:dyDescent="0.25">
      <c r="C117" s="5"/>
      <c r="F117" s="5"/>
      <c r="G117" s="5"/>
      <c r="J117" s="5"/>
      <c r="K117" s="5"/>
      <c r="L117" s="50"/>
    </row>
    <row r="118" spans="3:12" x14ac:dyDescent="0.25">
      <c r="C118" s="5"/>
      <c r="F118" s="5"/>
      <c r="G118" s="5"/>
      <c r="J118" s="5"/>
      <c r="K118" s="5"/>
      <c r="L118" s="50"/>
    </row>
    <row r="119" spans="3:12" x14ac:dyDescent="0.25">
      <c r="C119" s="5"/>
      <c r="F119" s="5"/>
      <c r="G119" s="5"/>
      <c r="J119" s="5"/>
      <c r="K119" s="5"/>
      <c r="L119" s="50"/>
    </row>
    <row r="120" spans="3:12" x14ac:dyDescent="0.25">
      <c r="C120" s="5"/>
      <c r="F120" s="5"/>
      <c r="G120" s="5"/>
      <c r="J120" s="5"/>
      <c r="K120" s="5"/>
      <c r="L120" s="50"/>
    </row>
    <row r="121" spans="3:12" x14ac:dyDescent="0.25">
      <c r="C121" s="5"/>
      <c r="F121" s="5"/>
      <c r="G121" s="5"/>
      <c r="J121" s="5"/>
      <c r="K121" s="5"/>
      <c r="L121" s="50"/>
    </row>
    <row r="122" spans="3:12" x14ac:dyDescent="0.25">
      <c r="C122" s="5"/>
      <c r="F122" s="5"/>
      <c r="G122" s="5"/>
      <c r="J122" s="5"/>
      <c r="K122" s="5"/>
      <c r="L122" s="50"/>
    </row>
    <row r="123" spans="3:12" x14ac:dyDescent="0.25">
      <c r="C123" s="5"/>
      <c r="F123" s="5"/>
      <c r="G123" s="5"/>
      <c r="J123" s="5"/>
      <c r="K123" s="5"/>
      <c r="L123" s="50"/>
    </row>
    <row r="124" spans="3:12" x14ac:dyDescent="0.25">
      <c r="C124" s="5"/>
      <c r="F124" s="5"/>
      <c r="G124" s="5"/>
      <c r="J124" s="5"/>
      <c r="K124" s="5"/>
      <c r="L124" s="50"/>
    </row>
    <row r="125" spans="3:12" x14ac:dyDescent="0.25">
      <c r="C125" s="5"/>
      <c r="F125" s="5"/>
      <c r="G125" s="5"/>
      <c r="J125" s="5"/>
      <c r="K125" s="5"/>
      <c r="L125" s="50"/>
    </row>
    <row r="126" spans="3:12" x14ac:dyDescent="0.25">
      <c r="C126" s="5"/>
      <c r="F126" s="5"/>
      <c r="G126" s="5"/>
      <c r="J126" s="5"/>
      <c r="K126" s="5"/>
      <c r="L126" s="50"/>
    </row>
    <row r="127" spans="3:12" x14ac:dyDescent="0.25">
      <c r="C127" s="5"/>
      <c r="F127" s="5"/>
      <c r="G127" s="5"/>
      <c r="J127" s="5"/>
      <c r="K127" s="5"/>
      <c r="L127" s="50"/>
    </row>
    <row r="128" spans="3:12" x14ac:dyDescent="0.25">
      <c r="C128" s="5"/>
      <c r="F128" s="5"/>
      <c r="G128" s="5"/>
      <c r="J128" s="5"/>
      <c r="K128" s="5"/>
      <c r="L128" s="50"/>
    </row>
    <row r="129" spans="3:12" x14ac:dyDescent="0.25">
      <c r="C129" s="5"/>
      <c r="F129" s="5"/>
      <c r="G129" s="5"/>
      <c r="J129" s="5"/>
      <c r="K129" s="5"/>
      <c r="L129" s="50"/>
    </row>
    <row r="130" spans="3:12" x14ac:dyDescent="0.25">
      <c r="C130" s="5"/>
      <c r="F130" s="5"/>
      <c r="G130" s="5"/>
      <c r="J130" s="5"/>
      <c r="K130" s="5"/>
      <c r="L130" s="50"/>
    </row>
    <row r="131" spans="3:12" x14ac:dyDescent="0.25">
      <c r="C131" s="5"/>
      <c r="F131" s="5"/>
      <c r="G131" s="5"/>
      <c r="J131" s="5"/>
      <c r="K131" s="5"/>
      <c r="L131" s="50"/>
    </row>
    <row r="132" spans="3:12" x14ac:dyDescent="0.25">
      <c r="C132" s="5"/>
      <c r="F132" s="5"/>
      <c r="G132" s="5"/>
      <c r="J132" s="5"/>
      <c r="K132" s="5"/>
      <c r="L132" s="50"/>
    </row>
    <row r="133" spans="3:12" x14ac:dyDescent="0.25">
      <c r="C133" s="5"/>
      <c r="F133" s="5"/>
      <c r="G133" s="5"/>
      <c r="J133" s="5"/>
      <c r="K133" s="5"/>
      <c r="L133" s="50"/>
    </row>
    <row r="134" spans="3:12" x14ac:dyDescent="0.25">
      <c r="C134" s="5"/>
      <c r="F134" s="5"/>
      <c r="G134" s="5"/>
      <c r="J134" s="5"/>
      <c r="K134" s="5"/>
      <c r="L134" s="50"/>
    </row>
    <row r="135" spans="3:12" x14ac:dyDescent="0.25">
      <c r="C135" s="5"/>
      <c r="F135" s="5"/>
      <c r="G135" s="5"/>
      <c r="J135" s="5"/>
      <c r="K135" s="5"/>
      <c r="L135" s="50"/>
    </row>
    <row r="136" spans="3:12" x14ac:dyDescent="0.25">
      <c r="C136" s="5"/>
      <c r="F136" s="5"/>
      <c r="G136" s="5"/>
      <c r="J136" s="5"/>
      <c r="K136" s="5"/>
      <c r="L136" s="50"/>
    </row>
    <row r="137" spans="3:12" x14ac:dyDescent="0.25">
      <c r="C137" s="5"/>
      <c r="F137" s="5"/>
      <c r="G137" s="5"/>
      <c r="J137" s="5"/>
      <c r="K137" s="5"/>
      <c r="L137" s="50"/>
    </row>
    <row r="138" spans="3:12" x14ac:dyDescent="0.25">
      <c r="C138" s="5"/>
      <c r="F138" s="5"/>
      <c r="G138" s="5"/>
      <c r="J138" s="5"/>
      <c r="K138" s="5"/>
      <c r="L138" s="50"/>
    </row>
    <row r="139" spans="3:12" x14ac:dyDescent="0.25">
      <c r="C139" s="5"/>
      <c r="F139" s="5"/>
      <c r="G139" s="5"/>
      <c r="J139" s="5"/>
      <c r="K139" s="5"/>
      <c r="L139" s="50"/>
    </row>
    <row r="140" spans="3:12" x14ac:dyDescent="0.25">
      <c r="C140" s="5"/>
      <c r="F140" s="5"/>
      <c r="G140" s="5"/>
      <c r="J140" s="5"/>
      <c r="K140" s="5"/>
      <c r="L140" s="50"/>
    </row>
    <row r="141" spans="3:12" x14ac:dyDescent="0.25">
      <c r="C141" s="5"/>
      <c r="F141" s="5"/>
      <c r="G141" s="5"/>
      <c r="J141" s="5"/>
      <c r="K141" s="5"/>
      <c r="L141" s="50"/>
    </row>
    <row r="142" spans="3:12" x14ac:dyDescent="0.25">
      <c r="C142" s="5"/>
      <c r="F142" s="5"/>
      <c r="G142" s="5"/>
      <c r="J142" s="5"/>
      <c r="K142" s="5"/>
      <c r="L142" s="50"/>
    </row>
    <row r="143" spans="3:12" x14ac:dyDescent="0.25">
      <c r="C143" s="5"/>
      <c r="F143" s="5"/>
      <c r="G143" s="5"/>
      <c r="J143" s="5"/>
      <c r="K143" s="5"/>
      <c r="L143" s="50"/>
    </row>
    <row r="144" spans="3:12" x14ac:dyDescent="0.25">
      <c r="C144" s="5"/>
      <c r="F144" s="5"/>
      <c r="G144" s="5"/>
      <c r="J144" s="5"/>
      <c r="K144" s="5"/>
      <c r="L144" s="50"/>
    </row>
    <row r="145" spans="3:12" x14ac:dyDescent="0.25">
      <c r="C145" s="5"/>
      <c r="F145" s="5"/>
      <c r="G145" s="5"/>
      <c r="J145" s="5"/>
      <c r="K145" s="5"/>
      <c r="L145" s="50"/>
    </row>
    <row r="146" spans="3:12" x14ac:dyDescent="0.25">
      <c r="C146" s="5"/>
      <c r="F146" s="5"/>
      <c r="G146" s="5"/>
      <c r="J146" s="5"/>
      <c r="K146" s="5"/>
      <c r="L146" s="50"/>
    </row>
    <row r="147" spans="3:12" x14ac:dyDescent="0.25">
      <c r="C147" s="5"/>
      <c r="F147" s="5"/>
      <c r="G147" s="5"/>
      <c r="J147" s="5"/>
      <c r="K147" s="5"/>
      <c r="L147" s="50"/>
    </row>
    <row r="148" spans="3:12" x14ac:dyDescent="0.25">
      <c r="C148" s="5"/>
      <c r="F148" s="5"/>
      <c r="G148" s="5"/>
      <c r="J148" s="5"/>
      <c r="K148" s="5"/>
      <c r="L148" s="50"/>
    </row>
    <row r="149" spans="3:12" x14ac:dyDescent="0.25">
      <c r="C149" s="5"/>
      <c r="F149" s="5"/>
      <c r="G149" s="5"/>
      <c r="J149" s="5"/>
      <c r="K149" s="5"/>
      <c r="L149" s="50"/>
    </row>
    <row r="150" spans="3:12" x14ac:dyDescent="0.25">
      <c r="C150" s="5"/>
      <c r="F150" s="5"/>
      <c r="G150" s="5"/>
      <c r="J150" s="5"/>
      <c r="K150" s="5"/>
      <c r="L150" s="50"/>
    </row>
    <row r="151" spans="3:12" x14ac:dyDescent="0.25">
      <c r="C151" s="5"/>
      <c r="F151" s="5"/>
      <c r="G151" s="5"/>
      <c r="J151" s="5"/>
      <c r="K151" s="5"/>
      <c r="L151" s="50"/>
    </row>
    <row r="152" spans="3:12" x14ac:dyDescent="0.25">
      <c r="C152" s="5"/>
      <c r="F152" s="5"/>
      <c r="G152" s="5"/>
      <c r="J152" s="5"/>
      <c r="K152" s="5"/>
      <c r="L152" s="50"/>
    </row>
    <row r="153" spans="3:12" x14ac:dyDescent="0.25">
      <c r="C153" s="5"/>
      <c r="F153" s="5"/>
      <c r="G153" s="5"/>
      <c r="J153" s="5"/>
      <c r="K153" s="5"/>
      <c r="L153" s="50"/>
    </row>
    <row r="154" spans="3:12" x14ac:dyDescent="0.25">
      <c r="C154" s="5"/>
      <c r="F154" s="5"/>
      <c r="G154" s="5"/>
      <c r="J154" s="5"/>
      <c r="K154" s="5"/>
      <c r="L154" s="50"/>
    </row>
    <row r="155" spans="3:12" x14ac:dyDescent="0.25">
      <c r="C155" s="5"/>
      <c r="F155" s="5"/>
      <c r="G155" s="5"/>
      <c r="J155" s="5"/>
      <c r="K155" s="5"/>
      <c r="L155" s="50"/>
    </row>
    <row r="156" spans="3:12" x14ac:dyDescent="0.25">
      <c r="C156" s="5"/>
      <c r="F156" s="5"/>
      <c r="G156" s="5"/>
      <c r="J156" s="5"/>
      <c r="K156" s="5"/>
      <c r="L156" s="50"/>
    </row>
    <row r="157" spans="3:12" x14ac:dyDescent="0.25">
      <c r="C157" s="5"/>
      <c r="F157" s="5"/>
      <c r="G157" s="5"/>
      <c r="J157" s="5"/>
      <c r="K157" s="5"/>
      <c r="L157" s="50"/>
    </row>
    <row r="158" spans="3:12" x14ac:dyDescent="0.25">
      <c r="C158" s="5"/>
      <c r="F158" s="5"/>
      <c r="G158" s="5"/>
      <c r="J158" s="5"/>
      <c r="K158" s="5"/>
      <c r="L158" s="50"/>
    </row>
    <row r="159" spans="3:12" x14ac:dyDescent="0.25">
      <c r="C159" s="5"/>
      <c r="F159" s="5"/>
      <c r="G159" s="5"/>
      <c r="J159" s="5"/>
      <c r="K159" s="5"/>
      <c r="L159" s="50"/>
    </row>
    <row r="160" spans="3:12" x14ac:dyDescent="0.25">
      <c r="C160" s="5"/>
      <c r="F160" s="5"/>
      <c r="G160" s="5"/>
      <c r="J160" s="5"/>
      <c r="K160" s="5"/>
      <c r="L160" s="50"/>
    </row>
    <row r="161" spans="3:12" x14ac:dyDescent="0.25">
      <c r="C161" s="5"/>
      <c r="F161" s="5"/>
      <c r="G161" s="5"/>
      <c r="J161" s="5"/>
      <c r="K161" s="5"/>
      <c r="L161" s="50"/>
    </row>
    <row r="162" spans="3:12" x14ac:dyDescent="0.25">
      <c r="C162" s="5"/>
      <c r="F162" s="5"/>
      <c r="G162" s="5"/>
      <c r="J162" s="5"/>
      <c r="K162" s="5"/>
      <c r="L162" s="50"/>
    </row>
    <row r="163" spans="3:12" x14ac:dyDescent="0.25">
      <c r="C163" s="5"/>
      <c r="F163" s="5"/>
      <c r="G163" s="5"/>
      <c r="J163" s="5"/>
      <c r="K163" s="5"/>
      <c r="L163" s="50"/>
    </row>
    <row r="164" spans="3:12" x14ac:dyDescent="0.25">
      <c r="C164" s="5"/>
      <c r="F164" s="5"/>
      <c r="G164" s="5"/>
      <c r="J164" s="5"/>
      <c r="K164" s="5"/>
      <c r="L164" s="50"/>
    </row>
    <row r="165" spans="3:12" x14ac:dyDescent="0.25">
      <c r="C165" s="5"/>
      <c r="F165" s="5"/>
      <c r="G165" s="5"/>
      <c r="J165" s="5"/>
      <c r="K165" s="5"/>
      <c r="L165" s="50"/>
    </row>
    <row r="166" spans="3:12" x14ac:dyDescent="0.25">
      <c r="C166" s="5"/>
      <c r="F166" s="5"/>
      <c r="G166" s="5"/>
      <c r="J166" s="5"/>
      <c r="K166" s="5"/>
      <c r="L166" s="50"/>
    </row>
    <row r="167" spans="3:12" x14ac:dyDescent="0.25">
      <c r="C167" s="5"/>
      <c r="F167" s="5"/>
      <c r="G167" s="5"/>
      <c r="J167" s="5"/>
      <c r="K167" s="5"/>
      <c r="L167" s="50"/>
    </row>
    <row r="168" spans="3:12" x14ac:dyDescent="0.25">
      <c r="C168" s="5"/>
      <c r="F168" s="5"/>
      <c r="G168" s="5"/>
      <c r="J168" s="5"/>
      <c r="K168" s="5"/>
      <c r="L168" s="50"/>
    </row>
    <row r="169" spans="3:12" x14ac:dyDescent="0.25">
      <c r="C169" s="5"/>
      <c r="F169" s="5"/>
      <c r="G169" s="5"/>
      <c r="J169" s="5"/>
      <c r="K169" s="5"/>
      <c r="L169" s="50"/>
    </row>
    <row r="170" spans="3:12" x14ac:dyDescent="0.25">
      <c r="C170" s="5"/>
      <c r="F170" s="5"/>
      <c r="G170" s="5"/>
      <c r="J170" s="5"/>
      <c r="K170" s="5"/>
      <c r="L170" s="50"/>
    </row>
    <row r="171" spans="3:12" x14ac:dyDescent="0.25">
      <c r="C171" s="5"/>
      <c r="F171" s="5"/>
      <c r="G171" s="5"/>
      <c r="J171" s="5"/>
      <c r="K171" s="5"/>
      <c r="L171" s="50"/>
    </row>
    <row r="172" spans="3:12" x14ac:dyDescent="0.25">
      <c r="C172" s="5"/>
      <c r="F172" s="5"/>
      <c r="G172" s="5"/>
      <c r="J172" s="5"/>
      <c r="K172" s="5"/>
      <c r="L172" s="50"/>
    </row>
    <row r="173" spans="3:12" x14ac:dyDescent="0.25">
      <c r="C173" s="5"/>
      <c r="F173" s="5"/>
      <c r="G173" s="5"/>
      <c r="J173" s="5"/>
      <c r="K173" s="5"/>
      <c r="L173" s="50"/>
    </row>
    <row r="174" spans="3:12" x14ac:dyDescent="0.25">
      <c r="C174" s="5"/>
      <c r="F174" s="5"/>
      <c r="G174" s="5"/>
      <c r="J174" s="5"/>
      <c r="K174" s="5"/>
      <c r="L174" s="50"/>
    </row>
    <row r="175" spans="3:12" x14ac:dyDescent="0.25">
      <c r="C175" s="5"/>
      <c r="F175" s="5"/>
      <c r="G175" s="5"/>
      <c r="J175" s="5"/>
      <c r="K175" s="5"/>
      <c r="L175" s="50"/>
    </row>
    <row r="176" spans="3:12" x14ac:dyDescent="0.25">
      <c r="C176" s="5"/>
      <c r="F176" s="5"/>
      <c r="G176" s="5"/>
      <c r="J176" s="5"/>
      <c r="K176" s="5"/>
      <c r="L176" s="50"/>
    </row>
    <row r="177" spans="3:12" x14ac:dyDescent="0.25">
      <c r="C177" s="5"/>
      <c r="F177" s="5"/>
      <c r="G177" s="5"/>
      <c r="J177" s="5"/>
      <c r="K177" s="5"/>
      <c r="L177" s="50"/>
    </row>
    <row r="178" spans="3:12" x14ac:dyDescent="0.25">
      <c r="C178" s="5"/>
      <c r="F178" s="5"/>
      <c r="G178" s="5"/>
      <c r="J178" s="5"/>
      <c r="K178" s="5"/>
      <c r="L178" s="50"/>
    </row>
    <row r="179" spans="3:12" x14ac:dyDescent="0.25">
      <c r="C179" s="5"/>
      <c r="F179" s="5"/>
      <c r="G179" s="5"/>
      <c r="J179" s="5"/>
      <c r="K179" s="5"/>
      <c r="L179" s="50"/>
    </row>
    <row r="180" spans="3:12" x14ac:dyDescent="0.25">
      <c r="C180" s="5"/>
      <c r="F180" s="5"/>
      <c r="G180" s="5"/>
      <c r="J180" s="5"/>
      <c r="K180" s="5"/>
      <c r="L180" s="50"/>
    </row>
    <row r="181" spans="3:12" x14ac:dyDescent="0.25">
      <c r="C181" s="5"/>
      <c r="F181" s="5"/>
      <c r="G181" s="5"/>
      <c r="J181" s="5"/>
      <c r="K181" s="5"/>
      <c r="L181" s="50"/>
    </row>
    <row r="182" spans="3:12" x14ac:dyDescent="0.25">
      <c r="C182" s="5"/>
      <c r="F182" s="5"/>
      <c r="G182" s="5"/>
      <c r="J182" s="5"/>
      <c r="K182" s="5"/>
      <c r="L182" s="50"/>
    </row>
    <row r="183" spans="3:12" x14ac:dyDescent="0.25">
      <c r="C183" s="5"/>
      <c r="F183" s="5"/>
      <c r="G183" s="5"/>
      <c r="J183" s="5"/>
      <c r="K183" s="5"/>
      <c r="L183" s="50"/>
    </row>
  </sheetData>
  <printOptions horizontalCentered="1"/>
  <pageMargins left="0.25" right="0.25" top="0.5" bottom="0.5" header="0.5" footer="0.5"/>
  <pageSetup scale="90" fitToHeight="10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1363"/>
  <sheetViews>
    <sheetView workbookViewId="0">
      <pane xSplit="2" ySplit="2" topLeftCell="C185" activePane="bottomRight" state="frozen"/>
      <selection pane="topRight" activeCell="C1" sqref="C1"/>
      <selection pane="bottomLeft" activeCell="A3" sqref="A3"/>
      <selection pane="bottomRight" activeCell="C25" sqref="A25:C187"/>
    </sheetView>
  </sheetViews>
  <sheetFormatPr defaultColWidth="9.109375" defaultRowHeight="13.2" x14ac:dyDescent="0.25"/>
  <cols>
    <col min="1" max="1" width="20.33203125" style="1" customWidth="1"/>
    <col min="2" max="2" width="5.5546875" style="2" customWidth="1"/>
    <col min="3" max="3" width="4.88671875" style="4" customWidth="1"/>
    <col min="4" max="4" width="6.109375" style="3" customWidth="1"/>
    <col min="5" max="5" width="6.6640625" style="3" customWidth="1"/>
    <col min="6" max="6" width="5.33203125" style="4" customWidth="1"/>
    <col min="7" max="7" width="5.88671875" style="4" customWidth="1"/>
    <col min="8" max="8" width="6.33203125" style="3" customWidth="1"/>
    <col min="9" max="9" width="6.6640625" style="3" customWidth="1"/>
    <col min="10" max="10" width="5" style="4" customWidth="1"/>
    <col min="11" max="11" width="7.5546875" style="4" customWidth="1"/>
    <col min="12" max="17" width="6.6640625" style="1" hidden="1" customWidth="1"/>
    <col min="18" max="23" width="6.5546875" style="50" hidden="1" customWidth="1"/>
    <col min="24" max="24" width="3.6640625" style="2" hidden="1" customWidth="1"/>
    <col min="25" max="28" width="5.6640625" style="2" hidden="1" customWidth="1"/>
    <col min="29" max="29" width="4.109375" style="2" hidden="1" customWidth="1"/>
    <col min="30" max="30" width="3.6640625" style="2" hidden="1" customWidth="1"/>
    <col min="31" max="34" width="5.6640625" style="2" hidden="1" customWidth="1"/>
    <col min="35" max="35" width="4.109375" style="2" hidden="1" customWidth="1"/>
    <col min="36" max="36" width="9.109375" style="132"/>
    <col min="37" max="16384" width="9.109375" style="1"/>
  </cols>
  <sheetData>
    <row r="1" spans="1:36" x14ac:dyDescent="0.25">
      <c r="A1" s="87"/>
      <c r="B1" s="101"/>
      <c r="C1" s="199" t="s">
        <v>113</v>
      </c>
      <c r="D1" s="200"/>
      <c r="E1" s="200"/>
      <c r="F1" s="201"/>
      <c r="G1" s="199" t="s">
        <v>229</v>
      </c>
      <c r="H1" s="200"/>
      <c r="I1" s="200"/>
      <c r="J1" s="201"/>
      <c r="K1" s="200" t="s">
        <v>114</v>
      </c>
      <c r="L1" s="202" t="s">
        <v>116</v>
      </c>
      <c r="M1" s="203"/>
      <c r="N1" s="203"/>
      <c r="O1" s="203"/>
      <c r="P1" s="203"/>
      <c r="Q1" s="204"/>
      <c r="R1" s="202" t="s">
        <v>230</v>
      </c>
      <c r="S1" s="203"/>
      <c r="T1" s="203"/>
      <c r="U1" s="203"/>
      <c r="V1" s="203"/>
      <c r="W1" s="204"/>
      <c r="X1" s="196" t="s">
        <v>118</v>
      </c>
      <c r="Y1" s="197"/>
      <c r="Z1" s="197"/>
      <c r="AA1" s="197"/>
      <c r="AB1" s="197"/>
      <c r="AC1" s="198"/>
      <c r="AD1" s="196" t="s">
        <v>231</v>
      </c>
      <c r="AE1" s="197"/>
      <c r="AF1" s="197"/>
      <c r="AG1" s="197"/>
      <c r="AH1" s="197"/>
      <c r="AI1" s="198"/>
      <c r="AJ1" s="98" t="s">
        <v>119</v>
      </c>
    </row>
    <row r="2" spans="1:36" x14ac:dyDescent="0.25">
      <c r="A2" s="122" t="s">
        <v>75</v>
      </c>
      <c r="B2" s="114" t="s">
        <v>3</v>
      </c>
      <c r="C2" s="113" t="s">
        <v>121</v>
      </c>
      <c r="D2" s="124" t="s">
        <v>122</v>
      </c>
      <c r="E2" s="124" t="s">
        <v>126</v>
      </c>
      <c r="F2" s="114" t="s">
        <v>124</v>
      </c>
      <c r="G2" s="113" t="s">
        <v>232</v>
      </c>
      <c r="H2" s="124" t="s">
        <v>122</v>
      </c>
      <c r="I2" s="124" t="s">
        <v>126</v>
      </c>
      <c r="J2" s="114" t="s">
        <v>124</v>
      </c>
      <c r="K2" s="92" t="s">
        <v>127</v>
      </c>
      <c r="L2" s="125" t="s">
        <v>128</v>
      </c>
      <c r="M2" s="126" t="s">
        <v>129</v>
      </c>
      <c r="N2" s="127" t="s">
        <v>130</v>
      </c>
      <c r="O2" s="127" t="s">
        <v>131</v>
      </c>
      <c r="P2" s="127" t="s">
        <v>132</v>
      </c>
      <c r="Q2" s="128" t="s">
        <v>133</v>
      </c>
      <c r="R2" s="129" t="s">
        <v>128</v>
      </c>
      <c r="S2" s="130" t="s">
        <v>129</v>
      </c>
      <c r="T2" s="130" t="s">
        <v>130</v>
      </c>
      <c r="U2" s="130" t="s">
        <v>131</v>
      </c>
      <c r="V2" s="130" t="s">
        <v>132</v>
      </c>
      <c r="W2" s="131" t="s">
        <v>133</v>
      </c>
      <c r="X2" s="95" t="s">
        <v>128</v>
      </c>
      <c r="Y2" s="96" t="s">
        <v>129</v>
      </c>
      <c r="Z2" s="96" t="s">
        <v>130</v>
      </c>
      <c r="AA2" s="96" t="s">
        <v>131</v>
      </c>
      <c r="AB2" s="96" t="s">
        <v>132</v>
      </c>
      <c r="AC2" s="97" t="s">
        <v>133</v>
      </c>
      <c r="AD2" s="95" t="s">
        <v>128</v>
      </c>
      <c r="AE2" s="96" t="s">
        <v>129</v>
      </c>
      <c r="AF2" s="96" t="s">
        <v>130</v>
      </c>
      <c r="AG2" s="96" t="s">
        <v>131</v>
      </c>
      <c r="AH2" s="96" t="s">
        <v>132</v>
      </c>
      <c r="AI2" s="97" t="s">
        <v>133</v>
      </c>
      <c r="AJ2" s="99" t="s">
        <v>134</v>
      </c>
    </row>
    <row r="3" spans="1:36" x14ac:dyDescent="0.25">
      <c r="A3" s="87" t="s">
        <v>342</v>
      </c>
      <c r="B3" s="101" t="s">
        <v>138</v>
      </c>
      <c r="C3" s="72">
        <v>1</v>
      </c>
      <c r="D3" s="73">
        <v>4</v>
      </c>
      <c r="E3" s="73">
        <v>0</v>
      </c>
      <c r="F3" s="74">
        <v>0</v>
      </c>
      <c r="G3" s="72">
        <v>100</v>
      </c>
      <c r="H3" s="73">
        <f>13.3*G3</f>
        <v>1330</v>
      </c>
      <c r="I3" s="73">
        <v>7</v>
      </c>
      <c r="J3" s="74">
        <v>11</v>
      </c>
      <c r="K3" s="73">
        <v>1</v>
      </c>
      <c r="L3" s="102">
        <v>0.72727272727272729</v>
      </c>
      <c r="M3" s="103">
        <v>9.7902097902097904E-2</v>
      </c>
      <c r="N3" s="103">
        <v>6.2937062937062943E-2</v>
      </c>
      <c r="O3" s="103">
        <v>2.097902097902098E-2</v>
      </c>
      <c r="P3" s="103">
        <v>2.7972027972027972E-2</v>
      </c>
      <c r="Q3" s="104">
        <v>6.2937062937062943E-2</v>
      </c>
      <c r="R3" s="75">
        <v>0.20689655172413793</v>
      </c>
      <c r="S3" s="76">
        <v>0.31034482758620691</v>
      </c>
      <c r="T3" s="76">
        <v>0.22413793103448276</v>
      </c>
      <c r="U3" s="76">
        <v>5.1724137931034482E-2</v>
      </c>
      <c r="V3" s="76">
        <v>0.13793103448275862</v>
      </c>
      <c r="W3" s="77">
        <v>6.8965517241379309E-2</v>
      </c>
      <c r="X3" s="100">
        <f t="shared" ref="X3:AC3" si="0">$F3*L3</f>
        <v>0</v>
      </c>
      <c r="Y3" s="88">
        <f t="shared" si="0"/>
        <v>0</v>
      </c>
      <c r="Z3" s="88">
        <f t="shared" si="0"/>
        <v>0</v>
      </c>
      <c r="AA3" s="88">
        <f t="shared" si="0"/>
        <v>0</v>
      </c>
      <c r="AB3" s="88">
        <f t="shared" si="0"/>
        <v>0</v>
      </c>
      <c r="AC3" s="101">
        <f t="shared" si="0"/>
        <v>0</v>
      </c>
      <c r="AD3" s="100">
        <f t="shared" ref="AD3:AI3" si="1">$J3*R3</f>
        <v>2.2758620689655173</v>
      </c>
      <c r="AE3" s="88">
        <f t="shared" si="1"/>
        <v>3.4137931034482758</v>
      </c>
      <c r="AF3" s="88">
        <f t="shared" si="1"/>
        <v>2.4655172413793105</v>
      </c>
      <c r="AG3" s="88">
        <f t="shared" si="1"/>
        <v>0.56896551724137934</v>
      </c>
      <c r="AH3" s="88">
        <f t="shared" si="1"/>
        <v>1.5172413793103448</v>
      </c>
      <c r="AI3" s="101">
        <f t="shared" si="1"/>
        <v>0.75862068965517238</v>
      </c>
      <c r="AJ3" s="98">
        <f>Input!$E$22*WRs!C3+Input!$E$23*WRs!D3+Input!$E$24*WRs!X3+Input!$E$25*WRs!Y3+Input!$E$26*WRs!Z3+Input!$E$27*WRs!AA3+Input!$E$28*WRs!AB3+Input!$E$29*WRs!AC3+Input!$E$30*WRs!E3+Input!$E$31*WRs!G3+Input!$E$32*WRs!H3+Input!$E$33*WRs!AD3+Input!$E$34*WRs!AE3+Input!$E$35*WRs!AF3+Input!$E$36*WRs!AG3+Input!$E$37*WRs!AH3+Input!$E$38*WRs!AI3+Input!$E$39*WRs!I3+Input!$E$40*WRs!K3</f>
        <v>240.07241379310346</v>
      </c>
    </row>
    <row r="4" spans="1:36" x14ac:dyDescent="0.25">
      <c r="A4" s="89" t="s">
        <v>343</v>
      </c>
      <c r="B4" s="112" t="s">
        <v>160</v>
      </c>
      <c r="C4" s="45">
        <v>3</v>
      </c>
      <c r="D4" s="37">
        <f>9.4*C4</f>
        <v>28.200000000000003</v>
      </c>
      <c r="E4" s="37">
        <v>0</v>
      </c>
      <c r="F4" s="38">
        <v>0</v>
      </c>
      <c r="G4" s="45">
        <v>75</v>
      </c>
      <c r="H4" s="37">
        <f>16.7*G4</f>
        <v>1252.5</v>
      </c>
      <c r="I4" s="37">
        <v>6</v>
      </c>
      <c r="J4" s="38">
        <v>10</v>
      </c>
      <c r="K4" s="37">
        <v>2</v>
      </c>
      <c r="L4" s="105">
        <v>0.72727272727272729</v>
      </c>
      <c r="M4" s="106">
        <v>9.7902097902097904E-2</v>
      </c>
      <c r="N4" s="106">
        <v>6.2937062937062943E-2</v>
      </c>
      <c r="O4" s="106">
        <v>2.097902097902098E-2</v>
      </c>
      <c r="P4" s="106">
        <v>2.7972027972027972E-2</v>
      </c>
      <c r="Q4" s="107">
        <v>6.2937062937062943E-2</v>
      </c>
      <c r="R4" s="81">
        <v>0.12380952380952381</v>
      </c>
      <c r="S4" s="82">
        <v>0.15238095238095239</v>
      </c>
      <c r="T4" s="82">
        <v>9.5238095238095233E-2</v>
      </c>
      <c r="U4" s="82">
        <v>0.19047619047619047</v>
      </c>
      <c r="V4" s="82">
        <v>0.14285714285714285</v>
      </c>
      <c r="W4" s="83">
        <v>0.29523809523809524</v>
      </c>
      <c r="X4" s="111">
        <f t="shared" ref="X4:X12" si="2">$F4*L4</f>
        <v>0</v>
      </c>
      <c r="Y4" s="90">
        <f t="shared" ref="Y4:Y12" si="3">$F4*M4</f>
        <v>0</v>
      </c>
      <c r="Z4" s="90">
        <f t="shared" ref="Z4:Z12" si="4">$F4*N4</f>
        <v>0</v>
      </c>
      <c r="AA4" s="90">
        <f t="shared" ref="AA4:AA12" si="5">$F4*O4</f>
        <v>0</v>
      </c>
      <c r="AB4" s="90">
        <f t="shared" ref="AB4:AB12" si="6">$F4*P4</f>
        <v>0</v>
      </c>
      <c r="AC4" s="112">
        <f t="shared" ref="AC4:AC12" si="7">$F4*Q4</f>
        <v>0</v>
      </c>
      <c r="AD4" s="111">
        <f t="shared" ref="AD4:AD67" si="8">$J4*R4</f>
        <v>1.2380952380952381</v>
      </c>
      <c r="AE4" s="90">
        <f t="shared" ref="AE4:AE67" si="9">$J4*S4</f>
        <v>1.5238095238095239</v>
      </c>
      <c r="AF4" s="90">
        <f t="shared" ref="AF4:AF67" si="10">$J4*T4</f>
        <v>0.95238095238095233</v>
      </c>
      <c r="AG4" s="90">
        <f t="shared" ref="AG4:AG67" si="11">$J4*U4</f>
        <v>1.9047619047619047</v>
      </c>
      <c r="AH4" s="90">
        <f t="shared" ref="AH4:AH67" si="12">$J4*V4</f>
        <v>1.4285714285714284</v>
      </c>
      <c r="AI4" s="112">
        <f t="shared" ref="AI4:AI67" si="13">$J4*W4</f>
        <v>2.9523809523809526</v>
      </c>
      <c r="AJ4" s="121">
        <f>Input!$E$22*WRs!C4+Input!$E$23*WRs!D4+Input!$E$24*WRs!X4+Input!$E$25*WRs!Y4+Input!$E$26*WRs!Z4+Input!$E$27*WRs!AA4+Input!$E$28*WRs!AB4+Input!$E$29*WRs!AC4+Input!$E$30*WRs!E4+Input!$E$31*WRs!G4+Input!$E$32*WRs!H4+Input!$E$33*WRs!AD4+Input!$E$34*WRs!AE4+Input!$E$35*WRs!AF4+Input!$E$36*WRs!AG4+Input!$E$37*WRs!AH4+Input!$E$38*WRs!AI4+Input!$E$39*WRs!I4+Input!$E$40*WRs!K4</f>
        <v>236.64142857142855</v>
      </c>
    </row>
    <row r="5" spans="1:36" x14ac:dyDescent="0.25">
      <c r="A5" s="89" t="s">
        <v>344</v>
      </c>
      <c r="B5" s="112" t="s">
        <v>144</v>
      </c>
      <c r="C5" s="45">
        <v>0</v>
      </c>
      <c r="D5" s="37">
        <v>0</v>
      </c>
      <c r="E5" s="37">
        <v>0</v>
      </c>
      <c r="F5" s="38">
        <v>0</v>
      </c>
      <c r="G5" s="45">
        <v>90</v>
      </c>
      <c r="H5" s="37">
        <f>14.8*G5</f>
        <v>1332</v>
      </c>
      <c r="I5" s="37">
        <v>7</v>
      </c>
      <c r="J5" s="38">
        <v>8</v>
      </c>
      <c r="K5" s="37">
        <v>1</v>
      </c>
      <c r="L5" s="105">
        <v>0.72727272727272729</v>
      </c>
      <c r="M5" s="106">
        <v>9.7902097902097904E-2</v>
      </c>
      <c r="N5" s="106">
        <v>6.2937062937062943E-2</v>
      </c>
      <c r="O5" s="106">
        <v>2.097902097902098E-2</v>
      </c>
      <c r="P5" s="106">
        <v>2.7972027972027972E-2</v>
      </c>
      <c r="Q5" s="107">
        <v>6.2937062937062943E-2</v>
      </c>
      <c r="R5" s="81">
        <v>0.12380952380952381</v>
      </c>
      <c r="S5" s="82">
        <v>0.15238095238095239</v>
      </c>
      <c r="T5" s="82">
        <v>9.5238095238095233E-2</v>
      </c>
      <c r="U5" s="82">
        <v>0.19047619047619047</v>
      </c>
      <c r="V5" s="82">
        <v>0.14285714285714285</v>
      </c>
      <c r="W5" s="83">
        <v>0.29523809523809524</v>
      </c>
      <c r="X5" s="111">
        <f t="shared" si="2"/>
        <v>0</v>
      </c>
      <c r="Y5" s="90">
        <f t="shared" si="3"/>
        <v>0</v>
      </c>
      <c r="Z5" s="90">
        <f t="shared" si="4"/>
        <v>0</v>
      </c>
      <c r="AA5" s="90">
        <f t="shared" si="5"/>
        <v>0</v>
      </c>
      <c r="AB5" s="90">
        <f t="shared" si="6"/>
        <v>0</v>
      </c>
      <c r="AC5" s="112">
        <f t="shared" si="7"/>
        <v>0</v>
      </c>
      <c r="AD5" s="111">
        <f t="shared" si="8"/>
        <v>0.99047619047619051</v>
      </c>
      <c r="AE5" s="90">
        <f t="shared" si="9"/>
        <v>1.2190476190476192</v>
      </c>
      <c r="AF5" s="90">
        <f t="shared" si="10"/>
        <v>0.76190476190476186</v>
      </c>
      <c r="AG5" s="90">
        <f t="shared" si="11"/>
        <v>1.5238095238095237</v>
      </c>
      <c r="AH5" s="90">
        <f t="shared" si="12"/>
        <v>1.1428571428571428</v>
      </c>
      <c r="AI5" s="112">
        <f t="shared" si="13"/>
        <v>2.361904761904762</v>
      </c>
      <c r="AJ5" s="121">
        <f>Input!$E$22*WRs!C5+Input!$E$23*WRs!D5+Input!$E$24*WRs!X5+Input!$E$25*WRs!Y5+Input!$E$26*WRs!Z5+Input!$E$27*WRs!AA5+Input!$E$28*WRs!AB5+Input!$E$29*WRs!AC5+Input!$E$30*WRs!E5+Input!$E$31*WRs!G5+Input!$E$32*WRs!H5+Input!$E$33*WRs!AD5+Input!$E$34*WRs!AE5+Input!$E$35*WRs!AF5+Input!$E$36*WRs!AG5+Input!$E$37*WRs!AH5+Input!$E$38*WRs!AI5+Input!$E$39*WRs!I5+Input!$E$40*WRs!K5</f>
        <v>227.25714285714287</v>
      </c>
    </row>
    <row r="6" spans="1:36" x14ac:dyDescent="0.25">
      <c r="A6" s="89" t="s">
        <v>345</v>
      </c>
      <c r="B6" s="112" t="s">
        <v>140</v>
      </c>
      <c r="C6" s="45">
        <v>1</v>
      </c>
      <c r="D6" s="37">
        <v>4</v>
      </c>
      <c r="E6" s="37">
        <v>0</v>
      </c>
      <c r="F6" s="38">
        <v>0</v>
      </c>
      <c r="G6" s="45">
        <v>81</v>
      </c>
      <c r="H6" s="37">
        <f>15*G6</f>
        <v>1215</v>
      </c>
      <c r="I6" s="37">
        <v>5</v>
      </c>
      <c r="J6" s="38">
        <v>9</v>
      </c>
      <c r="K6" s="37">
        <v>1</v>
      </c>
      <c r="L6" s="105">
        <v>0.72727272727272729</v>
      </c>
      <c r="M6" s="106">
        <v>9.7902097902097904E-2</v>
      </c>
      <c r="N6" s="106">
        <v>6.2937062937062943E-2</v>
      </c>
      <c r="O6" s="106">
        <v>2.097902097902098E-2</v>
      </c>
      <c r="P6" s="106">
        <v>2.7972027972027972E-2</v>
      </c>
      <c r="Q6" s="107">
        <v>6.2937062937062943E-2</v>
      </c>
      <c r="R6" s="105">
        <v>0.20689655172413793</v>
      </c>
      <c r="S6" s="106">
        <v>0.31034482758620691</v>
      </c>
      <c r="T6" s="106">
        <v>0.22413793103448276</v>
      </c>
      <c r="U6" s="106">
        <v>5.1724137931034482E-2</v>
      </c>
      <c r="V6" s="106">
        <v>0.13793103448275862</v>
      </c>
      <c r="W6" s="107">
        <v>6.8965517241379309E-2</v>
      </c>
      <c r="X6" s="111">
        <f t="shared" si="2"/>
        <v>0</v>
      </c>
      <c r="Y6" s="90">
        <f t="shared" si="3"/>
        <v>0</v>
      </c>
      <c r="Z6" s="90">
        <f t="shared" si="4"/>
        <v>0</v>
      </c>
      <c r="AA6" s="90">
        <f t="shared" si="5"/>
        <v>0</v>
      </c>
      <c r="AB6" s="90">
        <f t="shared" si="6"/>
        <v>0</v>
      </c>
      <c r="AC6" s="112">
        <f t="shared" si="7"/>
        <v>0</v>
      </c>
      <c r="AD6" s="111">
        <f t="shared" si="8"/>
        <v>1.8620689655172413</v>
      </c>
      <c r="AE6" s="90">
        <f t="shared" si="9"/>
        <v>2.7931034482758621</v>
      </c>
      <c r="AF6" s="90">
        <f t="shared" si="10"/>
        <v>2.0172413793103448</v>
      </c>
      <c r="AG6" s="90">
        <f t="shared" si="11"/>
        <v>0.46551724137931033</v>
      </c>
      <c r="AH6" s="90">
        <f t="shared" si="12"/>
        <v>1.2413793103448276</v>
      </c>
      <c r="AI6" s="112">
        <f t="shared" si="13"/>
        <v>0.62068965517241381</v>
      </c>
      <c r="AJ6" s="121">
        <f>Input!$E$22*WRs!C6+Input!$E$23*WRs!D6+Input!$E$24*WRs!X6+Input!$E$25*WRs!Y6+Input!$E$26*WRs!Z6+Input!$E$27*WRs!AA6+Input!$E$28*WRs!AB6+Input!$E$29*WRs!AC6+Input!$E$30*WRs!E6+Input!$E$31*WRs!G6+Input!$E$32*WRs!H6+Input!$E$33*WRs!AD6+Input!$E$34*WRs!AE6+Input!$E$35*WRs!AF6+Input!$E$36*WRs!AG6+Input!$E$37*WRs!AH6+Input!$E$38*WRs!AI6+Input!$E$39*WRs!I6+Input!$E$40*WRs!K6</f>
        <v>206.81379310344829</v>
      </c>
    </row>
    <row r="7" spans="1:36" x14ac:dyDescent="0.25">
      <c r="A7" s="89" t="s">
        <v>346</v>
      </c>
      <c r="B7" s="112" t="s">
        <v>136</v>
      </c>
      <c r="C7" s="45">
        <v>3</v>
      </c>
      <c r="D7" s="37">
        <f>7.7*C7</f>
        <v>23.1</v>
      </c>
      <c r="E7" s="37">
        <v>0</v>
      </c>
      <c r="F7" s="38">
        <v>0</v>
      </c>
      <c r="G7" s="45">
        <v>73</v>
      </c>
      <c r="H7" s="37">
        <f>14.6*G7</f>
        <v>1065.8</v>
      </c>
      <c r="I7" s="37">
        <v>4</v>
      </c>
      <c r="J7" s="38">
        <v>11</v>
      </c>
      <c r="K7" s="37">
        <v>1</v>
      </c>
      <c r="L7" s="105">
        <v>0.72727272727272729</v>
      </c>
      <c r="M7" s="106">
        <v>9.7902097902097904E-2</v>
      </c>
      <c r="N7" s="106">
        <v>6.2937062937062943E-2</v>
      </c>
      <c r="O7" s="106">
        <v>2.097902097902098E-2</v>
      </c>
      <c r="P7" s="106">
        <v>2.7972027972027972E-2</v>
      </c>
      <c r="Q7" s="107">
        <v>6.2937062937062943E-2</v>
      </c>
      <c r="R7" s="105">
        <v>0.20689655172413793</v>
      </c>
      <c r="S7" s="106">
        <v>0.31034482758620691</v>
      </c>
      <c r="T7" s="106">
        <v>0.22413793103448276</v>
      </c>
      <c r="U7" s="106">
        <v>5.1724137931034482E-2</v>
      </c>
      <c r="V7" s="106">
        <v>0.13793103448275862</v>
      </c>
      <c r="W7" s="107">
        <v>6.8965517241379309E-2</v>
      </c>
      <c r="X7" s="111">
        <f t="shared" si="2"/>
        <v>0</v>
      </c>
      <c r="Y7" s="90">
        <f t="shared" si="3"/>
        <v>0</v>
      </c>
      <c r="Z7" s="90">
        <f t="shared" si="4"/>
        <v>0</v>
      </c>
      <c r="AA7" s="90">
        <f t="shared" si="5"/>
        <v>0</v>
      </c>
      <c r="AB7" s="90">
        <f t="shared" si="6"/>
        <v>0</v>
      </c>
      <c r="AC7" s="112">
        <f t="shared" si="7"/>
        <v>0</v>
      </c>
      <c r="AD7" s="111">
        <f t="shared" si="8"/>
        <v>2.2758620689655173</v>
      </c>
      <c r="AE7" s="90">
        <f t="shared" si="9"/>
        <v>3.4137931034482758</v>
      </c>
      <c r="AF7" s="90">
        <f t="shared" si="10"/>
        <v>2.4655172413793105</v>
      </c>
      <c r="AG7" s="90">
        <f t="shared" si="11"/>
        <v>0.56896551724137934</v>
      </c>
      <c r="AH7" s="90">
        <f t="shared" si="12"/>
        <v>1.5172413793103448</v>
      </c>
      <c r="AI7" s="112">
        <f t="shared" si="13"/>
        <v>0.75862068965517238</v>
      </c>
      <c r="AJ7" s="121">
        <f>Input!$E$22*WRs!C7+Input!$E$23*WRs!D7+Input!$E$24*WRs!X7+Input!$E$25*WRs!Y7+Input!$E$26*WRs!Z7+Input!$E$27*WRs!AA7+Input!$E$28*WRs!AB7+Input!$E$29*WRs!AC7+Input!$E$30*WRs!E7+Input!$E$31*WRs!G7+Input!$E$32*WRs!H7+Input!$E$33*WRs!AD7+Input!$E$34*WRs!AE7+Input!$E$35*WRs!AF7+Input!$E$36*WRs!AG7+Input!$E$37*WRs!AH7+Input!$E$38*WRs!AI7+Input!$E$39*WRs!I7+Input!$E$40*WRs!K7</f>
        <v>206.56241379310345</v>
      </c>
    </row>
    <row r="8" spans="1:36" x14ac:dyDescent="0.25">
      <c r="A8" s="89" t="s">
        <v>347</v>
      </c>
      <c r="B8" s="112" t="s">
        <v>154</v>
      </c>
      <c r="C8" s="45">
        <v>0</v>
      </c>
      <c r="D8" s="37">
        <v>0</v>
      </c>
      <c r="E8" s="37">
        <v>0</v>
      </c>
      <c r="F8" s="38">
        <v>0</v>
      </c>
      <c r="G8" s="45">
        <v>100</v>
      </c>
      <c r="H8" s="37">
        <f>13.9*G8</f>
        <v>1390</v>
      </c>
      <c r="I8" s="37">
        <v>7</v>
      </c>
      <c r="J8" s="38">
        <v>7</v>
      </c>
      <c r="K8" s="37">
        <v>1</v>
      </c>
      <c r="L8" s="105">
        <v>0.72727272727272729</v>
      </c>
      <c r="M8" s="106">
        <v>9.7902097902097904E-2</v>
      </c>
      <c r="N8" s="106">
        <v>6.2937062937062943E-2</v>
      </c>
      <c r="O8" s="106">
        <v>2.097902097902098E-2</v>
      </c>
      <c r="P8" s="106">
        <v>2.7972027972027972E-2</v>
      </c>
      <c r="Q8" s="107">
        <v>6.2937062937062943E-2</v>
      </c>
      <c r="R8" s="105">
        <v>0.20689655172413793</v>
      </c>
      <c r="S8" s="106">
        <v>0.31034482758620691</v>
      </c>
      <c r="T8" s="106">
        <v>0.22413793103448276</v>
      </c>
      <c r="U8" s="106">
        <v>5.1724137931034482E-2</v>
      </c>
      <c r="V8" s="106">
        <v>0.13793103448275862</v>
      </c>
      <c r="W8" s="107">
        <v>6.8965517241379309E-2</v>
      </c>
      <c r="X8" s="111">
        <f t="shared" si="2"/>
        <v>0</v>
      </c>
      <c r="Y8" s="90">
        <f t="shared" si="3"/>
        <v>0</v>
      </c>
      <c r="Z8" s="90">
        <f t="shared" si="4"/>
        <v>0</v>
      </c>
      <c r="AA8" s="90">
        <f t="shared" si="5"/>
        <v>0</v>
      </c>
      <c r="AB8" s="90">
        <f t="shared" si="6"/>
        <v>0</v>
      </c>
      <c r="AC8" s="112">
        <f t="shared" si="7"/>
        <v>0</v>
      </c>
      <c r="AD8" s="111">
        <f t="shared" si="8"/>
        <v>1.4482758620689655</v>
      </c>
      <c r="AE8" s="90">
        <f t="shared" si="9"/>
        <v>2.1724137931034484</v>
      </c>
      <c r="AF8" s="90">
        <f t="shared" si="10"/>
        <v>1.5689655172413794</v>
      </c>
      <c r="AG8" s="90">
        <f t="shared" si="11"/>
        <v>0.36206896551724138</v>
      </c>
      <c r="AH8" s="90">
        <f t="shared" si="12"/>
        <v>0.96551724137931028</v>
      </c>
      <c r="AI8" s="112">
        <f t="shared" si="13"/>
        <v>0.48275862068965514</v>
      </c>
      <c r="AJ8" s="121">
        <f>Input!$E$22*WRs!C8+Input!$E$23*WRs!D8+Input!$E$24*WRs!X8+Input!$E$25*WRs!Y8+Input!$E$26*WRs!Z8+Input!$E$27*WRs!AA8+Input!$E$28*WRs!AB8+Input!$E$29*WRs!AC8+Input!$E$30*WRs!E8+Input!$E$31*WRs!G8+Input!$E$32*WRs!H8+Input!$E$33*WRs!AD8+Input!$E$34*WRs!AE8+Input!$E$35*WRs!AF8+Input!$E$36*WRs!AG8+Input!$E$37*WRs!AH8+Input!$E$38*WRs!AI8+Input!$E$39*WRs!I8+Input!$E$40*WRs!K8</f>
        <v>214.15517241379311</v>
      </c>
    </row>
    <row r="9" spans="1:36" x14ac:dyDescent="0.25">
      <c r="A9" s="89" t="s">
        <v>348</v>
      </c>
      <c r="B9" s="112" t="s">
        <v>176</v>
      </c>
      <c r="C9" s="45">
        <v>4</v>
      </c>
      <c r="D9" s="37">
        <f>6*C9</f>
        <v>24</v>
      </c>
      <c r="E9" s="37">
        <v>0</v>
      </c>
      <c r="F9" s="38">
        <v>0</v>
      </c>
      <c r="G9" s="45">
        <v>72</v>
      </c>
      <c r="H9" s="37">
        <f>17.5*G9</f>
        <v>1260</v>
      </c>
      <c r="I9" s="37">
        <v>5</v>
      </c>
      <c r="J9" s="38">
        <v>8</v>
      </c>
      <c r="K9" s="37">
        <v>1</v>
      </c>
      <c r="L9" s="105">
        <v>0.72727272727272729</v>
      </c>
      <c r="M9" s="106">
        <v>9.7902097902097904E-2</v>
      </c>
      <c r="N9" s="106">
        <v>6.2937062937062943E-2</v>
      </c>
      <c r="O9" s="106">
        <v>2.097902097902098E-2</v>
      </c>
      <c r="P9" s="106">
        <v>2.7972027972027972E-2</v>
      </c>
      <c r="Q9" s="107">
        <v>6.2937062937062943E-2</v>
      </c>
      <c r="R9" s="81">
        <v>0.12380952380952381</v>
      </c>
      <c r="S9" s="82">
        <v>0.15238095238095239</v>
      </c>
      <c r="T9" s="82">
        <v>9.5238095238095233E-2</v>
      </c>
      <c r="U9" s="82">
        <v>0.19047619047619047</v>
      </c>
      <c r="V9" s="82">
        <v>0.14285714285714285</v>
      </c>
      <c r="W9" s="83">
        <v>0.29523809523809524</v>
      </c>
      <c r="X9" s="111">
        <f t="shared" si="2"/>
        <v>0</v>
      </c>
      <c r="Y9" s="90">
        <f t="shared" si="3"/>
        <v>0</v>
      </c>
      <c r="Z9" s="90">
        <f t="shared" si="4"/>
        <v>0</v>
      </c>
      <c r="AA9" s="90">
        <f t="shared" si="5"/>
        <v>0</v>
      </c>
      <c r="AB9" s="90">
        <f t="shared" si="6"/>
        <v>0</v>
      </c>
      <c r="AC9" s="112">
        <f t="shared" si="7"/>
        <v>0</v>
      </c>
      <c r="AD9" s="111">
        <f t="shared" si="8"/>
        <v>0.99047619047619051</v>
      </c>
      <c r="AE9" s="90">
        <f t="shared" si="9"/>
        <v>1.2190476190476192</v>
      </c>
      <c r="AF9" s="90">
        <f t="shared" si="10"/>
        <v>0.76190476190476186</v>
      </c>
      <c r="AG9" s="90">
        <f t="shared" si="11"/>
        <v>1.5238095238095237</v>
      </c>
      <c r="AH9" s="90">
        <f t="shared" si="12"/>
        <v>1.1428571428571428</v>
      </c>
      <c r="AI9" s="112">
        <f t="shared" si="13"/>
        <v>2.361904761904762</v>
      </c>
      <c r="AJ9" s="121">
        <f>Input!$E$22*WRs!C9+Input!$E$23*WRs!D9+Input!$E$24*WRs!X9+Input!$E$25*WRs!Y9+Input!$E$26*WRs!Z9+Input!$E$27*WRs!AA9+Input!$E$28*WRs!AB9+Input!$E$29*WRs!AC9+Input!$E$30*WRs!E9+Input!$E$31*WRs!G9+Input!$E$32*WRs!H9+Input!$E$33*WRs!AD9+Input!$E$34*WRs!AE9+Input!$E$35*WRs!AF9+Input!$E$36*WRs!AG9+Input!$E$37*WRs!AH9+Input!$E$38*WRs!AI9+Input!$E$39*WRs!I9+Input!$E$40*WRs!K9</f>
        <v>216.45714285714286</v>
      </c>
    </row>
    <row r="10" spans="1:36" x14ac:dyDescent="0.25">
      <c r="A10" s="89" t="s">
        <v>349</v>
      </c>
      <c r="B10" s="112" t="s">
        <v>174</v>
      </c>
      <c r="C10" s="45">
        <v>0</v>
      </c>
      <c r="D10" s="37">
        <v>0</v>
      </c>
      <c r="E10" s="37">
        <v>0</v>
      </c>
      <c r="F10" s="38">
        <v>0</v>
      </c>
      <c r="G10" s="45">
        <v>80</v>
      </c>
      <c r="H10" s="37">
        <f>15.8*G10</f>
        <v>1264</v>
      </c>
      <c r="I10" s="37">
        <v>5</v>
      </c>
      <c r="J10" s="38">
        <v>7</v>
      </c>
      <c r="K10" s="37">
        <v>2</v>
      </c>
      <c r="L10" s="105">
        <v>0.72727272727272729</v>
      </c>
      <c r="M10" s="106">
        <v>9.7902097902097904E-2</v>
      </c>
      <c r="N10" s="106">
        <v>6.2937062937062943E-2</v>
      </c>
      <c r="O10" s="106">
        <v>2.097902097902098E-2</v>
      </c>
      <c r="P10" s="106">
        <v>2.7972027972027972E-2</v>
      </c>
      <c r="Q10" s="107">
        <v>6.2937062937062943E-2</v>
      </c>
      <c r="R10" s="81">
        <v>0.12380952380952381</v>
      </c>
      <c r="S10" s="82">
        <v>0.15238095238095239</v>
      </c>
      <c r="T10" s="82">
        <v>9.5238095238095233E-2</v>
      </c>
      <c r="U10" s="82">
        <v>0.19047619047619047</v>
      </c>
      <c r="V10" s="82">
        <v>0.14285714285714285</v>
      </c>
      <c r="W10" s="83">
        <v>0.29523809523809524</v>
      </c>
      <c r="X10" s="111">
        <f t="shared" si="2"/>
        <v>0</v>
      </c>
      <c r="Y10" s="90">
        <f t="shared" si="3"/>
        <v>0</v>
      </c>
      <c r="Z10" s="90">
        <f t="shared" si="4"/>
        <v>0</v>
      </c>
      <c r="AA10" s="90">
        <f t="shared" si="5"/>
        <v>0</v>
      </c>
      <c r="AB10" s="90">
        <f t="shared" si="6"/>
        <v>0</v>
      </c>
      <c r="AC10" s="112">
        <f t="shared" si="7"/>
        <v>0</v>
      </c>
      <c r="AD10" s="111">
        <f t="shared" si="8"/>
        <v>0.8666666666666667</v>
      </c>
      <c r="AE10" s="90">
        <f t="shared" si="9"/>
        <v>1.0666666666666669</v>
      </c>
      <c r="AF10" s="90">
        <f t="shared" si="10"/>
        <v>0.66666666666666663</v>
      </c>
      <c r="AG10" s="90">
        <f t="shared" si="11"/>
        <v>1.3333333333333333</v>
      </c>
      <c r="AH10" s="90">
        <f t="shared" si="12"/>
        <v>1</v>
      </c>
      <c r="AI10" s="112">
        <f t="shared" si="13"/>
        <v>2.0666666666666669</v>
      </c>
      <c r="AJ10" s="121">
        <f>Input!$E$22*WRs!C10+Input!$E$23*WRs!D10+Input!$E$24*WRs!X10+Input!$E$25*WRs!Y10+Input!$E$26*WRs!Z10+Input!$E$27*WRs!AA10+Input!$E$28*WRs!AB10+Input!$E$29*WRs!AC10+Input!$E$30*WRs!E10+Input!$E$31*WRs!G10+Input!$E$32*WRs!H10+Input!$E$33*WRs!AD10+Input!$E$34*WRs!AE10+Input!$E$35*WRs!AF10+Input!$E$36*WRs!AG10+Input!$E$37*WRs!AH10+Input!$E$38*WRs!AI10+Input!$E$39*WRs!I10+Input!$E$40*WRs!K10</f>
        <v>204.20000000000002</v>
      </c>
    </row>
    <row r="11" spans="1:36" x14ac:dyDescent="0.25">
      <c r="A11" s="89" t="s">
        <v>350</v>
      </c>
      <c r="B11" s="112" t="s">
        <v>158</v>
      </c>
      <c r="C11" s="45">
        <v>1</v>
      </c>
      <c r="D11" s="37">
        <v>4</v>
      </c>
      <c r="E11" s="37">
        <v>0</v>
      </c>
      <c r="F11" s="38">
        <v>0</v>
      </c>
      <c r="G11" s="45">
        <v>80</v>
      </c>
      <c r="H11" s="37">
        <f>14.9*G11</f>
        <v>1192</v>
      </c>
      <c r="I11" s="37">
        <v>4</v>
      </c>
      <c r="J11" s="38">
        <v>7</v>
      </c>
      <c r="K11" s="37">
        <v>1</v>
      </c>
      <c r="L11" s="105">
        <v>0.72727272727272729</v>
      </c>
      <c r="M11" s="106">
        <v>9.7902097902097904E-2</v>
      </c>
      <c r="N11" s="106">
        <v>6.2937062937062943E-2</v>
      </c>
      <c r="O11" s="106">
        <v>2.097902097902098E-2</v>
      </c>
      <c r="P11" s="106">
        <v>2.7972027972027972E-2</v>
      </c>
      <c r="Q11" s="107">
        <v>6.2937062937062943E-2</v>
      </c>
      <c r="R11" s="81">
        <v>0.12380952380952381</v>
      </c>
      <c r="S11" s="82">
        <v>0.15238095238095239</v>
      </c>
      <c r="T11" s="82">
        <v>9.5238095238095233E-2</v>
      </c>
      <c r="U11" s="82">
        <v>0.19047619047619047</v>
      </c>
      <c r="V11" s="82">
        <v>0.14285714285714285</v>
      </c>
      <c r="W11" s="83">
        <v>0.29523809523809524</v>
      </c>
      <c r="X11" s="111">
        <f t="shared" si="2"/>
        <v>0</v>
      </c>
      <c r="Y11" s="90">
        <f t="shared" si="3"/>
        <v>0</v>
      </c>
      <c r="Z11" s="90">
        <f t="shared" si="4"/>
        <v>0</v>
      </c>
      <c r="AA11" s="90">
        <f t="shared" si="5"/>
        <v>0</v>
      </c>
      <c r="AB11" s="90">
        <f t="shared" si="6"/>
        <v>0</v>
      </c>
      <c r="AC11" s="112">
        <f t="shared" si="7"/>
        <v>0</v>
      </c>
      <c r="AD11" s="111">
        <f t="shared" si="8"/>
        <v>0.8666666666666667</v>
      </c>
      <c r="AE11" s="90">
        <f t="shared" si="9"/>
        <v>1.0666666666666669</v>
      </c>
      <c r="AF11" s="90">
        <f t="shared" si="10"/>
        <v>0.66666666666666663</v>
      </c>
      <c r="AG11" s="90">
        <f t="shared" si="11"/>
        <v>1.3333333333333333</v>
      </c>
      <c r="AH11" s="90">
        <f t="shared" si="12"/>
        <v>1</v>
      </c>
      <c r="AI11" s="112">
        <f t="shared" si="13"/>
        <v>2.0666666666666669</v>
      </c>
      <c r="AJ11" s="121">
        <f>Input!$E$22*WRs!C11+Input!$E$23*WRs!D11+Input!$E$24*WRs!X11+Input!$E$25*WRs!Y11+Input!$E$26*WRs!Z11+Input!$E$27*WRs!AA11+Input!$E$28*WRs!AB11+Input!$E$29*WRs!AC11+Input!$E$30*WRs!E11+Input!$E$31*WRs!G11+Input!$E$32*WRs!H11+Input!$E$33*WRs!AD11+Input!$E$34*WRs!AE11+Input!$E$35*WRs!AF11+Input!$E$36*WRs!AG11+Input!$E$37*WRs!AH11+Input!$E$38*WRs!AI11+Input!$E$39*WRs!I11+Input!$E$40*WRs!K11</f>
        <v>195.40000000000003</v>
      </c>
    </row>
    <row r="12" spans="1:36" x14ac:dyDescent="0.25">
      <c r="A12" s="89" t="s">
        <v>351</v>
      </c>
      <c r="B12" s="112" t="s">
        <v>160</v>
      </c>
      <c r="C12" s="45">
        <v>0</v>
      </c>
      <c r="D12" s="37">
        <v>0</v>
      </c>
      <c r="E12" s="37">
        <v>0</v>
      </c>
      <c r="F12" s="38">
        <v>0</v>
      </c>
      <c r="G12" s="45">
        <v>85</v>
      </c>
      <c r="H12" s="37">
        <f>12.5*G12</f>
        <v>1062.5</v>
      </c>
      <c r="I12" s="37">
        <v>4</v>
      </c>
      <c r="J12" s="38">
        <v>10</v>
      </c>
      <c r="K12" s="37">
        <v>1</v>
      </c>
      <c r="L12" s="105">
        <v>0.72727272727272729</v>
      </c>
      <c r="M12" s="106">
        <v>9.7902097902097904E-2</v>
      </c>
      <c r="N12" s="106">
        <v>6.2937062937062943E-2</v>
      </c>
      <c r="O12" s="106">
        <v>2.097902097902098E-2</v>
      </c>
      <c r="P12" s="106">
        <v>2.7972027972027972E-2</v>
      </c>
      <c r="Q12" s="107">
        <v>6.2937062937062943E-2</v>
      </c>
      <c r="R12" s="105">
        <v>0.36974789915966388</v>
      </c>
      <c r="S12" s="106">
        <v>0.25210084033613445</v>
      </c>
      <c r="T12" s="106">
        <v>0.21008403361344538</v>
      </c>
      <c r="U12" s="106">
        <v>5.8823529411764705E-2</v>
      </c>
      <c r="V12" s="106">
        <v>7.5630252100840331E-2</v>
      </c>
      <c r="W12" s="107">
        <v>4.2016806722689079E-2</v>
      </c>
      <c r="X12" s="111">
        <f t="shared" si="2"/>
        <v>0</v>
      </c>
      <c r="Y12" s="90">
        <f t="shared" si="3"/>
        <v>0</v>
      </c>
      <c r="Z12" s="90">
        <f t="shared" si="4"/>
        <v>0</v>
      </c>
      <c r="AA12" s="90">
        <f t="shared" si="5"/>
        <v>0</v>
      </c>
      <c r="AB12" s="90">
        <f t="shared" si="6"/>
        <v>0</v>
      </c>
      <c r="AC12" s="112">
        <f t="shared" si="7"/>
        <v>0</v>
      </c>
      <c r="AD12" s="111">
        <f t="shared" si="8"/>
        <v>3.6974789915966388</v>
      </c>
      <c r="AE12" s="90">
        <f t="shared" si="9"/>
        <v>2.5210084033613445</v>
      </c>
      <c r="AF12" s="90">
        <f t="shared" si="10"/>
        <v>2.1008403361344539</v>
      </c>
      <c r="AG12" s="90">
        <f t="shared" si="11"/>
        <v>0.58823529411764708</v>
      </c>
      <c r="AH12" s="90">
        <f t="shared" si="12"/>
        <v>0.75630252100840334</v>
      </c>
      <c r="AI12" s="112">
        <f t="shared" si="13"/>
        <v>0.42016806722689082</v>
      </c>
      <c r="AJ12" s="121">
        <f>Input!$E$22*WRs!C12+Input!$E$23*WRs!D12+Input!$E$24*WRs!X12+Input!$E$25*WRs!Y12+Input!$E$26*WRs!Z12+Input!$E$27*WRs!AA12+Input!$E$28*WRs!AB12+Input!$E$29*WRs!AC12+Input!$E$30*WRs!E12+Input!$E$31*WRs!G12+Input!$E$32*WRs!H12+Input!$E$33*WRs!AD12+Input!$E$34*WRs!AE12+Input!$E$35*WRs!AF12+Input!$E$36*WRs!AG12+Input!$E$37*WRs!AH12+Input!$E$38*WRs!AI12+Input!$E$39*WRs!I12+Input!$E$40*WRs!K12</f>
        <v>191.78781512605042</v>
      </c>
    </row>
    <row r="13" spans="1:36" x14ac:dyDescent="0.25">
      <c r="A13" s="89" t="s">
        <v>352</v>
      </c>
      <c r="B13" s="112" t="s">
        <v>150</v>
      </c>
      <c r="C13" s="45">
        <v>5</v>
      </c>
      <c r="D13" s="37">
        <f>6*C13</f>
        <v>30</v>
      </c>
      <c r="E13" s="37">
        <v>0</v>
      </c>
      <c r="F13" s="38">
        <v>0</v>
      </c>
      <c r="G13" s="45">
        <v>65</v>
      </c>
      <c r="H13" s="37">
        <f>17.5*G13</f>
        <v>1137.5</v>
      </c>
      <c r="I13" s="37">
        <v>5</v>
      </c>
      <c r="J13" s="38">
        <v>8</v>
      </c>
      <c r="K13" s="37">
        <v>1</v>
      </c>
      <c r="L13" s="105">
        <v>0.72727272727272729</v>
      </c>
      <c r="M13" s="106">
        <v>9.7902097902097904E-2</v>
      </c>
      <c r="N13" s="106">
        <v>6.2937062937062943E-2</v>
      </c>
      <c r="O13" s="106">
        <v>2.097902097902098E-2</v>
      </c>
      <c r="P13" s="106">
        <v>2.7972027972027972E-2</v>
      </c>
      <c r="Q13" s="107">
        <v>6.2937062937062943E-2</v>
      </c>
      <c r="R13" s="105">
        <v>0.20689655172413793</v>
      </c>
      <c r="S13" s="106">
        <v>0.31034482758620691</v>
      </c>
      <c r="T13" s="106">
        <v>0.22413793103448276</v>
      </c>
      <c r="U13" s="106">
        <v>5.1724137931034482E-2</v>
      </c>
      <c r="V13" s="106">
        <v>0.13793103448275862</v>
      </c>
      <c r="W13" s="107">
        <v>6.8965517241379309E-2</v>
      </c>
      <c r="X13" s="111">
        <f t="shared" ref="X13:X76" si="14">$F13*L13</f>
        <v>0</v>
      </c>
      <c r="Y13" s="90">
        <f t="shared" ref="Y13:Y76" si="15">$F13*M13</f>
        <v>0</v>
      </c>
      <c r="Z13" s="90">
        <f t="shared" ref="Z13:Z76" si="16">$F13*N13</f>
        <v>0</v>
      </c>
      <c r="AA13" s="90">
        <f t="shared" ref="AA13:AA76" si="17">$F13*O13</f>
        <v>0</v>
      </c>
      <c r="AB13" s="90">
        <f t="shared" ref="AB13:AB76" si="18">$F13*P13</f>
        <v>0</v>
      </c>
      <c r="AC13" s="112">
        <f t="shared" ref="AC13:AC76" si="19">$F13*Q13</f>
        <v>0</v>
      </c>
      <c r="AD13" s="111">
        <f t="shared" si="8"/>
        <v>1.6551724137931034</v>
      </c>
      <c r="AE13" s="90">
        <f t="shared" si="9"/>
        <v>2.4827586206896552</v>
      </c>
      <c r="AF13" s="90">
        <f t="shared" si="10"/>
        <v>1.7931034482758621</v>
      </c>
      <c r="AG13" s="90">
        <f t="shared" si="11"/>
        <v>0.41379310344827586</v>
      </c>
      <c r="AH13" s="90">
        <f t="shared" si="12"/>
        <v>1.103448275862069</v>
      </c>
      <c r="AI13" s="112">
        <f t="shared" si="13"/>
        <v>0.55172413793103448</v>
      </c>
      <c r="AJ13" s="121">
        <f>Input!$E$22*WRs!C13+Input!$E$23*WRs!D13+Input!$E$24*WRs!X13+Input!$E$25*WRs!Y13+Input!$E$26*WRs!Z13+Input!$E$27*WRs!AA13+Input!$E$28*WRs!AB13+Input!$E$29*WRs!AC13+Input!$E$30*WRs!E13+Input!$E$31*WRs!G13+Input!$E$32*WRs!H13+Input!$E$33*WRs!AD13+Input!$E$34*WRs!AE13+Input!$E$35*WRs!AF13+Input!$E$36*WRs!AG13+Input!$E$37*WRs!AH13+Input!$E$38*WRs!AI13+Input!$E$39*WRs!I13+Input!$E$40*WRs!K13</f>
        <v>193.7844827586207</v>
      </c>
    </row>
    <row r="14" spans="1:36" x14ac:dyDescent="0.25">
      <c r="A14" s="89" t="s">
        <v>353</v>
      </c>
      <c r="B14" s="112" t="s">
        <v>164</v>
      </c>
      <c r="C14" s="45">
        <v>0</v>
      </c>
      <c r="D14" s="37">
        <v>0</v>
      </c>
      <c r="E14" s="37">
        <v>0</v>
      </c>
      <c r="F14" s="38">
        <v>0</v>
      </c>
      <c r="G14" s="45">
        <v>70</v>
      </c>
      <c r="H14" s="37">
        <v>994</v>
      </c>
      <c r="I14" s="37">
        <v>4</v>
      </c>
      <c r="J14" s="38">
        <v>7</v>
      </c>
      <c r="K14" s="37">
        <v>1</v>
      </c>
      <c r="L14" s="105">
        <v>0.72727272727272729</v>
      </c>
      <c r="M14" s="106">
        <v>9.7902097902097904E-2</v>
      </c>
      <c r="N14" s="106">
        <v>6.2937062937062943E-2</v>
      </c>
      <c r="O14" s="106">
        <v>2.097902097902098E-2</v>
      </c>
      <c r="P14" s="106">
        <v>2.7972027972027972E-2</v>
      </c>
      <c r="Q14" s="107">
        <v>6.2937062937062943E-2</v>
      </c>
      <c r="R14" s="105">
        <v>0.20689655172413793</v>
      </c>
      <c r="S14" s="106">
        <v>0.31034482758620691</v>
      </c>
      <c r="T14" s="106">
        <v>0.22413793103448276</v>
      </c>
      <c r="U14" s="106">
        <v>5.1724137931034482E-2</v>
      </c>
      <c r="V14" s="106">
        <v>0.13793103448275862</v>
      </c>
      <c r="W14" s="107">
        <v>6.8965517241379309E-2</v>
      </c>
      <c r="X14" s="111">
        <f t="shared" si="14"/>
        <v>0</v>
      </c>
      <c r="Y14" s="90">
        <f t="shared" si="15"/>
        <v>0</v>
      </c>
      <c r="Z14" s="90">
        <f t="shared" si="16"/>
        <v>0</v>
      </c>
      <c r="AA14" s="90">
        <f t="shared" si="17"/>
        <v>0</v>
      </c>
      <c r="AB14" s="90">
        <f t="shared" si="18"/>
        <v>0</v>
      </c>
      <c r="AC14" s="112">
        <f t="shared" si="19"/>
        <v>0</v>
      </c>
      <c r="AD14" s="111">
        <f t="shared" si="8"/>
        <v>1.4482758620689655</v>
      </c>
      <c r="AE14" s="90">
        <f t="shared" si="9"/>
        <v>2.1724137931034484</v>
      </c>
      <c r="AF14" s="90">
        <f t="shared" si="10"/>
        <v>1.5689655172413794</v>
      </c>
      <c r="AG14" s="90">
        <f t="shared" si="11"/>
        <v>0.36206896551724138</v>
      </c>
      <c r="AH14" s="90">
        <f t="shared" si="12"/>
        <v>0.96551724137931028</v>
      </c>
      <c r="AI14" s="112">
        <f t="shared" si="13"/>
        <v>0.48275862068965514</v>
      </c>
      <c r="AJ14" s="121">
        <f>Input!$E$22*WRs!C14+Input!$E$23*WRs!D14+Input!$E$24*WRs!X14+Input!$E$25*WRs!Y14+Input!$E$26*WRs!Z14+Input!$E$27*WRs!AA14+Input!$E$28*WRs!AB14+Input!$E$29*WRs!AC14+Input!$E$30*WRs!E14+Input!$E$31*WRs!G14+Input!$E$32*WRs!H14+Input!$E$33*WRs!AD14+Input!$E$34*WRs!AE14+Input!$E$35*WRs!AF14+Input!$E$36*WRs!AG14+Input!$E$37*WRs!AH14+Input!$E$38*WRs!AI14+Input!$E$39*WRs!I14+Input!$E$40*WRs!K14</f>
        <v>165.55517241379314</v>
      </c>
    </row>
    <row r="15" spans="1:36" x14ac:dyDescent="0.25">
      <c r="A15" s="89" t="s">
        <v>354</v>
      </c>
      <c r="B15" s="112" t="s">
        <v>188</v>
      </c>
      <c r="C15" s="45">
        <v>5</v>
      </c>
      <c r="D15" s="37">
        <f>7.8*C15</f>
        <v>39</v>
      </c>
      <c r="E15" s="37">
        <v>0</v>
      </c>
      <c r="F15" s="38">
        <v>0</v>
      </c>
      <c r="G15" s="45">
        <v>75</v>
      </c>
      <c r="H15" s="37">
        <f>15.5*G15</f>
        <v>1162.5</v>
      </c>
      <c r="I15" s="37">
        <v>5</v>
      </c>
      <c r="J15" s="38">
        <v>6</v>
      </c>
      <c r="K15" s="37">
        <v>1</v>
      </c>
      <c r="L15" s="105">
        <v>0.72727272727272729</v>
      </c>
      <c r="M15" s="106">
        <v>9.7902097902097904E-2</v>
      </c>
      <c r="N15" s="106">
        <v>6.2937062937062943E-2</v>
      </c>
      <c r="O15" s="106">
        <v>2.097902097902098E-2</v>
      </c>
      <c r="P15" s="106">
        <v>2.7972027972027972E-2</v>
      </c>
      <c r="Q15" s="107">
        <v>6.2937062937062943E-2</v>
      </c>
      <c r="R15" s="81">
        <v>0.12380952380952381</v>
      </c>
      <c r="S15" s="82">
        <v>0.15238095238095239</v>
      </c>
      <c r="T15" s="82">
        <v>9.5238095238095233E-2</v>
      </c>
      <c r="U15" s="82">
        <v>0.19047619047619047</v>
      </c>
      <c r="V15" s="82">
        <v>0.14285714285714285</v>
      </c>
      <c r="W15" s="83">
        <v>0.29523809523809524</v>
      </c>
      <c r="X15" s="111">
        <f t="shared" si="14"/>
        <v>0</v>
      </c>
      <c r="Y15" s="90">
        <f t="shared" si="15"/>
        <v>0</v>
      </c>
      <c r="Z15" s="90">
        <f t="shared" si="16"/>
        <v>0</v>
      </c>
      <c r="AA15" s="90">
        <f t="shared" si="17"/>
        <v>0</v>
      </c>
      <c r="AB15" s="90">
        <f t="shared" si="18"/>
        <v>0</v>
      </c>
      <c r="AC15" s="112">
        <f t="shared" si="19"/>
        <v>0</v>
      </c>
      <c r="AD15" s="111">
        <f t="shared" si="8"/>
        <v>0.74285714285714288</v>
      </c>
      <c r="AE15" s="90">
        <f t="shared" si="9"/>
        <v>0.91428571428571437</v>
      </c>
      <c r="AF15" s="90">
        <f t="shared" si="10"/>
        <v>0.5714285714285714</v>
      </c>
      <c r="AG15" s="90">
        <f t="shared" si="11"/>
        <v>1.1428571428571428</v>
      </c>
      <c r="AH15" s="90">
        <f t="shared" si="12"/>
        <v>0.8571428571428571</v>
      </c>
      <c r="AI15" s="112">
        <f t="shared" si="13"/>
        <v>1.7714285714285714</v>
      </c>
      <c r="AJ15" s="121">
        <f>Input!$E$22*WRs!C15+Input!$E$23*WRs!D15+Input!$E$24*WRs!X15+Input!$E$25*WRs!Y15+Input!$E$26*WRs!Z15+Input!$E$27*WRs!AA15+Input!$E$28*WRs!AB15+Input!$E$29*WRs!AC15+Input!$E$30*WRs!E15+Input!$E$31*WRs!G15+Input!$E$32*WRs!H15+Input!$E$33*WRs!AD15+Input!$E$34*WRs!AE15+Input!$E$35*WRs!AF15+Input!$E$36*WRs!AG15+Input!$E$37*WRs!AH15+Input!$E$38*WRs!AI15+Input!$E$39*WRs!I15+Input!$E$40*WRs!K15</f>
        <v>189.69285714285718</v>
      </c>
    </row>
    <row r="16" spans="1:36" x14ac:dyDescent="0.25">
      <c r="A16" s="89" t="s">
        <v>355</v>
      </c>
      <c r="B16" s="112" t="s">
        <v>166</v>
      </c>
      <c r="C16" s="45">
        <v>1</v>
      </c>
      <c r="D16" s="37">
        <v>5</v>
      </c>
      <c r="E16" s="37">
        <v>0</v>
      </c>
      <c r="F16" s="38">
        <v>0</v>
      </c>
      <c r="G16" s="45">
        <v>79</v>
      </c>
      <c r="H16" s="37">
        <f>14.6*G16</f>
        <v>1153.3999999999999</v>
      </c>
      <c r="I16" s="37">
        <v>5</v>
      </c>
      <c r="J16" s="38">
        <v>6</v>
      </c>
      <c r="K16" s="37">
        <v>1</v>
      </c>
      <c r="L16" s="105">
        <v>0.72727272727272729</v>
      </c>
      <c r="M16" s="106">
        <v>9.7902097902097904E-2</v>
      </c>
      <c r="N16" s="106">
        <v>6.2937062937062943E-2</v>
      </c>
      <c r="O16" s="106">
        <v>2.097902097902098E-2</v>
      </c>
      <c r="P16" s="106">
        <v>2.7972027972027972E-2</v>
      </c>
      <c r="Q16" s="107">
        <v>6.2937062937062943E-2</v>
      </c>
      <c r="R16" s="81">
        <v>0.12380952380952381</v>
      </c>
      <c r="S16" s="82">
        <v>0.15238095238095239</v>
      </c>
      <c r="T16" s="82">
        <v>9.5238095238095233E-2</v>
      </c>
      <c r="U16" s="82">
        <v>0.19047619047619047</v>
      </c>
      <c r="V16" s="82">
        <v>0.14285714285714285</v>
      </c>
      <c r="W16" s="83">
        <v>0.29523809523809524</v>
      </c>
      <c r="X16" s="111">
        <f t="shared" si="14"/>
        <v>0</v>
      </c>
      <c r="Y16" s="90">
        <f t="shared" si="15"/>
        <v>0</v>
      </c>
      <c r="Z16" s="90">
        <f t="shared" si="16"/>
        <v>0</v>
      </c>
      <c r="AA16" s="90">
        <f t="shared" si="17"/>
        <v>0</v>
      </c>
      <c r="AB16" s="90">
        <f t="shared" si="18"/>
        <v>0</v>
      </c>
      <c r="AC16" s="112">
        <f t="shared" si="19"/>
        <v>0</v>
      </c>
      <c r="AD16" s="111">
        <f t="shared" si="8"/>
        <v>0.74285714285714288</v>
      </c>
      <c r="AE16" s="90">
        <f t="shared" si="9"/>
        <v>0.91428571428571437</v>
      </c>
      <c r="AF16" s="90">
        <f t="shared" si="10"/>
        <v>0.5714285714285714</v>
      </c>
      <c r="AG16" s="90">
        <f t="shared" si="11"/>
        <v>1.1428571428571428</v>
      </c>
      <c r="AH16" s="90">
        <f t="shared" si="12"/>
        <v>0.8571428571428571</v>
      </c>
      <c r="AI16" s="112">
        <f t="shared" si="13"/>
        <v>1.7714285714285714</v>
      </c>
      <c r="AJ16" s="121">
        <f>Input!$E$22*WRs!C16+Input!$E$23*WRs!D16+Input!$E$24*WRs!X16+Input!$E$25*WRs!Y16+Input!$E$26*WRs!Z16+Input!$E$27*WRs!AA16+Input!$E$28*WRs!AB16+Input!$E$29*WRs!AC16+Input!$E$30*WRs!E16+Input!$E$31*WRs!G16+Input!$E$32*WRs!H16+Input!$E$33*WRs!AD16+Input!$E$34*WRs!AE16+Input!$E$35*WRs!AF16+Input!$E$36*WRs!AG16+Input!$E$37*WRs!AH16+Input!$E$38*WRs!AI16+Input!$E$39*WRs!I16+Input!$E$40*WRs!K16</f>
        <v>185.38285714285715</v>
      </c>
    </row>
    <row r="17" spans="1:36" x14ac:dyDescent="0.25">
      <c r="A17" s="89" t="s">
        <v>356</v>
      </c>
      <c r="B17" s="112" t="s">
        <v>182</v>
      </c>
      <c r="C17" s="45">
        <v>3</v>
      </c>
      <c r="D17" s="37">
        <f>9.4*C17</f>
        <v>28.200000000000003</v>
      </c>
      <c r="E17" s="37">
        <v>0</v>
      </c>
      <c r="F17" s="38">
        <v>0</v>
      </c>
      <c r="G17" s="45">
        <v>70</v>
      </c>
      <c r="H17" s="37">
        <f>13.4*G17</f>
        <v>938</v>
      </c>
      <c r="I17" s="37">
        <v>3</v>
      </c>
      <c r="J17" s="38">
        <v>8</v>
      </c>
      <c r="K17" s="37">
        <v>1</v>
      </c>
      <c r="L17" s="105">
        <v>0.72727272727272729</v>
      </c>
      <c r="M17" s="106">
        <v>9.7902097902097904E-2</v>
      </c>
      <c r="N17" s="106">
        <v>6.2937062937062943E-2</v>
      </c>
      <c r="O17" s="106">
        <v>2.097902097902098E-2</v>
      </c>
      <c r="P17" s="106">
        <v>2.7972027972027972E-2</v>
      </c>
      <c r="Q17" s="107">
        <v>6.2937062937062943E-2</v>
      </c>
      <c r="R17" s="105">
        <v>0.20689655172413793</v>
      </c>
      <c r="S17" s="106">
        <v>0.31034482758620691</v>
      </c>
      <c r="T17" s="106">
        <v>0.22413793103448276</v>
      </c>
      <c r="U17" s="106">
        <v>5.1724137931034482E-2</v>
      </c>
      <c r="V17" s="106">
        <v>0.13793103448275862</v>
      </c>
      <c r="W17" s="107">
        <v>6.8965517241379309E-2</v>
      </c>
      <c r="X17" s="111">
        <f t="shared" si="14"/>
        <v>0</v>
      </c>
      <c r="Y17" s="90">
        <f t="shared" si="15"/>
        <v>0</v>
      </c>
      <c r="Z17" s="90">
        <f t="shared" si="16"/>
        <v>0</v>
      </c>
      <c r="AA17" s="90">
        <f t="shared" si="17"/>
        <v>0</v>
      </c>
      <c r="AB17" s="90">
        <f t="shared" si="18"/>
        <v>0</v>
      </c>
      <c r="AC17" s="112">
        <f t="shared" si="19"/>
        <v>0</v>
      </c>
      <c r="AD17" s="111">
        <f t="shared" si="8"/>
        <v>1.6551724137931034</v>
      </c>
      <c r="AE17" s="90">
        <f t="shared" si="9"/>
        <v>2.4827586206896552</v>
      </c>
      <c r="AF17" s="90">
        <f t="shared" si="10"/>
        <v>1.7931034482758621</v>
      </c>
      <c r="AG17" s="90">
        <f t="shared" si="11"/>
        <v>0.41379310344827586</v>
      </c>
      <c r="AH17" s="90">
        <f t="shared" si="12"/>
        <v>1.103448275862069</v>
      </c>
      <c r="AI17" s="112">
        <f t="shared" si="13"/>
        <v>0.55172413793103448</v>
      </c>
      <c r="AJ17" s="121">
        <f>Input!$E$22*WRs!C17+Input!$E$23*WRs!D17+Input!$E$24*WRs!X17+Input!$E$25*WRs!Y17+Input!$E$26*WRs!Z17+Input!$E$27*WRs!AA17+Input!$E$28*WRs!AB17+Input!$E$29*WRs!AC17+Input!$E$30*WRs!E17+Input!$E$31*WRs!G17+Input!$E$32*WRs!H17+Input!$E$33*WRs!AD17+Input!$E$34*WRs!AE17+Input!$E$35*WRs!AF17+Input!$E$36*WRs!AG17+Input!$E$37*WRs!AH17+Input!$E$38*WRs!AI17+Input!$E$39*WRs!I17+Input!$E$40*WRs!K17</f>
        <v>167.6544827586207</v>
      </c>
    </row>
    <row r="18" spans="1:36" x14ac:dyDescent="0.25">
      <c r="A18" s="89" t="s">
        <v>357</v>
      </c>
      <c r="B18" s="112" t="s">
        <v>156</v>
      </c>
      <c r="C18" s="45">
        <v>0</v>
      </c>
      <c r="D18" s="37">
        <v>0</v>
      </c>
      <c r="E18" s="37">
        <v>0</v>
      </c>
      <c r="F18" s="38">
        <v>0</v>
      </c>
      <c r="G18" s="45">
        <v>78</v>
      </c>
      <c r="H18" s="37">
        <f>13.3*G18</f>
        <v>1037.4000000000001</v>
      </c>
      <c r="I18" s="37">
        <v>5</v>
      </c>
      <c r="J18" s="38">
        <v>8</v>
      </c>
      <c r="K18" s="37">
        <v>1</v>
      </c>
      <c r="L18" s="105">
        <v>0.72727272727272729</v>
      </c>
      <c r="M18" s="106">
        <v>9.7902097902097904E-2</v>
      </c>
      <c r="N18" s="106">
        <v>6.2937062937062943E-2</v>
      </c>
      <c r="O18" s="106">
        <v>2.097902097902098E-2</v>
      </c>
      <c r="P18" s="106">
        <v>2.7972027972027972E-2</v>
      </c>
      <c r="Q18" s="107">
        <v>6.2937062937062943E-2</v>
      </c>
      <c r="R18" s="105">
        <v>0.20689655172413793</v>
      </c>
      <c r="S18" s="106">
        <v>0.31034482758620691</v>
      </c>
      <c r="T18" s="106">
        <v>0.22413793103448276</v>
      </c>
      <c r="U18" s="106">
        <v>5.1724137931034482E-2</v>
      </c>
      <c r="V18" s="106">
        <v>0.13793103448275862</v>
      </c>
      <c r="W18" s="107">
        <v>6.8965517241379309E-2</v>
      </c>
      <c r="X18" s="111">
        <f t="shared" si="14"/>
        <v>0</v>
      </c>
      <c r="Y18" s="90">
        <f t="shared" si="15"/>
        <v>0</v>
      </c>
      <c r="Z18" s="90">
        <f t="shared" si="16"/>
        <v>0</v>
      </c>
      <c r="AA18" s="90">
        <f t="shared" si="17"/>
        <v>0</v>
      </c>
      <c r="AB18" s="90">
        <f t="shared" si="18"/>
        <v>0</v>
      </c>
      <c r="AC18" s="112">
        <f t="shared" si="19"/>
        <v>0</v>
      </c>
      <c r="AD18" s="111">
        <f t="shared" si="8"/>
        <v>1.6551724137931034</v>
      </c>
      <c r="AE18" s="90">
        <f t="shared" si="9"/>
        <v>2.4827586206896552</v>
      </c>
      <c r="AF18" s="90">
        <f t="shared" si="10"/>
        <v>1.7931034482758621</v>
      </c>
      <c r="AG18" s="90">
        <f t="shared" si="11"/>
        <v>0.41379310344827586</v>
      </c>
      <c r="AH18" s="90">
        <f t="shared" si="12"/>
        <v>1.103448275862069</v>
      </c>
      <c r="AI18" s="112">
        <f t="shared" si="13"/>
        <v>0.55172413793103448</v>
      </c>
      <c r="AJ18" s="121">
        <f>Input!$E$22*WRs!C18+Input!$E$23*WRs!D18+Input!$E$24*WRs!X18+Input!$E$25*WRs!Y18+Input!$E$26*WRs!Z18+Input!$E$27*WRs!AA18+Input!$E$28*WRs!AB18+Input!$E$29*WRs!AC18+Input!$E$30*WRs!E18+Input!$E$31*WRs!G18+Input!$E$32*WRs!H18+Input!$E$33*WRs!AD18+Input!$E$34*WRs!AE18+Input!$E$35*WRs!AF18+Input!$E$36*WRs!AG18+Input!$E$37*WRs!AH18+Input!$E$38*WRs!AI18+Input!$E$39*WRs!I18+Input!$E$40*WRs!K18</f>
        <v>180.77448275862071</v>
      </c>
    </row>
    <row r="19" spans="1:36" x14ac:dyDescent="0.25">
      <c r="A19" s="89" t="s">
        <v>358</v>
      </c>
      <c r="B19" s="112" t="s">
        <v>162</v>
      </c>
      <c r="C19" s="45">
        <v>0</v>
      </c>
      <c r="D19" s="37">
        <v>0</v>
      </c>
      <c r="E19" s="37">
        <v>0</v>
      </c>
      <c r="F19" s="38">
        <v>0</v>
      </c>
      <c r="G19" s="45">
        <v>75</v>
      </c>
      <c r="H19" s="37">
        <f>14.3*G19</f>
        <v>1072.5</v>
      </c>
      <c r="I19" s="37">
        <v>4</v>
      </c>
      <c r="J19" s="38">
        <v>8</v>
      </c>
      <c r="K19" s="37">
        <v>1</v>
      </c>
      <c r="L19" s="105">
        <v>0.72727272727272729</v>
      </c>
      <c r="M19" s="106">
        <v>9.7902097902097904E-2</v>
      </c>
      <c r="N19" s="106">
        <v>6.2937062937062943E-2</v>
      </c>
      <c r="O19" s="106">
        <v>2.097902097902098E-2</v>
      </c>
      <c r="P19" s="106">
        <v>2.7972027972027972E-2</v>
      </c>
      <c r="Q19" s="107">
        <v>6.2937062937062943E-2</v>
      </c>
      <c r="R19" s="105">
        <v>0.20689655172413793</v>
      </c>
      <c r="S19" s="106">
        <v>0.31034482758620691</v>
      </c>
      <c r="T19" s="106">
        <v>0.22413793103448276</v>
      </c>
      <c r="U19" s="106">
        <v>5.1724137931034482E-2</v>
      </c>
      <c r="V19" s="106">
        <v>0.13793103448275862</v>
      </c>
      <c r="W19" s="107">
        <v>6.8965517241379309E-2</v>
      </c>
      <c r="X19" s="111">
        <f t="shared" si="14"/>
        <v>0</v>
      </c>
      <c r="Y19" s="90">
        <f t="shared" si="15"/>
        <v>0</v>
      </c>
      <c r="Z19" s="90">
        <f t="shared" si="16"/>
        <v>0</v>
      </c>
      <c r="AA19" s="90">
        <f t="shared" si="17"/>
        <v>0</v>
      </c>
      <c r="AB19" s="90">
        <f t="shared" si="18"/>
        <v>0</v>
      </c>
      <c r="AC19" s="112">
        <f t="shared" si="19"/>
        <v>0</v>
      </c>
      <c r="AD19" s="111">
        <f t="shared" si="8"/>
        <v>1.6551724137931034</v>
      </c>
      <c r="AE19" s="90">
        <f t="shared" si="9"/>
        <v>2.4827586206896552</v>
      </c>
      <c r="AF19" s="90">
        <f t="shared" si="10"/>
        <v>1.7931034482758621</v>
      </c>
      <c r="AG19" s="90">
        <f t="shared" si="11"/>
        <v>0.41379310344827586</v>
      </c>
      <c r="AH19" s="90">
        <f t="shared" si="12"/>
        <v>1.103448275862069</v>
      </c>
      <c r="AI19" s="112">
        <f t="shared" si="13"/>
        <v>0.55172413793103448</v>
      </c>
      <c r="AJ19" s="121">
        <f>Input!$E$22*WRs!C19+Input!$E$23*WRs!D19+Input!$E$24*WRs!X19+Input!$E$25*WRs!Y19+Input!$E$26*WRs!Z19+Input!$E$27*WRs!AA19+Input!$E$28*WRs!AB19+Input!$E$29*WRs!AC19+Input!$E$30*WRs!E19+Input!$E$31*WRs!G19+Input!$E$32*WRs!H19+Input!$E$33*WRs!AD19+Input!$E$34*WRs!AE19+Input!$E$35*WRs!AF19+Input!$E$36*WRs!AG19+Input!$E$37*WRs!AH19+Input!$E$38*WRs!AI19+Input!$E$39*WRs!I19+Input!$E$40*WRs!K19</f>
        <v>181.2844827586207</v>
      </c>
    </row>
    <row r="20" spans="1:36" x14ac:dyDescent="0.25">
      <c r="A20" s="89" t="s">
        <v>359</v>
      </c>
      <c r="B20" s="112" t="s">
        <v>148</v>
      </c>
      <c r="C20" s="45">
        <v>1</v>
      </c>
      <c r="D20" s="37">
        <v>8</v>
      </c>
      <c r="E20" s="37">
        <v>0</v>
      </c>
      <c r="F20" s="38">
        <v>0</v>
      </c>
      <c r="G20" s="45">
        <v>70</v>
      </c>
      <c r="H20" s="37">
        <f>14.9*G20</f>
        <v>1043</v>
      </c>
      <c r="I20" s="37">
        <v>3</v>
      </c>
      <c r="J20" s="38">
        <v>8</v>
      </c>
      <c r="K20" s="37">
        <v>1</v>
      </c>
      <c r="L20" s="105">
        <v>0.72727272727272729</v>
      </c>
      <c r="M20" s="106">
        <v>9.7902097902097904E-2</v>
      </c>
      <c r="N20" s="106">
        <v>6.2937062937062943E-2</v>
      </c>
      <c r="O20" s="106">
        <v>2.097902097902098E-2</v>
      </c>
      <c r="P20" s="106">
        <v>2.7972027972027972E-2</v>
      </c>
      <c r="Q20" s="107">
        <v>6.2937062937062943E-2</v>
      </c>
      <c r="R20" s="105">
        <v>0.36974789915966388</v>
      </c>
      <c r="S20" s="106">
        <v>0.25210084033613445</v>
      </c>
      <c r="T20" s="106">
        <v>0.21008403361344538</v>
      </c>
      <c r="U20" s="106">
        <v>5.8823529411764705E-2</v>
      </c>
      <c r="V20" s="106">
        <v>7.5630252100840331E-2</v>
      </c>
      <c r="W20" s="107">
        <v>4.2016806722689079E-2</v>
      </c>
      <c r="X20" s="111">
        <f t="shared" si="14"/>
        <v>0</v>
      </c>
      <c r="Y20" s="90">
        <f t="shared" si="15"/>
        <v>0</v>
      </c>
      <c r="Z20" s="90">
        <f t="shared" si="16"/>
        <v>0</v>
      </c>
      <c r="AA20" s="90">
        <f t="shared" si="17"/>
        <v>0</v>
      </c>
      <c r="AB20" s="90">
        <f t="shared" si="18"/>
        <v>0</v>
      </c>
      <c r="AC20" s="112">
        <f t="shared" si="19"/>
        <v>0</v>
      </c>
      <c r="AD20" s="111">
        <f t="shared" si="8"/>
        <v>2.9579831932773111</v>
      </c>
      <c r="AE20" s="90">
        <f t="shared" si="9"/>
        <v>2.0168067226890756</v>
      </c>
      <c r="AF20" s="90">
        <f t="shared" si="10"/>
        <v>1.680672268907563</v>
      </c>
      <c r="AG20" s="90">
        <f t="shared" si="11"/>
        <v>0.47058823529411764</v>
      </c>
      <c r="AH20" s="90">
        <f t="shared" si="12"/>
        <v>0.60504201680672265</v>
      </c>
      <c r="AI20" s="112">
        <f t="shared" si="13"/>
        <v>0.33613445378151263</v>
      </c>
      <c r="AJ20" s="121">
        <f>Input!$E$22*WRs!C20+Input!$E$23*WRs!D20+Input!$E$24*WRs!X20+Input!$E$25*WRs!Y20+Input!$E$26*WRs!Z20+Input!$E$27*WRs!AA20+Input!$E$28*WRs!AB20+Input!$E$29*WRs!AC20+Input!$E$30*WRs!E20+Input!$E$31*WRs!G20+Input!$E$32*WRs!H20+Input!$E$33*WRs!AD20+Input!$E$34*WRs!AE20+Input!$E$35*WRs!AF20+Input!$E$36*WRs!AG20+Input!$E$37*WRs!AH20+Input!$E$38*WRs!AI20+Input!$E$39*WRs!I20+Input!$E$40*WRs!K20</f>
        <v>172.7302521008404</v>
      </c>
    </row>
    <row r="21" spans="1:36" x14ac:dyDescent="0.25">
      <c r="A21" s="89" t="s">
        <v>360</v>
      </c>
      <c r="B21" s="112" t="s">
        <v>146</v>
      </c>
      <c r="C21" s="45">
        <v>2</v>
      </c>
      <c r="D21" s="37">
        <f>4*C21</f>
        <v>8</v>
      </c>
      <c r="E21" s="37">
        <v>0</v>
      </c>
      <c r="F21" s="38">
        <v>0</v>
      </c>
      <c r="G21" s="45">
        <v>80</v>
      </c>
      <c r="H21" s="37">
        <f>13*G21</f>
        <v>1040</v>
      </c>
      <c r="I21" s="37">
        <v>5</v>
      </c>
      <c r="J21" s="38">
        <v>8</v>
      </c>
      <c r="K21" s="37">
        <v>1</v>
      </c>
      <c r="L21" s="105">
        <v>0.72727272727272729</v>
      </c>
      <c r="M21" s="106">
        <v>9.7902097902097904E-2</v>
      </c>
      <c r="N21" s="106">
        <v>6.2937062937062943E-2</v>
      </c>
      <c r="O21" s="106">
        <v>2.097902097902098E-2</v>
      </c>
      <c r="P21" s="106">
        <v>2.7972027972027972E-2</v>
      </c>
      <c r="Q21" s="107">
        <v>6.2937062937062943E-2</v>
      </c>
      <c r="R21" s="105">
        <v>0.20689655172413793</v>
      </c>
      <c r="S21" s="106">
        <v>0.31034482758620691</v>
      </c>
      <c r="T21" s="106">
        <v>0.22413793103448276</v>
      </c>
      <c r="U21" s="106">
        <v>5.1724137931034482E-2</v>
      </c>
      <c r="V21" s="106">
        <v>0.13793103448275862</v>
      </c>
      <c r="W21" s="107">
        <v>6.8965517241379309E-2</v>
      </c>
      <c r="X21" s="111">
        <f t="shared" si="14"/>
        <v>0</v>
      </c>
      <c r="Y21" s="90">
        <f t="shared" si="15"/>
        <v>0</v>
      </c>
      <c r="Z21" s="90">
        <f t="shared" si="16"/>
        <v>0</v>
      </c>
      <c r="AA21" s="90">
        <f t="shared" si="17"/>
        <v>0</v>
      </c>
      <c r="AB21" s="90">
        <f t="shared" si="18"/>
        <v>0</v>
      </c>
      <c r="AC21" s="112">
        <f t="shared" si="19"/>
        <v>0</v>
      </c>
      <c r="AD21" s="111">
        <f t="shared" si="8"/>
        <v>1.6551724137931034</v>
      </c>
      <c r="AE21" s="90">
        <f t="shared" si="9"/>
        <v>2.4827586206896552</v>
      </c>
      <c r="AF21" s="90">
        <f t="shared" si="10"/>
        <v>1.7931034482758621</v>
      </c>
      <c r="AG21" s="90">
        <f t="shared" si="11"/>
        <v>0.41379310344827586</v>
      </c>
      <c r="AH21" s="90">
        <f t="shared" si="12"/>
        <v>1.103448275862069</v>
      </c>
      <c r="AI21" s="112">
        <f t="shared" si="13"/>
        <v>0.55172413793103448</v>
      </c>
      <c r="AJ21" s="121">
        <f>Input!$E$22*WRs!C21+Input!$E$23*WRs!D21+Input!$E$24*WRs!X21+Input!$E$25*WRs!Y21+Input!$E$26*WRs!Z21+Input!$E$27*WRs!AA21+Input!$E$28*WRs!AB21+Input!$E$29*WRs!AC21+Input!$E$30*WRs!E21+Input!$E$31*WRs!G21+Input!$E$32*WRs!H21+Input!$E$33*WRs!AD21+Input!$E$34*WRs!AE21+Input!$E$35*WRs!AF21+Input!$E$36*WRs!AG21+Input!$E$37*WRs!AH21+Input!$E$38*WRs!AI21+Input!$E$39*WRs!I21+Input!$E$40*WRs!K21</f>
        <v>181.83448275862068</v>
      </c>
    </row>
    <row r="22" spans="1:36" x14ac:dyDescent="0.25">
      <c r="A22" s="89" t="s">
        <v>361</v>
      </c>
      <c r="B22" s="112" t="s">
        <v>192</v>
      </c>
      <c r="C22" s="45">
        <v>0</v>
      </c>
      <c r="D22" s="37">
        <v>0</v>
      </c>
      <c r="E22" s="37">
        <v>0</v>
      </c>
      <c r="F22" s="38">
        <v>0</v>
      </c>
      <c r="G22" s="45">
        <v>0</v>
      </c>
      <c r="H22" s="37">
        <v>0</v>
      </c>
      <c r="I22" s="37">
        <v>0</v>
      </c>
      <c r="J22" s="38">
        <v>0</v>
      </c>
      <c r="K22" s="37">
        <v>0</v>
      </c>
      <c r="L22" s="105">
        <v>0.72727272727272729</v>
      </c>
      <c r="M22" s="106">
        <v>9.7902097902097904E-2</v>
      </c>
      <c r="N22" s="106">
        <v>6.2937062937062943E-2</v>
      </c>
      <c r="O22" s="106">
        <v>2.097902097902098E-2</v>
      </c>
      <c r="P22" s="106">
        <v>2.7972027972027972E-2</v>
      </c>
      <c r="Q22" s="107">
        <v>6.2937062937062943E-2</v>
      </c>
      <c r="R22" s="81">
        <v>0.12380952380952381</v>
      </c>
      <c r="S22" s="82">
        <v>0.15238095238095239</v>
      </c>
      <c r="T22" s="82">
        <v>9.5238095238095233E-2</v>
      </c>
      <c r="U22" s="82">
        <v>0.19047619047619047</v>
      </c>
      <c r="V22" s="82">
        <v>0.14285714285714285</v>
      </c>
      <c r="W22" s="83">
        <v>0.29523809523809524</v>
      </c>
      <c r="X22" s="111">
        <f t="shared" si="14"/>
        <v>0</v>
      </c>
      <c r="Y22" s="90">
        <f t="shared" si="15"/>
        <v>0</v>
      </c>
      <c r="Z22" s="90">
        <f t="shared" si="16"/>
        <v>0</v>
      </c>
      <c r="AA22" s="90">
        <f t="shared" si="17"/>
        <v>0</v>
      </c>
      <c r="AB22" s="90">
        <f t="shared" si="18"/>
        <v>0</v>
      </c>
      <c r="AC22" s="112">
        <f t="shared" si="19"/>
        <v>0</v>
      </c>
      <c r="AD22" s="111">
        <f t="shared" si="8"/>
        <v>0</v>
      </c>
      <c r="AE22" s="90">
        <f t="shared" si="9"/>
        <v>0</v>
      </c>
      <c r="AF22" s="90">
        <f t="shared" si="10"/>
        <v>0</v>
      </c>
      <c r="AG22" s="90">
        <f t="shared" si="11"/>
        <v>0</v>
      </c>
      <c r="AH22" s="90">
        <f t="shared" si="12"/>
        <v>0</v>
      </c>
      <c r="AI22" s="112">
        <f t="shared" si="13"/>
        <v>0</v>
      </c>
      <c r="AJ22" s="121">
        <f>Input!$E$22*WRs!C22+Input!$E$23*WRs!D22+Input!$E$24*WRs!X22+Input!$E$25*WRs!Y22+Input!$E$26*WRs!Z22+Input!$E$27*WRs!AA22+Input!$E$28*WRs!AB22+Input!$E$29*WRs!AC22+Input!$E$30*WRs!E22+Input!$E$31*WRs!G22+Input!$E$32*WRs!H22+Input!$E$33*WRs!AD22+Input!$E$34*WRs!AE22+Input!$E$35*WRs!AF22+Input!$E$36*WRs!AG22+Input!$E$37*WRs!AH22+Input!$E$38*WRs!AI22+Input!$E$39*WRs!I22+Input!$E$40*WRs!K22</f>
        <v>0</v>
      </c>
    </row>
    <row r="23" spans="1:36" x14ac:dyDescent="0.25">
      <c r="A23" s="89" t="s">
        <v>362</v>
      </c>
      <c r="B23" s="112" t="s">
        <v>180</v>
      </c>
      <c r="C23" s="45">
        <v>0</v>
      </c>
      <c r="D23" s="37">
        <v>0</v>
      </c>
      <c r="E23" s="37">
        <v>0</v>
      </c>
      <c r="F23" s="38">
        <v>0</v>
      </c>
      <c r="G23" s="45">
        <v>65</v>
      </c>
      <c r="H23" s="37">
        <f>16.4*G23</f>
        <v>1066</v>
      </c>
      <c r="I23" s="37">
        <v>2</v>
      </c>
      <c r="J23" s="38">
        <v>7</v>
      </c>
      <c r="K23" s="37">
        <v>1</v>
      </c>
      <c r="L23" s="105">
        <v>0.72727272727272729</v>
      </c>
      <c r="M23" s="106">
        <v>9.7902097902097904E-2</v>
      </c>
      <c r="N23" s="106">
        <v>6.2937062937062943E-2</v>
      </c>
      <c r="O23" s="106">
        <v>2.097902097902098E-2</v>
      </c>
      <c r="P23" s="106">
        <v>2.7972027972027972E-2</v>
      </c>
      <c r="Q23" s="107">
        <v>6.2937062937062943E-2</v>
      </c>
      <c r="R23" s="105">
        <v>0.20689655172413793</v>
      </c>
      <c r="S23" s="106">
        <v>0.31034482758620691</v>
      </c>
      <c r="T23" s="106">
        <v>0.22413793103448276</v>
      </c>
      <c r="U23" s="106">
        <v>5.1724137931034482E-2</v>
      </c>
      <c r="V23" s="106">
        <v>0.13793103448275862</v>
      </c>
      <c r="W23" s="107">
        <v>6.8965517241379309E-2</v>
      </c>
      <c r="X23" s="111">
        <f t="shared" si="14"/>
        <v>0</v>
      </c>
      <c r="Y23" s="90">
        <f t="shared" si="15"/>
        <v>0</v>
      </c>
      <c r="Z23" s="90">
        <f t="shared" si="16"/>
        <v>0</v>
      </c>
      <c r="AA23" s="90">
        <f t="shared" si="17"/>
        <v>0</v>
      </c>
      <c r="AB23" s="90">
        <f t="shared" si="18"/>
        <v>0</v>
      </c>
      <c r="AC23" s="112">
        <f t="shared" si="19"/>
        <v>0</v>
      </c>
      <c r="AD23" s="111">
        <f t="shared" si="8"/>
        <v>1.4482758620689655</v>
      </c>
      <c r="AE23" s="90">
        <f t="shared" si="9"/>
        <v>2.1724137931034484</v>
      </c>
      <c r="AF23" s="90">
        <f t="shared" si="10"/>
        <v>1.5689655172413794</v>
      </c>
      <c r="AG23" s="90">
        <f t="shared" si="11"/>
        <v>0.36206896551724138</v>
      </c>
      <c r="AH23" s="90">
        <f t="shared" si="12"/>
        <v>0.96551724137931028</v>
      </c>
      <c r="AI23" s="112">
        <f t="shared" si="13"/>
        <v>0.48275862068965514</v>
      </c>
      <c r="AJ23" s="121">
        <f>Input!$E$22*WRs!C23+Input!$E$23*WRs!D23+Input!$E$24*WRs!X23+Input!$E$25*WRs!Y23+Input!$E$26*WRs!Z23+Input!$E$27*WRs!AA23+Input!$E$28*WRs!AB23+Input!$E$29*WRs!AC23+Input!$E$30*WRs!E23+Input!$E$31*WRs!G23+Input!$E$32*WRs!H23+Input!$E$33*WRs!AD23+Input!$E$34*WRs!AE23+Input!$E$35*WRs!AF23+Input!$E$36*WRs!AG23+Input!$E$37*WRs!AH23+Input!$E$38*WRs!AI23+Input!$E$39*WRs!I23+Input!$E$40*WRs!K23</f>
        <v>166.75517241379313</v>
      </c>
    </row>
    <row r="24" spans="1:36" x14ac:dyDescent="0.25">
      <c r="A24" s="89" t="s">
        <v>363</v>
      </c>
      <c r="B24" s="112" t="s">
        <v>150</v>
      </c>
      <c r="C24" s="45">
        <v>0</v>
      </c>
      <c r="D24" s="37">
        <v>0</v>
      </c>
      <c r="E24" s="37">
        <v>0</v>
      </c>
      <c r="F24" s="38">
        <v>0</v>
      </c>
      <c r="G24" s="45">
        <v>60</v>
      </c>
      <c r="H24" s="37">
        <f>17.4*G24</f>
        <v>1044</v>
      </c>
      <c r="I24" s="37">
        <v>4</v>
      </c>
      <c r="J24" s="38">
        <v>7</v>
      </c>
      <c r="K24" s="37">
        <v>1</v>
      </c>
      <c r="L24" s="105">
        <v>0.72727272727272729</v>
      </c>
      <c r="M24" s="106">
        <v>9.7902097902097904E-2</v>
      </c>
      <c r="N24" s="106">
        <v>6.2937062937062943E-2</v>
      </c>
      <c r="O24" s="106">
        <v>2.097902097902098E-2</v>
      </c>
      <c r="P24" s="106">
        <v>2.7972027972027972E-2</v>
      </c>
      <c r="Q24" s="107">
        <v>6.2937062937062943E-2</v>
      </c>
      <c r="R24" s="81">
        <v>0.12380952380952381</v>
      </c>
      <c r="S24" s="82">
        <v>0.15238095238095239</v>
      </c>
      <c r="T24" s="82">
        <v>9.5238095238095233E-2</v>
      </c>
      <c r="U24" s="82">
        <v>0.19047619047619047</v>
      </c>
      <c r="V24" s="82">
        <v>0.14285714285714285</v>
      </c>
      <c r="W24" s="83">
        <v>0.29523809523809524</v>
      </c>
      <c r="X24" s="111">
        <f t="shared" si="14"/>
        <v>0</v>
      </c>
      <c r="Y24" s="90">
        <f t="shared" si="15"/>
        <v>0</v>
      </c>
      <c r="Z24" s="90">
        <f t="shared" si="16"/>
        <v>0</v>
      </c>
      <c r="AA24" s="90">
        <f t="shared" si="17"/>
        <v>0</v>
      </c>
      <c r="AB24" s="90">
        <f t="shared" si="18"/>
        <v>0</v>
      </c>
      <c r="AC24" s="112">
        <f t="shared" si="19"/>
        <v>0</v>
      </c>
      <c r="AD24" s="111">
        <f t="shared" si="8"/>
        <v>0.8666666666666667</v>
      </c>
      <c r="AE24" s="90">
        <f t="shared" si="9"/>
        <v>1.0666666666666669</v>
      </c>
      <c r="AF24" s="90">
        <f t="shared" si="10"/>
        <v>0.66666666666666663</v>
      </c>
      <c r="AG24" s="90">
        <f t="shared" si="11"/>
        <v>1.3333333333333333</v>
      </c>
      <c r="AH24" s="90">
        <f t="shared" si="12"/>
        <v>1</v>
      </c>
      <c r="AI24" s="112">
        <f t="shared" si="13"/>
        <v>2.0666666666666669</v>
      </c>
      <c r="AJ24" s="121">
        <f>Input!$E$22*WRs!C24+Input!$E$23*WRs!D24+Input!$E$24*WRs!X24+Input!$E$25*WRs!Y24+Input!$E$26*WRs!Z24+Input!$E$27*WRs!AA24+Input!$E$28*WRs!AB24+Input!$E$29*WRs!AC24+Input!$E$30*WRs!E24+Input!$E$31*WRs!G24+Input!$E$32*WRs!H24+Input!$E$33*WRs!AD24+Input!$E$34*WRs!AE24+Input!$E$35*WRs!AF24+Input!$E$36*WRs!AG24+Input!$E$37*WRs!AH24+Input!$E$38*WRs!AI24+Input!$E$39*WRs!I24+Input!$E$40*WRs!K24</f>
        <v>180.20000000000002</v>
      </c>
    </row>
    <row r="25" spans="1:36" x14ac:dyDescent="0.25">
      <c r="A25" s="89" t="s">
        <v>364</v>
      </c>
      <c r="B25" s="112" t="s">
        <v>186</v>
      </c>
      <c r="C25" s="45">
        <v>1</v>
      </c>
      <c r="D25" s="37">
        <v>6</v>
      </c>
      <c r="E25" s="37">
        <v>0</v>
      </c>
      <c r="F25" s="38">
        <v>0</v>
      </c>
      <c r="G25" s="45">
        <v>75</v>
      </c>
      <c r="H25" s="37">
        <f>12.9*G25</f>
        <v>967.5</v>
      </c>
      <c r="I25" s="37">
        <v>2</v>
      </c>
      <c r="J25" s="38">
        <v>8</v>
      </c>
      <c r="K25" s="37">
        <v>1</v>
      </c>
      <c r="L25" s="105">
        <v>0.72727272727272729</v>
      </c>
      <c r="M25" s="106">
        <v>9.7902097902097904E-2</v>
      </c>
      <c r="N25" s="106">
        <v>6.2937062937062943E-2</v>
      </c>
      <c r="O25" s="106">
        <v>2.097902097902098E-2</v>
      </c>
      <c r="P25" s="106">
        <v>2.7972027972027972E-2</v>
      </c>
      <c r="Q25" s="107">
        <v>6.2937062937062943E-2</v>
      </c>
      <c r="R25" s="105">
        <v>0.36974789915966388</v>
      </c>
      <c r="S25" s="106">
        <v>0.25210084033613445</v>
      </c>
      <c r="T25" s="106">
        <v>0.21008403361344538</v>
      </c>
      <c r="U25" s="106">
        <v>5.8823529411764705E-2</v>
      </c>
      <c r="V25" s="106">
        <v>7.5630252100840331E-2</v>
      </c>
      <c r="W25" s="107">
        <v>4.2016806722689079E-2</v>
      </c>
      <c r="X25" s="111">
        <f t="shared" si="14"/>
        <v>0</v>
      </c>
      <c r="Y25" s="90">
        <f t="shared" si="15"/>
        <v>0</v>
      </c>
      <c r="Z25" s="90">
        <f t="shared" si="16"/>
        <v>0</v>
      </c>
      <c r="AA25" s="90">
        <f t="shared" si="17"/>
        <v>0</v>
      </c>
      <c r="AB25" s="90">
        <f t="shared" si="18"/>
        <v>0</v>
      </c>
      <c r="AC25" s="112">
        <f t="shared" si="19"/>
        <v>0</v>
      </c>
      <c r="AD25" s="111">
        <f t="shared" si="8"/>
        <v>2.9579831932773111</v>
      </c>
      <c r="AE25" s="90">
        <f t="shared" si="9"/>
        <v>2.0168067226890756</v>
      </c>
      <c r="AF25" s="90">
        <f t="shared" si="10"/>
        <v>1.680672268907563</v>
      </c>
      <c r="AG25" s="90">
        <f t="shared" si="11"/>
        <v>0.47058823529411764</v>
      </c>
      <c r="AH25" s="90">
        <f t="shared" si="12"/>
        <v>0.60504201680672265</v>
      </c>
      <c r="AI25" s="112">
        <f t="shared" si="13"/>
        <v>0.33613445378151263</v>
      </c>
      <c r="AJ25" s="121">
        <f>Input!$E$22*WRs!C25+Input!$E$23*WRs!D25+Input!$E$24*WRs!X25+Input!$E$25*WRs!Y25+Input!$E$26*WRs!Z25+Input!$E$27*WRs!AA25+Input!$E$28*WRs!AB25+Input!$E$29*WRs!AC25+Input!$E$30*WRs!E25+Input!$E$31*WRs!G25+Input!$E$32*WRs!H25+Input!$E$33*WRs!AD25+Input!$E$34*WRs!AE25+Input!$E$35*WRs!AF25+Input!$E$36*WRs!AG25+Input!$E$37*WRs!AH25+Input!$E$38*WRs!AI25+Input!$E$39*WRs!I25+Input!$E$40*WRs!K25</f>
        <v>161.98025210084035</v>
      </c>
    </row>
    <row r="26" spans="1:36" x14ac:dyDescent="0.25">
      <c r="A26" s="89" t="s">
        <v>365</v>
      </c>
      <c r="B26" s="112" t="s">
        <v>136</v>
      </c>
      <c r="C26" s="45">
        <v>0</v>
      </c>
      <c r="D26" s="37">
        <v>0</v>
      </c>
      <c r="E26" s="37">
        <v>0</v>
      </c>
      <c r="F26" s="38">
        <v>0</v>
      </c>
      <c r="G26" s="45">
        <v>59</v>
      </c>
      <c r="H26" s="37">
        <f>15.1*G26</f>
        <v>890.9</v>
      </c>
      <c r="I26" s="37">
        <v>3</v>
      </c>
      <c r="J26" s="38">
        <v>9</v>
      </c>
      <c r="K26" s="37">
        <v>2</v>
      </c>
      <c r="L26" s="105">
        <v>0.72727272727272729</v>
      </c>
      <c r="M26" s="106">
        <v>9.7902097902097904E-2</v>
      </c>
      <c r="N26" s="106">
        <v>6.2937062937062943E-2</v>
      </c>
      <c r="O26" s="106">
        <v>2.097902097902098E-2</v>
      </c>
      <c r="P26" s="106">
        <v>2.7972027972027972E-2</v>
      </c>
      <c r="Q26" s="107">
        <v>6.2937062937062943E-2</v>
      </c>
      <c r="R26" s="81">
        <v>0.12380952380952381</v>
      </c>
      <c r="S26" s="82">
        <v>0.15238095238095239</v>
      </c>
      <c r="T26" s="82">
        <v>9.5238095238095233E-2</v>
      </c>
      <c r="U26" s="82">
        <v>0.19047619047619047</v>
      </c>
      <c r="V26" s="82">
        <v>0.14285714285714285</v>
      </c>
      <c r="W26" s="83">
        <v>0.29523809523809524</v>
      </c>
      <c r="X26" s="111">
        <f t="shared" si="14"/>
        <v>0</v>
      </c>
      <c r="Y26" s="90">
        <f t="shared" si="15"/>
        <v>0</v>
      </c>
      <c r="Z26" s="90">
        <f t="shared" si="16"/>
        <v>0</v>
      </c>
      <c r="AA26" s="90">
        <f t="shared" si="17"/>
        <v>0</v>
      </c>
      <c r="AB26" s="90">
        <f t="shared" si="18"/>
        <v>0</v>
      </c>
      <c r="AC26" s="112">
        <f t="shared" si="19"/>
        <v>0</v>
      </c>
      <c r="AD26" s="111">
        <f t="shared" si="8"/>
        <v>1.1142857142857143</v>
      </c>
      <c r="AE26" s="90">
        <f t="shared" si="9"/>
        <v>1.3714285714285714</v>
      </c>
      <c r="AF26" s="90">
        <f t="shared" si="10"/>
        <v>0.8571428571428571</v>
      </c>
      <c r="AG26" s="90">
        <f t="shared" si="11"/>
        <v>1.7142857142857142</v>
      </c>
      <c r="AH26" s="90">
        <f t="shared" si="12"/>
        <v>1.2857142857142856</v>
      </c>
      <c r="AI26" s="112">
        <f t="shared" si="13"/>
        <v>2.657142857142857</v>
      </c>
      <c r="AJ26" s="121">
        <f>Input!$E$22*WRs!C26+Input!$E$23*WRs!D26+Input!$E$24*WRs!X26+Input!$E$25*WRs!Y26+Input!$E$26*WRs!Z26+Input!$E$27*WRs!AA26+Input!$E$28*WRs!AB26+Input!$E$29*WRs!AC26+Input!$E$30*WRs!E26+Input!$E$31*WRs!G26+Input!$E$32*WRs!H26+Input!$E$33*WRs!AD26+Input!$E$34*WRs!AE26+Input!$E$35*WRs!AF26+Input!$E$36*WRs!AG26+Input!$E$37*WRs!AH26+Input!$E$38*WRs!AI26+Input!$E$39*WRs!I26+Input!$E$40*WRs!K26</f>
        <v>179.40428571428572</v>
      </c>
    </row>
    <row r="27" spans="1:36" x14ac:dyDescent="0.25">
      <c r="A27" s="89" t="s">
        <v>366</v>
      </c>
      <c r="B27" s="112" t="s">
        <v>190</v>
      </c>
      <c r="C27" s="45">
        <v>1</v>
      </c>
      <c r="D27" s="37">
        <v>5</v>
      </c>
      <c r="E27" s="37">
        <v>0</v>
      </c>
      <c r="F27" s="38">
        <v>0</v>
      </c>
      <c r="G27" s="45">
        <v>70</v>
      </c>
      <c r="H27" s="37">
        <f>14.3*G27</f>
        <v>1001</v>
      </c>
      <c r="I27" s="37">
        <v>2</v>
      </c>
      <c r="J27" s="38">
        <v>7</v>
      </c>
      <c r="K27" s="37">
        <v>1</v>
      </c>
      <c r="L27" s="105">
        <v>0.72727272727272729</v>
      </c>
      <c r="M27" s="106">
        <v>9.7902097902097904E-2</v>
      </c>
      <c r="N27" s="106">
        <v>6.2937062937062943E-2</v>
      </c>
      <c r="O27" s="106">
        <v>2.097902097902098E-2</v>
      </c>
      <c r="P27" s="106">
        <v>2.7972027972027972E-2</v>
      </c>
      <c r="Q27" s="107">
        <v>6.2937062937062943E-2</v>
      </c>
      <c r="R27" s="105">
        <v>0.36974789915966388</v>
      </c>
      <c r="S27" s="106">
        <v>0.25210084033613445</v>
      </c>
      <c r="T27" s="106">
        <v>0.21008403361344538</v>
      </c>
      <c r="U27" s="106">
        <v>5.8823529411764705E-2</v>
      </c>
      <c r="V27" s="106">
        <v>7.5630252100840331E-2</v>
      </c>
      <c r="W27" s="107">
        <v>4.2016806722689079E-2</v>
      </c>
      <c r="X27" s="111">
        <f t="shared" si="14"/>
        <v>0</v>
      </c>
      <c r="Y27" s="90">
        <f t="shared" si="15"/>
        <v>0</v>
      </c>
      <c r="Z27" s="90">
        <f t="shared" si="16"/>
        <v>0</v>
      </c>
      <c r="AA27" s="90">
        <f t="shared" si="17"/>
        <v>0</v>
      </c>
      <c r="AB27" s="90">
        <f t="shared" si="18"/>
        <v>0</v>
      </c>
      <c r="AC27" s="112">
        <f t="shared" si="19"/>
        <v>0</v>
      </c>
      <c r="AD27" s="111">
        <f t="shared" si="8"/>
        <v>2.5882352941176472</v>
      </c>
      <c r="AE27" s="90">
        <f t="shared" si="9"/>
        <v>1.7647058823529411</v>
      </c>
      <c r="AF27" s="90">
        <f t="shared" si="10"/>
        <v>1.4705882352941178</v>
      </c>
      <c r="AG27" s="90">
        <f t="shared" si="11"/>
        <v>0.41176470588235292</v>
      </c>
      <c r="AH27" s="90">
        <f t="shared" si="12"/>
        <v>0.52941176470588236</v>
      </c>
      <c r="AI27" s="112">
        <f t="shared" si="13"/>
        <v>0.29411764705882354</v>
      </c>
      <c r="AJ27" s="121">
        <f>Input!$E$22*WRs!C27+Input!$E$23*WRs!D27+Input!$E$24*WRs!X27+Input!$E$25*WRs!Y27+Input!$E$26*WRs!Z27+Input!$E$27*WRs!AA27+Input!$E$28*WRs!AB27+Input!$E$29*WRs!AC27+Input!$E$30*WRs!E27+Input!$E$31*WRs!G27+Input!$E$32*WRs!H27+Input!$E$33*WRs!AD27+Input!$E$34*WRs!AE27+Input!$E$35*WRs!AF27+Input!$E$36*WRs!AG27+Input!$E$37*WRs!AH27+Input!$E$38*WRs!AI27+Input!$E$39*WRs!I27+Input!$E$40*WRs!K27</f>
        <v>157.7764705882353</v>
      </c>
    </row>
    <row r="28" spans="1:36" x14ac:dyDescent="0.25">
      <c r="A28" s="89" t="s">
        <v>367</v>
      </c>
      <c r="B28" s="112" t="s">
        <v>168</v>
      </c>
      <c r="C28" s="45">
        <v>6</v>
      </c>
      <c r="D28" s="37">
        <f>8*C28</f>
        <v>48</v>
      </c>
      <c r="E28" s="37">
        <v>0</v>
      </c>
      <c r="F28" s="38">
        <v>0</v>
      </c>
      <c r="G28" s="45">
        <v>65</v>
      </c>
      <c r="H28" s="37">
        <f>14.7*G28</f>
        <v>955.5</v>
      </c>
      <c r="I28" s="37">
        <v>2</v>
      </c>
      <c r="J28" s="38">
        <v>7</v>
      </c>
      <c r="K28" s="37">
        <v>1</v>
      </c>
      <c r="L28" s="105">
        <v>0.72727272727272729</v>
      </c>
      <c r="M28" s="106">
        <v>9.7902097902097904E-2</v>
      </c>
      <c r="N28" s="106">
        <v>6.2937062937062943E-2</v>
      </c>
      <c r="O28" s="106">
        <v>2.097902097902098E-2</v>
      </c>
      <c r="P28" s="106">
        <v>2.7972027972027972E-2</v>
      </c>
      <c r="Q28" s="107">
        <v>6.2937062937062943E-2</v>
      </c>
      <c r="R28" s="81">
        <v>0.12380952380952381</v>
      </c>
      <c r="S28" s="82">
        <v>0.15238095238095239</v>
      </c>
      <c r="T28" s="82">
        <v>9.5238095238095233E-2</v>
      </c>
      <c r="U28" s="82">
        <v>0.19047619047619047</v>
      </c>
      <c r="V28" s="82">
        <v>0.14285714285714285</v>
      </c>
      <c r="W28" s="83">
        <v>0.29523809523809524</v>
      </c>
      <c r="X28" s="111">
        <f t="shared" si="14"/>
        <v>0</v>
      </c>
      <c r="Y28" s="90">
        <f t="shared" si="15"/>
        <v>0</v>
      </c>
      <c r="Z28" s="90">
        <f t="shared" si="16"/>
        <v>0</v>
      </c>
      <c r="AA28" s="90">
        <f t="shared" si="17"/>
        <v>0</v>
      </c>
      <c r="AB28" s="90">
        <f t="shared" si="18"/>
        <v>0</v>
      </c>
      <c r="AC28" s="112">
        <f t="shared" si="19"/>
        <v>0</v>
      </c>
      <c r="AD28" s="111">
        <f t="shared" si="8"/>
        <v>0.8666666666666667</v>
      </c>
      <c r="AE28" s="90">
        <f t="shared" si="9"/>
        <v>1.0666666666666669</v>
      </c>
      <c r="AF28" s="90">
        <f t="shared" si="10"/>
        <v>0.66666666666666663</v>
      </c>
      <c r="AG28" s="90">
        <f t="shared" si="11"/>
        <v>1.3333333333333333</v>
      </c>
      <c r="AH28" s="90">
        <f t="shared" si="12"/>
        <v>1</v>
      </c>
      <c r="AI28" s="112">
        <f t="shared" si="13"/>
        <v>2.0666666666666669</v>
      </c>
      <c r="AJ28" s="121">
        <f>Input!$E$22*WRs!C28+Input!$E$23*WRs!D28+Input!$E$24*WRs!X28+Input!$E$25*WRs!Y28+Input!$E$26*WRs!Z28+Input!$E$27*WRs!AA28+Input!$E$28*WRs!AB28+Input!$E$29*WRs!AC28+Input!$E$30*WRs!E28+Input!$E$31*WRs!G28+Input!$E$32*WRs!H28+Input!$E$33*WRs!AD28+Input!$E$34*WRs!AE28+Input!$E$35*WRs!AF28+Input!$E$36*WRs!AG28+Input!$E$37*WRs!AH28+Input!$E$38*WRs!AI28+Input!$E$39*WRs!I28+Input!$E$40*WRs!K28</f>
        <v>170.15000000000003</v>
      </c>
    </row>
    <row r="29" spans="1:36" x14ac:dyDescent="0.25">
      <c r="A29" s="89" t="s">
        <v>368</v>
      </c>
      <c r="B29" s="112" t="s">
        <v>168</v>
      </c>
      <c r="C29" s="45">
        <v>7</v>
      </c>
      <c r="D29" s="37">
        <f>9*C29</f>
        <v>63</v>
      </c>
      <c r="E29" s="37">
        <v>0</v>
      </c>
      <c r="F29" s="38">
        <v>0</v>
      </c>
      <c r="G29" s="45">
        <v>76</v>
      </c>
      <c r="H29" s="37">
        <f>13.2*G29</f>
        <v>1003.1999999999999</v>
      </c>
      <c r="I29" s="37">
        <v>3</v>
      </c>
      <c r="J29" s="38">
        <v>6</v>
      </c>
      <c r="K29" s="37">
        <v>1</v>
      </c>
      <c r="L29" s="105">
        <v>0.72727272727272729</v>
      </c>
      <c r="M29" s="106">
        <v>9.7902097902097904E-2</v>
      </c>
      <c r="N29" s="106">
        <v>6.2937062937062943E-2</v>
      </c>
      <c r="O29" s="106">
        <v>2.097902097902098E-2</v>
      </c>
      <c r="P29" s="106">
        <v>2.7972027972027972E-2</v>
      </c>
      <c r="Q29" s="107">
        <v>6.2937062937062943E-2</v>
      </c>
      <c r="R29" s="81">
        <v>0.12380952380952381</v>
      </c>
      <c r="S29" s="82">
        <v>0.15238095238095239</v>
      </c>
      <c r="T29" s="82">
        <v>9.5238095238095233E-2</v>
      </c>
      <c r="U29" s="82">
        <v>0.19047619047619047</v>
      </c>
      <c r="V29" s="82">
        <v>0.14285714285714285</v>
      </c>
      <c r="W29" s="83">
        <v>0.29523809523809524</v>
      </c>
      <c r="X29" s="111">
        <f t="shared" si="14"/>
        <v>0</v>
      </c>
      <c r="Y29" s="90">
        <f t="shared" si="15"/>
        <v>0</v>
      </c>
      <c r="Z29" s="90">
        <f t="shared" si="16"/>
        <v>0</v>
      </c>
      <c r="AA29" s="90">
        <f t="shared" si="17"/>
        <v>0</v>
      </c>
      <c r="AB29" s="90">
        <f t="shared" si="18"/>
        <v>0</v>
      </c>
      <c r="AC29" s="112">
        <f t="shared" si="19"/>
        <v>0</v>
      </c>
      <c r="AD29" s="111">
        <f t="shared" si="8"/>
        <v>0.74285714285714288</v>
      </c>
      <c r="AE29" s="90">
        <f t="shared" si="9"/>
        <v>0.91428571428571437</v>
      </c>
      <c r="AF29" s="90">
        <f t="shared" si="10"/>
        <v>0.5714285714285714</v>
      </c>
      <c r="AG29" s="90">
        <f t="shared" si="11"/>
        <v>1.1428571428571428</v>
      </c>
      <c r="AH29" s="90">
        <f t="shared" si="12"/>
        <v>0.8571428571428571</v>
      </c>
      <c r="AI29" s="112">
        <f t="shared" si="13"/>
        <v>1.7714285714285714</v>
      </c>
      <c r="AJ29" s="121">
        <f>Input!$E$22*WRs!C29+Input!$E$23*WRs!D29+Input!$E$24*WRs!X29+Input!$E$25*WRs!Y29+Input!$E$26*WRs!Z29+Input!$E$27*WRs!AA29+Input!$E$28*WRs!AB29+Input!$E$29*WRs!AC29+Input!$E$30*WRs!E29+Input!$E$31*WRs!G29+Input!$E$32*WRs!H29+Input!$E$33*WRs!AD29+Input!$E$34*WRs!AE29+Input!$E$35*WRs!AF29+Input!$E$36*WRs!AG29+Input!$E$37*WRs!AH29+Input!$E$38*WRs!AI29+Input!$E$39*WRs!I29+Input!$E$40*WRs!K29</f>
        <v>170.16285714285715</v>
      </c>
    </row>
    <row r="30" spans="1:36" x14ac:dyDescent="0.25">
      <c r="A30" s="89" t="s">
        <v>369</v>
      </c>
      <c r="B30" s="112" t="s">
        <v>156</v>
      </c>
      <c r="C30" s="45">
        <v>2</v>
      </c>
      <c r="D30" s="37">
        <v>16</v>
      </c>
      <c r="E30" s="37">
        <v>0</v>
      </c>
      <c r="F30" s="38">
        <v>0</v>
      </c>
      <c r="G30" s="45">
        <v>60</v>
      </c>
      <c r="H30" s="37">
        <f>17*G30</f>
        <v>1020</v>
      </c>
      <c r="I30" s="37">
        <v>3</v>
      </c>
      <c r="J30" s="38">
        <v>6</v>
      </c>
      <c r="K30" s="37">
        <v>1</v>
      </c>
      <c r="L30" s="105">
        <v>0.72727272727272729</v>
      </c>
      <c r="M30" s="106">
        <v>9.7902097902097904E-2</v>
      </c>
      <c r="N30" s="106">
        <v>6.2937062937062943E-2</v>
      </c>
      <c r="O30" s="106">
        <v>2.097902097902098E-2</v>
      </c>
      <c r="P30" s="106">
        <v>2.7972027972027972E-2</v>
      </c>
      <c r="Q30" s="107">
        <v>6.2937062937062943E-2</v>
      </c>
      <c r="R30" s="81">
        <v>0.12380952380952381</v>
      </c>
      <c r="S30" s="82">
        <v>0.15238095238095239</v>
      </c>
      <c r="T30" s="82">
        <v>9.5238095238095233E-2</v>
      </c>
      <c r="U30" s="82">
        <v>0.19047619047619047</v>
      </c>
      <c r="V30" s="82">
        <v>0.14285714285714285</v>
      </c>
      <c r="W30" s="83">
        <v>0.29523809523809524</v>
      </c>
      <c r="X30" s="111">
        <f t="shared" si="14"/>
        <v>0</v>
      </c>
      <c r="Y30" s="90">
        <f t="shared" si="15"/>
        <v>0</v>
      </c>
      <c r="Z30" s="90">
        <f t="shared" si="16"/>
        <v>0</v>
      </c>
      <c r="AA30" s="90">
        <f t="shared" si="17"/>
        <v>0</v>
      </c>
      <c r="AB30" s="90">
        <f t="shared" si="18"/>
        <v>0</v>
      </c>
      <c r="AC30" s="112">
        <f t="shared" si="19"/>
        <v>0</v>
      </c>
      <c r="AD30" s="111">
        <f t="shared" si="8"/>
        <v>0.74285714285714288</v>
      </c>
      <c r="AE30" s="90">
        <f t="shared" si="9"/>
        <v>0.91428571428571437</v>
      </c>
      <c r="AF30" s="90">
        <f t="shared" si="10"/>
        <v>0.5714285714285714</v>
      </c>
      <c r="AG30" s="90">
        <f t="shared" si="11"/>
        <v>1.1428571428571428</v>
      </c>
      <c r="AH30" s="90">
        <f t="shared" si="12"/>
        <v>0.8571428571428571</v>
      </c>
      <c r="AI30" s="112">
        <f t="shared" si="13"/>
        <v>1.7714285714285714</v>
      </c>
      <c r="AJ30" s="121">
        <f>Input!$E$22*WRs!C30+Input!$E$23*WRs!D30+Input!$E$24*WRs!X30+Input!$E$25*WRs!Y30+Input!$E$26*WRs!Z30+Input!$E$27*WRs!AA30+Input!$E$28*WRs!AB30+Input!$E$29*WRs!AC30+Input!$E$30*WRs!E30+Input!$E$31*WRs!G30+Input!$E$32*WRs!H30+Input!$E$33*WRs!AD30+Input!$E$34*WRs!AE30+Input!$E$35*WRs!AF30+Input!$E$36*WRs!AG30+Input!$E$37*WRs!AH30+Input!$E$38*WRs!AI30+Input!$E$39*WRs!I30+Input!$E$40*WRs!K30</f>
        <v>167.14285714285717</v>
      </c>
    </row>
    <row r="31" spans="1:36" x14ac:dyDescent="0.25">
      <c r="A31" s="89" t="s">
        <v>370</v>
      </c>
      <c r="B31" s="112" t="s">
        <v>192</v>
      </c>
      <c r="C31" s="45">
        <v>3</v>
      </c>
      <c r="D31" s="37">
        <v>25</v>
      </c>
      <c r="E31" s="37">
        <v>0</v>
      </c>
      <c r="F31" s="38">
        <v>0</v>
      </c>
      <c r="G31" s="45">
        <v>80</v>
      </c>
      <c r="H31" s="37">
        <v>1096</v>
      </c>
      <c r="I31" s="37">
        <v>4</v>
      </c>
      <c r="J31" s="38">
        <v>6</v>
      </c>
      <c r="K31" s="37">
        <v>1</v>
      </c>
      <c r="L31" s="105">
        <v>0.72727272727272729</v>
      </c>
      <c r="M31" s="106">
        <v>9.7902097902097904E-2</v>
      </c>
      <c r="N31" s="106">
        <v>6.2937062937062943E-2</v>
      </c>
      <c r="O31" s="106">
        <v>2.097902097902098E-2</v>
      </c>
      <c r="P31" s="106">
        <v>2.7972027972027972E-2</v>
      </c>
      <c r="Q31" s="107">
        <v>6.2937062937062943E-2</v>
      </c>
      <c r="R31" s="105">
        <v>0.36974789915966388</v>
      </c>
      <c r="S31" s="106">
        <v>0.25210084033613445</v>
      </c>
      <c r="T31" s="106">
        <v>0.21008403361344538</v>
      </c>
      <c r="U31" s="106">
        <v>5.8823529411764705E-2</v>
      </c>
      <c r="V31" s="106">
        <v>7.5630252100840331E-2</v>
      </c>
      <c r="W31" s="107">
        <v>4.2016806722689079E-2</v>
      </c>
      <c r="X31" s="111">
        <f t="shared" si="14"/>
        <v>0</v>
      </c>
      <c r="Y31" s="90">
        <f t="shared" si="15"/>
        <v>0</v>
      </c>
      <c r="Z31" s="90">
        <f t="shared" si="16"/>
        <v>0</v>
      </c>
      <c r="AA31" s="90">
        <f t="shared" si="17"/>
        <v>0</v>
      </c>
      <c r="AB31" s="90">
        <f t="shared" si="18"/>
        <v>0</v>
      </c>
      <c r="AC31" s="112">
        <f t="shared" si="19"/>
        <v>0</v>
      </c>
      <c r="AD31" s="111">
        <f t="shared" si="8"/>
        <v>2.2184873949579833</v>
      </c>
      <c r="AE31" s="90">
        <f t="shared" si="9"/>
        <v>1.5126050420168067</v>
      </c>
      <c r="AF31" s="90">
        <f t="shared" si="10"/>
        <v>1.2605042016806722</v>
      </c>
      <c r="AG31" s="90">
        <f t="shared" si="11"/>
        <v>0.3529411764705882</v>
      </c>
      <c r="AH31" s="90">
        <f t="shared" si="12"/>
        <v>0.45378151260504196</v>
      </c>
      <c r="AI31" s="112">
        <f t="shared" si="13"/>
        <v>0.25210084033613445</v>
      </c>
      <c r="AJ31" s="121">
        <f>Input!$E$22*WRs!C31+Input!$E$23*WRs!D31+Input!$E$24*WRs!X31+Input!$E$25*WRs!Y31+Input!$E$26*WRs!Z31+Input!$E$27*WRs!AA31+Input!$E$28*WRs!AB31+Input!$E$29*WRs!AC31+Input!$E$30*WRs!E31+Input!$E$31*WRs!G31+Input!$E$32*WRs!H31+Input!$E$33*WRs!AD31+Input!$E$34*WRs!AE31+Input!$E$35*WRs!AF31+Input!$E$36*WRs!AG31+Input!$E$37*WRs!AH31+Input!$E$38*WRs!AI31+Input!$E$39*WRs!I31+Input!$E$40*WRs!K31</f>
        <v>167.82268907563025</v>
      </c>
    </row>
    <row r="32" spans="1:36" x14ac:dyDescent="0.25">
      <c r="A32" s="89" t="s">
        <v>371</v>
      </c>
      <c r="B32" s="112" t="s">
        <v>178</v>
      </c>
      <c r="C32" s="45">
        <v>0</v>
      </c>
      <c r="D32" s="37">
        <v>0</v>
      </c>
      <c r="E32" s="37">
        <v>0</v>
      </c>
      <c r="F32" s="38">
        <v>0</v>
      </c>
      <c r="G32" s="45">
        <v>68</v>
      </c>
      <c r="H32" s="37">
        <f>13.7*G32</f>
        <v>931.59999999999991</v>
      </c>
      <c r="I32" s="37">
        <v>2</v>
      </c>
      <c r="J32" s="38">
        <v>6</v>
      </c>
      <c r="K32" s="37">
        <v>1</v>
      </c>
      <c r="L32" s="105">
        <v>0.72727272727272729</v>
      </c>
      <c r="M32" s="106">
        <v>9.7902097902097904E-2</v>
      </c>
      <c r="N32" s="106">
        <v>6.2937062937062943E-2</v>
      </c>
      <c r="O32" s="106">
        <v>2.097902097902098E-2</v>
      </c>
      <c r="P32" s="106">
        <v>2.7972027972027972E-2</v>
      </c>
      <c r="Q32" s="107">
        <v>6.2937062937062943E-2</v>
      </c>
      <c r="R32" s="105">
        <v>0.20689655172413793</v>
      </c>
      <c r="S32" s="106">
        <v>0.31034482758620691</v>
      </c>
      <c r="T32" s="106">
        <v>0.22413793103448276</v>
      </c>
      <c r="U32" s="106">
        <v>5.1724137931034482E-2</v>
      </c>
      <c r="V32" s="106">
        <v>0.13793103448275862</v>
      </c>
      <c r="W32" s="107">
        <v>6.8965517241379309E-2</v>
      </c>
      <c r="X32" s="111">
        <f t="shared" si="14"/>
        <v>0</v>
      </c>
      <c r="Y32" s="90">
        <f t="shared" si="15"/>
        <v>0</v>
      </c>
      <c r="Z32" s="90">
        <f t="shared" si="16"/>
        <v>0</v>
      </c>
      <c r="AA32" s="90">
        <f t="shared" si="17"/>
        <v>0</v>
      </c>
      <c r="AB32" s="90">
        <f t="shared" si="18"/>
        <v>0</v>
      </c>
      <c r="AC32" s="112">
        <f t="shared" si="19"/>
        <v>0</v>
      </c>
      <c r="AD32" s="111">
        <f t="shared" si="8"/>
        <v>1.2413793103448276</v>
      </c>
      <c r="AE32" s="90">
        <f t="shared" si="9"/>
        <v>1.8620689655172415</v>
      </c>
      <c r="AF32" s="90">
        <f t="shared" si="10"/>
        <v>1.3448275862068966</v>
      </c>
      <c r="AG32" s="90">
        <f t="shared" si="11"/>
        <v>0.31034482758620691</v>
      </c>
      <c r="AH32" s="90">
        <f t="shared" si="12"/>
        <v>0.82758620689655171</v>
      </c>
      <c r="AI32" s="112">
        <f t="shared" si="13"/>
        <v>0.41379310344827586</v>
      </c>
      <c r="AJ32" s="121">
        <f>Input!$E$22*WRs!C32+Input!$E$23*WRs!D32+Input!$E$24*WRs!X32+Input!$E$25*WRs!Y32+Input!$E$26*WRs!Z32+Input!$E$27*WRs!AA32+Input!$E$28*WRs!AB32+Input!$E$29*WRs!AC32+Input!$E$30*WRs!E32+Input!$E$31*WRs!G32+Input!$E$32*WRs!H32+Input!$E$33*WRs!AD32+Input!$E$34*WRs!AE32+Input!$E$35*WRs!AF32+Input!$E$36*WRs!AG32+Input!$E$37*WRs!AH32+Input!$E$38*WRs!AI32+Input!$E$39*WRs!I32+Input!$E$40*WRs!K32</f>
        <v>145.43586206896549</v>
      </c>
    </row>
    <row r="33" spans="1:36" x14ac:dyDescent="0.25">
      <c r="A33" s="89" t="s">
        <v>372</v>
      </c>
      <c r="B33" s="112" t="s">
        <v>194</v>
      </c>
      <c r="C33" s="45">
        <v>0</v>
      </c>
      <c r="D33" s="37">
        <v>0</v>
      </c>
      <c r="E33" s="37">
        <v>0</v>
      </c>
      <c r="F33" s="38">
        <v>0</v>
      </c>
      <c r="G33" s="45">
        <v>68</v>
      </c>
      <c r="H33" s="37">
        <f>14.5*G33</f>
        <v>986</v>
      </c>
      <c r="I33" s="37">
        <v>3</v>
      </c>
      <c r="J33" s="38">
        <v>5</v>
      </c>
      <c r="K33" s="37">
        <v>1</v>
      </c>
      <c r="L33" s="105">
        <v>0.72727272727272729</v>
      </c>
      <c r="M33" s="106">
        <v>9.7902097902097904E-2</v>
      </c>
      <c r="N33" s="106">
        <v>6.2937062937062943E-2</v>
      </c>
      <c r="O33" s="106">
        <v>2.097902097902098E-2</v>
      </c>
      <c r="P33" s="106">
        <v>2.7972027972027972E-2</v>
      </c>
      <c r="Q33" s="107">
        <v>6.2937062937062943E-2</v>
      </c>
      <c r="R33" s="81">
        <v>0.12380952380952381</v>
      </c>
      <c r="S33" s="82">
        <v>0.15238095238095239</v>
      </c>
      <c r="T33" s="82">
        <v>9.5238095238095233E-2</v>
      </c>
      <c r="U33" s="82">
        <v>0.19047619047619047</v>
      </c>
      <c r="V33" s="82">
        <v>0.14285714285714285</v>
      </c>
      <c r="W33" s="83">
        <v>0.29523809523809524</v>
      </c>
      <c r="X33" s="111">
        <f t="shared" si="14"/>
        <v>0</v>
      </c>
      <c r="Y33" s="90">
        <f t="shared" si="15"/>
        <v>0</v>
      </c>
      <c r="Z33" s="90">
        <f t="shared" si="16"/>
        <v>0</v>
      </c>
      <c r="AA33" s="90">
        <f t="shared" si="17"/>
        <v>0</v>
      </c>
      <c r="AB33" s="90">
        <f t="shared" si="18"/>
        <v>0</v>
      </c>
      <c r="AC33" s="112">
        <f t="shared" si="19"/>
        <v>0</v>
      </c>
      <c r="AD33" s="111">
        <f t="shared" si="8"/>
        <v>0.61904761904761907</v>
      </c>
      <c r="AE33" s="90">
        <f t="shared" si="9"/>
        <v>0.76190476190476197</v>
      </c>
      <c r="AF33" s="90">
        <f t="shared" si="10"/>
        <v>0.47619047619047616</v>
      </c>
      <c r="AG33" s="90">
        <f t="shared" si="11"/>
        <v>0.95238095238095233</v>
      </c>
      <c r="AH33" s="90">
        <f t="shared" si="12"/>
        <v>0.71428571428571419</v>
      </c>
      <c r="AI33" s="112">
        <f t="shared" si="13"/>
        <v>1.4761904761904763</v>
      </c>
      <c r="AJ33" s="121">
        <f>Input!$E$22*WRs!C33+Input!$E$23*WRs!D33+Input!$E$24*WRs!X33+Input!$E$25*WRs!Y33+Input!$E$26*WRs!Z33+Input!$E$27*WRs!AA33+Input!$E$28*WRs!AB33+Input!$E$29*WRs!AC33+Input!$E$30*WRs!E33+Input!$E$31*WRs!G33+Input!$E$32*WRs!H33+Input!$E$33*WRs!AD33+Input!$E$34*WRs!AE33+Input!$E$35*WRs!AF33+Input!$E$36*WRs!AG33+Input!$E$37*WRs!AH33+Input!$E$38*WRs!AI33+Input!$E$39*WRs!I33+Input!$E$40*WRs!K33</f>
        <v>152.88571428571427</v>
      </c>
    </row>
    <row r="34" spans="1:36" x14ac:dyDescent="0.25">
      <c r="A34" s="89" t="s">
        <v>373</v>
      </c>
      <c r="B34" s="112" t="s">
        <v>186</v>
      </c>
      <c r="C34" s="45">
        <v>7</v>
      </c>
      <c r="D34" s="37">
        <f>4*C34</f>
        <v>28</v>
      </c>
      <c r="E34" s="37">
        <v>0</v>
      </c>
      <c r="F34" s="38">
        <v>0</v>
      </c>
      <c r="G34" s="45">
        <v>50</v>
      </c>
      <c r="H34" s="37">
        <f>17.5*G34</f>
        <v>875</v>
      </c>
      <c r="I34" s="37">
        <v>2</v>
      </c>
      <c r="J34" s="38">
        <v>6</v>
      </c>
      <c r="K34" s="37">
        <v>1</v>
      </c>
      <c r="L34" s="105">
        <v>0.72727272727272729</v>
      </c>
      <c r="M34" s="106">
        <v>9.7902097902097904E-2</v>
      </c>
      <c r="N34" s="106">
        <v>6.2937062937062943E-2</v>
      </c>
      <c r="O34" s="106">
        <v>2.097902097902098E-2</v>
      </c>
      <c r="P34" s="106">
        <v>2.7972027972027972E-2</v>
      </c>
      <c r="Q34" s="107">
        <v>6.2937062937062943E-2</v>
      </c>
      <c r="R34" s="81">
        <v>0.12380952380952381</v>
      </c>
      <c r="S34" s="82">
        <v>0.15238095238095239</v>
      </c>
      <c r="T34" s="82">
        <v>9.5238095238095233E-2</v>
      </c>
      <c r="U34" s="82">
        <v>0.19047619047619047</v>
      </c>
      <c r="V34" s="82">
        <v>0.14285714285714285</v>
      </c>
      <c r="W34" s="83">
        <v>0.29523809523809524</v>
      </c>
      <c r="X34" s="111">
        <f t="shared" si="14"/>
        <v>0</v>
      </c>
      <c r="Y34" s="90">
        <f t="shared" si="15"/>
        <v>0</v>
      </c>
      <c r="Z34" s="90">
        <f t="shared" si="16"/>
        <v>0</v>
      </c>
      <c r="AA34" s="90">
        <f t="shared" si="17"/>
        <v>0</v>
      </c>
      <c r="AB34" s="90">
        <f t="shared" si="18"/>
        <v>0</v>
      </c>
      <c r="AC34" s="112">
        <f t="shared" si="19"/>
        <v>0</v>
      </c>
      <c r="AD34" s="111">
        <f t="shared" si="8"/>
        <v>0.74285714285714288</v>
      </c>
      <c r="AE34" s="90">
        <f t="shared" si="9"/>
        <v>0.91428571428571437</v>
      </c>
      <c r="AF34" s="90">
        <f t="shared" si="10"/>
        <v>0.5714285714285714</v>
      </c>
      <c r="AG34" s="90">
        <f t="shared" si="11"/>
        <v>1.1428571428571428</v>
      </c>
      <c r="AH34" s="90">
        <f t="shared" si="12"/>
        <v>0.8571428571428571</v>
      </c>
      <c r="AI34" s="112">
        <f t="shared" si="13"/>
        <v>1.7714285714285714</v>
      </c>
      <c r="AJ34" s="121">
        <f>Input!$E$22*WRs!C34+Input!$E$23*WRs!D34+Input!$E$24*WRs!X34+Input!$E$25*WRs!Y34+Input!$E$26*WRs!Z34+Input!$E$27*WRs!AA34+Input!$E$28*WRs!AB34+Input!$E$29*WRs!AC34+Input!$E$30*WRs!E34+Input!$E$31*WRs!G34+Input!$E$32*WRs!H34+Input!$E$33*WRs!AD34+Input!$E$34*WRs!AE34+Input!$E$35*WRs!AF34+Input!$E$36*WRs!AG34+Input!$E$37*WRs!AH34+Input!$E$38*WRs!AI34+Input!$E$39*WRs!I34+Input!$E$40*WRs!K34</f>
        <v>150.84285714285713</v>
      </c>
    </row>
    <row r="35" spans="1:36" x14ac:dyDescent="0.25">
      <c r="A35" s="89" t="s">
        <v>374</v>
      </c>
      <c r="B35" s="112" t="s">
        <v>154</v>
      </c>
      <c r="C35" s="45">
        <v>0</v>
      </c>
      <c r="D35" s="37">
        <v>0</v>
      </c>
      <c r="E35" s="37">
        <v>0</v>
      </c>
      <c r="F35" s="38">
        <v>0</v>
      </c>
      <c r="G35" s="45">
        <v>78</v>
      </c>
      <c r="H35" s="37">
        <f>13*G35</f>
        <v>1014</v>
      </c>
      <c r="I35" s="37">
        <v>3</v>
      </c>
      <c r="J35" s="38">
        <v>6</v>
      </c>
      <c r="K35" s="37">
        <v>1</v>
      </c>
      <c r="L35" s="105">
        <v>0.72727272727272729</v>
      </c>
      <c r="M35" s="106">
        <v>9.7902097902097904E-2</v>
      </c>
      <c r="N35" s="106">
        <v>6.2937062937062943E-2</v>
      </c>
      <c r="O35" s="106">
        <v>2.097902097902098E-2</v>
      </c>
      <c r="P35" s="106">
        <v>2.7972027972027972E-2</v>
      </c>
      <c r="Q35" s="107">
        <v>6.2937062937062943E-2</v>
      </c>
      <c r="R35" s="105">
        <v>0.36974789915966388</v>
      </c>
      <c r="S35" s="106">
        <v>0.25210084033613445</v>
      </c>
      <c r="T35" s="106">
        <v>0.21008403361344538</v>
      </c>
      <c r="U35" s="106">
        <v>5.8823529411764705E-2</v>
      </c>
      <c r="V35" s="106">
        <v>7.5630252100840331E-2</v>
      </c>
      <c r="W35" s="107">
        <v>4.2016806722689079E-2</v>
      </c>
      <c r="X35" s="111">
        <f t="shared" si="14"/>
        <v>0</v>
      </c>
      <c r="Y35" s="90">
        <f t="shared" si="15"/>
        <v>0</v>
      </c>
      <c r="Z35" s="90">
        <f t="shared" si="16"/>
        <v>0</v>
      </c>
      <c r="AA35" s="90">
        <f t="shared" si="17"/>
        <v>0</v>
      </c>
      <c r="AB35" s="90">
        <f t="shared" si="18"/>
        <v>0</v>
      </c>
      <c r="AC35" s="112">
        <f t="shared" si="19"/>
        <v>0</v>
      </c>
      <c r="AD35" s="111">
        <f t="shared" si="8"/>
        <v>2.2184873949579833</v>
      </c>
      <c r="AE35" s="90">
        <f t="shared" si="9"/>
        <v>1.5126050420168067</v>
      </c>
      <c r="AF35" s="90">
        <f t="shared" si="10"/>
        <v>1.2605042016806722</v>
      </c>
      <c r="AG35" s="90">
        <f t="shared" si="11"/>
        <v>0.3529411764705882</v>
      </c>
      <c r="AH35" s="90">
        <f t="shared" si="12"/>
        <v>0.45378151260504196</v>
      </c>
      <c r="AI35" s="112">
        <f t="shared" si="13"/>
        <v>0.25210084033613445</v>
      </c>
      <c r="AJ35" s="121">
        <f>Input!$E$22*WRs!C35+Input!$E$23*WRs!D35+Input!$E$24*WRs!X35+Input!$E$25*WRs!Y35+Input!$E$26*WRs!Z35+Input!$E$27*WRs!AA35+Input!$E$28*WRs!AB35+Input!$E$29*WRs!AC35+Input!$E$30*WRs!E35+Input!$E$31*WRs!G35+Input!$E$32*WRs!H35+Input!$E$33*WRs!AD35+Input!$E$34*WRs!AE35+Input!$E$35*WRs!AF35+Input!$E$36*WRs!AG35+Input!$E$37*WRs!AH35+Input!$E$38*WRs!AI35+Input!$E$39*WRs!I35+Input!$E$40*WRs!K35</f>
        <v>154.12268907563026</v>
      </c>
    </row>
    <row r="36" spans="1:36" x14ac:dyDescent="0.25">
      <c r="A36" s="89" t="s">
        <v>375</v>
      </c>
      <c r="B36" s="112" t="s">
        <v>166</v>
      </c>
      <c r="C36" s="45">
        <v>3</v>
      </c>
      <c r="D36" s="37">
        <v>15</v>
      </c>
      <c r="E36" s="37">
        <v>0</v>
      </c>
      <c r="F36" s="38">
        <v>0</v>
      </c>
      <c r="G36" s="45">
        <v>72</v>
      </c>
      <c r="H36" s="37">
        <f>13.8*G36</f>
        <v>993.6</v>
      </c>
      <c r="I36" s="37">
        <v>3</v>
      </c>
      <c r="J36" s="38">
        <v>5</v>
      </c>
      <c r="K36" s="37">
        <v>1</v>
      </c>
      <c r="L36" s="105">
        <v>0.72727272727272729</v>
      </c>
      <c r="M36" s="106">
        <v>9.7902097902097904E-2</v>
      </c>
      <c r="N36" s="106">
        <v>6.2937062937062943E-2</v>
      </c>
      <c r="O36" s="106">
        <v>2.097902097902098E-2</v>
      </c>
      <c r="P36" s="106">
        <v>2.7972027972027972E-2</v>
      </c>
      <c r="Q36" s="107">
        <v>6.2937062937062943E-2</v>
      </c>
      <c r="R36" s="105">
        <v>0.36974789915966388</v>
      </c>
      <c r="S36" s="106">
        <v>0.25210084033613445</v>
      </c>
      <c r="T36" s="106">
        <v>0.21008403361344538</v>
      </c>
      <c r="U36" s="106">
        <v>5.8823529411764705E-2</v>
      </c>
      <c r="V36" s="106">
        <v>7.5630252100840331E-2</v>
      </c>
      <c r="W36" s="107">
        <v>4.2016806722689079E-2</v>
      </c>
      <c r="X36" s="111">
        <f t="shared" si="14"/>
        <v>0</v>
      </c>
      <c r="Y36" s="90">
        <f t="shared" si="15"/>
        <v>0</v>
      </c>
      <c r="Z36" s="90">
        <f t="shared" si="16"/>
        <v>0</v>
      </c>
      <c r="AA36" s="90">
        <f t="shared" si="17"/>
        <v>0</v>
      </c>
      <c r="AB36" s="90">
        <f t="shared" si="18"/>
        <v>0</v>
      </c>
      <c r="AC36" s="112">
        <f t="shared" si="19"/>
        <v>0</v>
      </c>
      <c r="AD36" s="111">
        <f t="shared" si="8"/>
        <v>1.8487394957983194</v>
      </c>
      <c r="AE36" s="90">
        <f t="shared" si="9"/>
        <v>1.2605042016806722</v>
      </c>
      <c r="AF36" s="90">
        <f t="shared" si="10"/>
        <v>1.0504201680672269</v>
      </c>
      <c r="AG36" s="90">
        <f t="shared" si="11"/>
        <v>0.29411764705882354</v>
      </c>
      <c r="AH36" s="90">
        <f t="shared" si="12"/>
        <v>0.37815126050420167</v>
      </c>
      <c r="AI36" s="112">
        <f t="shared" si="13"/>
        <v>0.21008403361344541</v>
      </c>
      <c r="AJ36" s="121">
        <f>Input!$E$22*WRs!C36+Input!$E$23*WRs!D36+Input!$E$24*WRs!X36+Input!$E$25*WRs!Y36+Input!$E$26*WRs!Z36+Input!$E$27*WRs!AA36+Input!$E$28*WRs!AB36+Input!$E$29*WRs!AC36+Input!$E$30*WRs!E36+Input!$E$31*WRs!G36+Input!$E$32*WRs!H36+Input!$E$33*WRs!AD36+Input!$E$34*WRs!AE36+Input!$E$35*WRs!AF36+Input!$E$36*WRs!AG36+Input!$E$37*WRs!AH36+Input!$E$38*WRs!AI36+Input!$E$39*WRs!I36+Input!$E$40*WRs!K36</f>
        <v>146.12890756302525</v>
      </c>
    </row>
    <row r="37" spans="1:36" x14ac:dyDescent="0.25">
      <c r="A37" s="89" t="s">
        <v>376</v>
      </c>
      <c r="B37" s="112" t="s">
        <v>144</v>
      </c>
      <c r="C37" s="45">
        <v>0</v>
      </c>
      <c r="D37" s="37">
        <v>0</v>
      </c>
      <c r="E37" s="37">
        <v>0</v>
      </c>
      <c r="F37" s="38">
        <v>0</v>
      </c>
      <c r="G37" s="45">
        <v>80</v>
      </c>
      <c r="H37" s="37">
        <f>12.5*G37</f>
        <v>1000</v>
      </c>
      <c r="I37" s="37">
        <v>2</v>
      </c>
      <c r="J37" s="38">
        <v>5</v>
      </c>
      <c r="K37" s="37">
        <v>1</v>
      </c>
      <c r="L37" s="105">
        <v>0.72727272727272729</v>
      </c>
      <c r="M37" s="106">
        <v>9.7902097902097904E-2</v>
      </c>
      <c r="N37" s="106">
        <v>6.2937062937062943E-2</v>
      </c>
      <c r="O37" s="106">
        <v>2.097902097902098E-2</v>
      </c>
      <c r="P37" s="106">
        <v>2.7972027972027972E-2</v>
      </c>
      <c r="Q37" s="107">
        <v>6.2937062937062943E-2</v>
      </c>
      <c r="R37" s="105">
        <v>0.36974789915966388</v>
      </c>
      <c r="S37" s="106">
        <v>0.25210084033613445</v>
      </c>
      <c r="T37" s="106">
        <v>0.21008403361344538</v>
      </c>
      <c r="U37" s="106">
        <v>5.8823529411764705E-2</v>
      </c>
      <c r="V37" s="106">
        <v>7.5630252100840331E-2</v>
      </c>
      <c r="W37" s="107">
        <v>4.2016806722689079E-2</v>
      </c>
      <c r="X37" s="111">
        <f t="shared" si="14"/>
        <v>0</v>
      </c>
      <c r="Y37" s="90">
        <f t="shared" si="15"/>
        <v>0</v>
      </c>
      <c r="Z37" s="90">
        <f t="shared" si="16"/>
        <v>0</v>
      </c>
      <c r="AA37" s="90">
        <f t="shared" si="17"/>
        <v>0</v>
      </c>
      <c r="AB37" s="90">
        <f t="shared" si="18"/>
        <v>0</v>
      </c>
      <c r="AC37" s="112">
        <f t="shared" si="19"/>
        <v>0</v>
      </c>
      <c r="AD37" s="111">
        <f t="shared" si="8"/>
        <v>1.8487394957983194</v>
      </c>
      <c r="AE37" s="90">
        <f t="shared" si="9"/>
        <v>1.2605042016806722</v>
      </c>
      <c r="AF37" s="90">
        <f t="shared" si="10"/>
        <v>1.0504201680672269</v>
      </c>
      <c r="AG37" s="90">
        <f t="shared" si="11"/>
        <v>0.29411764705882354</v>
      </c>
      <c r="AH37" s="90">
        <f t="shared" si="12"/>
        <v>0.37815126050420167</v>
      </c>
      <c r="AI37" s="112">
        <f t="shared" si="13"/>
        <v>0.21008403361344541</v>
      </c>
      <c r="AJ37" s="121">
        <f>Input!$E$22*WRs!C37+Input!$E$23*WRs!D37+Input!$E$24*WRs!X37+Input!$E$25*WRs!Y37+Input!$E$26*WRs!Z37+Input!$E$27*WRs!AA37+Input!$E$28*WRs!AB37+Input!$E$29*WRs!AC37+Input!$E$30*WRs!E37+Input!$E$31*WRs!G37+Input!$E$32*WRs!H37+Input!$E$33*WRs!AD37+Input!$E$34*WRs!AE37+Input!$E$35*WRs!AF37+Input!$E$36*WRs!AG37+Input!$E$37*WRs!AH37+Input!$E$38*WRs!AI37+Input!$E$39*WRs!I37+Input!$E$40*WRs!K37</f>
        <v>142.26890756302524</v>
      </c>
    </row>
    <row r="38" spans="1:36" x14ac:dyDescent="0.25">
      <c r="A38" s="89" t="s">
        <v>377</v>
      </c>
      <c r="B38" s="112" t="s">
        <v>162</v>
      </c>
      <c r="C38" s="45">
        <v>3</v>
      </c>
      <c r="D38" s="37">
        <f>6.7*C38</f>
        <v>20.100000000000001</v>
      </c>
      <c r="E38" s="37">
        <v>0</v>
      </c>
      <c r="F38" s="38">
        <v>0</v>
      </c>
      <c r="G38" s="45">
        <v>65</v>
      </c>
      <c r="H38" s="37">
        <f>13.2*G38</f>
        <v>858</v>
      </c>
      <c r="I38" s="37">
        <v>3</v>
      </c>
      <c r="J38" s="38">
        <v>6</v>
      </c>
      <c r="K38" s="37">
        <v>1</v>
      </c>
      <c r="L38" s="105">
        <v>0.72727272727272729</v>
      </c>
      <c r="M38" s="106">
        <v>9.7902097902097904E-2</v>
      </c>
      <c r="N38" s="106">
        <v>6.2937062937062943E-2</v>
      </c>
      <c r="O38" s="106">
        <v>2.097902097902098E-2</v>
      </c>
      <c r="P38" s="106">
        <v>2.7972027972027972E-2</v>
      </c>
      <c r="Q38" s="107">
        <v>6.2937062937062943E-2</v>
      </c>
      <c r="R38" s="105">
        <v>0.20689655172413793</v>
      </c>
      <c r="S38" s="106">
        <v>0.31034482758620691</v>
      </c>
      <c r="T38" s="106">
        <v>0.22413793103448276</v>
      </c>
      <c r="U38" s="106">
        <v>5.1724137931034482E-2</v>
      </c>
      <c r="V38" s="106">
        <v>0.13793103448275862</v>
      </c>
      <c r="W38" s="107">
        <v>6.8965517241379309E-2</v>
      </c>
      <c r="X38" s="111">
        <f t="shared" si="14"/>
        <v>0</v>
      </c>
      <c r="Y38" s="90">
        <f t="shared" si="15"/>
        <v>0</v>
      </c>
      <c r="Z38" s="90">
        <f t="shared" si="16"/>
        <v>0</v>
      </c>
      <c r="AA38" s="90">
        <f t="shared" si="17"/>
        <v>0</v>
      </c>
      <c r="AB38" s="90">
        <f t="shared" si="18"/>
        <v>0</v>
      </c>
      <c r="AC38" s="112">
        <f t="shared" si="19"/>
        <v>0</v>
      </c>
      <c r="AD38" s="111">
        <f t="shared" si="8"/>
        <v>1.2413793103448276</v>
      </c>
      <c r="AE38" s="90">
        <f t="shared" si="9"/>
        <v>1.8620689655172415</v>
      </c>
      <c r="AF38" s="90">
        <f t="shared" si="10"/>
        <v>1.3448275862068966</v>
      </c>
      <c r="AG38" s="90">
        <f t="shared" si="11"/>
        <v>0.31034482758620691</v>
      </c>
      <c r="AH38" s="90">
        <f t="shared" si="12"/>
        <v>0.82758620689655171</v>
      </c>
      <c r="AI38" s="112">
        <f t="shared" si="13"/>
        <v>0.41379310344827586</v>
      </c>
      <c r="AJ38" s="121">
        <f>Input!$E$22*WRs!C38+Input!$E$23*WRs!D38+Input!$E$24*WRs!X38+Input!$E$25*WRs!Y38+Input!$E$26*WRs!Z38+Input!$E$27*WRs!AA38+Input!$E$28*WRs!AB38+Input!$E$29*WRs!AC38+Input!$E$30*WRs!E38+Input!$E$31*WRs!G38+Input!$E$32*WRs!H38+Input!$E$33*WRs!AD38+Input!$E$34*WRs!AE38+Input!$E$35*WRs!AF38+Input!$E$36*WRs!AG38+Input!$E$37*WRs!AH38+Input!$E$38*WRs!AI38+Input!$E$39*WRs!I38+Input!$E$40*WRs!K38</f>
        <v>143.08586206896553</v>
      </c>
    </row>
    <row r="39" spans="1:36" x14ac:dyDescent="0.25">
      <c r="A39" s="89" t="s">
        <v>378</v>
      </c>
      <c r="B39" s="112" t="s">
        <v>176</v>
      </c>
      <c r="C39" s="45">
        <v>1</v>
      </c>
      <c r="D39" s="37">
        <v>4</v>
      </c>
      <c r="E39" s="37">
        <v>0</v>
      </c>
      <c r="F39" s="38">
        <v>0</v>
      </c>
      <c r="G39" s="45">
        <v>64</v>
      </c>
      <c r="H39" s="37">
        <f>14.5*G39</f>
        <v>928</v>
      </c>
      <c r="I39" s="37">
        <v>2</v>
      </c>
      <c r="J39" s="38">
        <v>5</v>
      </c>
      <c r="K39" s="37">
        <v>1</v>
      </c>
      <c r="L39" s="105">
        <v>0.72727272727272729</v>
      </c>
      <c r="M39" s="106">
        <v>9.7902097902097904E-2</v>
      </c>
      <c r="N39" s="106">
        <v>6.2937062937062943E-2</v>
      </c>
      <c r="O39" s="106">
        <v>2.097902097902098E-2</v>
      </c>
      <c r="P39" s="106">
        <v>2.7972027972027972E-2</v>
      </c>
      <c r="Q39" s="107">
        <v>6.2937062937062943E-2</v>
      </c>
      <c r="R39" s="105">
        <v>0.12380952380952381</v>
      </c>
      <c r="S39" s="106">
        <v>0.15238095238095239</v>
      </c>
      <c r="T39" s="106">
        <v>9.5238095238095233E-2</v>
      </c>
      <c r="U39" s="106">
        <v>0.19047619047619047</v>
      </c>
      <c r="V39" s="106">
        <v>0.14285714285714285</v>
      </c>
      <c r="W39" s="107">
        <v>0.29523809523809524</v>
      </c>
      <c r="X39" s="111">
        <f t="shared" si="14"/>
        <v>0</v>
      </c>
      <c r="Y39" s="90">
        <f t="shared" si="15"/>
        <v>0</v>
      </c>
      <c r="Z39" s="90">
        <f t="shared" si="16"/>
        <v>0</v>
      </c>
      <c r="AA39" s="90">
        <f t="shared" si="17"/>
        <v>0</v>
      </c>
      <c r="AB39" s="90">
        <f t="shared" si="18"/>
        <v>0</v>
      </c>
      <c r="AC39" s="112">
        <f t="shared" si="19"/>
        <v>0</v>
      </c>
      <c r="AD39" s="111">
        <f t="shared" si="8"/>
        <v>0.61904761904761907</v>
      </c>
      <c r="AE39" s="90">
        <f t="shared" si="9"/>
        <v>0.76190476190476197</v>
      </c>
      <c r="AF39" s="90">
        <f t="shared" si="10"/>
        <v>0.47619047619047616</v>
      </c>
      <c r="AG39" s="90">
        <f t="shared" si="11"/>
        <v>0.95238095238095233</v>
      </c>
      <c r="AH39" s="90">
        <f t="shared" si="12"/>
        <v>0.71428571428571419</v>
      </c>
      <c r="AI39" s="112">
        <f t="shared" si="13"/>
        <v>1.4761904761904763</v>
      </c>
      <c r="AJ39" s="121">
        <f>Input!$E$22*WRs!C39+Input!$E$23*WRs!D39+Input!$E$24*WRs!X39+Input!$E$25*WRs!Y39+Input!$E$26*WRs!Z39+Input!$E$27*WRs!AA39+Input!$E$28*WRs!AB39+Input!$E$29*WRs!AC39+Input!$E$30*WRs!E39+Input!$E$31*WRs!G39+Input!$E$32*WRs!H39+Input!$E$33*WRs!AD39+Input!$E$34*WRs!AE39+Input!$E$35*WRs!AF39+Input!$E$36*WRs!AG39+Input!$E$37*WRs!AH39+Input!$E$38*WRs!AI39+Input!$E$39*WRs!I39+Input!$E$40*WRs!K39</f>
        <v>144.48571428571429</v>
      </c>
    </row>
    <row r="40" spans="1:36" x14ac:dyDescent="0.25">
      <c r="A40" s="89" t="s">
        <v>379</v>
      </c>
      <c r="B40" s="112" t="s">
        <v>140</v>
      </c>
      <c r="C40" s="45">
        <v>0</v>
      </c>
      <c r="D40" s="37">
        <v>0</v>
      </c>
      <c r="E40" s="37">
        <v>0</v>
      </c>
      <c r="F40" s="38">
        <v>0</v>
      </c>
      <c r="G40" s="45">
        <v>65</v>
      </c>
      <c r="H40" s="37">
        <f>14.3*G40</f>
        <v>929.5</v>
      </c>
      <c r="I40" s="37">
        <v>2</v>
      </c>
      <c r="J40" s="38">
        <v>6</v>
      </c>
      <c r="K40" s="37">
        <v>1</v>
      </c>
      <c r="L40" s="105">
        <v>0.72727272727272729</v>
      </c>
      <c r="M40" s="106">
        <v>9.7902097902097904E-2</v>
      </c>
      <c r="N40" s="106">
        <v>6.2937062937062943E-2</v>
      </c>
      <c r="O40" s="106">
        <v>2.097902097902098E-2</v>
      </c>
      <c r="P40" s="106">
        <v>2.7972027972027972E-2</v>
      </c>
      <c r="Q40" s="107">
        <v>6.2937062937062943E-2</v>
      </c>
      <c r="R40" s="105">
        <v>0.36974789915966388</v>
      </c>
      <c r="S40" s="106">
        <v>0.25210084033613445</v>
      </c>
      <c r="T40" s="106">
        <v>0.21008403361344538</v>
      </c>
      <c r="U40" s="106">
        <v>5.8823529411764705E-2</v>
      </c>
      <c r="V40" s="106">
        <v>7.5630252100840331E-2</v>
      </c>
      <c r="W40" s="107">
        <v>4.2016806722689079E-2</v>
      </c>
      <c r="X40" s="111">
        <f t="shared" si="14"/>
        <v>0</v>
      </c>
      <c r="Y40" s="90">
        <f t="shared" si="15"/>
        <v>0</v>
      </c>
      <c r="Z40" s="90">
        <f t="shared" si="16"/>
        <v>0</v>
      </c>
      <c r="AA40" s="90">
        <f t="shared" si="17"/>
        <v>0</v>
      </c>
      <c r="AB40" s="90">
        <f t="shared" si="18"/>
        <v>0</v>
      </c>
      <c r="AC40" s="112">
        <f t="shared" si="19"/>
        <v>0</v>
      </c>
      <c r="AD40" s="111">
        <f t="shared" si="8"/>
        <v>2.2184873949579833</v>
      </c>
      <c r="AE40" s="90">
        <f t="shared" si="9"/>
        <v>1.5126050420168067</v>
      </c>
      <c r="AF40" s="90">
        <f t="shared" si="10"/>
        <v>1.2605042016806722</v>
      </c>
      <c r="AG40" s="90">
        <f t="shared" si="11"/>
        <v>0.3529411764705882</v>
      </c>
      <c r="AH40" s="90">
        <f t="shared" si="12"/>
        <v>0.45378151260504196</v>
      </c>
      <c r="AI40" s="112">
        <f t="shared" si="13"/>
        <v>0.25210084033613445</v>
      </c>
      <c r="AJ40" s="121">
        <f>Input!$E$22*WRs!C40+Input!$E$23*WRs!D40+Input!$E$24*WRs!X40+Input!$E$25*WRs!Y40+Input!$E$26*WRs!Z40+Input!$E$27*WRs!AA40+Input!$E$28*WRs!AB40+Input!$E$29*WRs!AC40+Input!$E$30*WRs!E40+Input!$E$31*WRs!G40+Input!$E$32*WRs!H40+Input!$E$33*WRs!AD40+Input!$E$34*WRs!AE40+Input!$E$35*WRs!AF40+Input!$E$36*WRs!AG40+Input!$E$37*WRs!AH40+Input!$E$38*WRs!AI40+Input!$E$39*WRs!I40+Input!$E$40*WRs!K40</f>
        <v>142.67268907563025</v>
      </c>
    </row>
    <row r="41" spans="1:36" x14ac:dyDescent="0.25">
      <c r="A41" s="89" t="s">
        <v>380</v>
      </c>
      <c r="B41" s="112" t="s">
        <v>172</v>
      </c>
      <c r="C41" s="45">
        <v>2</v>
      </c>
      <c r="D41" s="37">
        <f>13*C41</f>
        <v>26</v>
      </c>
      <c r="E41" s="37">
        <v>0</v>
      </c>
      <c r="F41" s="38">
        <v>0</v>
      </c>
      <c r="G41" s="45">
        <v>62</v>
      </c>
      <c r="H41" s="37">
        <f>15*G41</f>
        <v>930</v>
      </c>
      <c r="I41" s="37">
        <v>2</v>
      </c>
      <c r="J41" s="38">
        <v>5</v>
      </c>
      <c r="K41" s="37">
        <v>1</v>
      </c>
      <c r="L41" s="105">
        <v>0.72727272727272729</v>
      </c>
      <c r="M41" s="106">
        <v>9.7902097902097904E-2</v>
      </c>
      <c r="N41" s="106">
        <v>6.2937062937062943E-2</v>
      </c>
      <c r="O41" s="106">
        <v>2.097902097902098E-2</v>
      </c>
      <c r="P41" s="106">
        <v>2.7972027972027972E-2</v>
      </c>
      <c r="Q41" s="107">
        <v>6.2937062937062943E-2</v>
      </c>
      <c r="R41" s="81">
        <v>0.12380952380952381</v>
      </c>
      <c r="S41" s="82">
        <v>0.15238095238095239</v>
      </c>
      <c r="T41" s="82">
        <v>9.5238095238095233E-2</v>
      </c>
      <c r="U41" s="82">
        <v>0.19047619047619047</v>
      </c>
      <c r="V41" s="82">
        <v>0.14285714285714285</v>
      </c>
      <c r="W41" s="83">
        <v>0.29523809523809524</v>
      </c>
      <c r="X41" s="111">
        <f t="shared" si="14"/>
        <v>0</v>
      </c>
      <c r="Y41" s="90">
        <f t="shared" si="15"/>
        <v>0</v>
      </c>
      <c r="Z41" s="90">
        <f t="shared" si="16"/>
        <v>0</v>
      </c>
      <c r="AA41" s="90">
        <f t="shared" si="17"/>
        <v>0</v>
      </c>
      <c r="AB41" s="90">
        <f t="shared" si="18"/>
        <v>0</v>
      </c>
      <c r="AC41" s="112">
        <f t="shared" si="19"/>
        <v>0</v>
      </c>
      <c r="AD41" s="111">
        <f t="shared" si="8"/>
        <v>0.61904761904761907</v>
      </c>
      <c r="AE41" s="90">
        <f t="shared" si="9"/>
        <v>0.76190476190476197</v>
      </c>
      <c r="AF41" s="90">
        <f t="shared" si="10"/>
        <v>0.47619047619047616</v>
      </c>
      <c r="AG41" s="90">
        <f t="shared" si="11"/>
        <v>0.95238095238095233</v>
      </c>
      <c r="AH41" s="90">
        <f t="shared" si="12"/>
        <v>0.71428571428571419</v>
      </c>
      <c r="AI41" s="112">
        <f t="shared" si="13"/>
        <v>1.4761904761904763</v>
      </c>
      <c r="AJ41" s="121">
        <f>Input!$E$22*WRs!C41+Input!$E$23*WRs!D41+Input!$E$24*WRs!X41+Input!$E$25*WRs!Y41+Input!$E$26*WRs!Z41+Input!$E$27*WRs!AA41+Input!$E$28*WRs!AB41+Input!$E$29*WRs!AC41+Input!$E$30*WRs!E41+Input!$E$31*WRs!G41+Input!$E$32*WRs!H41+Input!$E$33*WRs!AD41+Input!$E$34*WRs!AE41+Input!$E$35*WRs!AF41+Input!$E$36*WRs!AG41+Input!$E$37*WRs!AH41+Input!$E$38*WRs!AI41+Input!$E$39*WRs!I41+Input!$E$40*WRs!K41</f>
        <v>146.88571428571427</v>
      </c>
    </row>
    <row r="42" spans="1:36" x14ac:dyDescent="0.25">
      <c r="A42" s="89" t="s">
        <v>381</v>
      </c>
      <c r="B42" s="112" t="s">
        <v>148</v>
      </c>
      <c r="C42" s="45">
        <v>1</v>
      </c>
      <c r="D42" s="37">
        <v>6</v>
      </c>
      <c r="E42" s="37">
        <v>0</v>
      </c>
      <c r="F42" s="38">
        <v>0</v>
      </c>
      <c r="G42" s="45">
        <v>65</v>
      </c>
      <c r="H42" s="37">
        <f>13.3*G42</f>
        <v>864.5</v>
      </c>
      <c r="I42" s="37">
        <v>2</v>
      </c>
      <c r="J42" s="38">
        <v>5</v>
      </c>
      <c r="K42" s="37">
        <v>1</v>
      </c>
      <c r="L42" s="105">
        <v>0.72727272727272729</v>
      </c>
      <c r="M42" s="106">
        <v>9.7902097902097904E-2</v>
      </c>
      <c r="N42" s="106">
        <v>6.2937062937062943E-2</v>
      </c>
      <c r="O42" s="106">
        <v>2.097902097902098E-2</v>
      </c>
      <c r="P42" s="106">
        <v>2.7972027972027972E-2</v>
      </c>
      <c r="Q42" s="107">
        <v>6.2937062937062943E-2</v>
      </c>
      <c r="R42" s="105">
        <v>0.20689655172413793</v>
      </c>
      <c r="S42" s="106">
        <v>0.31034482758620691</v>
      </c>
      <c r="T42" s="106">
        <v>0.22413793103448276</v>
      </c>
      <c r="U42" s="106">
        <v>5.1724137931034482E-2</v>
      </c>
      <c r="V42" s="106">
        <v>0.13793103448275862</v>
      </c>
      <c r="W42" s="107">
        <v>6.8965517241379309E-2</v>
      </c>
      <c r="X42" s="111">
        <f t="shared" si="14"/>
        <v>0</v>
      </c>
      <c r="Y42" s="90">
        <f t="shared" si="15"/>
        <v>0</v>
      </c>
      <c r="Z42" s="90">
        <f t="shared" si="16"/>
        <v>0</v>
      </c>
      <c r="AA42" s="90">
        <f t="shared" si="17"/>
        <v>0</v>
      </c>
      <c r="AB42" s="90">
        <f t="shared" si="18"/>
        <v>0</v>
      </c>
      <c r="AC42" s="112">
        <f t="shared" si="19"/>
        <v>0</v>
      </c>
      <c r="AD42" s="111">
        <f t="shared" si="8"/>
        <v>1.0344827586206897</v>
      </c>
      <c r="AE42" s="90">
        <f t="shared" si="9"/>
        <v>1.5517241379310345</v>
      </c>
      <c r="AF42" s="90">
        <f t="shared" si="10"/>
        <v>1.1206896551724137</v>
      </c>
      <c r="AG42" s="90">
        <f t="shared" si="11"/>
        <v>0.25862068965517243</v>
      </c>
      <c r="AH42" s="90">
        <f t="shared" si="12"/>
        <v>0.68965517241379315</v>
      </c>
      <c r="AI42" s="112">
        <f t="shared" si="13"/>
        <v>0.34482758620689657</v>
      </c>
      <c r="AJ42" s="121">
        <f>Input!$E$22*WRs!C42+Input!$E$23*WRs!D42+Input!$E$24*WRs!X42+Input!$E$25*WRs!Y42+Input!$E$26*WRs!Z42+Input!$E$27*WRs!AA42+Input!$E$28*WRs!AB42+Input!$E$29*WRs!AC42+Input!$E$30*WRs!E42+Input!$E$31*WRs!G42+Input!$E$32*WRs!H42+Input!$E$33*WRs!AD42+Input!$E$34*WRs!AE42+Input!$E$35*WRs!AF42+Input!$E$36*WRs!AG42+Input!$E$37*WRs!AH42+Input!$E$38*WRs!AI42+Input!$E$39*WRs!I42+Input!$E$40*WRs!K42</f>
        <v>131.44655172413792</v>
      </c>
    </row>
    <row r="43" spans="1:36" x14ac:dyDescent="0.25">
      <c r="A43" s="89" t="s">
        <v>382</v>
      </c>
      <c r="B43" s="112" t="s">
        <v>152</v>
      </c>
      <c r="C43" s="45">
        <v>3</v>
      </c>
      <c r="D43" s="37">
        <v>15</v>
      </c>
      <c r="E43" s="37">
        <v>0</v>
      </c>
      <c r="F43" s="38">
        <v>0</v>
      </c>
      <c r="G43" s="45">
        <v>62</v>
      </c>
      <c r="H43" s="37">
        <f>16.6*G43</f>
        <v>1029.2</v>
      </c>
      <c r="I43" s="37">
        <v>2</v>
      </c>
      <c r="J43" s="38">
        <v>6</v>
      </c>
      <c r="K43" s="37">
        <v>1</v>
      </c>
      <c r="L43" s="105">
        <v>0.72727272727272729</v>
      </c>
      <c r="M43" s="106">
        <v>9.7902097902097904E-2</v>
      </c>
      <c r="N43" s="106">
        <v>6.2937062937062943E-2</v>
      </c>
      <c r="O43" s="106">
        <v>2.097902097902098E-2</v>
      </c>
      <c r="P43" s="106">
        <v>2.7972027972027972E-2</v>
      </c>
      <c r="Q43" s="107">
        <v>6.2937062937062943E-2</v>
      </c>
      <c r="R43" s="105">
        <v>0.36974789915966388</v>
      </c>
      <c r="S43" s="106">
        <v>0.25210084033613445</v>
      </c>
      <c r="T43" s="106">
        <v>0.21008403361344538</v>
      </c>
      <c r="U43" s="106">
        <v>5.8823529411764705E-2</v>
      </c>
      <c r="V43" s="106">
        <v>7.5630252100840331E-2</v>
      </c>
      <c r="W43" s="107">
        <v>4.2016806722689079E-2</v>
      </c>
      <c r="X43" s="111">
        <f t="shared" si="14"/>
        <v>0</v>
      </c>
      <c r="Y43" s="90">
        <f t="shared" si="15"/>
        <v>0</v>
      </c>
      <c r="Z43" s="90">
        <f t="shared" si="16"/>
        <v>0</v>
      </c>
      <c r="AA43" s="90">
        <f t="shared" si="17"/>
        <v>0</v>
      </c>
      <c r="AB43" s="90">
        <f t="shared" si="18"/>
        <v>0</v>
      </c>
      <c r="AC43" s="112">
        <f t="shared" si="19"/>
        <v>0</v>
      </c>
      <c r="AD43" s="111">
        <f t="shared" si="8"/>
        <v>2.2184873949579833</v>
      </c>
      <c r="AE43" s="90">
        <f t="shared" si="9"/>
        <v>1.5126050420168067</v>
      </c>
      <c r="AF43" s="90">
        <f t="shared" si="10"/>
        <v>1.2605042016806722</v>
      </c>
      <c r="AG43" s="90">
        <f t="shared" si="11"/>
        <v>0.3529411764705882</v>
      </c>
      <c r="AH43" s="90">
        <f t="shared" si="12"/>
        <v>0.45378151260504196</v>
      </c>
      <c r="AI43" s="112">
        <f t="shared" si="13"/>
        <v>0.25210084033613445</v>
      </c>
      <c r="AJ43" s="121">
        <f>Input!$E$22*WRs!C43+Input!$E$23*WRs!D43+Input!$E$24*WRs!X43+Input!$E$25*WRs!Y43+Input!$E$26*WRs!Z43+Input!$E$27*WRs!AA43+Input!$E$28*WRs!AB43+Input!$E$29*WRs!AC43+Input!$E$30*WRs!E43+Input!$E$31*WRs!G43+Input!$E$32*WRs!H43+Input!$E$33*WRs!AD43+Input!$E$34*WRs!AE43+Input!$E$35*WRs!AF43+Input!$E$36*WRs!AG43+Input!$E$37*WRs!AH43+Input!$E$38*WRs!AI43+Input!$E$39*WRs!I43+Input!$E$40*WRs!K43</f>
        <v>154.14268907563024</v>
      </c>
    </row>
    <row r="44" spans="1:36" x14ac:dyDescent="0.25">
      <c r="A44" s="89" t="s">
        <v>383</v>
      </c>
      <c r="B44" s="112" t="s">
        <v>184</v>
      </c>
      <c r="C44" s="45">
        <v>1</v>
      </c>
      <c r="D44" s="37">
        <v>4</v>
      </c>
      <c r="E44" s="37">
        <v>0</v>
      </c>
      <c r="F44" s="38">
        <v>0</v>
      </c>
      <c r="G44" s="45">
        <v>55</v>
      </c>
      <c r="H44" s="37">
        <f>15.2*G44</f>
        <v>836</v>
      </c>
      <c r="I44" s="37">
        <v>2</v>
      </c>
      <c r="J44" s="38">
        <v>6</v>
      </c>
      <c r="K44" s="37">
        <v>1</v>
      </c>
      <c r="L44" s="105">
        <v>0.72727272727272729</v>
      </c>
      <c r="M44" s="106">
        <v>9.7902097902097904E-2</v>
      </c>
      <c r="N44" s="106">
        <v>6.2937062937062943E-2</v>
      </c>
      <c r="O44" s="106">
        <v>2.097902097902098E-2</v>
      </c>
      <c r="P44" s="106">
        <v>2.7972027972027972E-2</v>
      </c>
      <c r="Q44" s="107">
        <v>6.2937062937062943E-2</v>
      </c>
      <c r="R44" s="105">
        <v>0.36974789915966388</v>
      </c>
      <c r="S44" s="106">
        <v>0.25210084033613445</v>
      </c>
      <c r="T44" s="106">
        <v>0.21008403361344538</v>
      </c>
      <c r="U44" s="106">
        <v>5.8823529411764705E-2</v>
      </c>
      <c r="V44" s="106">
        <v>7.5630252100840331E-2</v>
      </c>
      <c r="W44" s="107">
        <v>4.2016806722689079E-2</v>
      </c>
      <c r="X44" s="111">
        <f t="shared" si="14"/>
        <v>0</v>
      </c>
      <c r="Y44" s="90">
        <f t="shared" si="15"/>
        <v>0</v>
      </c>
      <c r="Z44" s="90">
        <f t="shared" si="16"/>
        <v>0</v>
      </c>
      <c r="AA44" s="90">
        <f t="shared" si="17"/>
        <v>0</v>
      </c>
      <c r="AB44" s="90">
        <f t="shared" si="18"/>
        <v>0</v>
      </c>
      <c r="AC44" s="112">
        <f t="shared" si="19"/>
        <v>0</v>
      </c>
      <c r="AD44" s="111">
        <f t="shared" si="8"/>
        <v>2.2184873949579833</v>
      </c>
      <c r="AE44" s="90">
        <f t="shared" si="9"/>
        <v>1.5126050420168067</v>
      </c>
      <c r="AF44" s="90">
        <f t="shared" si="10"/>
        <v>1.2605042016806722</v>
      </c>
      <c r="AG44" s="90">
        <f t="shared" si="11"/>
        <v>0.3529411764705882</v>
      </c>
      <c r="AH44" s="90">
        <f t="shared" si="12"/>
        <v>0.45378151260504196</v>
      </c>
      <c r="AI44" s="112">
        <f t="shared" si="13"/>
        <v>0.25210084033613445</v>
      </c>
      <c r="AJ44" s="121">
        <f>Input!$E$22*WRs!C44+Input!$E$23*WRs!D44+Input!$E$24*WRs!X44+Input!$E$25*WRs!Y44+Input!$E$26*WRs!Z44+Input!$E$27*WRs!AA44+Input!$E$28*WRs!AB44+Input!$E$29*WRs!AC44+Input!$E$30*WRs!E44+Input!$E$31*WRs!G44+Input!$E$32*WRs!H44+Input!$E$33*WRs!AD44+Input!$E$34*WRs!AE44+Input!$E$35*WRs!AF44+Input!$E$36*WRs!AG44+Input!$E$37*WRs!AH44+Input!$E$38*WRs!AI44+Input!$E$39*WRs!I44+Input!$E$40*WRs!K44</f>
        <v>133.72268907563026</v>
      </c>
    </row>
    <row r="45" spans="1:36" x14ac:dyDescent="0.25">
      <c r="A45" s="89" t="s">
        <v>384</v>
      </c>
      <c r="B45" s="112" t="s">
        <v>188</v>
      </c>
      <c r="C45" s="45">
        <v>1</v>
      </c>
      <c r="D45" s="37">
        <v>7</v>
      </c>
      <c r="E45" s="37">
        <v>0</v>
      </c>
      <c r="F45" s="38">
        <v>0</v>
      </c>
      <c r="G45" s="45">
        <v>68</v>
      </c>
      <c r="H45" s="37">
        <f>13.6*G45</f>
        <v>924.8</v>
      </c>
      <c r="I45" s="37">
        <v>3</v>
      </c>
      <c r="J45" s="38">
        <v>4</v>
      </c>
      <c r="K45" s="37">
        <v>1</v>
      </c>
      <c r="L45" s="105">
        <v>0.72727272727272729</v>
      </c>
      <c r="M45" s="106">
        <v>9.7902097902097904E-2</v>
      </c>
      <c r="N45" s="106">
        <v>6.2937062937062943E-2</v>
      </c>
      <c r="O45" s="106">
        <v>2.097902097902098E-2</v>
      </c>
      <c r="P45" s="106">
        <v>2.7972027972027972E-2</v>
      </c>
      <c r="Q45" s="107">
        <v>6.2937062937062943E-2</v>
      </c>
      <c r="R45" s="105">
        <v>0.36974789915966388</v>
      </c>
      <c r="S45" s="106">
        <v>0.25210084033613445</v>
      </c>
      <c r="T45" s="106">
        <v>0.21008403361344538</v>
      </c>
      <c r="U45" s="106">
        <v>5.8823529411764705E-2</v>
      </c>
      <c r="V45" s="106">
        <v>7.5630252100840331E-2</v>
      </c>
      <c r="W45" s="107">
        <v>4.2016806722689079E-2</v>
      </c>
      <c r="X45" s="111">
        <f t="shared" si="14"/>
        <v>0</v>
      </c>
      <c r="Y45" s="90">
        <f t="shared" si="15"/>
        <v>0</v>
      </c>
      <c r="Z45" s="90">
        <f t="shared" si="16"/>
        <v>0</v>
      </c>
      <c r="AA45" s="90">
        <f t="shared" si="17"/>
        <v>0</v>
      </c>
      <c r="AB45" s="90">
        <f t="shared" si="18"/>
        <v>0</v>
      </c>
      <c r="AC45" s="112">
        <f t="shared" si="19"/>
        <v>0</v>
      </c>
      <c r="AD45" s="111">
        <f t="shared" si="8"/>
        <v>1.4789915966386555</v>
      </c>
      <c r="AE45" s="90">
        <f t="shared" si="9"/>
        <v>1.0084033613445378</v>
      </c>
      <c r="AF45" s="90">
        <f t="shared" si="10"/>
        <v>0.84033613445378152</v>
      </c>
      <c r="AG45" s="90">
        <f t="shared" si="11"/>
        <v>0.23529411764705882</v>
      </c>
      <c r="AH45" s="90">
        <f t="shared" si="12"/>
        <v>0.30252100840336132</v>
      </c>
      <c r="AI45" s="112">
        <f t="shared" si="13"/>
        <v>0.16806722689075632</v>
      </c>
      <c r="AJ45" s="121">
        <f>Input!$E$22*WRs!C45+Input!$E$23*WRs!D45+Input!$E$24*WRs!X45+Input!$E$25*WRs!Y45+Input!$E$26*WRs!Z45+Input!$E$27*WRs!AA45+Input!$E$28*WRs!AB45+Input!$E$29*WRs!AC45+Input!$E$30*WRs!E45+Input!$E$31*WRs!G45+Input!$E$32*WRs!H45+Input!$E$33*WRs!AD45+Input!$E$34*WRs!AE45+Input!$E$35*WRs!AF45+Input!$E$36*WRs!AG45+Input!$E$37*WRs!AH45+Input!$E$38*WRs!AI45+Input!$E$39*WRs!I45+Input!$E$40*WRs!K45</f>
        <v>130.9951260504202</v>
      </c>
    </row>
    <row r="46" spans="1:36" x14ac:dyDescent="0.25">
      <c r="A46" s="89" t="s">
        <v>385</v>
      </c>
      <c r="B46" s="112" t="s">
        <v>194</v>
      </c>
      <c r="C46" s="45">
        <v>0</v>
      </c>
      <c r="D46" s="37">
        <v>0</v>
      </c>
      <c r="E46" s="37">
        <v>0</v>
      </c>
      <c r="F46" s="38">
        <v>0</v>
      </c>
      <c r="G46" s="45">
        <v>55</v>
      </c>
      <c r="H46" s="37">
        <f>14.6*G46</f>
        <v>803</v>
      </c>
      <c r="I46" s="37">
        <v>3</v>
      </c>
      <c r="J46" s="38">
        <v>5</v>
      </c>
      <c r="K46" s="37">
        <v>1</v>
      </c>
      <c r="L46" s="105">
        <v>0.72727272727272729</v>
      </c>
      <c r="M46" s="106">
        <v>9.7902097902097904E-2</v>
      </c>
      <c r="N46" s="106">
        <v>6.2937062937062943E-2</v>
      </c>
      <c r="O46" s="106">
        <v>2.097902097902098E-2</v>
      </c>
      <c r="P46" s="106">
        <v>2.7972027972027972E-2</v>
      </c>
      <c r="Q46" s="107">
        <v>6.2937062937062943E-2</v>
      </c>
      <c r="R46" s="105">
        <v>0.36974789915966388</v>
      </c>
      <c r="S46" s="106">
        <v>0.25210084033613445</v>
      </c>
      <c r="T46" s="106">
        <v>0.21008403361344538</v>
      </c>
      <c r="U46" s="106">
        <v>5.8823529411764705E-2</v>
      </c>
      <c r="V46" s="106">
        <v>7.5630252100840331E-2</v>
      </c>
      <c r="W46" s="107">
        <v>4.2016806722689079E-2</v>
      </c>
      <c r="X46" s="111">
        <f t="shared" si="14"/>
        <v>0</v>
      </c>
      <c r="Y46" s="90">
        <f t="shared" si="15"/>
        <v>0</v>
      </c>
      <c r="Z46" s="90">
        <f t="shared" si="16"/>
        <v>0</v>
      </c>
      <c r="AA46" s="90">
        <f t="shared" si="17"/>
        <v>0</v>
      </c>
      <c r="AB46" s="90">
        <f t="shared" si="18"/>
        <v>0</v>
      </c>
      <c r="AC46" s="112">
        <f t="shared" si="19"/>
        <v>0</v>
      </c>
      <c r="AD46" s="111">
        <f t="shared" si="8"/>
        <v>1.8487394957983194</v>
      </c>
      <c r="AE46" s="90">
        <f t="shared" si="9"/>
        <v>1.2605042016806722</v>
      </c>
      <c r="AF46" s="90">
        <f t="shared" si="10"/>
        <v>1.0504201680672269</v>
      </c>
      <c r="AG46" s="90">
        <f t="shared" si="11"/>
        <v>0.29411764705882354</v>
      </c>
      <c r="AH46" s="90">
        <f t="shared" si="12"/>
        <v>0.37815126050420167</v>
      </c>
      <c r="AI46" s="112">
        <f t="shared" si="13"/>
        <v>0.21008403361344541</v>
      </c>
      <c r="AJ46" s="121">
        <f>Input!$E$22*WRs!C46+Input!$E$23*WRs!D46+Input!$E$24*WRs!X46+Input!$E$25*WRs!Y46+Input!$E$26*WRs!Z46+Input!$E$27*WRs!AA46+Input!$E$28*WRs!AB46+Input!$E$29*WRs!AC46+Input!$E$30*WRs!E46+Input!$E$31*WRs!G46+Input!$E$32*WRs!H46+Input!$E$33*WRs!AD46+Input!$E$34*WRs!AE46+Input!$E$35*WRs!AF46+Input!$E$36*WRs!AG46+Input!$E$37*WRs!AH46+Input!$E$38*WRs!AI46+Input!$E$39*WRs!I46+Input!$E$40*WRs!K46</f>
        <v>125.56890756302522</v>
      </c>
    </row>
    <row r="47" spans="1:36" x14ac:dyDescent="0.25">
      <c r="A47" s="89" t="s">
        <v>386</v>
      </c>
      <c r="B47" s="112" t="s">
        <v>186</v>
      </c>
      <c r="C47" s="45">
        <v>0</v>
      </c>
      <c r="D47" s="37">
        <v>0</v>
      </c>
      <c r="E47" s="37">
        <v>0</v>
      </c>
      <c r="F47" s="38">
        <v>0</v>
      </c>
      <c r="G47" s="45">
        <v>45</v>
      </c>
      <c r="H47" s="37">
        <f>16*G47</f>
        <v>720</v>
      </c>
      <c r="I47" s="37">
        <v>2</v>
      </c>
      <c r="J47" s="38">
        <v>5</v>
      </c>
      <c r="K47" s="37">
        <v>1</v>
      </c>
      <c r="L47" s="105">
        <v>0.72727272727272729</v>
      </c>
      <c r="M47" s="106">
        <v>9.7902097902097904E-2</v>
      </c>
      <c r="N47" s="106">
        <v>6.2937062937062943E-2</v>
      </c>
      <c r="O47" s="106">
        <v>2.097902097902098E-2</v>
      </c>
      <c r="P47" s="106">
        <v>2.7972027972027972E-2</v>
      </c>
      <c r="Q47" s="107">
        <v>6.2937062937062943E-2</v>
      </c>
      <c r="R47" s="105">
        <v>0.36974789915966388</v>
      </c>
      <c r="S47" s="106">
        <v>0.25210084033613445</v>
      </c>
      <c r="T47" s="106">
        <v>0.21008403361344538</v>
      </c>
      <c r="U47" s="106">
        <v>5.8823529411764705E-2</v>
      </c>
      <c r="V47" s="106">
        <v>7.5630252100840331E-2</v>
      </c>
      <c r="W47" s="107">
        <v>4.2016806722689079E-2</v>
      </c>
      <c r="X47" s="111">
        <f t="shared" si="14"/>
        <v>0</v>
      </c>
      <c r="Y47" s="90">
        <f t="shared" si="15"/>
        <v>0</v>
      </c>
      <c r="Z47" s="90">
        <f t="shared" si="16"/>
        <v>0</v>
      </c>
      <c r="AA47" s="90">
        <f t="shared" si="17"/>
        <v>0</v>
      </c>
      <c r="AB47" s="90">
        <f t="shared" si="18"/>
        <v>0</v>
      </c>
      <c r="AC47" s="112">
        <f t="shared" si="19"/>
        <v>0</v>
      </c>
      <c r="AD47" s="111">
        <f t="shared" si="8"/>
        <v>1.8487394957983194</v>
      </c>
      <c r="AE47" s="90">
        <f t="shared" si="9"/>
        <v>1.2605042016806722</v>
      </c>
      <c r="AF47" s="90">
        <f t="shared" si="10"/>
        <v>1.0504201680672269</v>
      </c>
      <c r="AG47" s="90">
        <f t="shared" si="11"/>
        <v>0.29411764705882354</v>
      </c>
      <c r="AH47" s="90">
        <f t="shared" si="12"/>
        <v>0.37815126050420167</v>
      </c>
      <c r="AI47" s="112">
        <f t="shared" si="13"/>
        <v>0.21008403361344541</v>
      </c>
      <c r="AJ47" s="121">
        <f>Input!$E$22*WRs!C47+Input!$E$23*WRs!D47+Input!$E$24*WRs!X47+Input!$E$25*WRs!Y47+Input!$E$26*WRs!Z47+Input!$E$27*WRs!AA47+Input!$E$28*WRs!AB47+Input!$E$29*WRs!AC47+Input!$E$30*WRs!E47+Input!$E$31*WRs!G47+Input!$E$32*WRs!H47+Input!$E$33*WRs!AD47+Input!$E$34*WRs!AE47+Input!$E$35*WRs!AF47+Input!$E$36*WRs!AG47+Input!$E$37*WRs!AH47+Input!$E$38*WRs!AI47+Input!$E$39*WRs!I47+Input!$E$40*WRs!K47</f>
        <v>114.26890756302521</v>
      </c>
    </row>
    <row r="48" spans="1:36" x14ac:dyDescent="0.25">
      <c r="A48" s="89" t="s">
        <v>387</v>
      </c>
      <c r="B48" s="112" t="s">
        <v>152</v>
      </c>
      <c r="C48" s="45">
        <v>0</v>
      </c>
      <c r="D48" s="37">
        <v>0</v>
      </c>
      <c r="E48" s="37">
        <v>0</v>
      </c>
      <c r="F48" s="38">
        <v>0</v>
      </c>
      <c r="G48" s="45">
        <v>57</v>
      </c>
      <c r="H48" s="37">
        <f>14.6*G48</f>
        <v>832.19999999999993</v>
      </c>
      <c r="I48" s="37">
        <v>2</v>
      </c>
      <c r="J48" s="38">
        <v>5</v>
      </c>
      <c r="K48" s="37">
        <v>1</v>
      </c>
      <c r="L48" s="105">
        <v>0.72727272727272729</v>
      </c>
      <c r="M48" s="106">
        <v>9.7902097902097904E-2</v>
      </c>
      <c r="N48" s="106">
        <v>6.2937062937062943E-2</v>
      </c>
      <c r="O48" s="106">
        <v>2.097902097902098E-2</v>
      </c>
      <c r="P48" s="106">
        <v>2.7972027972027972E-2</v>
      </c>
      <c r="Q48" s="107">
        <v>6.2937062937062943E-2</v>
      </c>
      <c r="R48" s="105">
        <v>0.36974789915966388</v>
      </c>
      <c r="S48" s="106">
        <v>0.25210084033613445</v>
      </c>
      <c r="T48" s="106">
        <v>0.21008403361344538</v>
      </c>
      <c r="U48" s="106">
        <v>5.8823529411764705E-2</v>
      </c>
      <c r="V48" s="106">
        <v>7.5630252100840331E-2</v>
      </c>
      <c r="W48" s="107">
        <v>4.2016806722689079E-2</v>
      </c>
      <c r="X48" s="111">
        <f t="shared" si="14"/>
        <v>0</v>
      </c>
      <c r="Y48" s="90">
        <f t="shared" si="15"/>
        <v>0</v>
      </c>
      <c r="Z48" s="90">
        <f t="shared" si="16"/>
        <v>0</v>
      </c>
      <c r="AA48" s="90">
        <f t="shared" si="17"/>
        <v>0</v>
      </c>
      <c r="AB48" s="90">
        <f t="shared" si="18"/>
        <v>0</v>
      </c>
      <c r="AC48" s="112">
        <f t="shared" si="19"/>
        <v>0</v>
      </c>
      <c r="AD48" s="111">
        <f t="shared" si="8"/>
        <v>1.8487394957983194</v>
      </c>
      <c r="AE48" s="90">
        <f t="shared" si="9"/>
        <v>1.2605042016806722</v>
      </c>
      <c r="AF48" s="90">
        <f t="shared" si="10"/>
        <v>1.0504201680672269</v>
      </c>
      <c r="AG48" s="90">
        <f t="shared" si="11"/>
        <v>0.29411764705882354</v>
      </c>
      <c r="AH48" s="90">
        <f t="shared" si="12"/>
        <v>0.37815126050420167</v>
      </c>
      <c r="AI48" s="112">
        <f t="shared" si="13"/>
        <v>0.21008403361344541</v>
      </c>
      <c r="AJ48" s="121">
        <f>Input!$E$22*WRs!C48+Input!$E$23*WRs!D48+Input!$E$24*WRs!X48+Input!$E$25*WRs!Y48+Input!$E$26*WRs!Z48+Input!$E$27*WRs!AA48+Input!$E$28*WRs!AB48+Input!$E$29*WRs!AC48+Input!$E$30*WRs!E48+Input!$E$31*WRs!G48+Input!$E$32*WRs!H48+Input!$E$33*WRs!AD48+Input!$E$34*WRs!AE48+Input!$E$35*WRs!AF48+Input!$E$36*WRs!AG48+Input!$E$37*WRs!AH48+Input!$E$38*WRs!AI48+Input!$E$39*WRs!I48+Input!$E$40*WRs!K48</f>
        <v>125.48890756302521</v>
      </c>
    </row>
    <row r="49" spans="1:36" x14ac:dyDescent="0.25">
      <c r="A49" s="89" t="s">
        <v>388</v>
      </c>
      <c r="B49" s="112" t="s">
        <v>164</v>
      </c>
      <c r="C49" s="45">
        <v>0</v>
      </c>
      <c r="D49" s="37">
        <v>0</v>
      </c>
      <c r="E49" s="37">
        <v>0</v>
      </c>
      <c r="F49" s="38">
        <v>0</v>
      </c>
      <c r="G49" s="45">
        <v>55</v>
      </c>
      <c r="H49" s="37">
        <f>15.5*G49</f>
        <v>852.5</v>
      </c>
      <c r="I49" s="37">
        <v>2</v>
      </c>
      <c r="J49" s="38">
        <v>6</v>
      </c>
      <c r="K49" s="37">
        <v>1</v>
      </c>
      <c r="L49" s="105">
        <v>0.72727272727272729</v>
      </c>
      <c r="M49" s="106">
        <v>9.7902097902097904E-2</v>
      </c>
      <c r="N49" s="106">
        <v>6.2937062937062943E-2</v>
      </c>
      <c r="O49" s="106">
        <v>2.097902097902098E-2</v>
      </c>
      <c r="P49" s="106">
        <v>2.7972027972027972E-2</v>
      </c>
      <c r="Q49" s="107">
        <v>6.2937062937062943E-2</v>
      </c>
      <c r="R49" s="105">
        <v>0.36974789915966388</v>
      </c>
      <c r="S49" s="106">
        <v>0.25210084033613445</v>
      </c>
      <c r="T49" s="106">
        <v>0.21008403361344538</v>
      </c>
      <c r="U49" s="106">
        <v>5.8823529411764705E-2</v>
      </c>
      <c r="V49" s="106">
        <v>7.5630252100840331E-2</v>
      </c>
      <c r="W49" s="107">
        <v>4.2016806722689079E-2</v>
      </c>
      <c r="X49" s="111">
        <f t="shared" si="14"/>
        <v>0</v>
      </c>
      <c r="Y49" s="90">
        <f t="shared" si="15"/>
        <v>0</v>
      </c>
      <c r="Z49" s="90">
        <f t="shared" si="16"/>
        <v>0</v>
      </c>
      <c r="AA49" s="90">
        <f t="shared" si="17"/>
        <v>0</v>
      </c>
      <c r="AB49" s="90">
        <f t="shared" si="18"/>
        <v>0</v>
      </c>
      <c r="AC49" s="112">
        <f t="shared" si="19"/>
        <v>0</v>
      </c>
      <c r="AD49" s="111">
        <f t="shared" si="8"/>
        <v>2.2184873949579833</v>
      </c>
      <c r="AE49" s="90">
        <f t="shared" si="9"/>
        <v>1.5126050420168067</v>
      </c>
      <c r="AF49" s="90">
        <f t="shared" si="10"/>
        <v>1.2605042016806722</v>
      </c>
      <c r="AG49" s="90">
        <f t="shared" si="11"/>
        <v>0.3529411764705882</v>
      </c>
      <c r="AH49" s="90">
        <f t="shared" si="12"/>
        <v>0.45378151260504196</v>
      </c>
      <c r="AI49" s="112">
        <f t="shared" si="13"/>
        <v>0.25210084033613445</v>
      </c>
      <c r="AJ49" s="121">
        <f>Input!$E$22*WRs!C49+Input!$E$23*WRs!D49+Input!$E$24*WRs!X49+Input!$E$25*WRs!Y49+Input!$E$26*WRs!Z49+Input!$E$27*WRs!AA49+Input!$E$28*WRs!AB49+Input!$E$29*WRs!AC49+Input!$E$30*WRs!E49+Input!$E$31*WRs!G49+Input!$E$32*WRs!H49+Input!$E$33*WRs!AD49+Input!$E$34*WRs!AE49+Input!$E$35*WRs!AF49+Input!$E$36*WRs!AG49+Input!$E$37*WRs!AH49+Input!$E$38*WRs!AI49+Input!$E$39*WRs!I49+Input!$E$40*WRs!K49</f>
        <v>134.97268907563026</v>
      </c>
    </row>
    <row r="50" spans="1:36" x14ac:dyDescent="0.25">
      <c r="A50" s="89" t="s">
        <v>389</v>
      </c>
      <c r="B50" s="112" t="s">
        <v>180</v>
      </c>
      <c r="C50" s="45">
        <v>5</v>
      </c>
      <c r="D50" s="37">
        <v>15</v>
      </c>
      <c r="E50" s="37">
        <v>0</v>
      </c>
      <c r="F50" s="38">
        <v>0</v>
      </c>
      <c r="G50" s="45">
        <v>53</v>
      </c>
      <c r="H50" s="37">
        <f>13*G50</f>
        <v>689</v>
      </c>
      <c r="I50" s="37">
        <v>1</v>
      </c>
      <c r="J50" s="38">
        <v>5</v>
      </c>
      <c r="K50" s="37">
        <v>1</v>
      </c>
      <c r="L50" s="105">
        <v>0.72727272727272729</v>
      </c>
      <c r="M50" s="106">
        <v>9.7902097902097904E-2</v>
      </c>
      <c r="N50" s="106">
        <v>6.2937062937062943E-2</v>
      </c>
      <c r="O50" s="106">
        <v>2.097902097902098E-2</v>
      </c>
      <c r="P50" s="106">
        <v>2.7972027972027972E-2</v>
      </c>
      <c r="Q50" s="107">
        <v>6.2937062937062943E-2</v>
      </c>
      <c r="R50" s="105">
        <v>0.36974789915966388</v>
      </c>
      <c r="S50" s="106">
        <v>0.25210084033613445</v>
      </c>
      <c r="T50" s="106">
        <v>0.21008403361344538</v>
      </c>
      <c r="U50" s="106">
        <v>5.8823529411764705E-2</v>
      </c>
      <c r="V50" s="106">
        <v>7.5630252100840331E-2</v>
      </c>
      <c r="W50" s="107">
        <v>4.2016806722689079E-2</v>
      </c>
      <c r="X50" s="111">
        <f t="shared" si="14"/>
        <v>0</v>
      </c>
      <c r="Y50" s="90">
        <f t="shared" si="15"/>
        <v>0</v>
      </c>
      <c r="Z50" s="90">
        <f t="shared" si="16"/>
        <v>0</v>
      </c>
      <c r="AA50" s="90">
        <f t="shared" si="17"/>
        <v>0</v>
      </c>
      <c r="AB50" s="90">
        <f t="shared" si="18"/>
        <v>0</v>
      </c>
      <c r="AC50" s="112">
        <f t="shared" si="19"/>
        <v>0</v>
      </c>
      <c r="AD50" s="111">
        <f t="shared" si="8"/>
        <v>1.8487394957983194</v>
      </c>
      <c r="AE50" s="90">
        <f t="shared" si="9"/>
        <v>1.2605042016806722</v>
      </c>
      <c r="AF50" s="90">
        <f t="shared" si="10"/>
        <v>1.0504201680672269</v>
      </c>
      <c r="AG50" s="90">
        <f t="shared" si="11"/>
        <v>0.29411764705882354</v>
      </c>
      <c r="AH50" s="90">
        <f t="shared" si="12"/>
        <v>0.37815126050420167</v>
      </c>
      <c r="AI50" s="112">
        <f t="shared" si="13"/>
        <v>0.21008403361344541</v>
      </c>
      <c r="AJ50" s="121">
        <f>Input!$E$22*WRs!C50+Input!$E$23*WRs!D50+Input!$E$24*WRs!X50+Input!$E$25*WRs!Y50+Input!$E$26*WRs!Z50+Input!$E$27*WRs!AA50+Input!$E$28*WRs!AB50+Input!$E$29*WRs!AC50+Input!$E$30*WRs!E50+Input!$E$31*WRs!G50+Input!$E$32*WRs!H50+Input!$E$33*WRs!AD50+Input!$E$34*WRs!AE50+Input!$E$35*WRs!AF50+Input!$E$36*WRs!AG50+Input!$E$37*WRs!AH50+Input!$E$38*WRs!AI50+Input!$E$39*WRs!I50+Input!$E$40*WRs!K50</f>
        <v>109.66890756302521</v>
      </c>
    </row>
    <row r="51" spans="1:36" x14ac:dyDescent="0.25">
      <c r="A51" s="89" t="s">
        <v>390</v>
      </c>
      <c r="B51" s="112" t="s">
        <v>196</v>
      </c>
      <c r="C51" s="45">
        <v>3</v>
      </c>
      <c r="D51" s="37">
        <f>8*C51</f>
        <v>24</v>
      </c>
      <c r="E51" s="37">
        <v>0</v>
      </c>
      <c r="F51" s="38">
        <v>0</v>
      </c>
      <c r="G51" s="45">
        <v>56</v>
      </c>
      <c r="H51" s="37">
        <f>12.9*G51</f>
        <v>722.4</v>
      </c>
      <c r="I51" s="37">
        <v>1</v>
      </c>
      <c r="J51" s="38">
        <v>4</v>
      </c>
      <c r="K51" s="37">
        <v>0</v>
      </c>
      <c r="L51" s="105">
        <v>0.72727272727272729</v>
      </c>
      <c r="M51" s="106">
        <v>9.7902097902097904E-2</v>
      </c>
      <c r="N51" s="106">
        <v>6.2937062937062943E-2</v>
      </c>
      <c r="O51" s="106">
        <v>2.097902097902098E-2</v>
      </c>
      <c r="P51" s="106">
        <v>2.7972027972027972E-2</v>
      </c>
      <c r="Q51" s="107">
        <v>6.2937062937062943E-2</v>
      </c>
      <c r="R51" s="105">
        <v>0.36974789915966388</v>
      </c>
      <c r="S51" s="106">
        <v>0.25210084033613445</v>
      </c>
      <c r="T51" s="106">
        <v>0.21008403361344538</v>
      </c>
      <c r="U51" s="106">
        <v>5.8823529411764705E-2</v>
      </c>
      <c r="V51" s="106">
        <v>7.5630252100840331E-2</v>
      </c>
      <c r="W51" s="107">
        <v>4.2016806722689079E-2</v>
      </c>
      <c r="X51" s="111">
        <f t="shared" si="14"/>
        <v>0</v>
      </c>
      <c r="Y51" s="90">
        <f t="shared" si="15"/>
        <v>0</v>
      </c>
      <c r="Z51" s="90">
        <f t="shared" si="16"/>
        <v>0</v>
      </c>
      <c r="AA51" s="90">
        <f t="shared" si="17"/>
        <v>0</v>
      </c>
      <c r="AB51" s="90">
        <f t="shared" si="18"/>
        <v>0</v>
      </c>
      <c r="AC51" s="112">
        <f t="shared" si="19"/>
        <v>0</v>
      </c>
      <c r="AD51" s="111">
        <f t="shared" si="8"/>
        <v>1.4789915966386555</v>
      </c>
      <c r="AE51" s="90">
        <f t="shared" si="9"/>
        <v>1.0084033613445378</v>
      </c>
      <c r="AF51" s="90">
        <f t="shared" si="10"/>
        <v>0.84033613445378152</v>
      </c>
      <c r="AG51" s="90">
        <f t="shared" si="11"/>
        <v>0.23529411764705882</v>
      </c>
      <c r="AH51" s="90">
        <f t="shared" si="12"/>
        <v>0.30252100840336132</v>
      </c>
      <c r="AI51" s="112">
        <f t="shared" si="13"/>
        <v>0.16806722689075632</v>
      </c>
      <c r="AJ51" s="121">
        <f>Input!$E$22*WRs!C51+Input!$E$23*WRs!D51+Input!$E$24*WRs!X51+Input!$E$25*WRs!Y51+Input!$E$26*WRs!Z51+Input!$E$27*WRs!AA51+Input!$E$28*WRs!AB51+Input!$E$29*WRs!AC51+Input!$E$30*WRs!E51+Input!$E$31*WRs!G51+Input!$E$32*WRs!H51+Input!$E$33*WRs!AD51+Input!$E$34*WRs!AE51+Input!$E$35*WRs!AF51+Input!$E$36*WRs!AG51+Input!$E$37*WRs!AH51+Input!$E$38*WRs!AI51+Input!$E$39*WRs!I51+Input!$E$40*WRs!K51</f>
        <v>107.45512605042018</v>
      </c>
    </row>
    <row r="52" spans="1:36" x14ac:dyDescent="0.25">
      <c r="A52" s="89" t="s">
        <v>391</v>
      </c>
      <c r="B52" s="112" t="s">
        <v>158</v>
      </c>
      <c r="C52" s="45">
        <v>0</v>
      </c>
      <c r="D52" s="37">
        <v>0</v>
      </c>
      <c r="E52" s="37">
        <v>0</v>
      </c>
      <c r="F52" s="38">
        <v>0</v>
      </c>
      <c r="G52" s="45">
        <v>60</v>
      </c>
      <c r="H52" s="37">
        <f>12.1*G52</f>
        <v>726</v>
      </c>
      <c r="I52" s="37">
        <v>1</v>
      </c>
      <c r="J52" s="38">
        <v>4</v>
      </c>
      <c r="K52" s="37">
        <v>0</v>
      </c>
      <c r="L52" s="105">
        <v>0.72727272727272729</v>
      </c>
      <c r="M52" s="106">
        <v>9.7902097902097904E-2</v>
      </c>
      <c r="N52" s="106">
        <v>6.2937062937062943E-2</v>
      </c>
      <c r="O52" s="106">
        <v>2.097902097902098E-2</v>
      </c>
      <c r="P52" s="106">
        <v>2.7972027972027972E-2</v>
      </c>
      <c r="Q52" s="107">
        <v>6.2937062937062943E-2</v>
      </c>
      <c r="R52" s="105">
        <v>0.36974789915966388</v>
      </c>
      <c r="S52" s="106">
        <v>0.25210084033613445</v>
      </c>
      <c r="T52" s="106">
        <v>0.21008403361344538</v>
      </c>
      <c r="U52" s="106">
        <v>5.8823529411764705E-2</v>
      </c>
      <c r="V52" s="106">
        <v>7.5630252100840331E-2</v>
      </c>
      <c r="W52" s="107">
        <v>4.2016806722689079E-2</v>
      </c>
      <c r="X52" s="111">
        <f t="shared" si="14"/>
        <v>0</v>
      </c>
      <c r="Y52" s="90">
        <f t="shared" si="15"/>
        <v>0</v>
      </c>
      <c r="Z52" s="90">
        <f t="shared" si="16"/>
        <v>0</v>
      </c>
      <c r="AA52" s="90">
        <f t="shared" si="17"/>
        <v>0</v>
      </c>
      <c r="AB52" s="90">
        <f t="shared" si="18"/>
        <v>0</v>
      </c>
      <c r="AC52" s="112">
        <f t="shared" si="19"/>
        <v>0</v>
      </c>
      <c r="AD52" s="111">
        <f t="shared" si="8"/>
        <v>1.4789915966386555</v>
      </c>
      <c r="AE52" s="90">
        <f t="shared" si="9"/>
        <v>1.0084033613445378</v>
      </c>
      <c r="AF52" s="90">
        <f t="shared" si="10"/>
        <v>0.84033613445378152</v>
      </c>
      <c r="AG52" s="90">
        <f t="shared" si="11"/>
        <v>0.23529411764705882</v>
      </c>
      <c r="AH52" s="90">
        <f t="shared" si="12"/>
        <v>0.30252100840336132</v>
      </c>
      <c r="AI52" s="112">
        <f t="shared" si="13"/>
        <v>0.16806722689075632</v>
      </c>
      <c r="AJ52" s="121">
        <f>Input!$E$22*WRs!C52+Input!$E$23*WRs!D52+Input!$E$24*WRs!X52+Input!$E$25*WRs!Y52+Input!$E$26*WRs!Z52+Input!$E$27*WRs!AA52+Input!$E$28*WRs!AB52+Input!$E$29*WRs!AC52+Input!$E$30*WRs!E52+Input!$E$31*WRs!G52+Input!$E$32*WRs!H52+Input!$E$33*WRs!AD52+Input!$E$34*WRs!AE52+Input!$E$35*WRs!AF52+Input!$E$36*WRs!AG52+Input!$E$37*WRs!AH52+Input!$E$38*WRs!AI52+Input!$E$39*WRs!I52+Input!$E$40*WRs!K52</f>
        <v>105.41512605042018</v>
      </c>
    </row>
    <row r="53" spans="1:36" x14ac:dyDescent="0.25">
      <c r="A53" s="89" t="s">
        <v>392</v>
      </c>
      <c r="B53" s="112" t="s">
        <v>190</v>
      </c>
      <c r="C53" s="45">
        <v>0</v>
      </c>
      <c r="D53" s="37">
        <v>0</v>
      </c>
      <c r="E53" s="37">
        <v>0</v>
      </c>
      <c r="F53" s="38">
        <v>0</v>
      </c>
      <c r="G53" s="45">
        <v>60</v>
      </c>
      <c r="H53" s="37">
        <f>12*G53</f>
        <v>720</v>
      </c>
      <c r="I53" s="37">
        <v>1</v>
      </c>
      <c r="J53" s="38">
        <v>4</v>
      </c>
      <c r="K53" s="37">
        <v>0</v>
      </c>
      <c r="L53" s="105">
        <v>0.72727272727272729</v>
      </c>
      <c r="M53" s="106">
        <v>9.7902097902097904E-2</v>
      </c>
      <c r="N53" s="106">
        <v>6.2937062937062943E-2</v>
      </c>
      <c r="O53" s="106">
        <v>2.097902097902098E-2</v>
      </c>
      <c r="P53" s="106">
        <v>2.7972027972027972E-2</v>
      </c>
      <c r="Q53" s="107">
        <v>6.2937062937062943E-2</v>
      </c>
      <c r="R53" s="105">
        <v>0.36974789915966388</v>
      </c>
      <c r="S53" s="106">
        <v>0.25210084033613445</v>
      </c>
      <c r="T53" s="106">
        <v>0.21008403361344538</v>
      </c>
      <c r="U53" s="106">
        <v>5.8823529411764705E-2</v>
      </c>
      <c r="V53" s="106">
        <v>7.5630252100840331E-2</v>
      </c>
      <c r="W53" s="107">
        <v>4.2016806722689079E-2</v>
      </c>
      <c r="X53" s="111">
        <f t="shared" si="14"/>
        <v>0</v>
      </c>
      <c r="Y53" s="90">
        <f t="shared" si="15"/>
        <v>0</v>
      </c>
      <c r="Z53" s="90">
        <f t="shared" si="16"/>
        <v>0</v>
      </c>
      <c r="AA53" s="90">
        <f t="shared" si="17"/>
        <v>0</v>
      </c>
      <c r="AB53" s="90">
        <f t="shared" si="18"/>
        <v>0</v>
      </c>
      <c r="AC53" s="112">
        <f t="shared" si="19"/>
        <v>0</v>
      </c>
      <c r="AD53" s="111">
        <f t="shared" si="8"/>
        <v>1.4789915966386555</v>
      </c>
      <c r="AE53" s="90">
        <f t="shared" si="9"/>
        <v>1.0084033613445378</v>
      </c>
      <c r="AF53" s="90">
        <f t="shared" si="10"/>
        <v>0.84033613445378152</v>
      </c>
      <c r="AG53" s="90">
        <f t="shared" si="11"/>
        <v>0.23529411764705882</v>
      </c>
      <c r="AH53" s="90">
        <f t="shared" si="12"/>
        <v>0.30252100840336132</v>
      </c>
      <c r="AI53" s="112">
        <f t="shared" si="13"/>
        <v>0.16806722689075632</v>
      </c>
      <c r="AJ53" s="121">
        <f>Input!$E$22*WRs!C53+Input!$E$23*WRs!D53+Input!$E$24*WRs!X53+Input!$E$25*WRs!Y53+Input!$E$26*WRs!Z53+Input!$E$27*WRs!AA53+Input!$E$28*WRs!AB53+Input!$E$29*WRs!AC53+Input!$E$30*WRs!E53+Input!$E$31*WRs!G53+Input!$E$32*WRs!H53+Input!$E$33*WRs!AD53+Input!$E$34*WRs!AE53+Input!$E$35*WRs!AF53+Input!$E$36*WRs!AG53+Input!$E$37*WRs!AH53+Input!$E$38*WRs!AI53+Input!$E$39*WRs!I53+Input!$E$40*WRs!K53</f>
        <v>104.81512605042019</v>
      </c>
    </row>
    <row r="54" spans="1:36" x14ac:dyDescent="0.25">
      <c r="A54" s="89" t="s">
        <v>393</v>
      </c>
      <c r="B54" s="112" t="s">
        <v>136</v>
      </c>
      <c r="C54" s="45">
        <v>0</v>
      </c>
      <c r="D54" s="37">
        <v>0</v>
      </c>
      <c r="E54" s="37">
        <v>0</v>
      </c>
      <c r="F54" s="38">
        <v>0</v>
      </c>
      <c r="G54" s="45">
        <v>40</v>
      </c>
      <c r="H54" s="37">
        <f>16.4*G54</f>
        <v>656</v>
      </c>
      <c r="I54" s="37">
        <v>1</v>
      </c>
      <c r="J54" s="38">
        <v>5</v>
      </c>
      <c r="K54" s="37">
        <v>0</v>
      </c>
      <c r="L54" s="105">
        <v>0.72727272727272729</v>
      </c>
      <c r="M54" s="106">
        <v>9.7902097902097904E-2</v>
      </c>
      <c r="N54" s="106">
        <v>6.2937062937062943E-2</v>
      </c>
      <c r="O54" s="106">
        <v>2.097902097902098E-2</v>
      </c>
      <c r="P54" s="106">
        <v>2.7972027972027972E-2</v>
      </c>
      <c r="Q54" s="107">
        <v>6.2937062937062943E-2</v>
      </c>
      <c r="R54" s="81">
        <v>0.12380952380952381</v>
      </c>
      <c r="S54" s="82">
        <v>0.15238095238095239</v>
      </c>
      <c r="T54" s="82">
        <v>9.5238095238095233E-2</v>
      </c>
      <c r="U54" s="82">
        <v>0.19047619047619047</v>
      </c>
      <c r="V54" s="82">
        <v>0.14285714285714285</v>
      </c>
      <c r="W54" s="83">
        <v>0.29523809523809524</v>
      </c>
      <c r="X54" s="111">
        <f t="shared" si="14"/>
        <v>0</v>
      </c>
      <c r="Y54" s="90">
        <f t="shared" si="15"/>
        <v>0</v>
      </c>
      <c r="Z54" s="90">
        <f t="shared" si="16"/>
        <v>0</v>
      </c>
      <c r="AA54" s="90">
        <f t="shared" si="17"/>
        <v>0</v>
      </c>
      <c r="AB54" s="90">
        <f t="shared" si="18"/>
        <v>0</v>
      </c>
      <c r="AC54" s="112">
        <f t="shared" si="19"/>
        <v>0</v>
      </c>
      <c r="AD54" s="111">
        <f t="shared" si="8"/>
        <v>0.61904761904761907</v>
      </c>
      <c r="AE54" s="90">
        <f t="shared" si="9"/>
        <v>0.76190476190476197</v>
      </c>
      <c r="AF54" s="90">
        <f t="shared" si="10"/>
        <v>0.47619047619047616</v>
      </c>
      <c r="AG54" s="90">
        <f t="shared" si="11"/>
        <v>0.95238095238095233</v>
      </c>
      <c r="AH54" s="90">
        <f t="shared" si="12"/>
        <v>0.71428571428571419</v>
      </c>
      <c r="AI54" s="112">
        <f t="shared" si="13"/>
        <v>1.4761904761904763</v>
      </c>
      <c r="AJ54" s="121">
        <f>Input!$E$22*WRs!C54+Input!$E$23*WRs!D54+Input!$E$24*WRs!X54+Input!$E$25*WRs!Y54+Input!$E$26*WRs!Z54+Input!$E$27*WRs!AA54+Input!$E$28*WRs!AB54+Input!$E$29*WRs!AC54+Input!$E$30*WRs!E54+Input!$E$31*WRs!G54+Input!$E$32*WRs!H54+Input!$E$33*WRs!AD54+Input!$E$34*WRs!AE54+Input!$E$35*WRs!AF54+Input!$E$36*WRs!AG54+Input!$E$37*WRs!AH54+Input!$E$38*WRs!AI54+Input!$E$39*WRs!I54+Input!$E$40*WRs!K54</f>
        <v>114.88571428571427</v>
      </c>
    </row>
    <row r="55" spans="1:36" x14ac:dyDescent="0.25">
      <c r="A55" s="89" t="s">
        <v>394</v>
      </c>
      <c r="B55" s="112" t="s">
        <v>142</v>
      </c>
      <c r="C55" s="45">
        <v>0</v>
      </c>
      <c r="D55" s="37">
        <v>0</v>
      </c>
      <c r="E55" s="37">
        <v>0</v>
      </c>
      <c r="F55" s="38">
        <v>0</v>
      </c>
      <c r="G55" s="45">
        <v>45</v>
      </c>
      <c r="H55" s="37">
        <f>12.7*G55</f>
        <v>571.5</v>
      </c>
      <c r="I55" s="37">
        <v>1</v>
      </c>
      <c r="J55" s="38">
        <v>5</v>
      </c>
      <c r="K55" s="37">
        <v>0</v>
      </c>
      <c r="L55" s="105">
        <v>0.72727272727272729</v>
      </c>
      <c r="M55" s="106">
        <v>9.7902097902097904E-2</v>
      </c>
      <c r="N55" s="106">
        <v>6.2937062937062943E-2</v>
      </c>
      <c r="O55" s="106">
        <v>2.097902097902098E-2</v>
      </c>
      <c r="P55" s="106">
        <v>2.7972027972027972E-2</v>
      </c>
      <c r="Q55" s="107">
        <v>6.2937062937062943E-2</v>
      </c>
      <c r="R55" s="105">
        <v>0.36974789915966388</v>
      </c>
      <c r="S55" s="106">
        <v>0.25210084033613445</v>
      </c>
      <c r="T55" s="106">
        <v>0.21008403361344538</v>
      </c>
      <c r="U55" s="106">
        <v>5.8823529411764705E-2</v>
      </c>
      <c r="V55" s="106">
        <v>7.5630252100840331E-2</v>
      </c>
      <c r="W55" s="107">
        <v>4.2016806722689079E-2</v>
      </c>
      <c r="X55" s="111">
        <f t="shared" si="14"/>
        <v>0</v>
      </c>
      <c r="Y55" s="90">
        <f t="shared" si="15"/>
        <v>0</v>
      </c>
      <c r="Z55" s="90">
        <f t="shared" si="16"/>
        <v>0</v>
      </c>
      <c r="AA55" s="90">
        <f t="shared" si="17"/>
        <v>0</v>
      </c>
      <c r="AB55" s="90">
        <f t="shared" si="18"/>
        <v>0</v>
      </c>
      <c r="AC55" s="112">
        <f t="shared" si="19"/>
        <v>0</v>
      </c>
      <c r="AD55" s="111">
        <f t="shared" si="8"/>
        <v>1.8487394957983194</v>
      </c>
      <c r="AE55" s="90">
        <f t="shared" si="9"/>
        <v>1.2605042016806722</v>
      </c>
      <c r="AF55" s="90">
        <f t="shared" si="10"/>
        <v>1.0504201680672269</v>
      </c>
      <c r="AG55" s="90">
        <f t="shared" si="11"/>
        <v>0.29411764705882354</v>
      </c>
      <c r="AH55" s="90">
        <f t="shared" si="12"/>
        <v>0.37815126050420167</v>
      </c>
      <c r="AI55" s="112">
        <f t="shared" si="13"/>
        <v>0.21008403361344541</v>
      </c>
      <c r="AJ55" s="121">
        <f>Input!$E$22*WRs!C55+Input!$E$23*WRs!D55+Input!$E$24*WRs!X55+Input!$E$25*WRs!Y55+Input!$E$26*WRs!Z55+Input!$E$27*WRs!AA55+Input!$E$28*WRs!AB55+Input!$E$29*WRs!AC55+Input!$E$30*WRs!E55+Input!$E$31*WRs!G55+Input!$E$32*WRs!H55+Input!$E$33*WRs!AD55+Input!$E$34*WRs!AE55+Input!$E$35*WRs!AF55+Input!$E$36*WRs!AG55+Input!$E$37*WRs!AH55+Input!$E$38*WRs!AI55+Input!$E$39*WRs!I55+Input!$E$40*WRs!K55</f>
        <v>97.418907563025215</v>
      </c>
    </row>
    <row r="56" spans="1:36" x14ac:dyDescent="0.25">
      <c r="A56" s="89" t="s">
        <v>395</v>
      </c>
      <c r="B56" s="112" t="s">
        <v>138</v>
      </c>
      <c r="C56" s="45">
        <v>1</v>
      </c>
      <c r="D56" s="37">
        <v>4</v>
      </c>
      <c r="E56" s="37">
        <v>0</v>
      </c>
      <c r="F56" s="38">
        <v>0</v>
      </c>
      <c r="G56" s="45">
        <v>50</v>
      </c>
      <c r="H56" s="37">
        <f>13.92*G56</f>
        <v>696</v>
      </c>
      <c r="I56" s="37">
        <v>1</v>
      </c>
      <c r="J56" s="38">
        <v>6</v>
      </c>
      <c r="K56" s="37">
        <v>0</v>
      </c>
      <c r="L56" s="105">
        <v>0.72727272727272729</v>
      </c>
      <c r="M56" s="106">
        <v>9.7902097902097904E-2</v>
      </c>
      <c r="N56" s="106">
        <v>6.2937062937062943E-2</v>
      </c>
      <c r="O56" s="106">
        <v>2.097902097902098E-2</v>
      </c>
      <c r="P56" s="106">
        <v>2.7972027972027972E-2</v>
      </c>
      <c r="Q56" s="107">
        <v>6.2937062937062943E-2</v>
      </c>
      <c r="R56" s="105">
        <v>0.36974789915966388</v>
      </c>
      <c r="S56" s="106">
        <v>0.25210084033613445</v>
      </c>
      <c r="T56" s="106">
        <v>0.21008403361344538</v>
      </c>
      <c r="U56" s="106">
        <v>5.8823529411764705E-2</v>
      </c>
      <c r="V56" s="106">
        <v>7.5630252100840331E-2</v>
      </c>
      <c r="W56" s="107">
        <v>4.2016806722689079E-2</v>
      </c>
      <c r="X56" s="111">
        <f t="shared" si="14"/>
        <v>0</v>
      </c>
      <c r="Y56" s="90">
        <f t="shared" si="15"/>
        <v>0</v>
      </c>
      <c r="Z56" s="90">
        <f t="shared" si="16"/>
        <v>0</v>
      </c>
      <c r="AA56" s="90">
        <f t="shared" si="17"/>
        <v>0</v>
      </c>
      <c r="AB56" s="90">
        <f t="shared" si="18"/>
        <v>0</v>
      </c>
      <c r="AC56" s="112">
        <f t="shared" si="19"/>
        <v>0</v>
      </c>
      <c r="AD56" s="111">
        <f t="shared" si="8"/>
        <v>2.2184873949579833</v>
      </c>
      <c r="AE56" s="90">
        <f t="shared" si="9"/>
        <v>1.5126050420168067</v>
      </c>
      <c r="AF56" s="90">
        <f t="shared" si="10"/>
        <v>1.2605042016806722</v>
      </c>
      <c r="AG56" s="90">
        <f t="shared" si="11"/>
        <v>0.3529411764705882</v>
      </c>
      <c r="AH56" s="90">
        <f t="shared" si="12"/>
        <v>0.45378151260504196</v>
      </c>
      <c r="AI56" s="112">
        <f t="shared" si="13"/>
        <v>0.25210084033613445</v>
      </c>
      <c r="AJ56" s="121">
        <f>Input!$E$22*WRs!C56+Input!$E$23*WRs!D56+Input!$E$24*WRs!X56+Input!$E$25*WRs!Y56+Input!$E$26*WRs!Z56+Input!$E$27*WRs!AA56+Input!$E$28*WRs!AB56+Input!$E$29*WRs!AC56+Input!$E$30*WRs!E56+Input!$E$31*WRs!G56+Input!$E$32*WRs!H56+Input!$E$33*WRs!AD56+Input!$E$34*WRs!AE56+Input!$E$35*WRs!AF56+Input!$E$36*WRs!AG56+Input!$E$37*WRs!AH56+Input!$E$38*WRs!AI56+Input!$E$39*WRs!I56+Input!$E$40*WRs!K56</f>
        <v>117.72268907563026</v>
      </c>
    </row>
    <row r="57" spans="1:36" x14ac:dyDescent="0.25">
      <c r="A57" s="89" t="s">
        <v>396</v>
      </c>
      <c r="B57" s="112" t="s">
        <v>170</v>
      </c>
      <c r="C57" s="45">
        <v>0</v>
      </c>
      <c r="D57" s="37">
        <v>0</v>
      </c>
      <c r="E57" s="37">
        <v>0</v>
      </c>
      <c r="F57" s="38">
        <v>0</v>
      </c>
      <c r="G57" s="36">
        <v>60</v>
      </c>
      <c r="H57" s="40">
        <f>12.4*G57</f>
        <v>744</v>
      </c>
      <c r="I57" s="40">
        <v>1</v>
      </c>
      <c r="J57" s="41">
        <v>5</v>
      </c>
      <c r="K57" s="40">
        <v>0</v>
      </c>
      <c r="L57" s="105">
        <v>0.72727272727272729</v>
      </c>
      <c r="M57" s="106">
        <v>9.7902097902097904E-2</v>
      </c>
      <c r="N57" s="106">
        <v>6.2937062937062943E-2</v>
      </c>
      <c r="O57" s="106">
        <v>2.097902097902098E-2</v>
      </c>
      <c r="P57" s="106">
        <v>2.7972027972027972E-2</v>
      </c>
      <c r="Q57" s="107">
        <v>6.2937062937062943E-2</v>
      </c>
      <c r="R57" s="105">
        <v>0.36974789915966388</v>
      </c>
      <c r="S57" s="106">
        <v>0.25210084033613445</v>
      </c>
      <c r="T57" s="106">
        <v>0.21008403361344538</v>
      </c>
      <c r="U57" s="106">
        <v>5.8823529411764705E-2</v>
      </c>
      <c r="V57" s="106">
        <v>7.5630252100840331E-2</v>
      </c>
      <c r="W57" s="107">
        <v>4.2016806722689079E-2</v>
      </c>
      <c r="X57" s="111">
        <f t="shared" si="14"/>
        <v>0</v>
      </c>
      <c r="Y57" s="90">
        <f t="shared" si="15"/>
        <v>0</v>
      </c>
      <c r="Z57" s="90">
        <f t="shared" si="16"/>
        <v>0</v>
      </c>
      <c r="AA57" s="90">
        <f t="shared" si="17"/>
        <v>0</v>
      </c>
      <c r="AB57" s="90">
        <f t="shared" si="18"/>
        <v>0</v>
      </c>
      <c r="AC57" s="112">
        <f t="shared" si="19"/>
        <v>0</v>
      </c>
      <c r="AD57" s="111">
        <f t="shared" si="8"/>
        <v>1.8487394957983194</v>
      </c>
      <c r="AE57" s="90">
        <f t="shared" si="9"/>
        <v>1.2605042016806722</v>
      </c>
      <c r="AF57" s="90">
        <f t="shared" si="10"/>
        <v>1.0504201680672269</v>
      </c>
      <c r="AG57" s="90">
        <f t="shared" si="11"/>
        <v>0.29411764705882354</v>
      </c>
      <c r="AH57" s="90">
        <f t="shared" si="12"/>
        <v>0.37815126050420167</v>
      </c>
      <c r="AI57" s="112">
        <f t="shared" si="13"/>
        <v>0.21008403361344541</v>
      </c>
      <c r="AJ57" s="121">
        <f>Input!$E$22*WRs!C57+Input!$E$23*WRs!D57+Input!$E$24*WRs!X57+Input!$E$25*WRs!Y57+Input!$E$26*WRs!Z57+Input!$E$27*WRs!AA57+Input!$E$28*WRs!AB57+Input!$E$29*WRs!AC57+Input!$E$30*WRs!E57+Input!$E$31*WRs!G57+Input!$E$32*WRs!H57+Input!$E$33*WRs!AD57+Input!$E$34*WRs!AE57+Input!$E$35*WRs!AF57+Input!$E$36*WRs!AG57+Input!$E$37*WRs!AH57+Input!$E$38*WRs!AI57+Input!$E$39*WRs!I57+Input!$E$40*WRs!K57</f>
        <v>114.66890756302521</v>
      </c>
    </row>
    <row r="58" spans="1:36" x14ac:dyDescent="0.25">
      <c r="A58" s="89" t="s">
        <v>397</v>
      </c>
      <c r="B58" s="112" t="s">
        <v>142</v>
      </c>
      <c r="C58" s="45">
        <v>1</v>
      </c>
      <c r="D58" s="37">
        <v>5</v>
      </c>
      <c r="E58" s="37">
        <v>0</v>
      </c>
      <c r="F58" s="38">
        <v>0</v>
      </c>
      <c r="G58" s="45">
        <v>55</v>
      </c>
      <c r="H58" s="37">
        <f>12.2*G58</f>
        <v>671</v>
      </c>
      <c r="I58" s="37">
        <v>1</v>
      </c>
      <c r="J58" s="38">
        <v>5</v>
      </c>
      <c r="K58" s="37">
        <v>0</v>
      </c>
      <c r="L58" s="105">
        <v>0.72727272727272729</v>
      </c>
      <c r="M58" s="106">
        <v>9.7902097902097904E-2</v>
      </c>
      <c r="N58" s="106">
        <v>6.2937062937062943E-2</v>
      </c>
      <c r="O58" s="106">
        <v>2.097902097902098E-2</v>
      </c>
      <c r="P58" s="106">
        <v>2.7972027972027972E-2</v>
      </c>
      <c r="Q58" s="107">
        <v>6.2937062937062943E-2</v>
      </c>
      <c r="R58" s="105">
        <v>0.36974789915966388</v>
      </c>
      <c r="S58" s="106">
        <v>0.25210084033613445</v>
      </c>
      <c r="T58" s="106">
        <v>0.21008403361344538</v>
      </c>
      <c r="U58" s="106">
        <v>5.8823529411764705E-2</v>
      </c>
      <c r="V58" s="106">
        <v>7.5630252100840331E-2</v>
      </c>
      <c r="W58" s="107">
        <v>4.2016806722689079E-2</v>
      </c>
      <c r="X58" s="111">
        <f t="shared" si="14"/>
        <v>0</v>
      </c>
      <c r="Y58" s="90">
        <f t="shared" si="15"/>
        <v>0</v>
      </c>
      <c r="Z58" s="90">
        <f t="shared" si="16"/>
        <v>0</v>
      </c>
      <c r="AA58" s="90">
        <f t="shared" si="17"/>
        <v>0</v>
      </c>
      <c r="AB58" s="90">
        <f t="shared" si="18"/>
        <v>0</v>
      </c>
      <c r="AC58" s="112">
        <f t="shared" si="19"/>
        <v>0</v>
      </c>
      <c r="AD58" s="111">
        <f t="shared" si="8"/>
        <v>1.8487394957983194</v>
      </c>
      <c r="AE58" s="90">
        <f t="shared" si="9"/>
        <v>1.2605042016806722</v>
      </c>
      <c r="AF58" s="90">
        <f t="shared" si="10"/>
        <v>1.0504201680672269</v>
      </c>
      <c r="AG58" s="90">
        <f t="shared" si="11"/>
        <v>0.29411764705882354</v>
      </c>
      <c r="AH58" s="90">
        <f t="shared" si="12"/>
        <v>0.37815126050420167</v>
      </c>
      <c r="AI58" s="112">
        <f t="shared" si="13"/>
        <v>0.21008403361344541</v>
      </c>
      <c r="AJ58" s="121">
        <f>Input!$E$22*WRs!C58+Input!$E$23*WRs!D58+Input!$E$24*WRs!X58+Input!$E$25*WRs!Y58+Input!$E$26*WRs!Z58+Input!$E$27*WRs!AA58+Input!$E$28*WRs!AB58+Input!$E$29*WRs!AC58+Input!$E$30*WRs!E58+Input!$E$31*WRs!G58+Input!$E$32*WRs!H58+Input!$E$33*WRs!AD58+Input!$E$34*WRs!AE58+Input!$E$35*WRs!AF58+Input!$E$36*WRs!AG58+Input!$E$37*WRs!AH58+Input!$E$38*WRs!AI58+Input!$E$39*WRs!I58+Input!$E$40*WRs!K58</f>
        <v>107.86890756302522</v>
      </c>
    </row>
    <row r="59" spans="1:36" x14ac:dyDescent="0.25">
      <c r="A59" s="89" t="s">
        <v>398</v>
      </c>
      <c r="B59" s="112" t="s">
        <v>196</v>
      </c>
      <c r="C59" s="45">
        <v>0</v>
      </c>
      <c r="D59" s="37">
        <v>0</v>
      </c>
      <c r="E59" s="37">
        <v>0</v>
      </c>
      <c r="F59" s="38">
        <v>0</v>
      </c>
      <c r="G59" s="45">
        <v>54</v>
      </c>
      <c r="H59" s="37">
        <f>14*G59</f>
        <v>756</v>
      </c>
      <c r="I59" s="37">
        <v>1</v>
      </c>
      <c r="J59" s="38">
        <v>4</v>
      </c>
      <c r="K59" s="37">
        <v>0</v>
      </c>
      <c r="L59" s="105">
        <v>0.72727272727272729</v>
      </c>
      <c r="M59" s="106">
        <v>9.7902097902097904E-2</v>
      </c>
      <c r="N59" s="106">
        <v>6.2937062937062943E-2</v>
      </c>
      <c r="O59" s="106">
        <v>2.097902097902098E-2</v>
      </c>
      <c r="P59" s="106">
        <v>2.7972027972027972E-2</v>
      </c>
      <c r="Q59" s="107">
        <v>6.2937062937062943E-2</v>
      </c>
      <c r="R59" s="105">
        <v>0.36974789915966388</v>
      </c>
      <c r="S59" s="106">
        <v>0.25210084033613445</v>
      </c>
      <c r="T59" s="106">
        <v>0.21008403361344538</v>
      </c>
      <c r="U59" s="106">
        <v>5.8823529411764705E-2</v>
      </c>
      <c r="V59" s="106">
        <v>7.5630252100840331E-2</v>
      </c>
      <c r="W59" s="107">
        <v>4.2016806722689079E-2</v>
      </c>
      <c r="X59" s="111">
        <f t="shared" si="14"/>
        <v>0</v>
      </c>
      <c r="Y59" s="90">
        <f t="shared" si="15"/>
        <v>0</v>
      </c>
      <c r="Z59" s="90">
        <f t="shared" si="16"/>
        <v>0</v>
      </c>
      <c r="AA59" s="90">
        <f t="shared" si="17"/>
        <v>0</v>
      </c>
      <c r="AB59" s="90">
        <f t="shared" si="18"/>
        <v>0</v>
      </c>
      <c r="AC59" s="112">
        <f t="shared" si="19"/>
        <v>0</v>
      </c>
      <c r="AD59" s="111">
        <f t="shared" si="8"/>
        <v>1.4789915966386555</v>
      </c>
      <c r="AE59" s="90">
        <f t="shared" si="9"/>
        <v>1.0084033613445378</v>
      </c>
      <c r="AF59" s="90">
        <f t="shared" si="10"/>
        <v>0.84033613445378152</v>
      </c>
      <c r="AG59" s="90">
        <f t="shared" si="11"/>
        <v>0.23529411764705882</v>
      </c>
      <c r="AH59" s="90">
        <f t="shared" si="12"/>
        <v>0.30252100840336132</v>
      </c>
      <c r="AI59" s="112">
        <f t="shared" si="13"/>
        <v>0.16806722689075632</v>
      </c>
      <c r="AJ59" s="121">
        <f>Input!$E$22*WRs!C59+Input!$E$23*WRs!D59+Input!$E$24*WRs!X59+Input!$E$25*WRs!Y59+Input!$E$26*WRs!Z59+Input!$E$27*WRs!AA59+Input!$E$28*WRs!AB59+Input!$E$29*WRs!AC59+Input!$E$30*WRs!E59+Input!$E$31*WRs!G59+Input!$E$32*WRs!H59+Input!$E$33*WRs!AD59+Input!$E$34*WRs!AE59+Input!$E$35*WRs!AF59+Input!$E$36*WRs!AG59+Input!$E$37*WRs!AH59+Input!$E$38*WRs!AI59+Input!$E$39*WRs!I59+Input!$E$40*WRs!K59</f>
        <v>108.41512605042018</v>
      </c>
    </row>
    <row r="60" spans="1:36" x14ac:dyDescent="0.25">
      <c r="A60" s="89" t="s">
        <v>399</v>
      </c>
      <c r="B60" s="112" t="s">
        <v>182</v>
      </c>
      <c r="C60" s="45">
        <v>3</v>
      </c>
      <c r="D60" s="37">
        <v>10</v>
      </c>
      <c r="E60" s="37">
        <v>0</v>
      </c>
      <c r="F60" s="38">
        <v>0</v>
      </c>
      <c r="G60" s="45">
        <v>55</v>
      </c>
      <c r="H60" s="37">
        <f>14.9*G60</f>
        <v>819.5</v>
      </c>
      <c r="I60" s="37">
        <v>1</v>
      </c>
      <c r="J60" s="38">
        <v>4</v>
      </c>
      <c r="K60" s="37">
        <v>0</v>
      </c>
      <c r="L60" s="105">
        <v>0.72727272727272729</v>
      </c>
      <c r="M60" s="106">
        <v>9.7902097902097904E-2</v>
      </c>
      <c r="N60" s="106">
        <v>6.2937062937062943E-2</v>
      </c>
      <c r="O60" s="106">
        <v>2.097902097902098E-2</v>
      </c>
      <c r="P60" s="106">
        <v>2.7972027972027972E-2</v>
      </c>
      <c r="Q60" s="107">
        <v>6.2937062937062943E-2</v>
      </c>
      <c r="R60" s="105">
        <v>0.36974789915966388</v>
      </c>
      <c r="S60" s="106">
        <v>0.25210084033613445</v>
      </c>
      <c r="T60" s="106">
        <v>0.21008403361344538</v>
      </c>
      <c r="U60" s="106">
        <v>5.8823529411764705E-2</v>
      </c>
      <c r="V60" s="106">
        <v>7.5630252100840331E-2</v>
      </c>
      <c r="W60" s="107">
        <v>4.2016806722689079E-2</v>
      </c>
      <c r="X60" s="111">
        <f t="shared" si="14"/>
        <v>0</v>
      </c>
      <c r="Y60" s="90">
        <f t="shared" si="15"/>
        <v>0</v>
      </c>
      <c r="Z60" s="90">
        <f t="shared" si="16"/>
        <v>0</v>
      </c>
      <c r="AA60" s="90">
        <f t="shared" si="17"/>
        <v>0</v>
      </c>
      <c r="AB60" s="90">
        <f t="shared" si="18"/>
        <v>0</v>
      </c>
      <c r="AC60" s="112">
        <f t="shared" si="19"/>
        <v>0</v>
      </c>
      <c r="AD60" s="111">
        <f t="shared" si="8"/>
        <v>1.4789915966386555</v>
      </c>
      <c r="AE60" s="90">
        <f t="shared" si="9"/>
        <v>1.0084033613445378</v>
      </c>
      <c r="AF60" s="90">
        <f t="shared" si="10"/>
        <v>0.84033613445378152</v>
      </c>
      <c r="AG60" s="90">
        <f t="shared" si="11"/>
        <v>0.23529411764705882</v>
      </c>
      <c r="AH60" s="90">
        <f t="shared" si="12"/>
        <v>0.30252100840336132</v>
      </c>
      <c r="AI60" s="112">
        <f t="shared" si="13"/>
        <v>0.16806722689075632</v>
      </c>
      <c r="AJ60" s="121">
        <f>Input!$E$22*WRs!C60+Input!$E$23*WRs!D60+Input!$E$24*WRs!X60+Input!$E$25*WRs!Y60+Input!$E$26*WRs!Z60+Input!$E$27*WRs!AA60+Input!$E$28*WRs!AB60+Input!$E$29*WRs!AC60+Input!$E$30*WRs!E60+Input!$E$31*WRs!G60+Input!$E$32*WRs!H60+Input!$E$33*WRs!AD60+Input!$E$34*WRs!AE60+Input!$E$35*WRs!AF60+Input!$E$36*WRs!AG60+Input!$E$37*WRs!AH60+Input!$E$38*WRs!AI60+Input!$E$39*WRs!I60+Input!$E$40*WRs!K60</f>
        <v>115.76512605042018</v>
      </c>
    </row>
    <row r="61" spans="1:36" x14ac:dyDescent="0.25">
      <c r="A61" s="89" t="s">
        <v>400</v>
      </c>
      <c r="B61" s="112" t="s">
        <v>188</v>
      </c>
      <c r="C61" s="45">
        <v>0</v>
      </c>
      <c r="D61" s="37">
        <v>0</v>
      </c>
      <c r="E61" s="37">
        <v>0</v>
      </c>
      <c r="F61" s="38">
        <v>0</v>
      </c>
      <c r="G61" s="45">
        <v>55</v>
      </c>
      <c r="H61" s="37">
        <f>12.3*G61</f>
        <v>676.5</v>
      </c>
      <c r="I61" s="37">
        <v>1</v>
      </c>
      <c r="J61" s="38">
        <v>4</v>
      </c>
      <c r="K61" s="37">
        <v>0</v>
      </c>
      <c r="L61" s="105">
        <v>0.72727272727272729</v>
      </c>
      <c r="M61" s="106">
        <v>9.7902097902097904E-2</v>
      </c>
      <c r="N61" s="106">
        <v>6.2937062937062943E-2</v>
      </c>
      <c r="O61" s="106">
        <v>2.097902097902098E-2</v>
      </c>
      <c r="P61" s="106">
        <v>2.7972027972027972E-2</v>
      </c>
      <c r="Q61" s="107">
        <v>6.2937062937062943E-2</v>
      </c>
      <c r="R61" s="105">
        <v>0.36974789915966388</v>
      </c>
      <c r="S61" s="106">
        <v>0.25210084033613445</v>
      </c>
      <c r="T61" s="106">
        <v>0.21008403361344538</v>
      </c>
      <c r="U61" s="106">
        <v>5.8823529411764705E-2</v>
      </c>
      <c r="V61" s="106">
        <v>7.5630252100840331E-2</v>
      </c>
      <c r="W61" s="107">
        <v>4.2016806722689079E-2</v>
      </c>
      <c r="X61" s="111">
        <f t="shared" si="14"/>
        <v>0</v>
      </c>
      <c r="Y61" s="90">
        <f t="shared" si="15"/>
        <v>0</v>
      </c>
      <c r="Z61" s="90">
        <f t="shared" si="16"/>
        <v>0</v>
      </c>
      <c r="AA61" s="90">
        <f t="shared" si="17"/>
        <v>0</v>
      </c>
      <c r="AB61" s="90">
        <f t="shared" si="18"/>
        <v>0</v>
      </c>
      <c r="AC61" s="112">
        <f t="shared" si="19"/>
        <v>0</v>
      </c>
      <c r="AD61" s="111">
        <f t="shared" si="8"/>
        <v>1.4789915966386555</v>
      </c>
      <c r="AE61" s="90">
        <f t="shared" si="9"/>
        <v>1.0084033613445378</v>
      </c>
      <c r="AF61" s="90">
        <f t="shared" si="10"/>
        <v>0.84033613445378152</v>
      </c>
      <c r="AG61" s="90">
        <f t="shared" si="11"/>
        <v>0.23529411764705882</v>
      </c>
      <c r="AH61" s="90">
        <f t="shared" si="12"/>
        <v>0.30252100840336132</v>
      </c>
      <c r="AI61" s="112">
        <f t="shared" si="13"/>
        <v>0.16806722689075632</v>
      </c>
      <c r="AJ61" s="121">
        <f>Input!$E$22*WRs!C61+Input!$E$23*WRs!D61+Input!$E$24*WRs!X61+Input!$E$25*WRs!Y61+Input!$E$26*WRs!Z61+Input!$E$27*WRs!AA61+Input!$E$28*WRs!AB61+Input!$E$29*WRs!AC61+Input!$E$30*WRs!E61+Input!$E$31*WRs!G61+Input!$E$32*WRs!H61+Input!$E$33*WRs!AD61+Input!$E$34*WRs!AE61+Input!$E$35*WRs!AF61+Input!$E$36*WRs!AG61+Input!$E$37*WRs!AH61+Input!$E$38*WRs!AI61+Input!$E$39*WRs!I61+Input!$E$40*WRs!K61</f>
        <v>100.4651260504202</v>
      </c>
    </row>
    <row r="62" spans="1:36" x14ac:dyDescent="0.25">
      <c r="A62" s="89" t="s">
        <v>401</v>
      </c>
      <c r="B62" s="112" t="s">
        <v>164</v>
      </c>
      <c r="C62" s="45">
        <v>0</v>
      </c>
      <c r="D62" s="37">
        <v>0</v>
      </c>
      <c r="E62" s="37">
        <v>0</v>
      </c>
      <c r="F62" s="38">
        <v>0</v>
      </c>
      <c r="G62" s="45">
        <v>35</v>
      </c>
      <c r="H62" s="37">
        <f>13.5*G62</f>
        <v>472.5</v>
      </c>
      <c r="I62" s="37">
        <v>1</v>
      </c>
      <c r="J62" s="38">
        <v>3</v>
      </c>
      <c r="K62" s="37">
        <v>0</v>
      </c>
      <c r="L62" s="105">
        <v>0.72727272727272729</v>
      </c>
      <c r="M62" s="106">
        <v>9.7902097902097904E-2</v>
      </c>
      <c r="N62" s="106">
        <v>6.2937062937062943E-2</v>
      </c>
      <c r="O62" s="106">
        <v>2.097902097902098E-2</v>
      </c>
      <c r="P62" s="106">
        <v>2.7972027972027972E-2</v>
      </c>
      <c r="Q62" s="107">
        <v>6.2937062937062943E-2</v>
      </c>
      <c r="R62" s="105">
        <v>0.36974789915966388</v>
      </c>
      <c r="S62" s="106">
        <v>0.25210084033613445</v>
      </c>
      <c r="T62" s="106">
        <v>0.21008403361344538</v>
      </c>
      <c r="U62" s="106">
        <v>5.8823529411764705E-2</v>
      </c>
      <c r="V62" s="106">
        <v>7.5630252100840331E-2</v>
      </c>
      <c r="W62" s="107">
        <v>4.2016806722689079E-2</v>
      </c>
      <c r="X62" s="111">
        <f t="shared" si="14"/>
        <v>0</v>
      </c>
      <c r="Y62" s="90">
        <f t="shared" si="15"/>
        <v>0</v>
      </c>
      <c r="Z62" s="90">
        <f t="shared" si="16"/>
        <v>0</v>
      </c>
      <c r="AA62" s="90">
        <f t="shared" si="17"/>
        <v>0</v>
      </c>
      <c r="AB62" s="90">
        <f t="shared" si="18"/>
        <v>0</v>
      </c>
      <c r="AC62" s="112">
        <f t="shared" si="19"/>
        <v>0</v>
      </c>
      <c r="AD62" s="111">
        <f t="shared" si="8"/>
        <v>1.1092436974789917</v>
      </c>
      <c r="AE62" s="90">
        <f t="shared" si="9"/>
        <v>0.75630252100840334</v>
      </c>
      <c r="AF62" s="90">
        <f t="shared" si="10"/>
        <v>0.63025210084033612</v>
      </c>
      <c r="AG62" s="90">
        <f t="shared" si="11"/>
        <v>0.1764705882352941</v>
      </c>
      <c r="AH62" s="90">
        <f t="shared" si="12"/>
        <v>0.22689075630252098</v>
      </c>
      <c r="AI62" s="112">
        <f t="shared" si="13"/>
        <v>0.12605042016806722</v>
      </c>
      <c r="AJ62" s="121">
        <f>Input!$E$22*WRs!C62+Input!$E$23*WRs!D62+Input!$E$24*WRs!X62+Input!$E$25*WRs!Y62+Input!$E$26*WRs!Z62+Input!$E$27*WRs!AA62+Input!$E$28*WRs!AB62+Input!$E$29*WRs!AC62+Input!$E$30*WRs!E62+Input!$E$31*WRs!G62+Input!$E$32*WRs!H62+Input!$E$33*WRs!AD62+Input!$E$34*WRs!AE62+Input!$E$35*WRs!AF62+Input!$E$36*WRs!AG62+Input!$E$37*WRs!AH62+Input!$E$38*WRs!AI62+Input!$E$39*WRs!I62+Input!$E$40*WRs!K62</f>
        <v>72.611344537815128</v>
      </c>
    </row>
    <row r="63" spans="1:36" x14ac:dyDescent="0.25">
      <c r="A63" s="89" t="s">
        <v>402</v>
      </c>
      <c r="B63" s="112" t="s">
        <v>142</v>
      </c>
      <c r="C63" s="45">
        <v>0</v>
      </c>
      <c r="D63" s="37">
        <v>0</v>
      </c>
      <c r="E63" s="37">
        <v>0</v>
      </c>
      <c r="F63" s="38">
        <v>0</v>
      </c>
      <c r="G63" s="45">
        <v>35</v>
      </c>
      <c r="H63" s="37">
        <f>15*G63</f>
        <v>525</v>
      </c>
      <c r="I63" s="37">
        <v>1</v>
      </c>
      <c r="J63" s="38">
        <v>3</v>
      </c>
      <c r="K63" s="37">
        <v>0</v>
      </c>
      <c r="L63" s="105">
        <v>0.72727272727272729</v>
      </c>
      <c r="M63" s="106">
        <v>9.7902097902097904E-2</v>
      </c>
      <c r="N63" s="106">
        <v>6.2937062937062943E-2</v>
      </c>
      <c r="O63" s="106">
        <v>2.097902097902098E-2</v>
      </c>
      <c r="P63" s="106">
        <v>2.7972027972027972E-2</v>
      </c>
      <c r="Q63" s="107">
        <v>6.2937062937062943E-2</v>
      </c>
      <c r="R63" s="105">
        <v>0.36974789915966388</v>
      </c>
      <c r="S63" s="106">
        <v>0.25210084033613445</v>
      </c>
      <c r="T63" s="106">
        <v>0.21008403361344538</v>
      </c>
      <c r="U63" s="106">
        <v>5.8823529411764705E-2</v>
      </c>
      <c r="V63" s="106">
        <v>7.5630252100840331E-2</v>
      </c>
      <c r="W63" s="107">
        <v>4.2016806722689079E-2</v>
      </c>
      <c r="X63" s="111">
        <f t="shared" si="14"/>
        <v>0</v>
      </c>
      <c r="Y63" s="90">
        <f t="shared" si="15"/>
        <v>0</v>
      </c>
      <c r="Z63" s="90">
        <f t="shared" si="16"/>
        <v>0</v>
      </c>
      <c r="AA63" s="90">
        <f t="shared" si="17"/>
        <v>0</v>
      </c>
      <c r="AB63" s="90">
        <f t="shared" si="18"/>
        <v>0</v>
      </c>
      <c r="AC63" s="112">
        <f t="shared" si="19"/>
        <v>0</v>
      </c>
      <c r="AD63" s="111">
        <f t="shared" si="8"/>
        <v>1.1092436974789917</v>
      </c>
      <c r="AE63" s="90">
        <f t="shared" si="9"/>
        <v>0.75630252100840334</v>
      </c>
      <c r="AF63" s="90">
        <f t="shared" si="10"/>
        <v>0.63025210084033612</v>
      </c>
      <c r="AG63" s="90">
        <f t="shared" si="11"/>
        <v>0.1764705882352941</v>
      </c>
      <c r="AH63" s="90">
        <f t="shared" si="12"/>
        <v>0.22689075630252098</v>
      </c>
      <c r="AI63" s="112">
        <f t="shared" si="13"/>
        <v>0.12605042016806722</v>
      </c>
      <c r="AJ63" s="121">
        <f>Input!$E$22*WRs!C63+Input!$E$23*WRs!D63+Input!$E$24*WRs!X63+Input!$E$25*WRs!Y63+Input!$E$26*WRs!Z63+Input!$E$27*WRs!AA63+Input!$E$28*WRs!AB63+Input!$E$29*WRs!AC63+Input!$E$30*WRs!E63+Input!$E$31*WRs!G63+Input!$E$32*WRs!H63+Input!$E$33*WRs!AD63+Input!$E$34*WRs!AE63+Input!$E$35*WRs!AF63+Input!$E$36*WRs!AG63+Input!$E$37*WRs!AH63+Input!$E$38*WRs!AI63+Input!$E$39*WRs!I63+Input!$E$40*WRs!K63</f>
        <v>77.861344537815114</v>
      </c>
    </row>
    <row r="64" spans="1:36" x14ac:dyDescent="0.25">
      <c r="A64" s="89" t="s">
        <v>403</v>
      </c>
      <c r="B64" s="112" t="s">
        <v>170</v>
      </c>
      <c r="C64" s="45">
        <v>0</v>
      </c>
      <c r="D64" s="37">
        <v>0</v>
      </c>
      <c r="E64" s="37">
        <v>0</v>
      </c>
      <c r="F64" s="38">
        <v>0</v>
      </c>
      <c r="G64" s="36">
        <v>50</v>
      </c>
      <c r="H64" s="40">
        <f>13.4*G64</f>
        <v>670</v>
      </c>
      <c r="I64" s="40">
        <v>1</v>
      </c>
      <c r="J64" s="41">
        <v>3</v>
      </c>
      <c r="K64" s="40">
        <v>0</v>
      </c>
      <c r="L64" s="105">
        <v>0.72727272727272729</v>
      </c>
      <c r="M64" s="106">
        <v>9.7902097902097904E-2</v>
      </c>
      <c r="N64" s="106">
        <v>6.2937062937062943E-2</v>
      </c>
      <c r="O64" s="106">
        <v>2.097902097902098E-2</v>
      </c>
      <c r="P64" s="106">
        <v>2.7972027972027972E-2</v>
      </c>
      <c r="Q64" s="107">
        <v>6.2937062937062943E-2</v>
      </c>
      <c r="R64" s="105">
        <v>0.36974789915966388</v>
      </c>
      <c r="S64" s="106">
        <v>0.25210084033613445</v>
      </c>
      <c r="T64" s="106">
        <v>0.21008403361344538</v>
      </c>
      <c r="U64" s="106">
        <v>5.8823529411764705E-2</v>
      </c>
      <c r="V64" s="106">
        <v>7.5630252100840331E-2</v>
      </c>
      <c r="W64" s="107">
        <v>4.2016806722689079E-2</v>
      </c>
      <c r="X64" s="111">
        <f t="shared" si="14"/>
        <v>0</v>
      </c>
      <c r="Y64" s="90">
        <f t="shared" si="15"/>
        <v>0</v>
      </c>
      <c r="Z64" s="90">
        <f t="shared" si="16"/>
        <v>0</v>
      </c>
      <c r="AA64" s="90">
        <f t="shared" si="17"/>
        <v>0</v>
      </c>
      <c r="AB64" s="90">
        <f t="shared" si="18"/>
        <v>0</v>
      </c>
      <c r="AC64" s="112">
        <f t="shared" si="19"/>
        <v>0</v>
      </c>
      <c r="AD64" s="111">
        <f t="shared" si="8"/>
        <v>1.1092436974789917</v>
      </c>
      <c r="AE64" s="90">
        <f t="shared" si="9"/>
        <v>0.75630252100840334</v>
      </c>
      <c r="AF64" s="90">
        <f t="shared" si="10"/>
        <v>0.63025210084033612</v>
      </c>
      <c r="AG64" s="90">
        <f t="shared" si="11"/>
        <v>0.1764705882352941</v>
      </c>
      <c r="AH64" s="90">
        <f t="shared" si="12"/>
        <v>0.22689075630252098</v>
      </c>
      <c r="AI64" s="112">
        <f t="shared" si="13"/>
        <v>0.12605042016806722</v>
      </c>
      <c r="AJ64" s="121">
        <f>Input!$E$22*WRs!C64+Input!$E$23*WRs!D64+Input!$E$24*WRs!X64+Input!$E$25*WRs!Y64+Input!$E$26*WRs!Z64+Input!$E$27*WRs!AA64+Input!$E$28*WRs!AB64+Input!$E$29*WRs!AC64+Input!$E$30*WRs!E64+Input!$E$31*WRs!G64+Input!$E$32*WRs!H64+Input!$E$33*WRs!AD64+Input!$E$34*WRs!AE64+Input!$E$35*WRs!AF64+Input!$E$36*WRs!AG64+Input!$E$37*WRs!AH64+Input!$E$38*WRs!AI64+Input!$E$39*WRs!I64+Input!$E$40*WRs!K64</f>
        <v>92.361344537815128</v>
      </c>
    </row>
    <row r="65" spans="1:36" x14ac:dyDescent="0.25">
      <c r="A65" s="89" t="s">
        <v>404</v>
      </c>
      <c r="B65" s="112" t="s">
        <v>146</v>
      </c>
      <c r="C65" s="45">
        <v>0</v>
      </c>
      <c r="D65" s="37">
        <v>0</v>
      </c>
      <c r="E65" s="37">
        <v>0</v>
      </c>
      <c r="F65" s="38">
        <v>0</v>
      </c>
      <c r="G65" s="45">
        <v>35</v>
      </c>
      <c r="H65" s="37">
        <f>16.3*G65</f>
        <v>570.5</v>
      </c>
      <c r="I65" s="37">
        <v>1</v>
      </c>
      <c r="J65" s="38">
        <v>3</v>
      </c>
      <c r="K65" s="37">
        <v>0</v>
      </c>
      <c r="L65" s="105">
        <v>0.72727272727272729</v>
      </c>
      <c r="M65" s="106">
        <v>9.7902097902097904E-2</v>
      </c>
      <c r="N65" s="106">
        <v>6.2937062937062943E-2</v>
      </c>
      <c r="O65" s="106">
        <v>2.097902097902098E-2</v>
      </c>
      <c r="P65" s="106">
        <v>2.7972027972027972E-2</v>
      </c>
      <c r="Q65" s="107">
        <v>6.2937062937062943E-2</v>
      </c>
      <c r="R65" s="105">
        <v>0.12380952380952381</v>
      </c>
      <c r="S65" s="106">
        <v>0.15238095238095239</v>
      </c>
      <c r="T65" s="106">
        <v>9.5238095238095233E-2</v>
      </c>
      <c r="U65" s="106">
        <v>0.19047619047619047</v>
      </c>
      <c r="V65" s="106">
        <v>0.14285714285714285</v>
      </c>
      <c r="W65" s="107">
        <v>0.29523809523809524</v>
      </c>
      <c r="X65" s="111">
        <f t="shared" si="14"/>
        <v>0</v>
      </c>
      <c r="Y65" s="90">
        <f t="shared" si="15"/>
        <v>0</v>
      </c>
      <c r="Z65" s="90">
        <f t="shared" si="16"/>
        <v>0</v>
      </c>
      <c r="AA65" s="90">
        <f t="shared" si="17"/>
        <v>0</v>
      </c>
      <c r="AB65" s="90">
        <f t="shared" si="18"/>
        <v>0</v>
      </c>
      <c r="AC65" s="112">
        <f t="shared" si="19"/>
        <v>0</v>
      </c>
      <c r="AD65" s="111">
        <f t="shared" si="8"/>
        <v>0.37142857142857144</v>
      </c>
      <c r="AE65" s="90">
        <f t="shared" si="9"/>
        <v>0.45714285714285718</v>
      </c>
      <c r="AF65" s="90">
        <f t="shared" si="10"/>
        <v>0.2857142857142857</v>
      </c>
      <c r="AG65" s="90">
        <f t="shared" si="11"/>
        <v>0.5714285714285714</v>
      </c>
      <c r="AH65" s="90">
        <f t="shared" si="12"/>
        <v>0.42857142857142855</v>
      </c>
      <c r="AI65" s="112">
        <f t="shared" si="13"/>
        <v>0.88571428571428568</v>
      </c>
      <c r="AJ65" s="121">
        <f>Input!$E$22*WRs!C65+Input!$E$23*WRs!D65+Input!$E$24*WRs!X65+Input!$E$25*WRs!Y65+Input!$E$26*WRs!Z65+Input!$E$27*WRs!AA65+Input!$E$28*WRs!AB65+Input!$E$29*WRs!AC65+Input!$E$30*WRs!E65+Input!$E$31*WRs!G65+Input!$E$32*WRs!H65+Input!$E$33*WRs!AD65+Input!$E$34*WRs!AE65+Input!$E$35*WRs!AF65+Input!$E$36*WRs!AG65+Input!$E$37*WRs!AH65+Input!$E$38*WRs!AI65+Input!$E$39*WRs!I65+Input!$E$40*WRs!K65</f>
        <v>87.821428571428584</v>
      </c>
    </row>
    <row r="66" spans="1:36" x14ac:dyDescent="0.25">
      <c r="A66" s="89" t="s">
        <v>405</v>
      </c>
      <c r="B66" s="112" t="s">
        <v>180</v>
      </c>
      <c r="C66" s="45">
        <v>0</v>
      </c>
      <c r="D66" s="37">
        <v>0</v>
      </c>
      <c r="E66" s="37">
        <v>0</v>
      </c>
      <c r="F66" s="38">
        <v>0</v>
      </c>
      <c r="G66" s="45">
        <v>50</v>
      </c>
      <c r="H66" s="37">
        <f>12.9*G66</f>
        <v>645</v>
      </c>
      <c r="I66" s="37">
        <v>1</v>
      </c>
      <c r="J66" s="38">
        <v>3</v>
      </c>
      <c r="K66" s="37">
        <v>0</v>
      </c>
      <c r="L66" s="105">
        <v>0.72727272727272729</v>
      </c>
      <c r="M66" s="106">
        <v>9.7902097902097904E-2</v>
      </c>
      <c r="N66" s="106">
        <v>6.2937062937062943E-2</v>
      </c>
      <c r="O66" s="106">
        <v>2.097902097902098E-2</v>
      </c>
      <c r="P66" s="106">
        <v>2.7972027972027972E-2</v>
      </c>
      <c r="Q66" s="107">
        <v>6.2937062937062943E-2</v>
      </c>
      <c r="R66" s="105">
        <v>0.36974789915966388</v>
      </c>
      <c r="S66" s="106">
        <v>0.25210084033613445</v>
      </c>
      <c r="T66" s="106">
        <v>0.21008403361344538</v>
      </c>
      <c r="U66" s="106">
        <v>5.8823529411764705E-2</v>
      </c>
      <c r="V66" s="106">
        <v>7.5630252100840331E-2</v>
      </c>
      <c r="W66" s="107">
        <v>4.2016806722689079E-2</v>
      </c>
      <c r="X66" s="111">
        <f t="shared" si="14"/>
        <v>0</v>
      </c>
      <c r="Y66" s="90">
        <f t="shared" si="15"/>
        <v>0</v>
      </c>
      <c r="Z66" s="90">
        <f t="shared" si="16"/>
        <v>0</v>
      </c>
      <c r="AA66" s="90">
        <f t="shared" si="17"/>
        <v>0</v>
      </c>
      <c r="AB66" s="90">
        <f t="shared" si="18"/>
        <v>0</v>
      </c>
      <c r="AC66" s="112">
        <f t="shared" si="19"/>
        <v>0</v>
      </c>
      <c r="AD66" s="111">
        <f t="shared" si="8"/>
        <v>1.1092436974789917</v>
      </c>
      <c r="AE66" s="90">
        <f t="shared" si="9"/>
        <v>0.75630252100840334</v>
      </c>
      <c r="AF66" s="90">
        <f t="shared" si="10"/>
        <v>0.63025210084033612</v>
      </c>
      <c r="AG66" s="90">
        <f t="shared" si="11"/>
        <v>0.1764705882352941</v>
      </c>
      <c r="AH66" s="90">
        <f t="shared" si="12"/>
        <v>0.22689075630252098</v>
      </c>
      <c r="AI66" s="112">
        <f t="shared" si="13"/>
        <v>0.12605042016806722</v>
      </c>
      <c r="AJ66" s="121">
        <f>Input!$E$22*WRs!C66+Input!$E$23*WRs!D66+Input!$E$24*WRs!X66+Input!$E$25*WRs!Y66+Input!$E$26*WRs!Z66+Input!$E$27*WRs!AA66+Input!$E$28*WRs!AB66+Input!$E$29*WRs!AC66+Input!$E$30*WRs!E66+Input!$E$31*WRs!G66+Input!$E$32*WRs!H66+Input!$E$33*WRs!AD66+Input!$E$34*WRs!AE66+Input!$E$35*WRs!AF66+Input!$E$36*WRs!AG66+Input!$E$37*WRs!AH66+Input!$E$38*WRs!AI66+Input!$E$39*WRs!I66+Input!$E$40*WRs!K66</f>
        <v>89.861344537815128</v>
      </c>
    </row>
    <row r="67" spans="1:36" x14ac:dyDescent="0.25">
      <c r="A67" s="89" t="s">
        <v>406</v>
      </c>
      <c r="B67" s="112" t="s">
        <v>178</v>
      </c>
      <c r="C67" s="45">
        <v>0</v>
      </c>
      <c r="D67" s="37">
        <v>0</v>
      </c>
      <c r="E67" s="37">
        <v>0</v>
      </c>
      <c r="F67" s="38">
        <v>0</v>
      </c>
      <c r="G67" s="45">
        <v>40</v>
      </c>
      <c r="H67" s="37">
        <f>15.7*G67</f>
        <v>628</v>
      </c>
      <c r="I67" s="37">
        <v>1</v>
      </c>
      <c r="J67" s="38">
        <v>3</v>
      </c>
      <c r="K67" s="37">
        <v>0</v>
      </c>
      <c r="L67" s="105">
        <v>0.72727272727272729</v>
      </c>
      <c r="M67" s="106">
        <v>9.7902097902097904E-2</v>
      </c>
      <c r="N67" s="106">
        <v>6.2937062937062943E-2</v>
      </c>
      <c r="O67" s="106">
        <v>2.097902097902098E-2</v>
      </c>
      <c r="P67" s="106">
        <v>2.7972027972027972E-2</v>
      </c>
      <c r="Q67" s="107">
        <v>6.2937062937062943E-2</v>
      </c>
      <c r="R67" s="105">
        <v>0.36974789915966388</v>
      </c>
      <c r="S67" s="106">
        <v>0.25210084033613445</v>
      </c>
      <c r="T67" s="106">
        <v>0.21008403361344538</v>
      </c>
      <c r="U67" s="106">
        <v>5.8823529411764705E-2</v>
      </c>
      <c r="V67" s="106">
        <v>7.5630252100840331E-2</v>
      </c>
      <c r="W67" s="107">
        <v>4.2016806722689079E-2</v>
      </c>
      <c r="X67" s="111">
        <f t="shared" si="14"/>
        <v>0</v>
      </c>
      <c r="Y67" s="90">
        <f t="shared" si="15"/>
        <v>0</v>
      </c>
      <c r="Z67" s="90">
        <f t="shared" si="16"/>
        <v>0</v>
      </c>
      <c r="AA67" s="90">
        <f t="shared" si="17"/>
        <v>0</v>
      </c>
      <c r="AB67" s="90">
        <f t="shared" si="18"/>
        <v>0</v>
      </c>
      <c r="AC67" s="112">
        <f t="shared" si="19"/>
        <v>0</v>
      </c>
      <c r="AD67" s="111">
        <f t="shared" si="8"/>
        <v>1.1092436974789917</v>
      </c>
      <c r="AE67" s="90">
        <f t="shared" si="9"/>
        <v>0.75630252100840334</v>
      </c>
      <c r="AF67" s="90">
        <f t="shared" si="10"/>
        <v>0.63025210084033612</v>
      </c>
      <c r="AG67" s="90">
        <f t="shared" si="11"/>
        <v>0.1764705882352941</v>
      </c>
      <c r="AH67" s="90">
        <f t="shared" si="12"/>
        <v>0.22689075630252098</v>
      </c>
      <c r="AI67" s="112">
        <f t="shared" si="13"/>
        <v>0.12605042016806722</v>
      </c>
      <c r="AJ67" s="121">
        <f>Input!$E$22*WRs!C67+Input!$E$23*WRs!D67+Input!$E$24*WRs!X67+Input!$E$25*WRs!Y67+Input!$E$26*WRs!Z67+Input!$E$27*WRs!AA67+Input!$E$28*WRs!AB67+Input!$E$29*WRs!AC67+Input!$E$30*WRs!E67+Input!$E$31*WRs!G67+Input!$E$32*WRs!H67+Input!$E$33*WRs!AD67+Input!$E$34*WRs!AE67+Input!$E$35*WRs!AF67+Input!$E$36*WRs!AG67+Input!$E$37*WRs!AH67+Input!$E$38*WRs!AI67+Input!$E$39*WRs!I67+Input!$E$40*WRs!K67</f>
        <v>88.161344537815125</v>
      </c>
    </row>
    <row r="68" spans="1:36" x14ac:dyDescent="0.25">
      <c r="A68" s="89" t="s">
        <v>407</v>
      </c>
      <c r="B68" s="112" t="s">
        <v>140</v>
      </c>
      <c r="C68" s="45">
        <v>0</v>
      </c>
      <c r="D68" s="37">
        <v>0</v>
      </c>
      <c r="E68" s="37">
        <v>0</v>
      </c>
      <c r="F68" s="38">
        <v>0</v>
      </c>
      <c r="G68" s="45">
        <v>35</v>
      </c>
      <c r="H68" s="37">
        <f>16.8*G68</f>
        <v>588</v>
      </c>
      <c r="I68" s="37">
        <v>0</v>
      </c>
      <c r="J68" s="38">
        <v>4</v>
      </c>
      <c r="K68" s="37">
        <v>0</v>
      </c>
      <c r="L68" s="105">
        <v>0.72727272727272729</v>
      </c>
      <c r="M68" s="106">
        <v>9.7902097902097904E-2</v>
      </c>
      <c r="N68" s="106">
        <v>6.2937062937062943E-2</v>
      </c>
      <c r="O68" s="106">
        <v>2.097902097902098E-2</v>
      </c>
      <c r="P68" s="106">
        <v>2.7972027972027972E-2</v>
      </c>
      <c r="Q68" s="107">
        <v>6.2937062937062943E-2</v>
      </c>
      <c r="R68" s="105">
        <v>0.36974789915966388</v>
      </c>
      <c r="S68" s="106">
        <v>0.25210084033613445</v>
      </c>
      <c r="T68" s="106">
        <v>0.21008403361344538</v>
      </c>
      <c r="U68" s="106">
        <v>5.8823529411764705E-2</v>
      </c>
      <c r="V68" s="106">
        <v>7.5630252100840331E-2</v>
      </c>
      <c r="W68" s="107">
        <v>4.2016806722689079E-2</v>
      </c>
      <c r="X68" s="111">
        <f t="shared" si="14"/>
        <v>0</v>
      </c>
      <c r="Y68" s="90">
        <f t="shared" si="15"/>
        <v>0</v>
      </c>
      <c r="Z68" s="90">
        <f t="shared" si="16"/>
        <v>0</v>
      </c>
      <c r="AA68" s="90">
        <f t="shared" si="17"/>
        <v>0</v>
      </c>
      <c r="AB68" s="90">
        <f t="shared" si="18"/>
        <v>0</v>
      </c>
      <c r="AC68" s="112">
        <f t="shared" si="19"/>
        <v>0</v>
      </c>
      <c r="AD68" s="111">
        <f t="shared" ref="AD68:AD131" si="20">$J68*R68</f>
        <v>1.4789915966386555</v>
      </c>
      <c r="AE68" s="90">
        <f t="shared" ref="AE68:AE131" si="21">$J68*S68</f>
        <v>1.0084033613445378</v>
      </c>
      <c r="AF68" s="90">
        <f t="shared" ref="AF68:AF131" si="22">$J68*T68</f>
        <v>0.84033613445378152</v>
      </c>
      <c r="AG68" s="90">
        <f t="shared" ref="AG68:AG131" si="23">$J68*U68</f>
        <v>0.23529411764705882</v>
      </c>
      <c r="AH68" s="90">
        <f t="shared" ref="AH68:AH131" si="24">$J68*V68</f>
        <v>0.30252100840336132</v>
      </c>
      <c r="AI68" s="112">
        <f t="shared" ref="AI68:AI131" si="25">$J68*W68</f>
        <v>0.16806722689075632</v>
      </c>
      <c r="AJ68" s="121">
        <f>Input!$E$22*WRs!C68+Input!$E$23*WRs!D68+Input!$E$24*WRs!X68+Input!$E$25*WRs!Y68+Input!$E$26*WRs!Z68+Input!$E$27*WRs!AA68+Input!$E$28*WRs!AB68+Input!$E$29*WRs!AC68+Input!$E$30*WRs!E68+Input!$E$31*WRs!G68+Input!$E$32*WRs!H68+Input!$E$33*WRs!AD68+Input!$E$34*WRs!AE68+Input!$E$35*WRs!AF68+Input!$E$36*WRs!AG68+Input!$E$37*WRs!AH68+Input!$E$38*WRs!AI68+Input!$E$39*WRs!I68+Input!$E$40*WRs!K68</f>
        <v>88.615126050420201</v>
      </c>
    </row>
    <row r="69" spans="1:36" x14ac:dyDescent="0.25">
      <c r="A69" s="89" t="s">
        <v>408</v>
      </c>
      <c r="B69" s="112" t="s">
        <v>154</v>
      </c>
      <c r="C69" s="45">
        <v>4</v>
      </c>
      <c r="D69" s="37">
        <v>18</v>
      </c>
      <c r="E69" s="37">
        <v>0</v>
      </c>
      <c r="F69" s="38">
        <v>0</v>
      </c>
      <c r="G69" s="45">
        <v>35</v>
      </c>
      <c r="H69" s="37">
        <f>15.5*G69</f>
        <v>542.5</v>
      </c>
      <c r="I69" s="37">
        <v>0</v>
      </c>
      <c r="J69" s="38">
        <v>2</v>
      </c>
      <c r="K69" s="37">
        <v>0</v>
      </c>
      <c r="L69" s="105">
        <v>0.72727272727272729</v>
      </c>
      <c r="M69" s="106">
        <v>9.7902097902097904E-2</v>
      </c>
      <c r="N69" s="106">
        <v>6.2937062937062943E-2</v>
      </c>
      <c r="O69" s="106">
        <v>2.097902097902098E-2</v>
      </c>
      <c r="P69" s="106">
        <v>2.7972027972027972E-2</v>
      </c>
      <c r="Q69" s="107">
        <v>6.2937062937062943E-2</v>
      </c>
      <c r="R69" s="105">
        <v>0.36974789915966388</v>
      </c>
      <c r="S69" s="106">
        <v>0.25210084033613445</v>
      </c>
      <c r="T69" s="106">
        <v>0.21008403361344538</v>
      </c>
      <c r="U69" s="106">
        <v>5.8823529411764705E-2</v>
      </c>
      <c r="V69" s="106">
        <v>7.5630252100840331E-2</v>
      </c>
      <c r="W69" s="107">
        <v>4.2016806722689079E-2</v>
      </c>
      <c r="X69" s="111">
        <f t="shared" si="14"/>
        <v>0</v>
      </c>
      <c r="Y69" s="90">
        <f t="shared" si="15"/>
        <v>0</v>
      </c>
      <c r="Z69" s="90">
        <f t="shared" si="16"/>
        <v>0</v>
      </c>
      <c r="AA69" s="90">
        <f t="shared" si="17"/>
        <v>0</v>
      </c>
      <c r="AB69" s="90">
        <f t="shared" si="18"/>
        <v>0</v>
      </c>
      <c r="AC69" s="112">
        <f t="shared" si="19"/>
        <v>0</v>
      </c>
      <c r="AD69" s="111">
        <f t="shared" si="20"/>
        <v>0.73949579831932777</v>
      </c>
      <c r="AE69" s="90">
        <f t="shared" si="21"/>
        <v>0.50420168067226889</v>
      </c>
      <c r="AF69" s="90">
        <f t="shared" si="22"/>
        <v>0.42016806722689076</v>
      </c>
      <c r="AG69" s="90">
        <f t="shared" si="23"/>
        <v>0.11764705882352941</v>
      </c>
      <c r="AH69" s="90">
        <f t="shared" si="24"/>
        <v>0.15126050420168066</v>
      </c>
      <c r="AI69" s="112">
        <f t="shared" si="25"/>
        <v>8.4033613445378158E-2</v>
      </c>
      <c r="AJ69" s="121">
        <f>Input!$E$22*WRs!C69+Input!$E$23*WRs!D69+Input!$E$24*WRs!X69+Input!$E$25*WRs!Y69+Input!$E$26*WRs!Z69+Input!$E$27*WRs!AA69+Input!$E$28*WRs!AB69+Input!$E$29*WRs!AC69+Input!$E$30*WRs!E69+Input!$E$31*WRs!G69+Input!$E$32*WRs!H69+Input!$E$33*WRs!AD69+Input!$E$34*WRs!AE69+Input!$E$35*WRs!AF69+Input!$E$36*WRs!AG69+Input!$E$37*WRs!AH69+Input!$E$38*WRs!AI69+Input!$E$39*WRs!I69+Input!$E$40*WRs!K69</f>
        <v>70.957563025210078</v>
      </c>
    </row>
    <row r="70" spans="1:36" x14ac:dyDescent="0.25">
      <c r="A70" s="89" t="s">
        <v>409</v>
      </c>
      <c r="B70" s="112" t="s">
        <v>152</v>
      </c>
      <c r="C70" s="45">
        <v>1</v>
      </c>
      <c r="D70" s="37">
        <v>6</v>
      </c>
      <c r="E70" s="37">
        <v>0</v>
      </c>
      <c r="F70" s="38">
        <v>0</v>
      </c>
      <c r="G70" s="45">
        <v>35</v>
      </c>
      <c r="H70" s="37">
        <f>18.5*G70</f>
        <v>647.5</v>
      </c>
      <c r="I70" s="37">
        <v>1</v>
      </c>
      <c r="J70" s="38">
        <v>3</v>
      </c>
      <c r="K70" s="37">
        <v>0</v>
      </c>
      <c r="L70" s="105">
        <v>0.72727272727272729</v>
      </c>
      <c r="M70" s="106">
        <v>9.7902097902097904E-2</v>
      </c>
      <c r="N70" s="106">
        <v>6.2937062937062943E-2</v>
      </c>
      <c r="O70" s="106">
        <v>2.097902097902098E-2</v>
      </c>
      <c r="P70" s="106">
        <v>2.7972027972027972E-2</v>
      </c>
      <c r="Q70" s="107">
        <v>6.2937062937062943E-2</v>
      </c>
      <c r="R70" s="105">
        <v>0.36974789915966388</v>
      </c>
      <c r="S70" s="106">
        <v>0.25210084033613445</v>
      </c>
      <c r="T70" s="106">
        <v>0.21008403361344538</v>
      </c>
      <c r="U70" s="106">
        <v>5.8823529411764705E-2</v>
      </c>
      <c r="V70" s="106">
        <v>7.5630252100840331E-2</v>
      </c>
      <c r="W70" s="107">
        <v>4.2016806722689079E-2</v>
      </c>
      <c r="X70" s="111">
        <f t="shared" si="14"/>
        <v>0</v>
      </c>
      <c r="Y70" s="90">
        <f t="shared" si="15"/>
        <v>0</v>
      </c>
      <c r="Z70" s="90">
        <f t="shared" si="16"/>
        <v>0</v>
      </c>
      <c r="AA70" s="90">
        <f t="shared" si="17"/>
        <v>0</v>
      </c>
      <c r="AB70" s="90">
        <f t="shared" si="18"/>
        <v>0</v>
      </c>
      <c r="AC70" s="112">
        <f t="shared" si="19"/>
        <v>0</v>
      </c>
      <c r="AD70" s="111">
        <f t="shared" si="20"/>
        <v>1.1092436974789917</v>
      </c>
      <c r="AE70" s="90">
        <f t="shared" si="21"/>
        <v>0.75630252100840334</v>
      </c>
      <c r="AF70" s="90">
        <f t="shared" si="22"/>
        <v>0.63025210084033612</v>
      </c>
      <c r="AG70" s="90">
        <f t="shared" si="23"/>
        <v>0.1764705882352941</v>
      </c>
      <c r="AH70" s="90">
        <f t="shared" si="24"/>
        <v>0.22689075630252098</v>
      </c>
      <c r="AI70" s="112">
        <f t="shared" si="25"/>
        <v>0.12605042016806722</v>
      </c>
      <c r="AJ70" s="121">
        <f>Input!$E$22*WRs!C70+Input!$E$23*WRs!D70+Input!$E$24*WRs!X70+Input!$E$25*WRs!Y70+Input!$E$26*WRs!Z70+Input!$E$27*WRs!AA70+Input!$E$28*WRs!AB70+Input!$E$29*WRs!AC70+Input!$E$30*WRs!E70+Input!$E$31*WRs!G70+Input!$E$32*WRs!H70+Input!$E$33*WRs!AD70+Input!$E$34*WRs!AE70+Input!$E$35*WRs!AF70+Input!$E$36*WRs!AG70+Input!$E$37*WRs!AH70+Input!$E$38*WRs!AI70+Input!$E$39*WRs!I70+Input!$E$40*WRs!K70</f>
        <v>90.711344537815123</v>
      </c>
    </row>
    <row r="71" spans="1:36" x14ac:dyDescent="0.25">
      <c r="A71" s="89" t="s">
        <v>410</v>
      </c>
      <c r="B71" s="112" t="s">
        <v>144</v>
      </c>
      <c r="C71" s="45">
        <v>1</v>
      </c>
      <c r="D71" s="37">
        <v>8</v>
      </c>
      <c r="E71" s="37">
        <v>0</v>
      </c>
      <c r="F71" s="38">
        <v>0</v>
      </c>
      <c r="G71" s="45">
        <v>45</v>
      </c>
      <c r="H71" s="37">
        <f>11.5*G71</f>
        <v>517.5</v>
      </c>
      <c r="I71" s="37">
        <v>0</v>
      </c>
      <c r="J71" s="38">
        <v>3</v>
      </c>
      <c r="K71" s="37">
        <v>0</v>
      </c>
      <c r="L71" s="105">
        <v>0.72727272727272729</v>
      </c>
      <c r="M71" s="106">
        <v>9.7902097902097904E-2</v>
      </c>
      <c r="N71" s="106">
        <v>6.2937062937062943E-2</v>
      </c>
      <c r="O71" s="106">
        <v>2.097902097902098E-2</v>
      </c>
      <c r="P71" s="106">
        <v>2.7972027972027972E-2</v>
      </c>
      <c r="Q71" s="107">
        <v>6.2937062937062943E-2</v>
      </c>
      <c r="R71" s="105">
        <v>0.36974789915966388</v>
      </c>
      <c r="S71" s="106">
        <v>0.25210084033613445</v>
      </c>
      <c r="T71" s="106">
        <v>0.21008403361344538</v>
      </c>
      <c r="U71" s="106">
        <v>5.8823529411764705E-2</v>
      </c>
      <c r="V71" s="106">
        <v>7.5630252100840331E-2</v>
      </c>
      <c r="W71" s="107">
        <v>4.2016806722689079E-2</v>
      </c>
      <c r="X71" s="111">
        <f t="shared" si="14"/>
        <v>0</v>
      </c>
      <c r="Y71" s="90">
        <f t="shared" si="15"/>
        <v>0</v>
      </c>
      <c r="Z71" s="90">
        <f t="shared" si="16"/>
        <v>0</v>
      </c>
      <c r="AA71" s="90">
        <f t="shared" si="17"/>
        <v>0</v>
      </c>
      <c r="AB71" s="90">
        <f t="shared" si="18"/>
        <v>0</v>
      </c>
      <c r="AC71" s="112">
        <f t="shared" si="19"/>
        <v>0</v>
      </c>
      <c r="AD71" s="111">
        <f t="shared" si="20"/>
        <v>1.1092436974789917</v>
      </c>
      <c r="AE71" s="90">
        <f t="shared" si="21"/>
        <v>0.75630252100840334</v>
      </c>
      <c r="AF71" s="90">
        <f t="shared" si="22"/>
        <v>0.63025210084033612</v>
      </c>
      <c r="AG71" s="90">
        <f t="shared" si="23"/>
        <v>0.1764705882352941</v>
      </c>
      <c r="AH71" s="90">
        <f t="shared" si="24"/>
        <v>0.22689075630252098</v>
      </c>
      <c r="AI71" s="112">
        <f t="shared" si="25"/>
        <v>0.12605042016806722</v>
      </c>
      <c r="AJ71" s="121">
        <f>Input!$E$22*WRs!C71+Input!$E$23*WRs!D71+Input!$E$24*WRs!X71+Input!$E$25*WRs!Y71+Input!$E$26*WRs!Z71+Input!$E$27*WRs!AA71+Input!$E$28*WRs!AB71+Input!$E$29*WRs!AC71+Input!$E$30*WRs!E71+Input!$E$31*WRs!G71+Input!$E$32*WRs!H71+Input!$E$33*WRs!AD71+Input!$E$34*WRs!AE71+Input!$E$35*WRs!AF71+Input!$E$36*WRs!AG71+Input!$E$37*WRs!AH71+Input!$E$38*WRs!AI71+Input!$E$39*WRs!I71+Input!$E$40*WRs!K71</f>
        <v>74.911344537815111</v>
      </c>
    </row>
    <row r="72" spans="1:36" x14ac:dyDescent="0.25">
      <c r="A72" s="89" t="s">
        <v>411</v>
      </c>
      <c r="B72" s="112" t="s">
        <v>172</v>
      </c>
      <c r="C72" s="45">
        <v>0</v>
      </c>
      <c r="D72" s="37">
        <v>0</v>
      </c>
      <c r="E72" s="37">
        <v>0</v>
      </c>
      <c r="F72" s="38">
        <v>0</v>
      </c>
      <c r="G72" s="45">
        <v>45</v>
      </c>
      <c r="H72" s="37">
        <f>13*G72</f>
        <v>585</v>
      </c>
      <c r="I72" s="37">
        <v>1</v>
      </c>
      <c r="J72" s="38">
        <v>3</v>
      </c>
      <c r="K72" s="37">
        <v>0</v>
      </c>
      <c r="L72" s="105">
        <v>0.72727272727272729</v>
      </c>
      <c r="M72" s="106">
        <v>9.7902097902097904E-2</v>
      </c>
      <c r="N72" s="106">
        <v>6.2937062937062943E-2</v>
      </c>
      <c r="O72" s="106">
        <v>2.097902097902098E-2</v>
      </c>
      <c r="P72" s="106">
        <v>2.7972027972027972E-2</v>
      </c>
      <c r="Q72" s="107">
        <v>6.2937062937062943E-2</v>
      </c>
      <c r="R72" s="105">
        <v>0.36974789915966388</v>
      </c>
      <c r="S72" s="106">
        <v>0.25210084033613445</v>
      </c>
      <c r="T72" s="106">
        <v>0.21008403361344538</v>
      </c>
      <c r="U72" s="106">
        <v>5.8823529411764705E-2</v>
      </c>
      <c r="V72" s="106">
        <v>7.5630252100840331E-2</v>
      </c>
      <c r="W72" s="107">
        <v>4.2016806722689079E-2</v>
      </c>
      <c r="X72" s="111">
        <f t="shared" si="14"/>
        <v>0</v>
      </c>
      <c r="Y72" s="90">
        <f t="shared" si="15"/>
        <v>0</v>
      </c>
      <c r="Z72" s="90">
        <f t="shared" si="16"/>
        <v>0</v>
      </c>
      <c r="AA72" s="90">
        <f t="shared" si="17"/>
        <v>0</v>
      </c>
      <c r="AB72" s="90">
        <f t="shared" si="18"/>
        <v>0</v>
      </c>
      <c r="AC72" s="112">
        <f t="shared" si="19"/>
        <v>0</v>
      </c>
      <c r="AD72" s="111">
        <f t="shared" si="20"/>
        <v>1.1092436974789917</v>
      </c>
      <c r="AE72" s="90">
        <f t="shared" si="21"/>
        <v>0.75630252100840334</v>
      </c>
      <c r="AF72" s="90">
        <f t="shared" si="22"/>
        <v>0.63025210084033612</v>
      </c>
      <c r="AG72" s="90">
        <f t="shared" si="23"/>
        <v>0.1764705882352941</v>
      </c>
      <c r="AH72" s="90">
        <f t="shared" si="24"/>
        <v>0.22689075630252098</v>
      </c>
      <c r="AI72" s="112">
        <f t="shared" si="25"/>
        <v>0.12605042016806722</v>
      </c>
      <c r="AJ72" s="121">
        <f>Input!$E$22*WRs!C72+Input!$E$23*WRs!D72+Input!$E$24*WRs!X72+Input!$E$25*WRs!Y72+Input!$E$26*WRs!Z72+Input!$E$27*WRs!AA72+Input!$E$28*WRs!AB72+Input!$E$29*WRs!AC72+Input!$E$30*WRs!E72+Input!$E$31*WRs!G72+Input!$E$32*WRs!H72+Input!$E$33*WRs!AD72+Input!$E$34*WRs!AE72+Input!$E$35*WRs!AF72+Input!$E$36*WRs!AG72+Input!$E$37*WRs!AH72+Input!$E$38*WRs!AI72+Input!$E$39*WRs!I72+Input!$E$40*WRs!K72</f>
        <v>83.861344537815128</v>
      </c>
    </row>
    <row r="73" spans="1:36" x14ac:dyDescent="0.25">
      <c r="A73" s="89" t="s">
        <v>412</v>
      </c>
      <c r="B73" s="112" t="s">
        <v>194</v>
      </c>
      <c r="C73" s="45">
        <v>1</v>
      </c>
      <c r="D73" s="37">
        <v>4</v>
      </c>
      <c r="E73" s="37">
        <v>0</v>
      </c>
      <c r="F73" s="38">
        <v>0</v>
      </c>
      <c r="G73" s="45">
        <v>45</v>
      </c>
      <c r="H73" s="37">
        <f>12.3*G73</f>
        <v>553.5</v>
      </c>
      <c r="I73" s="37">
        <v>1</v>
      </c>
      <c r="J73" s="38">
        <v>3</v>
      </c>
      <c r="K73" s="37">
        <v>0</v>
      </c>
      <c r="L73" s="105">
        <v>0.72727272727272729</v>
      </c>
      <c r="M73" s="106">
        <v>9.7902097902097904E-2</v>
      </c>
      <c r="N73" s="106">
        <v>6.2937062937062943E-2</v>
      </c>
      <c r="O73" s="106">
        <v>2.097902097902098E-2</v>
      </c>
      <c r="P73" s="106">
        <v>2.7972027972027972E-2</v>
      </c>
      <c r="Q73" s="107">
        <v>6.2937062937062943E-2</v>
      </c>
      <c r="R73" s="105">
        <v>0.36974789915966388</v>
      </c>
      <c r="S73" s="106">
        <v>0.25210084033613445</v>
      </c>
      <c r="T73" s="106">
        <v>0.21008403361344538</v>
      </c>
      <c r="U73" s="106">
        <v>5.8823529411764705E-2</v>
      </c>
      <c r="V73" s="106">
        <v>7.5630252100840331E-2</v>
      </c>
      <c r="W73" s="107">
        <v>4.2016806722689079E-2</v>
      </c>
      <c r="X73" s="111">
        <f t="shared" si="14"/>
        <v>0</v>
      </c>
      <c r="Y73" s="90">
        <f t="shared" si="15"/>
        <v>0</v>
      </c>
      <c r="Z73" s="90">
        <f t="shared" si="16"/>
        <v>0</v>
      </c>
      <c r="AA73" s="90">
        <f t="shared" si="17"/>
        <v>0</v>
      </c>
      <c r="AB73" s="90">
        <f t="shared" si="18"/>
        <v>0</v>
      </c>
      <c r="AC73" s="112">
        <f t="shared" si="19"/>
        <v>0</v>
      </c>
      <c r="AD73" s="111">
        <f t="shared" si="20"/>
        <v>1.1092436974789917</v>
      </c>
      <c r="AE73" s="90">
        <f t="shared" si="21"/>
        <v>0.75630252100840334</v>
      </c>
      <c r="AF73" s="90">
        <f t="shared" si="22"/>
        <v>0.63025210084033612</v>
      </c>
      <c r="AG73" s="90">
        <f t="shared" si="23"/>
        <v>0.1764705882352941</v>
      </c>
      <c r="AH73" s="90">
        <f t="shared" si="24"/>
        <v>0.22689075630252098</v>
      </c>
      <c r="AI73" s="112">
        <f t="shared" si="25"/>
        <v>0.12605042016806722</v>
      </c>
      <c r="AJ73" s="121">
        <f>Input!$E$22*WRs!C73+Input!$E$23*WRs!D73+Input!$E$24*WRs!X73+Input!$E$25*WRs!Y73+Input!$E$26*WRs!Z73+Input!$E$27*WRs!AA73+Input!$E$28*WRs!AB73+Input!$E$29*WRs!AC73+Input!$E$30*WRs!E73+Input!$E$31*WRs!G73+Input!$E$32*WRs!H73+Input!$E$33*WRs!AD73+Input!$E$34*WRs!AE73+Input!$E$35*WRs!AF73+Input!$E$36*WRs!AG73+Input!$E$37*WRs!AH73+Input!$E$38*WRs!AI73+Input!$E$39*WRs!I73+Input!$E$40*WRs!K73</f>
        <v>81.111344537815114</v>
      </c>
    </row>
    <row r="74" spans="1:36" x14ac:dyDescent="0.25">
      <c r="A74" s="89" t="s">
        <v>413</v>
      </c>
      <c r="B74" s="112" t="s">
        <v>174</v>
      </c>
      <c r="C74" s="45">
        <v>0</v>
      </c>
      <c r="D74" s="37">
        <v>0</v>
      </c>
      <c r="E74" s="37">
        <v>0</v>
      </c>
      <c r="F74" s="38">
        <v>0</v>
      </c>
      <c r="G74" s="45">
        <v>35</v>
      </c>
      <c r="H74" s="37">
        <f>15.8*G74</f>
        <v>553</v>
      </c>
      <c r="I74" s="37">
        <v>1</v>
      </c>
      <c r="J74" s="38">
        <v>3</v>
      </c>
      <c r="K74" s="37">
        <v>0</v>
      </c>
      <c r="L74" s="105">
        <v>0.72727272727272729</v>
      </c>
      <c r="M74" s="106">
        <v>9.7902097902097904E-2</v>
      </c>
      <c r="N74" s="106">
        <v>6.2937062937062943E-2</v>
      </c>
      <c r="O74" s="106">
        <v>2.097902097902098E-2</v>
      </c>
      <c r="P74" s="106">
        <v>2.7972027972027972E-2</v>
      </c>
      <c r="Q74" s="107">
        <v>6.2937062937062943E-2</v>
      </c>
      <c r="R74" s="105">
        <v>0.12380952380952381</v>
      </c>
      <c r="S74" s="106">
        <v>0.15238095238095239</v>
      </c>
      <c r="T74" s="106">
        <v>9.5238095238095233E-2</v>
      </c>
      <c r="U74" s="106">
        <v>0.19047619047619047</v>
      </c>
      <c r="V74" s="106">
        <v>0.14285714285714285</v>
      </c>
      <c r="W74" s="107">
        <v>0.29523809523809524</v>
      </c>
      <c r="X74" s="111">
        <f t="shared" si="14"/>
        <v>0</v>
      </c>
      <c r="Y74" s="90">
        <f t="shared" si="15"/>
        <v>0</v>
      </c>
      <c r="Z74" s="90">
        <f t="shared" si="16"/>
        <v>0</v>
      </c>
      <c r="AA74" s="90">
        <f t="shared" si="17"/>
        <v>0</v>
      </c>
      <c r="AB74" s="90">
        <f t="shared" si="18"/>
        <v>0</v>
      </c>
      <c r="AC74" s="112">
        <f t="shared" si="19"/>
        <v>0</v>
      </c>
      <c r="AD74" s="111">
        <f t="shared" si="20"/>
        <v>0.37142857142857144</v>
      </c>
      <c r="AE74" s="90">
        <f t="shared" si="21"/>
        <v>0.45714285714285718</v>
      </c>
      <c r="AF74" s="90">
        <f t="shared" si="22"/>
        <v>0.2857142857142857</v>
      </c>
      <c r="AG74" s="90">
        <f t="shared" si="23"/>
        <v>0.5714285714285714</v>
      </c>
      <c r="AH74" s="90">
        <f t="shared" si="24"/>
        <v>0.42857142857142855</v>
      </c>
      <c r="AI74" s="112">
        <f t="shared" si="25"/>
        <v>0.88571428571428568</v>
      </c>
      <c r="AJ74" s="121">
        <f>Input!$E$22*WRs!C74+Input!$E$23*WRs!D74+Input!$E$24*WRs!X74+Input!$E$25*WRs!Y74+Input!$E$26*WRs!Z74+Input!$E$27*WRs!AA74+Input!$E$28*WRs!AB74+Input!$E$29*WRs!AC74+Input!$E$30*WRs!E74+Input!$E$31*WRs!G74+Input!$E$32*WRs!H74+Input!$E$33*WRs!AD74+Input!$E$34*WRs!AE74+Input!$E$35*WRs!AF74+Input!$E$36*WRs!AG74+Input!$E$37*WRs!AH74+Input!$E$38*WRs!AI74+Input!$E$39*WRs!I74+Input!$E$40*WRs!K74</f>
        <v>86.071428571428584</v>
      </c>
    </row>
    <row r="75" spans="1:36" x14ac:dyDescent="0.25">
      <c r="A75" s="89" t="s">
        <v>414</v>
      </c>
      <c r="B75" s="112" t="s">
        <v>156</v>
      </c>
      <c r="C75" s="45">
        <v>0</v>
      </c>
      <c r="D75" s="37">
        <v>0</v>
      </c>
      <c r="E75" s="37">
        <v>0</v>
      </c>
      <c r="F75" s="38">
        <v>0</v>
      </c>
      <c r="G75" s="45">
        <v>35</v>
      </c>
      <c r="H75" s="37">
        <f>18*G75</f>
        <v>630</v>
      </c>
      <c r="I75" s="37">
        <v>1</v>
      </c>
      <c r="J75" s="38">
        <v>3</v>
      </c>
      <c r="K75" s="37">
        <v>0</v>
      </c>
      <c r="L75" s="105">
        <v>0.72727272727272729</v>
      </c>
      <c r="M75" s="106">
        <v>9.7902097902097904E-2</v>
      </c>
      <c r="N75" s="106">
        <v>6.2937062937062943E-2</v>
      </c>
      <c r="O75" s="106">
        <v>2.097902097902098E-2</v>
      </c>
      <c r="P75" s="106">
        <v>2.7972027972027972E-2</v>
      </c>
      <c r="Q75" s="107">
        <v>6.2937062937062943E-2</v>
      </c>
      <c r="R75" s="105">
        <v>0.36974789915966388</v>
      </c>
      <c r="S75" s="106">
        <v>0.25210084033613445</v>
      </c>
      <c r="T75" s="106">
        <v>0.21008403361344538</v>
      </c>
      <c r="U75" s="106">
        <v>5.8823529411764705E-2</v>
      </c>
      <c r="V75" s="106">
        <v>7.5630252100840331E-2</v>
      </c>
      <c r="W75" s="107">
        <v>4.2016806722689079E-2</v>
      </c>
      <c r="X75" s="111">
        <f t="shared" si="14"/>
        <v>0</v>
      </c>
      <c r="Y75" s="90">
        <f t="shared" si="15"/>
        <v>0</v>
      </c>
      <c r="Z75" s="90">
        <f t="shared" si="16"/>
        <v>0</v>
      </c>
      <c r="AA75" s="90">
        <f t="shared" si="17"/>
        <v>0</v>
      </c>
      <c r="AB75" s="90">
        <f t="shared" si="18"/>
        <v>0</v>
      </c>
      <c r="AC75" s="112">
        <f t="shared" si="19"/>
        <v>0</v>
      </c>
      <c r="AD75" s="111">
        <f t="shared" si="20"/>
        <v>1.1092436974789917</v>
      </c>
      <c r="AE75" s="90">
        <f t="shared" si="21"/>
        <v>0.75630252100840334</v>
      </c>
      <c r="AF75" s="90">
        <f t="shared" si="22"/>
        <v>0.63025210084033612</v>
      </c>
      <c r="AG75" s="90">
        <f t="shared" si="23"/>
        <v>0.1764705882352941</v>
      </c>
      <c r="AH75" s="90">
        <f t="shared" si="24"/>
        <v>0.22689075630252098</v>
      </c>
      <c r="AI75" s="112">
        <f t="shared" si="25"/>
        <v>0.12605042016806722</v>
      </c>
      <c r="AJ75" s="121">
        <f>Input!$E$22*WRs!C75+Input!$E$23*WRs!D75+Input!$E$24*WRs!X75+Input!$E$25*WRs!Y75+Input!$E$26*WRs!Z75+Input!$E$27*WRs!AA75+Input!$E$28*WRs!AB75+Input!$E$29*WRs!AC75+Input!$E$30*WRs!E75+Input!$E$31*WRs!G75+Input!$E$32*WRs!H75+Input!$E$33*WRs!AD75+Input!$E$34*WRs!AE75+Input!$E$35*WRs!AF75+Input!$E$36*WRs!AG75+Input!$E$37*WRs!AH75+Input!$E$38*WRs!AI75+Input!$E$39*WRs!I75+Input!$E$40*WRs!K75</f>
        <v>88.361344537815128</v>
      </c>
    </row>
    <row r="76" spans="1:36" x14ac:dyDescent="0.25">
      <c r="A76" s="89" t="s">
        <v>415</v>
      </c>
      <c r="B76" s="112" t="s">
        <v>174</v>
      </c>
      <c r="C76" s="45">
        <v>0</v>
      </c>
      <c r="D76" s="37">
        <v>0</v>
      </c>
      <c r="E76" s="37">
        <v>0</v>
      </c>
      <c r="F76" s="38">
        <v>0</v>
      </c>
      <c r="G76" s="45">
        <v>40</v>
      </c>
      <c r="H76" s="37">
        <f>13.4*G76</f>
        <v>536</v>
      </c>
      <c r="I76" s="37">
        <v>0</v>
      </c>
      <c r="J76" s="38">
        <v>2</v>
      </c>
      <c r="K76" s="37">
        <v>0</v>
      </c>
      <c r="L76" s="105">
        <v>0.72727272727272729</v>
      </c>
      <c r="M76" s="106">
        <v>9.7902097902097904E-2</v>
      </c>
      <c r="N76" s="106">
        <v>6.2937062937062943E-2</v>
      </c>
      <c r="O76" s="106">
        <v>2.097902097902098E-2</v>
      </c>
      <c r="P76" s="106">
        <v>2.7972027972027972E-2</v>
      </c>
      <c r="Q76" s="107">
        <v>6.2937062937062943E-2</v>
      </c>
      <c r="R76" s="105">
        <v>0.36974789915966388</v>
      </c>
      <c r="S76" s="106">
        <v>0.25210084033613445</v>
      </c>
      <c r="T76" s="106">
        <v>0.21008403361344538</v>
      </c>
      <c r="U76" s="106">
        <v>5.8823529411764705E-2</v>
      </c>
      <c r="V76" s="106">
        <v>7.5630252100840331E-2</v>
      </c>
      <c r="W76" s="107">
        <v>4.2016806722689079E-2</v>
      </c>
      <c r="X76" s="111">
        <f t="shared" si="14"/>
        <v>0</v>
      </c>
      <c r="Y76" s="90">
        <f t="shared" si="15"/>
        <v>0</v>
      </c>
      <c r="Z76" s="90">
        <f t="shared" si="16"/>
        <v>0</v>
      </c>
      <c r="AA76" s="90">
        <f t="shared" si="17"/>
        <v>0</v>
      </c>
      <c r="AB76" s="90">
        <f t="shared" si="18"/>
        <v>0</v>
      </c>
      <c r="AC76" s="112">
        <f t="shared" si="19"/>
        <v>0</v>
      </c>
      <c r="AD76" s="111">
        <f t="shared" si="20"/>
        <v>0.73949579831932777</v>
      </c>
      <c r="AE76" s="90">
        <f t="shared" si="21"/>
        <v>0.50420168067226889</v>
      </c>
      <c r="AF76" s="90">
        <f t="shared" si="22"/>
        <v>0.42016806722689076</v>
      </c>
      <c r="AG76" s="90">
        <f t="shared" si="23"/>
        <v>0.11764705882352941</v>
      </c>
      <c r="AH76" s="90">
        <f t="shared" si="24"/>
        <v>0.15126050420168066</v>
      </c>
      <c r="AI76" s="112">
        <f t="shared" si="25"/>
        <v>8.4033613445378158E-2</v>
      </c>
      <c r="AJ76" s="121">
        <f>Input!$E$22*WRs!C76+Input!$E$23*WRs!D76+Input!$E$24*WRs!X76+Input!$E$25*WRs!Y76+Input!$E$26*WRs!Z76+Input!$E$27*WRs!AA76+Input!$E$28*WRs!AB76+Input!$E$29*WRs!AC76+Input!$E$30*WRs!E76+Input!$E$31*WRs!G76+Input!$E$32*WRs!H76+Input!$E$33*WRs!AD76+Input!$E$34*WRs!AE76+Input!$E$35*WRs!AF76+Input!$E$36*WRs!AG76+Input!$E$37*WRs!AH76+Input!$E$38*WRs!AI76+Input!$E$39*WRs!I76+Input!$E$40*WRs!K76</f>
        <v>68.507563025210075</v>
      </c>
    </row>
    <row r="77" spans="1:36" x14ac:dyDescent="0.25">
      <c r="A77" s="89" t="s">
        <v>416</v>
      </c>
      <c r="B77" s="112" t="s">
        <v>184</v>
      </c>
      <c r="C77" s="45">
        <v>1</v>
      </c>
      <c r="D77" s="37">
        <v>8</v>
      </c>
      <c r="E77" s="37">
        <v>0</v>
      </c>
      <c r="F77" s="38">
        <v>0</v>
      </c>
      <c r="G77" s="45">
        <v>15</v>
      </c>
      <c r="H77" s="37">
        <v>260</v>
      </c>
      <c r="I77" s="37">
        <v>0</v>
      </c>
      <c r="J77" s="38">
        <v>1</v>
      </c>
      <c r="K77" s="37">
        <v>0</v>
      </c>
      <c r="L77" s="105">
        <v>0.72727272727272729</v>
      </c>
      <c r="M77" s="106">
        <v>9.7902097902097904E-2</v>
      </c>
      <c r="N77" s="106">
        <v>6.2937062937062943E-2</v>
      </c>
      <c r="O77" s="106">
        <v>2.097902097902098E-2</v>
      </c>
      <c r="P77" s="106">
        <v>2.7972027972027972E-2</v>
      </c>
      <c r="Q77" s="107">
        <v>6.2937062937062943E-2</v>
      </c>
      <c r="R77" s="105">
        <v>0.36974789915966388</v>
      </c>
      <c r="S77" s="106">
        <v>0.25210084033613445</v>
      </c>
      <c r="T77" s="106">
        <v>0.21008403361344538</v>
      </c>
      <c r="U77" s="106">
        <v>5.8823529411764705E-2</v>
      </c>
      <c r="V77" s="106">
        <v>7.5630252100840331E-2</v>
      </c>
      <c r="W77" s="107">
        <v>4.2016806722689079E-2</v>
      </c>
      <c r="X77" s="111">
        <f t="shared" ref="X77:X138" si="26">$F77*L77</f>
        <v>0</v>
      </c>
      <c r="Y77" s="90">
        <f t="shared" ref="Y77:Y138" si="27">$F77*M77</f>
        <v>0</v>
      </c>
      <c r="Z77" s="90">
        <f t="shared" ref="Z77:Z138" si="28">$F77*N77</f>
        <v>0</v>
      </c>
      <c r="AA77" s="90">
        <f t="shared" ref="AA77:AA138" si="29">$F77*O77</f>
        <v>0</v>
      </c>
      <c r="AB77" s="90">
        <f t="shared" ref="AB77:AB138" si="30">$F77*P77</f>
        <v>0</v>
      </c>
      <c r="AC77" s="112">
        <f t="shared" ref="AC77:AC138" si="31">$F77*Q77</f>
        <v>0</v>
      </c>
      <c r="AD77" s="111">
        <f t="shared" si="20"/>
        <v>0.36974789915966388</v>
      </c>
      <c r="AE77" s="90">
        <f t="shared" si="21"/>
        <v>0.25210084033613445</v>
      </c>
      <c r="AF77" s="90">
        <f t="shared" si="22"/>
        <v>0.21008403361344538</v>
      </c>
      <c r="AG77" s="90">
        <f t="shared" si="23"/>
        <v>5.8823529411764705E-2</v>
      </c>
      <c r="AH77" s="90">
        <f t="shared" si="24"/>
        <v>7.5630252100840331E-2</v>
      </c>
      <c r="AI77" s="112">
        <f t="shared" si="25"/>
        <v>4.2016806722689079E-2</v>
      </c>
      <c r="AJ77" s="121">
        <f>Input!$E$22*WRs!C77+Input!$E$23*WRs!D77+Input!$E$24*WRs!X77+Input!$E$25*WRs!Y77+Input!$E$26*WRs!Z77+Input!$E$27*WRs!AA77+Input!$E$28*WRs!AB77+Input!$E$29*WRs!AC77+Input!$E$30*WRs!E77+Input!$E$31*WRs!G77+Input!$E$32*WRs!H77+Input!$E$33*WRs!AD77+Input!$E$34*WRs!AE77+Input!$E$35*WRs!AF77+Input!$E$36*WRs!AG77+Input!$E$37*WRs!AH77+Input!$E$38*WRs!AI77+Input!$E$39*WRs!I77+Input!$E$40*WRs!K77</f>
        <v>34.253781512605038</v>
      </c>
    </row>
    <row r="78" spans="1:36" x14ac:dyDescent="0.25">
      <c r="A78" s="89" t="s">
        <v>417</v>
      </c>
      <c r="B78" s="112" t="s">
        <v>158</v>
      </c>
      <c r="C78" s="45">
        <v>0</v>
      </c>
      <c r="D78" s="37">
        <v>0</v>
      </c>
      <c r="E78" s="37">
        <v>0</v>
      </c>
      <c r="F78" s="38">
        <v>0</v>
      </c>
      <c r="G78" s="45">
        <v>40</v>
      </c>
      <c r="H78" s="37">
        <f>12*G78</f>
        <v>480</v>
      </c>
      <c r="I78" s="37">
        <v>0</v>
      </c>
      <c r="J78" s="38">
        <v>3</v>
      </c>
      <c r="K78" s="37">
        <v>0</v>
      </c>
      <c r="L78" s="105">
        <v>0.72727272727272729</v>
      </c>
      <c r="M78" s="106">
        <v>9.7902097902097904E-2</v>
      </c>
      <c r="N78" s="106">
        <v>6.2937062937062943E-2</v>
      </c>
      <c r="O78" s="106">
        <v>2.097902097902098E-2</v>
      </c>
      <c r="P78" s="106">
        <v>2.7972027972027972E-2</v>
      </c>
      <c r="Q78" s="107">
        <v>6.2937062937062943E-2</v>
      </c>
      <c r="R78" s="105">
        <v>0.36974789915966388</v>
      </c>
      <c r="S78" s="106">
        <v>0.25210084033613445</v>
      </c>
      <c r="T78" s="106">
        <v>0.21008403361344538</v>
      </c>
      <c r="U78" s="106">
        <v>5.8823529411764705E-2</v>
      </c>
      <c r="V78" s="106">
        <v>7.5630252100840331E-2</v>
      </c>
      <c r="W78" s="107">
        <v>4.2016806722689079E-2</v>
      </c>
      <c r="X78" s="111">
        <f t="shared" si="26"/>
        <v>0</v>
      </c>
      <c r="Y78" s="90">
        <f t="shared" si="27"/>
        <v>0</v>
      </c>
      <c r="Z78" s="90">
        <f t="shared" si="28"/>
        <v>0</v>
      </c>
      <c r="AA78" s="90">
        <f t="shared" si="29"/>
        <v>0</v>
      </c>
      <c r="AB78" s="90">
        <f t="shared" si="30"/>
        <v>0</v>
      </c>
      <c r="AC78" s="112">
        <f t="shared" si="31"/>
        <v>0</v>
      </c>
      <c r="AD78" s="111">
        <f t="shared" si="20"/>
        <v>1.1092436974789917</v>
      </c>
      <c r="AE78" s="90">
        <f t="shared" si="21"/>
        <v>0.75630252100840334</v>
      </c>
      <c r="AF78" s="90">
        <f t="shared" si="22"/>
        <v>0.63025210084033612</v>
      </c>
      <c r="AG78" s="90">
        <f t="shared" si="23"/>
        <v>0.1764705882352941</v>
      </c>
      <c r="AH78" s="90">
        <f t="shared" si="24"/>
        <v>0.22689075630252098</v>
      </c>
      <c r="AI78" s="112">
        <f t="shared" si="25"/>
        <v>0.12605042016806722</v>
      </c>
      <c r="AJ78" s="121">
        <f>Input!$E$22*WRs!C78+Input!$E$23*WRs!D78+Input!$E$24*WRs!X78+Input!$E$25*WRs!Y78+Input!$E$26*WRs!Z78+Input!$E$27*WRs!AA78+Input!$E$28*WRs!AB78+Input!$E$29*WRs!AC78+Input!$E$30*WRs!E78+Input!$E$31*WRs!G78+Input!$E$32*WRs!H78+Input!$E$33*WRs!AD78+Input!$E$34*WRs!AE78+Input!$E$35*WRs!AF78+Input!$E$36*WRs!AG78+Input!$E$37*WRs!AH78+Input!$E$38*WRs!AI78+Input!$E$39*WRs!I78+Input!$E$40*WRs!K78</f>
        <v>70.361344537815128</v>
      </c>
    </row>
    <row r="79" spans="1:36" x14ac:dyDescent="0.25">
      <c r="A79" s="89" t="s">
        <v>418</v>
      </c>
      <c r="B79" s="112" t="s">
        <v>164</v>
      </c>
      <c r="C79" s="45">
        <v>0</v>
      </c>
      <c r="D79" s="37">
        <v>0</v>
      </c>
      <c r="E79" s="37">
        <v>0</v>
      </c>
      <c r="F79" s="38">
        <v>0</v>
      </c>
      <c r="G79" s="45">
        <v>15</v>
      </c>
      <c r="H79" s="37">
        <f>13.5*G79</f>
        <v>202.5</v>
      </c>
      <c r="I79" s="37">
        <v>0</v>
      </c>
      <c r="J79" s="38">
        <v>1</v>
      </c>
      <c r="K79" s="37">
        <v>0</v>
      </c>
      <c r="L79" s="105">
        <v>0.72727272727272729</v>
      </c>
      <c r="M79" s="106">
        <v>9.7902097902097904E-2</v>
      </c>
      <c r="N79" s="106">
        <v>6.2937062937062943E-2</v>
      </c>
      <c r="O79" s="106">
        <v>2.097902097902098E-2</v>
      </c>
      <c r="P79" s="106">
        <v>2.7972027972027972E-2</v>
      </c>
      <c r="Q79" s="107">
        <v>6.2937062937062943E-2</v>
      </c>
      <c r="R79" s="105">
        <v>0.36974789915966388</v>
      </c>
      <c r="S79" s="106">
        <v>0.25210084033613445</v>
      </c>
      <c r="T79" s="106">
        <v>0.21008403361344538</v>
      </c>
      <c r="U79" s="106">
        <v>5.8823529411764705E-2</v>
      </c>
      <c r="V79" s="106">
        <v>7.5630252100840331E-2</v>
      </c>
      <c r="W79" s="107">
        <v>4.2016806722689079E-2</v>
      </c>
      <c r="X79" s="111">
        <f t="shared" si="26"/>
        <v>0</v>
      </c>
      <c r="Y79" s="90">
        <f t="shared" si="27"/>
        <v>0</v>
      </c>
      <c r="Z79" s="90">
        <f t="shared" si="28"/>
        <v>0</v>
      </c>
      <c r="AA79" s="90">
        <f t="shared" si="29"/>
        <v>0</v>
      </c>
      <c r="AB79" s="90">
        <f t="shared" si="30"/>
        <v>0</v>
      </c>
      <c r="AC79" s="112">
        <f t="shared" si="31"/>
        <v>0</v>
      </c>
      <c r="AD79" s="111">
        <f t="shared" si="20"/>
        <v>0.36974789915966388</v>
      </c>
      <c r="AE79" s="90">
        <f t="shared" si="21"/>
        <v>0.25210084033613445</v>
      </c>
      <c r="AF79" s="90">
        <f t="shared" si="22"/>
        <v>0.21008403361344538</v>
      </c>
      <c r="AG79" s="90">
        <f t="shared" si="23"/>
        <v>5.8823529411764705E-2</v>
      </c>
      <c r="AH79" s="90">
        <f t="shared" si="24"/>
        <v>7.5630252100840331E-2</v>
      </c>
      <c r="AI79" s="112">
        <f t="shared" si="25"/>
        <v>4.2016806722689079E-2</v>
      </c>
      <c r="AJ79" s="121">
        <f>Input!$E$22*WRs!C79+Input!$E$23*WRs!D79+Input!$E$24*WRs!X79+Input!$E$25*WRs!Y79+Input!$E$26*WRs!Z79+Input!$E$27*WRs!AA79+Input!$E$28*WRs!AB79+Input!$E$29*WRs!AC79+Input!$E$30*WRs!E79+Input!$E$31*WRs!G79+Input!$E$32*WRs!H79+Input!$E$33*WRs!AD79+Input!$E$34*WRs!AE79+Input!$E$35*WRs!AF79+Input!$E$36*WRs!AG79+Input!$E$37*WRs!AH79+Input!$E$38*WRs!AI79+Input!$E$39*WRs!I79+Input!$E$40*WRs!K79</f>
        <v>27.703781512605048</v>
      </c>
    </row>
    <row r="80" spans="1:36" x14ac:dyDescent="0.25">
      <c r="A80" s="89" t="s">
        <v>419</v>
      </c>
      <c r="B80" s="112" t="s">
        <v>184</v>
      </c>
      <c r="C80" s="45">
        <v>5</v>
      </c>
      <c r="D80" s="37">
        <f>3.1*C80</f>
        <v>15.5</v>
      </c>
      <c r="E80" s="37">
        <v>0</v>
      </c>
      <c r="F80" s="38">
        <v>0</v>
      </c>
      <c r="G80" s="45">
        <v>40</v>
      </c>
      <c r="H80" s="37">
        <f>15.3*G80</f>
        <v>612</v>
      </c>
      <c r="I80" s="37">
        <v>0</v>
      </c>
      <c r="J80" s="38">
        <v>4</v>
      </c>
      <c r="K80" s="37">
        <v>0</v>
      </c>
      <c r="L80" s="105">
        <v>0.72727272727272729</v>
      </c>
      <c r="M80" s="106">
        <v>9.7902097902097904E-2</v>
      </c>
      <c r="N80" s="106">
        <v>6.2937062937062943E-2</v>
      </c>
      <c r="O80" s="106">
        <v>2.097902097902098E-2</v>
      </c>
      <c r="P80" s="106">
        <v>2.7972027972027972E-2</v>
      </c>
      <c r="Q80" s="107">
        <v>6.2937062937062943E-2</v>
      </c>
      <c r="R80" s="105">
        <v>0.36974789915966388</v>
      </c>
      <c r="S80" s="106">
        <v>0.25210084033613445</v>
      </c>
      <c r="T80" s="106">
        <v>0.21008403361344538</v>
      </c>
      <c r="U80" s="106">
        <v>5.8823529411764705E-2</v>
      </c>
      <c r="V80" s="106">
        <v>7.5630252100840331E-2</v>
      </c>
      <c r="W80" s="107">
        <v>4.2016806722689079E-2</v>
      </c>
      <c r="X80" s="111">
        <f t="shared" si="26"/>
        <v>0</v>
      </c>
      <c r="Y80" s="90">
        <f t="shared" si="27"/>
        <v>0</v>
      </c>
      <c r="Z80" s="90">
        <f t="shared" si="28"/>
        <v>0</v>
      </c>
      <c r="AA80" s="90">
        <f t="shared" si="29"/>
        <v>0</v>
      </c>
      <c r="AB80" s="90">
        <f t="shared" si="30"/>
        <v>0</v>
      </c>
      <c r="AC80" s="112">
        <f t="shared" si="31"/>
        <v>0</v>
      </c>
      <c r="AD80" s="111">
        <f t="shared" si="20"/>
        <v>1.4789915966386555</v>
      </c>
      <c r="AE80" s="90">
        <f t="shared" si="21"/>
        <v>1.0084033613445378</v>
      </c>
      <c r="AF80" s="90">
        <f t="shared" si="22"/>
        <v>0.84033613445378152</v>
      </c>
      <c r="AG80" s="90">
        <f t="shared" si="23"/>
        <v>0.23529411764705882</v>
      </c>
      <c r="AH80" s="90">
        <f t="shared" si="24"/>
        <v>0.30252100840336132</v>
      </c>
      <c r="AI80" s="112">
        <f t="shared" si="25"/>
        <v>0.16806722689075632</v>
      </c>
      <c r="AJ80" s="121">
        <f>Input!$E$22*WRs!C80+Input!$E$23*WRs!D80+Input!$E$24*WRs!X80+Input!$E$25*WRs!Y80+Input!$E$26*WRs!Z80+Input!$E$27*WRs!AA80+Input!$E$28*WRs!AB80+Input!$E$29*WRs!AC80+Input!$E$30*WRs!E80+Input!$E$31*WRs!G80+Input!$E$32*WRs!H80+Input!$E$33*WRs!AD80+Input!$E$34*WRs!AE80+Input!$E$35*WRs!AF80+Input!$E$36*WRs!AG80+Input!$E$37*WRs!AH80+Input!$E$38*WRs!AI80+Input!$E$39*WRs!I80+Input!$E$40*WRs!K80</f>
        <v>92.56512605042019</v>
      </c>
    </row>
    <row r="81" spans="1:36" x14ac:dyDescent="0.25">
      <c r="A81" s="89" t="s">
        <v>420</v>
      </c>
      <c r="B81" s="112" t="s">
        <v>160</v>
      </c>
      <c r="C81" s="45">
        <v>0</v>
      </c>
      <c r="D81" s="37">
        <v>0</v>
      </c>
      <c r="E81" s="37">
        <v>0</v>
      </c>
      <c r="F81" s="38">
        <v>0</v>
      </c>
      <c r="G81" s="45">
        <v>35</v>
      </c>
      <c r="H81" s="37">
        <f>15*G81</f>
        <v>525</v>
      </c>
      <c r="I81" s="37">
        <v>0</v>
      </c>
      <c r="J81" s="38">
        <v>2</v>
      </c>
      <c r="K81" s="37">
        <v>0</v>
      </c>
      <c r="L81" s="105">
        <v>0.72727272727272729</v>
      </c>
      <c r="M81" s="106">
        <v>9.7902097902097904E-2</v>
      </c>
      <c r="N81" s="106">
        <v>6.2937062937062943E-2</v>
      </c>
      <c r="O81" s="106">
        <v>2.097902097902098E-2</v>
      </c>
      <c r="P81" s="106">
        <v>2.7972027972027972E-2</v>
      </c>
      <c r="Q81" s="107">
        <v>6.2937062937062943E-2</v>
      </c>
      <c r="R81" s="105">
        <v>0.36974789915966388</v>
      </c>
      <c r="S81" s="106">
        <v>0.25210084033613445</v>
      </c>
      <c r="T81" s="106">
        <v>0.21008403361344538</v>
      </c>
      <c r="U81" s="106">
        <v>5.8823529411764705E-2</v>
      </c>
      <c r="V81" s="106">
        <v>7.5630252100840331E-2</v>
      </c>
      <c r="W81" s="107">
        <v>4.2016806722689079E-2</v>
      </c>
      <c r="X81" s="111">
        <f t="shared" si="26"/>
        <v>0</v>
      </c>
      <c r="Y81" s="90">
        <f t="shared" si="27"/>
        <v>0</v>
      </c>
      <c r="Z81" s="90">
        <f t="shared" si="28"/>
        <v>0</v>
      </c>
      <c r="AA81" s="90">
        <f t="shared" si="29"/>
        <v>0</v>
      </c>
      <c r="AB81" s="90">
        <f t="shared" si="30"/>
        <v>0</v>
      </c>
      <c r="AC81" s="112">
        <f t="shared" si="31"/>
        <v>0</v>
      </c>
      <c r="AD81" s="111">
        <f t="shared" si="20"/>
        <v>0.73949579831932777</v>
      </c>
      <c r="AE81" s="90">
        <f t="shared" si="21"/>
        <v>0.50420168067226889</v>
      </c>
      <c r="AF81" s="90">
        <f t="shared" si="22"/>
        <v>0.42016806722689076</v>
      </c>
      <c r="AG81" s="90">
        <f t="shared" si="23"/>
        <v>0.11764705882352941</v>
      </c>
      <c r="AH81" s="90">
        <f t="shared" si="24"/>
        <v>0.15126050420168066</v>
      </c>
      <c r="AI81" s="112">
        <f t="shared" si="25"/>
        <v>8.4033613445378158E-2</v>
      </c>
      <c r="AJ81" s="121">
        <f>Input!$E$22*WRs!C81+Input!$E$23*WRs!D81+Input!$E$24*WRs!X81+Input!$E$25*WRs!Y81+Input!$E$26*WRs!Z81+Input!$E$27*WRs!AA81+Input!$E$28*WRs!AB81+Input!$E$29*WRs!AC81+Input!$E$30*WRs!E81+Input!$E$31*WRs!G81+Input!$E$32*WRs!H81+Input!$E$33*WRs!AD81+Input!$E$34*WRs!AE81+Input!$E$35*WRs!AF81+Input!$E$36*WRs!AG81+Input!$E$37*WRs!AH81+Input!$E$38*WRs!AI81+Input!$E$39*WRs!I81+Input!$E$40*WRs!K81</f>
        <v>67.407563025210081</v>
      </c>
    </row>
    <row r="82" spans="1:36" x14ac:dyDescent="0.25">
      <c r="A82" s="89" t="s">
        <v>421</v>
      </c>
      <c r="B82" s="112" t="s">
        <v>162</v>
      </c>
      <c r="C82" s="45">
        <v>0</v>
      </c>
      <c r="D82" s="37">
        <v>0</v>
      </c>
      <c r="E82" s="37">
        <v>0</v>
      </c>
      <c r="F82" s="38">
        <v>0</v>
      </c>
      <c r="G82" s="45">
        <v>35</v>
      </c>
      <c r="H82" s="37">
        <f>12.6*G82</f>
        <v>441</v>
      </c>
      <c r="I82" s="37">
        <v>0</v>
      </c>
      <c r="J82" s="38">
        <v>3</v>
      </c>
      <c r="K82" s="37">
        <v>0</v>
      </c>
      <c r="L82" s="105">
        <v>0.72727272727272729</v>
      </c>
      <c r="M82" s="106">
        <v>9.7902097902097904E-2</v>
      </c>
      <c r="N82" s="106">
        <v>6.2937062937062943E-2</v>
      </c>
      <c r="O82" s="106">
        <v>2.097902097902098E-2</v>
      </c>
      <c r="P82" s="106">
        <v>2.7972027972027972E-2</v>
      </c>
      <c r="Q82" s="107">
        <v>6.2937062937062943E-2</v>
      </c>
      <c r="R82" s="105">
        <v>0.36974789915966388</v>
      </c>
      <c r="S82" s="106">
        <v>0.25210084033613445</v>
      </c>
      <c r="T82" s="106">
        <v>0.21008403361344538</v>
      </c>
      <c r="U82" s="106">
        <v>5.8823529411764705E-2</v>
      </c>
      <c r="V82" s="106">
        <v>7.5630252100840331E-2</v>
      </c>
      <c r="W82" s="107">
        <v>4.2016806722689079E-2</v>
      </c>
      <c r="X82" s="111">
        <f t="shared" si="26"/>
        <v>0</v>
      </c>
      <c r="Y82" s="90">
        <f t="shared" si="27"/>
        <v>0</v>
      </c>
      <c r="Z82" s="90">
        <f t="shared" si="28"/>
        <v>0</v>
      </c>
      <c r="AA82" s="90">
        <f t="shared" si="29"/>
        <v>0</v>
      </c>
      <c r="AB82" s="90">
        <f t="shared" si="30"/>
        <v>0</v>
      </c>
      <c r="AC82" s="112">
        <f t="shared" si="31"/>
        <v>0</v>
      </c>
      <c r="AD82" s="111">
        <f t="shared" si="20"/>
        <v>1.1092436974789917</v>
      </c>
      <c r="AE82" s="90">
        <f t="shared" si="21"/>
        <v>0.75630252100840334</v>
      </c>
      <c r="AF82" s="90">
        <f t="shared" si="22"/>
        <v>0.63025210084033612</v>
      </c>
      <c r="AG82" s="90">
        <f t="shared" si="23"/>
        <v>0.1764705882352941</v>
      </c>
      <c r="AH82" s="90">
        <f t="shared" si="24"/>
        <v>0.22689075630252098</v>
      </c>
      <c r="AI82" s="112">
        <f t="shared" si="25"/>
        <v>0.12605042016806722</v>
      </c>
      <c r="AJ82" s="121">
        <f>Input!$E$22*WRs!C82+Input!$E$23*WRs!D82+Input!$E$24*WRs!X82+Input!$E$25*WRs!Y82+Input!$E$26*WRs!Z82+Input!$E$27*WRs!AA82+Input!$E$28*WRs!AB82+Input!$E$29*WRs!AC82+Input!$E$30*WRs!E82+Input!$E$31*WRs!G82+Input!$E$32*WRs!H82+Input!$E$33*WRs!AD82+Input!$E$34*WRs!AE82+Input!$E$35*WRs!AF82+Input!$E$36*WRs!AG82+Input!$E$37*WRs!AH82+Input!$E$38*WRs!AI82+Input!$E$39*WRs!I82+Input!$E$40*WRs!K82</f>
        <v>66.461344537815123</v>
      </c>
    </row>
    <row r="83" spans="1:36" x14ac:dyDescent="0.25">
      <c r="A83" s="89" t="s">
        <v>422</v>
      </c>
      <c r="B83" s="112" t="s">
        <v>148</v>
      </c>
      <c r="C83" s="45">
        <v>0</v>
      </c>
      <c r="D83" s="37">
        <v>0</v>
      </c>
      <c r="E83" s="37">
        <v>0</v>
      </c>
      <c r="F83" s="38">
        <v>0</v>
      </c>
      <c r="G83" s="45">
        <v>35</v>
      </c>
      <c r="H83" s="37">
        <f>12.6*G83</f>
        <v>441</v>
      </c>
      <c r="I83" s="37">
        <v>0</v>
      </c>
      <c r="J83" s="38">
        <v>3</v>
      </c>
      <c r="K83" s="37">
        <v>0</v>
      </c>
      <c r="L83" s="105">
        <v>0.72727272727272729</v>
      </c>
      <c r="M83" s="106">
        <v>9.7902097902097904E-2</v>
      </c>
      <c r="N83" s="106">
        <v>6.2937062937062943E-2</v>
      </c>
      <c r="O83" s="106">
        <v>2.097902097902098E-2</v>
      </c>
      <c r="P83" s="106">
        <v>2.7972027972027972E-2</v>
      </c>
      <c r="Q83" s="107">
        <v>6.2937062937062943E-2</v>
      </c>
      <c r="R83" s="105">
        <v>0.36974789915966388</v>
      </c>
      <c r="S83" s="106">
        <v>0.25210084033613445</v>
      </c>
      <c r="T83" s="106">
        <v>0.21008403361344538</v>
      </c>
      <c r="U83" s="106">
        <v>5.8823529411764705E-2</v>
      </c>
      <c r="V83" s="106">
        <v>7.5630252100840331E-2</v>
      </c>
      <c r="W83" s="107">
        <v>4.2016806722689079E-2</v>
      </c>
      <c r="X83" s="111">
        <f t="shared" si="26"/>
        <v>0</v>
      </c>
      <c r="Y83" s="90">
        <f t="shared" si="27"/>
        <v>0</v>
      </c>
      <c r="Z83" s="90">
        <f t="shared" si="28"/>
        <v>0</v>
      </c>
      <c r="AA83" s="90">
        <f t="shared" si="29"/>
        <v>0</v>
      </c>
      <c r="AB83" s="90">
        <f t="shared" si="30"/>
        <v>0</v>
      </c>
      <c r="AC83" s="112">
        <f t="shared" si="31"/>
        <v>0</v>
      </c>
      <c r="AD83" s="111">
        <f t="shared" si="20"/>
        <v>1.1092436974789917</v>
      </c>
      <c r="AE83" s="90">
        <f t="shared" si="21"/>
        <v>0.75630252100840334</v>
      </c>
      <c r="AF83" s="90">
        <f t="shared" si="22"/>
        <v>0.63025210084033612</v>
      </c>
      <c r="AG83" s="90">
        <f t="shared" si="23"/>
        <v>0.1764705882352941</v>
      </c>
      <c r="AH83" s="90">
        <f t="shared" si="24"/>
        <v>0.22689075630252098</v>
      </c>
      <c r="AI83" s="112">
        <f t="shared" si="25"/>
        <v>0.12605042016806722</v>
      </c>
      <c r="AJ83" s="121">
        <f>Input!$E$22*WRs!C83+Input!$E$23*WRs!D83+Input!$E$24*WRs!X83+Input!$E$25*WRs!Y83+Input!$E$26*WRs!Z83+Input!$E$27*WRs!AA83+Input!$E$28*WRs!AB83+Input!$E$29*WRs!AC83+Input!$E$30*WRs!E83+Input!$E$31*WRs!G83+Input!$E$32*WRs!H83+Input!$E$33*WRs!AD83+Input!$E$34*WRs!AE83+Input!$E$35*WRs!AF83+Input!$E$36*WRs!AG83+Input!$E$37*WRs!AH83+Input!$E$38*WRs!AI83+Input!$E$39*WRs!I83+Input!$E$40*WRs!K83</f>
        <v>66.461344537815123</v>
      </c>
    </row>
    <row r="84" spans="1:36" x14ac:dyDescent="0.25">
      <c r="A84" s="89" t="s">
        <v>423</v>
      </c>
      <c r="B84" s="112" t="s">
        <v>190</v>
      </c>
      <c r="C84" s="45">
        <v>0</v>
      </c>
      <c r="D84" s="37">
        <v>0</v>
      </c>
      <c r="E84" s="37">
        <v>0</v>
      </c>
      <c r="F84" s="38">
        <v>0</v>
      </c>
      <c r="G84" s="45">
        <v>40</v>
      </c>
      <c r="H84" s="37">
        <f>10.9*G84</f>
        <v>436</v>
      </c>
      <c r="I84" s="37">
        <v>0</v>
      </c>
      <c r="J84" s="38">
        <v>3</v>
      </c>
      <c r="K84" s="37">
        <v>0</v>
      </c>
      <c r="L84" s="105">
        <v>0.72727272727272729</v>
      </c>
      <c r="M84" s="106">
        <v>9.7902097902097904E-2</v>
      </c>
      <c r="N84" s="106">
        <v>6.2937062937062943E-2</v>
      </c>
      <c r="O84" s="106">
        <v>2.097902097902098E-2</v>
      </c>
      <c r="P84" s="106">
        <v>2.7972027972027972E-2</v>
      </c>
      <c r="Q84" s="107">
        <v>6.2937062937062943E-2</v>
      </c>
      <c r="R84" s="105">
        <v>0.36974789915966388</v>
      </c>
      <c r="S84" s="106">
        <v>0.25210084033613445</v>
      </c>
      <c r="T84" s="106">
        <v>0.21008403361344538</v>
      </c>
      <c r="U84" s="106">
        <v>5.8823529411764705E-2</v>
      </c>
      <c r="V84" s="106">
        <v>7.5630252100840331E-2</v>
      </c>
      <c r="W84" s="107">
        <v>4.2016806722689079E-2</v>
      </c>
      <c r="X84" s="111">
        <f t="shared" si="26"/>
        <v>0</v>
      </c>
      <c r="Y84" s="90">
        <f t="shared" si="27"/>
        <v>0</v>
      </c>
      <c r="Z84" s="90">
        <f t="shared" si="28"/>
        <v>0</v>
      </c>
      <c r="AA84" s="90">
        <f t="shared" si="29"/>
        <v>0</v>
      </c>
      <c r="AB84" s="90">
        <f t="shared" si="30"/>
        <v>0</v>
      </c>
      <c r="AC84" s="112">
        <f t="shared" si="31"/>
        <v>0</v>
      </c>
      <c r="AD84" s="111">
        <f t="shared" si="20"/>
        <v>1.1092436974789917</v>
      </c>
      <c r="AE84" s="90">
        <f t="shared" si="21"/>
        <v>0.75630252100840334</v>
      </c>
      <c r="AF84" s="90">
        <f t="shared" si="22"/>
        <v>0.63025210084033612</v>
      </c>
      <c r="AG84" s="90">
        <f t="shared" si="23"/>
        <v>0.1764705882352941</v>
      </c>
      <c r="AH84" s="90">
        <f t="shared" si="24"/>
        <v>0.22689075630252098</v>
      </c>
      <c r="AI84" s="112">
        <f t="shared" si="25"/>
        <v>0.12605042016806722</v>
      </c>
      <c r="AJ84" s="121">
        <f>Input!$E$22*WRs!C84+Input!$E$23*WRs!D84+Input!$E$24*WRs!X84+Input!$E$25*WRs!Y84+Input!$E$26*WRs!Z84+Input!$E$27*WRs!AA84+Input!$E$28*WRs!AB84+Input!$E$29*WRs!AC84+Input!$E$30*WRs!E84+Input!$E$31*WRs!G84+Input!$E$32*WRs!H84+Input!$E$33*WRs!AD84+Input!$E$34*WRs!AE84+Input!$E$35*WRs!AF84+Input!$E$36*WRs!AG84+Input!$E$37*WRs!AH84+Input!$E$38*WRs!AI84+Input!$E$39*WRs!I84+Input!$E$40*WRs!K84</f>
        <v>65.961344537815123</v>
      </c>
    </row>
    <row r="85" spans="1:36" x14ac:dyDescent="0.25">
      <c r="A85" s="89" t="s">
        <v>424</v>
      </c>
      <c r="B85" s="112" t="s">
        <v>166</v>
      </c>
      <c r="C85" s="45">
        <v>0</v>
      </c>
      <c r="D85" s="37">
        <v>0</v>
      </c>
      <c r="E85" s="37">
        <v>0</v>
      </c>
      <c r="F85" s="38">
        <v>0</v>
      </c>
      <c r="G85" s="45">
        <v>30</v>
      </c>
      <c r="H85" s="37">
        <f>15*G85</f>
        <v>450</v>
      </c>
      <c r="I85" s="37">
        <v>0</v>
      </c>
      <c r="J85" s="38">
        <v>2</v>
      </c>
      <c r="K85" s="37">
        <v>0</v>
      </c>
      <c r="L85" s="105">
        <v>0.72727272727272729</v>
      </c>
      <c r="M85" s="106">
        <v>9.7902097902097904E-2</v>
      </c>
      <c r="N85" s="106">
        <v>6.2937062937062943E-2</v>
      </c>
      <c r="O85" s="106">
        <v>2.097902097902098E-2</v>
      </c>
      <c r="P85" s="106">
        <v>2.7972027972027972E-2</v>
      </c>
      <c r="Q85" s="107">
        <v>6.2937062937062943E-2</v>
      </c>
      <c r="R85" s="105">
        <v>0.36974789915966388</v>
      </c>
      <c r="S85" s="106">
        <v>0.25210084033613445</v>
      </c>
      <c r="T85" s="106">
        <v>0.21008403361344538</v>
      </c>
      <c r="U85" s="106">
        <v>5.8823529411764705E-2</v>
      </c>
      <c r="V85" s="106">
        <v>7.5630252100840331E-2</v>
      </c>
      <c r="W85" s="107">
        <v>4.2016806722689079E-2</v>
      </c>
      <c r="X85" s="111">
        <f t="shared" si="26"/>
        <v>0</v>
      </c>
      <c r="Y85" s="90">
        <f t="shared" si="27"/>
        <v>0</v>
      </c>
      <c r="Z85" s="90">
        <f t="shared" si="28"/>
        <v>0</v>
      </c>
      <c r="AA85" s="90">
        <f t="shared" si="29"/>
        <v>0</v>
      </c>
      <c r="AB85" s="90">
        <f t="shared" si="30"/>
        <v>0</v>
      </c>
      <c r="AC85" s="112">
        <f t="shared" si="31"/>
        <v>0</v>
      </c>
      <c r="AD85" s="111">
        <f t="shared" si="20"/>
        <v>0.73949579831932777</v>
      </c>
      <c r="AE85" s="90">
        <f t="shared" si="21"/>
        <v>0.50420168067226889</v>
      </c>
      <c r="AF85" s="90">
        <f t="shared" si="22"/>
        <v>0.42016806722689076</v>
      </c>
      <c r="AG85" s="90">
        <f t="shared" si="23"/>
        <v>0.11764705882352941</v>
      </c>
      <c r="AH85" s="90">
        <f t="shared" si="24"/>
        <v>0.15126050420168066</v>
      </c>
      <c r="AI85" s="112">
        <f t="shared" si="25"/>
        <v>8.4033613445378158E-2</v>
      </c>
      <c r="AJ85" s="121">
        <f>Input!$E$22*WRs!C85+Input!$E$23*WRs!D85+Input!$E$24*WRs!X85+Input!$E$25*WRs!Y85+Input!$E$26*WRs!Z85+Input!$E$27*WRs!AA85+Input!$E$28*WRs!AB85+Input!$E$29*WRs!AC85+Input!$E$30*WRs!E85+Input!$E$31*WRs!G85+Input!$E$32*WRs!H85+Input!$E$33*WRs!AD85+Input!$E$34*WRs!AE85+Input!$E$35*WRs!AF85+Input!$E$36*WRs!AG85+Input!$E$37*WRs!AH85+Input!$E$38*WRs!AI85+Input!$E$39*WRs!I85+Input!$E$40*WRs!K85</f>
        <v>59.907563025210095</v>
      </c>
    </row>
    <row r="86" spans="1:36" x14ac:dyDescent="0.25">
      <c r="A86" s="89" t="s">
        <v>425</v>
      </c>
      <c r="B86" s="112" t="s">
        <v>178</v>
      </c>
      <c r="C86" s="45">
        <v>0</v>
      </c>
      <c r="D86" s="37">
        <v>0</v>
      </c>
      <c r="E86" s="37">
        <v>0</v>
      </c>
      <c r="F86" s="38">
        <v>0</v>
      </c>
      <c r="G86" s="45">
        <v>30</v>
      </c>
      <c r="H86" s="37">
        <f>13*G86</f>
        <v>390</v>
      </c>
      <c r="I86" s="37">
        <v>0</v>
      </c>
      <c r="J86" s="38">
        <v>2</v>
      </c>
      <c r="K86" s="37">
        <v>0</v>
      </c>
      <c r="L86" s="105">
        <v>0.72727272727272729</v>
      </c>
      <c r="M86" s="106">
        <v>9.7902097902097904E-2</v>
      </c>
      <c r="N86" s="106">
        <v>6.2937062937062943E-2</v>
      </c>
      <c r="O86" s="106">
        <v>2.097902097902098E-2</v>
      </c>
      <c r="P86" s="106">
        <v>2.7972027972027972E-2</v>
      </c>
      <c r="Q86" s="107">
        <v>6.2937062937062943E-2</v>
      </c>
      <c r="R86" s="105">
        <v>0.36974789915966388</v>
      </c>
      <c r="S86" s="106">
        <v>0.25210084033613445</v>
      </c>
      <c r="T86" s="106">
        <v>0.21008403361344538</v>
      </c>
      <c r="U86" s="106">
        <v>5.8823529411764705E-2</v>
      </c>
      <c r="V86" s="106">
        <v>7.5630252100840331E-2</v>
      </c>
      <c r="W86" s="107">
        <v>4.2016806722689079E-2</v>
      </c>
      <c r="X86" s="111">
        <f t="shared" si="26"/>
        <v>0</v>
      </c>
      <c r="Y86" s="90">
        <f t="shared" si="27"/>
        <v>0</v>
      </c>
      <c r="Z86" s="90">
        <f t="shared" si="28"/>
        <v>0</v>
      </c>
      <c r="AA86" s="90">
        <f t="shared" si="29"/>
        <v>0</v>
      </c>
      <c r="AB86" s="90">
        <f t="shared" si="30"/>
        <v>0</v>
      </c>
      <c r="AC86" s="112">
        <f t="shared" si="31"/>
        <v>0</v>
      </c>
      <c r="AD86" s="111">
        <f t="shared" si="20"/>
        <v>0.73949579831932777</v>
      </c>
      <c r="AE86" s="90">
        <f t="shared" si="21"/>
        <v>0.50420168067226889</v>
      </c>
      <c r="AF86" s="90">
        <f t="shared" si="22"/>
        <v>0.42016806722689076</v>
      </c>
      <c r="AG86" s="90">
        <f t="shared" si="23"/>
        <v>0.11764705882352941</v>
      </c>
      <c r="AH86" s="90">
        <f t="shared" si="24"/>
        <v>0.15126050420168066</v>
      </c>
      <c r="AI86" s="112">
        <f t="shared" si="25"/>
        <v>8.4033613445378158E-2</v>
      </c>
      <c r="AJ86" s="121">
        <f>Input!$E$22*WRs!C86+Input!$E$23*WRs!D86+Input!$E$24*WRs!X86+Input!$E$25*WRs!Y86+Input!$E$26*WRs!Z86+Input!$E$27*WRs!AA86+Input!$E$28*WRs!AB86+Input!$E$29*WRs!AC86+Input!$E$30*WRs!E86+Input!$E$31*WRs!G86+Input!$E$32*WRs!H86+Input!$E$33*WRs!AD86+Input!$E$34*WRs!AE86+Input!$E$35*WRs!AF86+Input!$E$36*WRs!AG86+Input!$E$37*WRs!AH86+Input!$E$38*WRs!AI86+Input!$E$39*WRs!I86+Input!$E$40*WRs!K86</f>
        <v>53.907563025210095</v>
      </c>
    </row>
    <row r="87" spans="1:36" x14ac:dyDescent="0.25">
      <c r="A87" s="89" t="s">
        <v>426</v>
      </c>
      <c r="B87" s="112" t="s">
        <v>142</v>
      </c>
      <c r="C87" s="45">
        <v>0</v>
      </c>
      <c r="D87" s="37">
        <v>0</v>
      </c>
      <c r="E87" s="37">
        <v>0</v>
      </c>
      <c r="F87" s="38">
        <v>0</v>
      </c>
      <c r="G87" s="45">
        <v>20</v>
      </c>
      <c r="H87" s="37">
        <f>18*G87</f>
        <v>360</v>
      </c>
      <c r="I87" s="37">
        <v>0</v>
      </c>
      <c r="J87" s="38">
        <v>2</v>
      </c>
      <c r="K87" s="37">
        <v>0</v>
      </c>
      <c r="L87" s="105">
        <v>0.72727272727272729</v>
      </c>
      <c r="M87" s="106">
        <v>9.7902097902097904E-2</v>
      </c>
      <c r="N87" s="106">
        <v>6.2937062937062943E-2</v>
      </c>
      <c r="O87" s="106">
        <v>2.097902097902098E-2</v>
      </c>
      <c r="P87" s="106">
        <v>2.7972027972027972E-2</v>
      </c>
      <c r="Q87" s="107">
        <v>6.2937062937062943E-2</v>
      </c>
      <c r="R87" s="105">
        <v>0.36974789915966388</v>
      </c>
      <c r="S87" s="106">
        <v>0.25210084033613445</v>
      </c>
      <c r="T87" s="106">
        <v>0.21008403361344538</v>
      </c>
      <c r="U87" s="106">
        <v>5.8823529411764705E-2</v>
      </c>
      <c r="V87" s="106">
        <v>7.5630252100840331E-2</v>
      </c>
      <c r="W87" s="107">
        <v>4.2016806722689079E-2</v>
      </c>
      <c r="X87" s="111">
        <f t="shared" si="26"/>
        <v>0</v>
      </c>
      <c r="Y87" s="90">
        <f t="shared" si="27"/>
        <v>0</v>
      </c>
      <c r="Z87" s="90">
        <f t="shared" si="28"/>
        <v>0</v>
      </c>
      <c r="AA87" s="90">
        <f t="shared" si="29"/>
        <v>0</v>
      </c>
      <c r="AB87" s="90">
        <f t="shared" si="30"/>
        <v>0</v>
      </c>
      <c r="AC87" s="112">
        <f t="shared" si="31"/>
        <v>0</v>
      </c>
      <c r="AD87" s="111">
        <f t="shared" si="20"/>
        <v>0.73949579831932777</v>
      </c>
      <c r="AE87" s="90">
        <f t="shared" si="21"/>
        <v>0.50420168067226889</v>
      </c>
      <c r="AF87" s="90">
        <f t="shared" si="22"/>
        <v>0.42016806722689076</v>
      </c>
      <c r="AG87" s="90">
        <f t="shared" si="23"/>
        <v>0.11764705882352941</v>
      </c>
      <c r="AH87" s="90">
        <f t="shared" si="24"/>
        <v>0.15126050420168066</v>
      </c>
      <c r="AI87" s="112">
        <f t="shared" si="25"/>
        <v>8.4033613445378158E-2</v>
      </c>
      <c r="AJ87" s="121">
        <f>Input!$E$22*WRs!C87+Input!$E$23*WRs!D87+Input!$E$24*WRs!X87+Input!$E$25*WRs!Y87+Input!$E$26*WRs!Z87+Input!$E$27*WRs!AA87+Input!$E$28*WRs!AB87+Input!$E$29*WRs!AC87+Input!$E$30*WRs!E87+Input!$E$31*WRs!G87+Input!$E$32*WRs!H87+Input!$E$33*WRs!AD87+Input!$E$34*WRs!AE87+Input!$E$35*WRs!AF87+Input!$E$36*WRs!AG87+Input!$E$37*WRs!AH87+Input!$E$38*WRs!AI87+Input!$E$39*WRs!I87+Input!$E$40*WRs!K87</f>
        <v>50.907563025210095</v>
      </c>
    </row>
    <row r="88" spans="1:36" x14ac:dyDescent="0.25">
      <c r="A88" s="89" t="s">
        <v>427</v>
      </c>
      <c r="B88" s="112" t="s">
        <v>172</v>
      </c>
      <c r="C88" s="45">
        <v>0</v>
      </c>
      <c r="D88" s="37">
        <v>0</v>
      </c>
      <c r="E88" s="37">
        <v>0</v>
      </c>
      <c r="F88" s="38">
        <v>0</v>
      </c>
      <c r="G88" s="45">
        <v>37</v>
      </c>
      <c r="H88" s="37">
        <f>12*G88</f>
        <v>444</v>
      </c>
      <c r="I88" s="37">
        <v>0</v>
      </c>
      <c r="J88" s="38">
        <v>2</v>
      </c>
      <c r="K88" s="37">
        <v>0</v>
      </c>
      <c r="L88" s="105">
        <v>0.72727272727272729</v>
      </c>
      <c r="M88" s="106">
        <v>9.7902097902097904E-2</v>
      </c>
      <c r="N88" s="106">
        <v>6.2937062937062943E-2</v>
      </c>
      <c r="O88" s="106">
        <v>2.097902097902098E-2</v>
      </c>
      <c r="P88" s="106">
        <v>2.7972027972027972E-2</v>
      </c>
      <c r="Q88" s="107">
        <v>6.2937062937062943E-2</v>
      </c>
      <c r="R88" s="105">
        <v>0.36974789915966388</v>
      </c>
      <c r="S88" s="106">
        <v>0.25210084033613445</v>
      </c>
      <c r="T88" s="106">
        <v>0.21008403361344538</v>
      </c>
      <c r="U88" s="106">
        <v>5.8823529411764705E-2</v>
      </c>
      <c r="V88" s="106">
        <v>7.5630252100840331E-2</v>
      </c>
      <c r="W88" s="107">
        <v>4.2016806722689079E-2</v>
      </c>
      <c r="X88" s="111">
        <f t="shared" si="26"/>
        <v>0</v>
      </c>
      <c r="Y88" s="90">
        <f t="shared" si="27"/>
        <v>0</v>
      </c>
      <c r="Z88" s="90">
        <f t="shared" si="28"/>
        <v>0</v>
      </c>
      <c r="AA88" s="90">
        <f t="shared" si="29"/>
        <v>0</v>
      </c>
      <c r="AB88" s="90">
        <f t="shared" si="30"/>
        <v>0</v>
      </c>
      <c r="AC88" s="112">
        <f t="shared" si="31"/>
        <v>0</v>
      </c>
      <c r="AD88" s="111">
        <f t="shared" si="20"/>
        <v>0.73949579831932777</v>
      </c>
      <c r="AE88" s="90">
        <f t="shared" si="21"/>
        <v>0.50420168067226889</v>
      </c>
      <c r="AF88" s="90">
        <f t="shared" si="22"/>
        <v>0.42016806722689076</v>
      </c>
      <c r="AG88" s="90">
        <f t="shared" si="23"/>
        <v>0.11764705882352941</v>
      </c>
      <c r="AH88" s="90">
        <f t="shared" si="24"/>
        <v>0.15126050420168066</v>
      </c>
      <c r="AI88" s="112">
        <f t="shared" si="25"/>
        <v>8.4033613445378158E-2</v>
      </c>
      <c r="AJ88" s="121">
        <f>Input!$E$22*WRs!C88+Input!$E$23*WRs!D88+Input!$E$24*WRs!X88+Input!$E$25*WRs!Y88+Input!$E$26*WRs!Z88+Input!$E$27*WRs!AA88+Input!$E$28*WRs!AB88+Input!$E$29*WRs!AC88+Input!$E$30*WRs!E88+Input!$E$31*WRs!G88+Input!$E$32*WRs!H88+Input!$E$33*WRs!AD88+Input!$E$34*WRs!AE88+Input!$E$35*WRs!AF88+Input!$E$36*WRs!AG88+Input!$E$37*WRs!AH88+Input!$E$38*WRs!AI88+Input!$E$39*WRs!I88+Input!$E$40*WRs!K88</f>
        <v>59.307563025210101</v>
      </c>
    </row>
    <row r="89" spans="1:36" x14ac:dyDescent="0.25">
      <c r="A89" s="89" t="s">
        <v>428</v>
      </c>
      <c r="B89" s="112" t="s">
        <v>146</v>
      </c>
      <c r="C89" s="45">
        <v>0</v>
      </c>
      <c r="D89" s="37">
        <v>0</v>
      </c>
      <c r="E89" s="37">
        <v>0</v>
      </c>
      <c r="F89" s="38">
        <v>0</v>
      </c>
      <c r="G89" s="45">
        <v>30</v>
      </c>
      <c r="H89" s="37">
        <f>13.5*G89</f>
        <v>405</v>
      </c>
      <c r="I89" s="37">
        <v>0</v>
      </c>
      <c r="J89" s="38">
        <v>2</v>
      </c>
      <c r="K89" s="37">
        <v>0</v>
      </c>
      <c r="L89" s="105">
        <v>0.72727272727272729</v>
      </c>
      <c r="M89" s="106">
        <v>9.7902097902097904E-2</v>
      </c>
      <c r="N89" s="106">
        <v>6.2937062937062943E-2</v>
      </c>
      <c r="O89" s="106">
        <v>2.097902097902098E-2</v>
      </c>
      <c r="P89" s="106">
        <v>2.7972027972027972E-2</v>
      </c>
      <c r="Q89" s="107">
        <v>6.2937062937062943E-2</v>
      </c>
      <c r="R89" s="105">
        <v>0.36974789915966388</v>
      </c>
      <c r="S89" s="106">
        <v>0.25210084033613445</v>
      </c>
      <c r="T89" s="106">
        <v>0.21008403361344538</v>
      </c>
      <c r="U89" s="106">
        <v>5.8823529411764705E-2</v>
      </c>
      <c r="V89" s="106">
        <v>7.5630252100840331E-2</v>
      </c>
      <c r="W89" s="107">
        <v>4.2016806722689079E-2</v>
      </c>
      <c r="X89" s="111">
        <f t="shared" si="26"/>
        <v>0</v>
      </c>
      <c r="Y89" s="90">
        <f t="shared" si="27"/>
        <v>0</v>
      </c>
      <c r="Z89" s="90">
        <f t="shared" si="28"/>
        <v>0</v>
      </c>
      <c r="AA89" s="90">
        <f t="shared" si="29"/>
        <v>0</v>
      </c>
      <c r="AB89" s="90">
        <f t="shared" si="30"/>
        <v>0</v>
      </c>
      <c r="AC89" s="112">
        <f t="shared" si="31"/>
        <v>0</v>
      </c>
      <c r="AD89" s="111">
        <f t="shared" si="20"/>
        <v>0.73949579831932777</v>
      </c>
      <c r="AE89" s="90">
        <f t="shared" si="21"/>
        <v>0.50420168067226889</v>
      </c>
      <c r="AF89" s="90">
        <f t="shared" si="22"/>
        <v>0.42016806722689076</v>
      </c>
      <c r="AG89" s="90">
        <f t="shared" si="23"/>
        <v>0.11764705882352941</v>
      </c>
      <c r="AH89" s="90">
        <f t="shared" si="24"/>
        <v>0.15126050420168066</v>
      </c>
      <c r="AI89" s="112">
        <f t="shared" si="25"/>
        <v>8.4033613445378158E-2</v>
      </c>
      <c r="AJ89" s="121">
        <f>Input!$E$22*WRs!C89+Input!$E$23*WRs!D89+Input!$E$24*WRs!X89+Input!$E$25*WRs!Y89+Input!$E$26*WRs!Z89+Input!$E$27*WRs!AA89+Input!$E$28*WRs!AB89+Input!$E$29*WRs!AC89+Input!$E$30*WRs!E89+Input!$E$31*WRs!G89+Input!$E$32*WRs!H89+Input!$E$33*WRs!AD89+Input!$E$34*WRs!AE89+Input!$E$35*WRs!AF89+Input!$E$36*WRs!AG89+Input!$E$37*WRs!AH89+Input!$E$38*WRs!AI89+Input!$E$39*WRs!I89+Input!$E$40*WRs!K89</f>
        <v>55.407563025210095</v>
      </c>
    </row>
    <row r="90" spans="1:36" x14ac:dyDescent="0.25">
      <c r="A90" s="89" t="s">
        <v>429</v>
      </c>
      <c r="B90" s="112" t="s">
        <v>184</v>
      </c>
      <c r="C90" s="45">
        <v>0</v>
      </c>
      <c r="D90" s="37">
        <v>0</v>
      </c>
      <c r="E90" s="37">
        <v>0</v>
      </c>
      <c r="F90" s="38">
        <v>0</v>
      </c>
      <c r="G90" s="45">
        <v>15</v>
      </c>
      <c r="H90" s="37">
        <f>13.4*G90</f>
        <v>201</v>
      </c>
      <c r="I90" s="37">
        <v>0</v>
      </c>
      <c r="J90" s="38">
        <v>1</v>
      </c>
      <c r="K90" s="37">
        <v>0</v>
      </c>
      <c r="L90" s="105">
        <v>0.72727272727272729</v>
      </c>
      <c r="M90" s="106">
        <v>9.7902097902097904E-2</v>
      </c>
      <c r="N90" s="106">
        <v>6.2937062937062943E-2</v>
      </c>
      <c r="O90" s="106">
        <v>2.097902097902098E-2</v>
      </c>
      <c r="P90" s="106">
        <v>2.7972027972027972E-2</v>
      </c>
      <c r="Q90" s="107">
        <v>6.2937062937062943E-2</v>
      </c>
      <c r="R90" s="105">
        <v>0.36974789915966388</v>
      </c>
      <c r="S90" s="106">
        <v>0.25210084033613445</v>
      </c>
      <c r="T90" s="106">
        <v>0.21008403361344538</v>
      </c>
      <c r="U90" s="106">
        <v>5.8823529411764705E-2</v>
      </c>
      <c r="V90" s="106">
        <v>7.5630252100840331E-2</v>
      </c>
      <c r="W90" s="107">
        <v>4.2016806722689079E-2</v>
      </c>
      <c r="X90" s="111">
        <f t="shared" si="26"/>
        <v>0</v>
      </c>
      <c r="Y90" s="90">
        <f t="shared" si="27"/>
        <v>0</v>
      </c>
      <c r="Z90" s="90">
        <f t="shared" si="28"/>
        <v>0</v>
      </c>
      <c r="AA90" s="90">
        <f t="shared" si="29"/>
        <v>0</v>
      </c>
      <c r="AB90" s="90">
        <f t="shared" si="30"/>
        <v>0</v>
      </c>
      <c r="AC90" s="112">
        <f t="shared" si="31"/>
        <v>0</v>
      </c>
      <c r="AD90" s="111">
        <f t="shared" si="20"/>
        <v>0.36974789915966388</v>
      </c>
      <c r="AE90" s="90">
        <f t="shared" si="21"/>
        <v>0.25210084033613445</v>
      </c>
      <c r="AF90" s="90">
        <f t="shared" si="22"/>
        <v>0.21008403361344538</v>
      </c>
      <c r="AG90" s="90">
        <f t="shared" si="23"/>
        <v>5.8823529411764705E-2</v>
      </c>
      <c r="AH90" s="90">
        <f t="shared" si="24"/>
        <v>7.5630252100840331E-2</v>
      </c>
      <c r="AI90" s="112">
        <f t="shared" si="25"/>
        <v>4.2016806722689079E-2</v>
      </c>
      <c r="AJ90" s="121">
        <f>Input!$E$22*WRs!C90+Input!$E$23*WRs!D90+Input!$E$24*WRs!X90+Input!$E$25*WRs!Y90+Input!$E$26*WRs!Z90+Input!$E$27*WRs!AA90+Input!$E$28*WRs!AB90+Input!$E$29*WRs!AC90+Input!$E$30*WRs!E90+Input!$E$31*WRs!G90+Input!$E$32*WRs!H90+Input!$E$33*WRs!AD90+Input!$E$34*WRs!AE90+Input!$E$35*WRs!AF90+Input!$E$36*WRs!AG90+Input!$E$37*WRs!AH90+Input!$E$38*WRs!AI90+Input!$E$39*WRs!I90+Input!$E$40*WRs!K90</f>
        <v>27.553781512605049</v>
      </c>
    </row>
    <row r="91" spans="1:36" x14ac:dyDescent="0.25">
      <c r="A91" s="89" t="s">
        <v>430</v>
      </c>
      <c r="B91" s="112" t="s">
        <v>192</v>
      </c>
      <c r="C91" s="45">
        <v>0</v>
      </c>
      <c r="D91" s="37">
        <v>0</v>
      </c>
      <c r="E91" s="37">
        <v>0</v>
      </c>
      <c r="F91" s="38">
        <v>0</v>
      </c>
      <c r="G91" s="45">
        <v>40</v>
      </c>
      <c r="H91" s="37">
        <v>500</v>
      </c>
      <c r="I91" s="37">
        <v>0</v>
      </c>
      <c r="J91" s="38">
        <v>2</v>
      </c>
      <c r="K91" s="37">
        <v>0</v>
      </c>
      <c r="L91" s="105">
        <v>0.72727272727272729</v>
      </c>
      <c r="M91" s="106">
        <v>9.7902097902097904E-2</v>
      </c>
      <c r="N91" s="106">
        <v>6.2937062937062943E-2</v>
      </c>
      <c r="O91" s="106">
        <v>2.097902097902098E-2</v>
      </c>
      <c r="P91" s="106">
        <v>2.7972027972027972E-2</v>
      </c>
      <c r="Q91" s="107">
        <v>6.2937062937062943E-2</v>
      </c>
      <c r="R91" s="105">
        <v>0.36974789915966388</v>
      </c>
      <c r="S91" s="106">
        <v>0.25210084033613445</v>
      </c>
      <c r="T91" s="106">
        <v>0.21008403361344538</v>
      </c>
      <c r="U91" s="106">
        <v>5.8823529411764705E-2</v>
      </c>
      <c r="V91" s="106">
        <v>7.5630252100840331E-2</v>
      </c>
      <c r="W91" s="107">
        <v>4.2016806722689079E-2</v>
      </c>
      <c r="X91" s="111">
        <f t="shared" si="26"/>
        <v>0</v>
      </c>
      <c r="Y91" s="90">
        <f t="shared" si="27"/>
        <v>0</v>
      </c>
      <c r="Z91" s="90">
        <f t="shared" si="28"/>
        <v>0</v>
      </c>
      <c r="AA91" s="90">
        <f t="shared" si="29"/>
        <v>0</v>
      </c>
      <c r="AB91" s="90">
        <f t="shared" si="30"/>
        <v>0</v>
      </c>
      <c r="AC91" s="112">
        <f t="shared" si="31"/>
        <v>0</v>
      </c>
      <c r="AD91" s="111">
        <f t="shared" si="20"/>
        <v>0.73949579831932777</v>
      </c>
      <c r="AE91" s="90">
        <f t="shared" si="21"/>
        <v>0.50420168067226889</v>
      </c>
      <c r="AF91" s="90">
        <f t="shared" si="22"/>
        <v>0.42016806722689076</v>
      </c>
      <c r="AG91" s="90">
        <f t="shared" si="23"/>
        <v>0.11764705882352941</v>
      </c>
      <c r="AH91" s="90">
        <f t="shared" si="24"/>
        <v>0.15126050420168066</v>
      </c>
      <c r="AI91" s="112">
        <f t="shared" si="25"/>
        <v>8.4033613445378158E-2</v>
      </c>
      <c r="AJ91" s="121">
        <f>Input!$E$22*WRs!C91+Input!$E$23*WRs!D91+Input!$E$24*WRs!X91+Input!$E$25*WRs!Y91+Input!$E$26*WRs!Z91+Input!$E$27*WRs!AA91+Input!$E$28*WRs!AB91+Input!$E$29*WRs!AC91+Input!$E$30*WRs!E91+Input!$E$31*WRs!G91+Input!$E$32*WRs!H91+Input!$E$33*WRs!AD91+Input!$E$34*WRs!AE91+Input!$E$35*WRs!AF91+Input!$E$36*WRs!AG91+Input!$E$37*WRs!AH91+Input!$E$38*WRs!AI91+Input!$E$39*WRs!I91+Input!$E$40*WRs!K91</f>
        <v>64.907563025210095</v>
      </c>
    </row>
    <row r="92" spans="1:36" x14ac:dyDescent="0.25">
      <c r="A92" s="89" t="s">
        <v>431</v>
      </c>
      <c r="B92" s="112" t="s">
        <v>174</v>
      </c>
      <c r="C92" s="45">
        <v>0</v>
      </c>
      <c r="D92" s="37">
        <v>0</v>
      </c>
      <c r="E92" s="37">
        <v>0</v>
      </c>
      <c r="F92" s="38">
        <v>0</v>
      </c>
      <c r="G92" s="45">
        <v>30</v>
      </c>
      <c r="H92" s="37">
        <f>12.7*G92</f>
        <v>381</v>
      </c>
      <c r="I92" s="37">
        <v>0</v>
      </c>
      <c r="J92" s="38">
        <v>2</v>
      </c>
      <c r="K92" s="37">
        <v>0</v>
      </c>
      <c r="L92" s="105">
        <v>0.72727272727272729</v>
      </c>
      <c r="M92" s="106">
        <v>9.7902097902097904E-2</v>
      </c>
      <c r="N92" s="106">
        <v>6.2937062937062943E-2</v>
      </c>
      <c r="O92" s="106">
        <v>2.097902097902098E-2</v>
      </c>
      <c r="P92" s="106">
        <v>2.7972027972027972E-2</v>
      </c>
      <c r="Q92" s="107">
        <v>6.2937062937062943E-2</v>
      </c>
      <c r="R92" s="105">
        <v>0.36974789915966388</v>
      </c>
      <c r="S92" s="106">
        <v>0.25210084033613445</v>
      </c>
      <c r="T92" s="106">
        <v>0.21008403361344538</v>
      </c>
      <c r="U92" s="106">
        <v>5.8823529411764705E-2</v>
      </c>
      <c r="V92" s="106">
        <v>7.5630252100840331E-2</v>
      </c>
      <c r="W92" s="107">
        <v>4.2016806722689079E-2</v>
      </c>
      <c r="X92" s="111">
        <f t="shared" si="26"/>
        <v>0</v>
      </c>
      <c r="Y92" s="90">
        <f t="shared" si="27"/>
        <v>0</v>
      </c>
      <c r="Z92" s="90">
        <f t="shared" si="28"/>
        <v>0</v>
      </c>
      <c r="AA92" s="90">
        <f t="shared" si="29"/>
        <v>0</v>
      </c>
      <c r="AB92" s="90">
        <f t="shared" si="30"/>
        <v>0</v>
      </c>
      <c r="AC92" s="112">
        <f t="shared" si="31"/>
        <v>0</v>
      </c>
      <c r="AD92" s="111">
        <f t="shared" si="20"/>
        <v>0.73949579831932777</v>
      </c>
      <c r="AE92" s="90">
        <f t="shared" si="21"/>
        <v>0.50420168067226889</v>
      </c>
      <c r="AF92" s="90">
        <f t="shared" si="22"/>
        <v>0.42016806722689076</v>
      </c>
      <c r="AG92" s="90">
        <f t="shared" si="23"/>
        <v>0.11764705882352941</v>
      </c>
      <c r="AH92" s="90">
        <f t="shared" si="24"/>
        <v>0.15126050420168066</v>
      </c>
      <c r="AI92" s="112">
        <f t="shared" si="25"/>
        <v>8.4033613445378158E-2</v>
      </c>
      <c r="AJ92" s="121">
        <f>Input!$E$22*WRs!C92+Input!$E$23*WRs!D92+Input!$E$24*WRs!X92+Input!$E$25*WRs!Y92+Input!$E$26*WRs!Z92+Input!$E$27*WRs!AA92+Input!$E$28*WRs!AB92+Input!$E$29*WRs!AC92+Input!$E$30*WRs!E92+Input!$E$31*WRs!G92+Input!$E$32*WRs!H92+Input!$E$33*WRs!AD92+Input!$E$34*WRs!AE92+Input!$E$35*WRs!AF92+Input!$E$36*WRs!AG92+Input!$E$37*WRs!AH92+Input!$E$38*WRs!AI92+Input!$E$39*WRs!I92+Input!$E$40*WRs!K92</f>
        <v>53.007563025210089</v>
      </c>
    </row>
    <row r="93" spans="1:36" x14ac:dyDescent="0.25">
      <c r="A93" s="89" t="s">
        <v>432</v>
      </c>
      <c r="B93" s="112" t="s">
        <v>138</v>
      </c>
      <c r="C93" s="45">
        <v>1</v>
      </c>
      <c r="D93" s="37">
        <v>3</v>
      </c>
      <c r="E93" s="37">
        <v>0</v>
      </c>
      <c r="F93" s="38">
        <v>0</v>
      </c>
      <c r="G93" s="45">
        <v>35</v>
      </c>
      <c r="H93" s="37">
        <f>10.9*G93</f>
        <v>381.5</v>
      </c>
      <c r="I93" s="37">
        <v>0</v>
      </c>
      <c r="J93" s="38">
        <v>1</v>
      </c>
      <c r="K93" s="37">
        <v>0</v>
      </c>
      <c r="L93" s="105">
        <v>0.72727272727272729</v>
      </c>
      <c r="M93" s="106">
        <v>9.7902097902097904E-2</v>
      </c>
      <c r="N93" s="106">
        <v>6.2937062937062943E-2</v>
      </c>
      <c r="O93" s="106">
        <v>2.097902097902098E-2</v>
      </c>
      <c r="P93" s="106">
        <v>2.7972027972027972E-2</v>
      </c>
      <c r="Q93" s="107">
        <v>6.2937062937062943E-2</v>
      </c>
      <c r="R93" s="105">
        <v>0.36974789915966388</v>
      </c>
      <c r="S93" s="106">
        <v>0.25210084033613445</v>
      </c>
      <c r="T93" s="106">
        <v>0.21008403361344538</v>
      </c>
      <c r="U93" s="106">
        <v>5.8823529411764705E-2</v>
      </c>
      <c r="V93" s="106">
        <v>7.5630252100840331E-2</v>
      </c>
      <c r="W93" s="107">
        <v>4.2016806722689079E-2</v>
      </c>
      <c r="X93" s="111">
        <f t="shared" si="26"/>
        <v>0</v>
      </c>
      <c r="Y93" s="90">
        <f t="shared" si="27"/>
        <v>0</v>
      </c>
      <c r="Z93" s="90">
        <f t="shared" si="28"/>
        <v>0</v>
      </c>
      <c r="AA93" s="90">
        <f t="shared" si="29"/>
        <v>0</v>
      </c>
      <c r="AB93" s="90">
        <f t="shared" si="30"/>
        <v>0</v>
      </c>
      <c r="AC93" s="112">
        <f t="shared" si="31"/>
        <v>0</v>
      </c>
      <c r="AD93" s="111">
        <f t="shared" si="20"/>
        <v>0.36974789915966388</v>
      </c>
      <c r="AE93" s="90">
        <f t="shared" si="21"/>
        <v>0.25210084033613445</v>
      </c>
      <c r="AF93" s="90">
        <f t="shared" si="22"/>
        <v>0.21008403361344538</v>
      </c>
      <c r="AG93" s="90">
        <f t="shared" si="23"/>
        <v>5.8823529411764705E-2</v>
      </c>
      <c r="AH93" s="90">
        <f t="shared" si="24"/>
        <v>7.5630252100840331E-2</v>
      </c>
      <c r="AI93" s="112">
        <f t="shared" si="25"/>
        <v>4.2016806722689079E-2</v>
      </c>
      <c r="AJ93" s="121">
        <f>Input!$E$22*WRs!C93+Input!$E$23*WRs!D93+Input!$E$24*WRs!X93+Input!$E$25*WRs!Y93+Input!$E$26*WRs!Z93+Input!$E$27*WRs!AA93+Input!$E$28*WRs!AB93+Input!$E$29*WRs!AC93+Input!$E$30*WRs!E93+Input!$E$31*WRs!G93+Input!$E$32*WRs!H93+Input!$E$33*WRs!AD93+Input!$E$34*WRs!AE93+Input!$E$35*WRs!AF93+Input!$E$36*WRs!AG93+Input!$E$37*WRs!AH93+Input!$E$38*WRs!AI93+Input!$E$39*WRs!I93+Input!$E$40*WRs!K93</f>
        <v>45.903781512605036</v>
      </c>
    </row>
    <row r="94" spans="1:36" x14ac:dyDescent="0.25">
      <c r="A94" s="89" t="s">
        <v>433</v>
      </c>
      <c r="B94" s="112" t="s">
        <v>176</v>
      </c>
      <c r="C94" s="45">
        <v>0</v>
      </c>
      <c r="D94" s="37">
        <v>0</v>
      </c>
      <c r="E94" s="37">
        <v>0</v>
      </c>
      <c r="F94" s="38">
        <v>0</v>
      </c>
      <c r="G94" s="45">
        <v>35</v>
      </c>
      <c r="H94" s="37">
        <f>12*G94</f>
        <v>420</v>
      </c>
      <c r="I94" s="37">
        <v>0</v>
      </c>
      <c r="J94" s="38">
        <v>1</v>
      </c>
      <c r="K94" s="37">
        <v>0</v>
      </c>
      <c r="L94" s="105">
        <v>0.72727272727272729</v>
      </c>
      <c r="M94" s="106">
        <v>9.7902097902097904E-2</v>
      </c>
      <c r="N94" s="106">
        <v>6.2937062937062943E-2</v>
      </c>
      <c r="O94" s="106">
        <v>2.097902097902098E-2</v>
      </c>
      <c r="P94" s="106">
        <v>2.7972027972027972E-2</v>
      </c>
      <c r="Q94" s="107">
        <v>6.2937062937062943E-2</v>
      </c>
      <c r="R94" s="105">
        <v>0.36974789915966388</v>
      </c>
      <c r="S94" s="106">
        <v>0.25210084033613445</v>
      </c>
      <c r="T94" s="106">
        <v>0.21008403361344538</v>
      </c>
      <c r="U94" s="106">
        <v>5.8823529411764705E-2</v>
      </c>
      <c r="V94" s="106">
        <v>7.5630252100840331E-2</v>
      </c>
      <c r="W94" s="107">
        <v>4.2016806722689079E-2</v>
      </c>
      <c r="X94" s="111">
        <f t="shared" si="26"/>
        <v>0</v>
      </c>
      <c r="Y94" s="90">
        <f t="shared" si="27"/>
        <v>0</v>
      </c>
      <c r="Z94" s="90">
        <f t="shared" si="28"/>
        <v>0</v>
      </c>
      <c r="AA94" s="90">
        <f t="shared" si="29"/>
        <v>0</v>
      </c>
      <c r="AB94" s="90">
        <f t="shared" si="30"/>
        <v>0</v>
      </c>
      <c r="AC94" s="112">
        <f t="shared" si="31"/>
        <v>0</v>
      </c>
      <c r="AD94" s="111">
        <f t="shared" si="20"/>
        <v>0.36974789915966388</v>
      </c>
      <c r="AE94" s="90">
        <f t="shared" si="21"/>
        <v>0.25210084033613445</v>
      </c>
      <c r="AF94" s="90">
        <f t="shared" si="22"/>
        <v>0.21008403361344538</v>
      </c>
      <c r="AG94" s="90">
        <f t="shared" si="23"/>
        <v>5.8823529411764705E-2</v>
      </c>
      <c r="AH94" s="90">
        <f t="shared" si="24"/>
        <v>7.5630252100840331E-2</v>
      </c>
      <c r="AI94" s="112">
        <f t="shared" si="25"/>
        <v>4.2016806722689079E-2</v>
      </c>
      <c r="AJ94" s="121">
        <f>Input!$E$22*WRs!C94+Input!$E$23*WRs!D94+Input!$E$24*WRs!X94+Input!$E$25*WRs!Y94+Input!$E$26*WRs!Z94+Input!$E$27*WRs!AA94+Input!$E$28*WRs!AB94+Input!$E$29*WRs!AC94+Input!$E$30*WRs!E94+Input!$E$31*WRs!G94+Input!$E$32*WRs!H94+Input!$E$33*WRs!AD94+Input!$E$34*WRs!AE94+Input!$E$35*WRs!AF94+Input!$E$36*WRs!AG94+Input!$E$37*WRs!AH94+Input!$E$38*WRs!AI94+Input!$E$39*WRs!I94+Input!$E$40*WRs!K94</f>
        <v>49.45378151260504</v>
      </c>
    </row>
    <row r="95" spans="1:36" x14ac:dyDescent="0.25">
      <c r="A95" s="89" t="s">
        <v>434</v>
      </c>
      <c r="B95" s="112" t="s">
        <v>196</v>
      </c>
      <c r="C95" s="45">
        <v>0</v>
      </c>
      <c r="D95" s="37">
        <v>0</v>
      </c>
      <c r="E95" s="37">
        <v>0</v>
      </c>
      <c r="F95" s="38">
        <v>0</v>
      </c>
      <c r="G95" s="45">
        <v>30</v>
      </c>
      <c r="H95" s="37">
        <f>12*G95</f>
        <v>360</v>
      </c>
      <c r="I95" s="37">
        <v>0</v>
      </c>
      <c r="J95" s="38">
        <v>2</v>
      </c>
      <c r="K95" s="37">
        <v>0</v>
      </c>
      <c r="L95" s="105">
        <v>0.72727272727272729</v>
      </c>
      <c r="M95" s="106">
        <v>9.7902097902097904E-2</v>
      </c>
      <c r="N95" s="106">
        <v>6.2937062937062943E-2</v>
      </c>
      <c r="O95" s="106">
        <v>2.097902097902098E-2</v>
      </c>
      <c r="P95" s="106">
        <v>2.7972027972027972E-2</v>
      </c>
      <c r="Q95" s="107">
        <v>6.2937062937062943E-2</v>
      </c>
      <c r="R95" s="105">
        <v>0.36974789915966388</v>
      </c>
      <c r="S95" s="106">
        <v>0.25210084033613445</v>
      </c>
      <c r="T95" s="106">
        <v>0.21008403361344538</v>
      </c>
      <c r="U95" s="106">
        <v>5.8823529411764705E-2</v>
      </c>
      <c r="V95" s="106">
        <v>7.5630252100840331E-2</v>
      </c>
      <c r="W95" s="107">
        <v>4.2016806722689079E-2</v>
      </c>
      <c r="X95" s="111">
        <f t="shared" si="26"/>
        <v>0</v>
      </c>
      <c r="Y95" s="90">
        <f t="shared" si="27"/>
        <v>0</v>
      </c>
      <c r="Z95" s="90">
        <f t="shared" si="28"/>
        <v>0</v>
      </c>
      <c r="AA95" s="90">
        <f t="shared" si="29"/>
        <v>0</v>
      </c>
      <c r="AB95" s="90">
        <f t="shared" si="30"/>
        <v>0</v>
      </c>
      <c r="AC95" s="112">
        <f t="shared" si="31"/>
        <v>0</v>
      </c>
      <c r="AD95" s="111">
        <f t="shared" si="20"/>
        <v>0.73949579831932777</v>
      </c>
      <c r="AE95" s="90">
        <f t="shared" si="21"/>
        <v>0.50420168067226889</v>
      </c>
      <c r="AF95" s="90">
        <f t="shared" si="22"/>
        <v>0.42016806722689076</v>
      </c>
      <c r="AG95" s="90">
        <f t="shared" si="23"/>
        <v>0.11764705882352941</v>
      </c>
      <c r="AH95" s="90">
        <f t="shared" si="24"/>
        <v>0.15126050420168066</v>
      </c>
      <c r="AI95" s="112">
        <f t="shared" si="25"/>
        <v>8.4033613445378158E-2</v>
      </c>
      <c r="AJ95" s="121">
        <f>Input!$E$22*WRs!C95+Input!$E$23*WRs!D95+Input!$E$24*WRs!X95+Input!$E$25*WRs!Y95+Input!$E$26*WRs!Z95+Input!$E$27*WRs!AA95+Input!$E$28*WRs!AB95+Input!$E$29*WRs!AC95+Input!$E$30*WRs!E95+Input!$E$31*WRs!G95+Input!$E$32*WRs!H95+Input!$E$33*WRs!AD95+Input!$E$34*WRs!AE95+Input!$E$35*WRs!AF95+Input!$E$36*WRs!AG95+Input!$E$37*WRs!AH95+Input!$E$38*WRs!AI95+Input!$E$39*WRs!I95+Input!$E$40*WRs!K95</f>
        <v>50.907563025210095</v>
      </c>
    </row>
    <row r="96" spans="1:36" x14ac:dyDescent="0.25">
      <c r="A96" s="89" t="s">
        <v>435</v>
      </c>
      <c r="B96" s="112" t="s">
        <v>178</v>
      </c>
      <c r="C96" s="45">
        <v>0</v>
      </c>
      <c r="D96" s="37">
        <v>0</v>
      </c>
      <c r="E96" s="37">
        <v>0</v>
      </c>
      <c r="F96" s="38">
        <v>0</v>
      </c>
      <c r="G96" s="45">
        <v>25</v>
      </c>
      <c r="H96" s="37">
        <f>12*G96</f>
        <v>300</v>
      </c>
      <c r="I96" s="37">
        <v>0</v>
      </c>
      <c r="J96" s="38">
        <v>2</v>
      </c>
      <c r="K96" s="37">
        <v>0</v>
      </c>
      <c r="L96" s="105">
        <v>0.72727272727272729</v>
      </c>
      <c r="M96" s="106">
        <v>9.7902097902097904E-2</v>
      </c>
      <c r="N96" s="106">
        <v>6.2937062937062943E-2</v>
      </c>
      <c r="O96" s="106">
        <v>2.097902097902098E-2</v>
      </c>
      <c r="P96" s="106">
        <v>2.7972027972027972E-2</v>
      </c>
      <c r="Q96" s="107">
        <v>6.2937062937062943E-2</v>
      </c>
      <c r="R96" s="105">
        <v>0.36974789915966388</v>
      </c>
      <c r="S96" s="106">
        <v>0.25210084033613445</v>
      </c>
      <c r="T96" s="106">
        <v>0.21008403361344538</v>
      </c>
      <c r="U96" s="106">
        <v>5.8823529411764705E-2</v>
      </c>
      <c r="V96" s="106">
        <v>7.5630252100840331E-2</v>
      </c>
      <c r="W96" s="107">
        <v>4.2016806722689079E-2</v>
      </c>
      <c r="X96" s="111">
        <f t="shared" si="26"/>
        <v>0</v>
      </c>
      <c r="Y96" s="90">
        <f t="shared" si="27"/>
        <v>0</v>
      </c>
      <c r="Z96" s="90">
        <f t="shared" si="28"/>
        <v>0</v>
      </c>
      <c r="AA96" s="90">
        <f t="shared" si="29"/>
        <v>0</v>
      </c>
      <c r="AB96" s="90">
        <f t="shared" si="30"/>
        <v>0</v>
      </c>
      <c r="AC96" s="112">
        <f t="shared" si="31"/>
        <v>0</v>
      </c>
      <c r="AD96" s="111">
        <f t="shared" si="20"/>
        <v>0.73949579831932777</v>
      </c>
      <c r="AE96" s="90">
        <f t="shared" si="21"/>
        <v>0.50420168067226889</v>
      </c>
      <c r="AF96" s="90">
        <f t="shared" si="22"/>
        <v>0.42016806722689076</v>
      </c>
      <c r="AG96" s="90">
        <f t="shared" si="23"/>
        <v>0.11764705882352941</v>
      </c>
      <c r="AH96" s="90">
        <f t="shared" si="24"/>
        <v>0.15126050420168066</v>
      </c>
      <c r="AI96" s="112">
        <f t="shared" si="25"/>
        <v>8.4033613445378158E-2</v>
      </c>
      <c r="AJ96" s="121">
        <f>Input!$E$22*WRs!C96+Input!$E$23*WRs!D96+Input!$E$24*WRs!X96+Input!$E$25*WRs!Y96+Input!$E$26*WRs!Z96+Input!$E$27*WRs!AA96+Input!$E$28*WRs!AB96+Input!$E$29*WRs!AC96+Input!$E$30*WRs!E96+Input!$E$31*WRs!G96+Input!$E$32*WRs!H96+Input!$E$33*WRs!AD96+Input!$E$34*WRs!AE96+Input!$E$35*WRs!AF96+Input!$E$36*WRs!AG96+Input!$E$37*WRs!AH96+Input!$E$38*WRs!AI96+Input!$E$39*WRs!I96+Input!$E$40*WRs!K96</f>
        <v>44.907563025210095</v>
      </c>
    </row>
    <row r="97" spans="1:36" x14ac:dyDescent="0.25">
      <c r="A97" s="89" t="s">
        <v>436</v>
      </c>
      <c r="B97" s="112" t="s">
        <v>194</v>
      </c>
      <c r="C97" s="45">
        <v>0</v>
      </c>
      <c r="D97" s="37">
        <v>0</v>
      </c>
      <c r="E97" s="37">
        <v>0</v>
      </c>
      <c r="F97" s="38">
        <v>0</v>
      </c>
      <c r="G97" s="45">
        <v>24</v>
      </c>
      <c r="H97" s="37">
        <f>12*G97</f>
        <v>288</v>
      </c>
      <c r="I97" s="37">
        <v>0</v>
      </c>
      <c r="J97" s="38">
        <v>2</v>
      </c>
      <c r="K97" s="37">
        <v>0</v>
      </c>
      <c r="L97" s="105">
        <v>0.72727272727272729</v>
      </c>
      <c r="M97" s="106">
        <v>9.7902097902097904E-2</v>
      </c>
      <c r="N97" s="106">
        <v>6.2937062937062943E-2</v>
      </c>
      <c r="O97" s="106">
        <v>2.097902097902098E-2</v>
      </c>
      <c r="P97" s="106">
        <v>2.7972027972027972E-2</v>
      </c>
      <c r="Q97" s="107">
        <v>6.2937062937062943E-2</v>
      </c>
      <c r="R97" s="105">
        <v>0.36974789915966388</v>
      </c>
      <c r="S97" s="106">
        <v>0.25210084033613445</v>
      </c>
      <c r="T97" s="106">
        <v>0.21008403361344538</v>
      </c>
      <c r="U97" s="106">
        <v>5.8823529411764705E-2</v>
      </c>
      <c r="V97" s="106">
        <v>7.5630252100840331E-2</v>
      </c>
      <c r="W97" s="107">
        <v>4.2016806722689079E-2</v>
      </c>
      <c r="X97" s="111">
        <f t="shared" si="26"/>
        <v>0</v>
      </c>
      <c r="Y97" s="90">
        <f t="shared" si="27"/>
        <v>0</v>
      </c>
      <c r="Z97" s="90">
        <f t="shared" si="28"/>
        <v>0</v>
      </c>
      <c r="AA97" s="90">
        <f t="shared" si="29"/>
        <v>0</v>
      </c>
      <c r="AB97" s="90">
        <f t="shared" si="30"/>
        <v>0</v>
      </c>
      <c r="AC97" s="112">
        <f t="shared" si="31"/>
        <v>0</v>
      </c>
      <c r="AD97" s="111">
        <f t="shared" si="20"/>
        <v>0.73949579831932777</v>
      </c>
      <c r="AE97" s="90">
        <f t="shared" si="21"/>
        <v>0.50420168067226889</v>
      </c>
      <c r="AF97" s="90">
        <f t="shared" si="22"/>
        <v>0.42016806722689076</v>
      </c>
      <c r="AG97" s="90">
        <f t="shared" si="23"/>
        <v>0.11764705882352941</v>
      </c>
      <c r="AH97" s="90">
        <f t="shared" si="24"/>
        <v>0.15126050420168066</v>
      </c>
      <c r="AI97" s="112">
        <f t="shared" si="25"/>
        <v>8.4033613445378158E-2</v>
      </c>
      <c r="AJ97" s="121">
        <f>Input!$E$22*WRs!C97+Input!$E$23*WRs!D97+Input!$E$24*WRs!X97+Input!$E$25*WRs!Y97+Input!$E$26*WRs!Z97+Input!$E$27*WRs!AA97+Input!$E$28*WRs!AB97+Input!$E$29*WRs!AC97+Input!$E$30*WRs!E97+Input!$E$31*WRs!G97+Input!$E$32*WRs!H97+Input!$E$33*WRs!AD97+Input!$E$34*WRs!AE97+Input!$E$35*WRs!AF97+Input!$E$36*WRs!AG97+Input!$E$37*WRs!AH97+Input!$E$38*WRs!AI97+Input!$E$39*WRs!I97+Input!$E$40*WRs!K97</f>
        <v>43.707563025210092</v>
      </c>
    </row>
    <row r="98" spans="1:36" x14ac:dyDescent="0.25">
      <c r="A98" s="89" t="s">
        <v>437</v>
      </c>
      <c r="B98" s="112" t="s">
        <v>138</v>
      </c>
      <c r="C98" s="45">
        <v>0</v>
      </c>
      <c r="D98" s="37">
        <v>0</v>
      </c>
      <c r="E98" s="37">
        <v>0</v>
      </c>
      <c r="F98" s="38">
        <v>0</v>
      </c>
      <c r="G98" s="45">
        <v>25</v>
      </c>
      <c r="H98" s="37">
        <f>12.9*G98</f>
        <v>322.5</v>
      </c>
      <c r="I98" s="37">
        <v>0</v>
      </c>
      <c r="J98" s="38">
        <v>1</v>
      </c>
      <c r="K98" s="37">
        <v>0</v>
      </c>
      <c r="L98" s="105">
        <v>0.72727272727272729</v>
      </c>
      <c r="M98" s="106">
        <v>9.7902097902097904E-2</v>
      </c>
      <c r="N98" s="106">
        <v>6.2937062937062943E-2</v>
      </c>
      <c r="O98" s="106">
        <v>2.097902097902098E-2</v>
      </c>
      <c r="P98" s="106">
        <v>2.7972027972027972E-2</v>
      </c>
      <c r="Q98" s="107">
        <v>6.2937062937062943E-2</v>
      </c>
      <c r="R98" s="105">
        <v>0.36974789915966388</v>
      </c>
      <c r="S98" s="106">
        <v>0.25210084033613445</v>
      </c>
      <c r="T98" s="106">
        <v>0.21008403361344538</v>
      </c>
      <c r="U98" s="106">
        <v>5.8823529411764705E-2</v>
      </c>
      <c r="V98" s="106">
        <v>7.5630252100840331E-2</v>
      </c>
      <c r="W98" s="107">
        <v>4.2016806722689079E-2</v>
      </c>
      <c r="X98" s="111">
        <f t="shared" si="26"/>
        <v>0</v>
      </c>
      <c r="Y98" s="90">
        <f t="shared" si="27"/>
        <v>0</v>
      </c>
      <c r="Z98" s="90">
        <f t="shared" si="28"/>
        <v>0</v>
      </c>
      <c r="AA98" s="90">
        <f t="shared" si="29"/>
        <v>0</v>
      </c>
      <c r="AB98" s="90">
        <f t="shared" si="30"/>
        <v>0</v>
      </c>
      <c r="AC98" s="112">
        <f t="shared" si="31"/>
        <v>0</v>
      </c>
      <c r="AD98" s="111">
        <f t="shared" si="20"/>
        <v>0.36974789915966388</v>
      </c>
      <c r="AE98" s="90">
        <f t="shared" si="21"/>
        <v>0.25210084033613445</v>
      </c>
      <c r="AF98" s="90">
        <f t="shared" si="22"/>
        <v>0.21008403361344538</v>
      </c>
      <c r="AG98" s="90">
        <f t="shared" si="23"/>
        <v>5.8823529411764705E-2</v>
      </c>
      <c r="AH98" s="90">
        <f t="shared" si="24"/>
        <v>7.5630252100840331E-2</v>
      </c>
      <c r="AI98" s="112">
        <f t="shared" si="25"/>
        <v>4.2016806722689079E-2</v>
      </c>
      <c r="AJ98" s="121">
        <f>Input!$E$22*WRs!C98+Input!$E$23*WRs!D98+Input!$E$24*WRs!X98+Input!$E$25*WRs!Y98+Input!$E$26*WRs!Z98+Input!$E$27*WRs!AA98+Input!$E$28*WRs!AB98+Input!$E$29*WRs!AC98+Input!$E$30*WRs!E98+Input!$E$31*WRs!G98+Input!$E$32*WRs!H98+Input!$E$33*WRs!AD98+Input!$E$34*WRs!AE98+Input!$E$35*WRs!AF98+Input!$E$36*WRs!AG98+Input!$E$37*WRs!AH98+Input!$E$38*WRs!AI98+Input!$E$39*WRs!I98+Input!$E$40*WRs!K98</f>
        <v>39.70378151260504</v>
      </c>
    </row>
    <row r="99" spans="1:36" x14ac:dyDescent="0.25">
      <c r="A99" s="89" t="s">
        <v>438</v>
      </c>
      <c r="B99" s="112" t="s">
        <v>196</v>
      </c>
      <c r="C99" s="45">
        <v>0</v>
      </c>
      <c r="D99" s="37">
        <v>0</v>
      </c>
      <c r="E99" s="37">
        <v>0</v>
      </c>
      <c r="F99" s="38">
        <v>0</v>
      </c>
      <c r="G99" s="45">
        <v>20</v>
      </c>
      <c r="H99" s="37">
        <f>13.5*G99</f>
        <v>270</v>
      </c>
      <c r="I99" s="37">
        <v>0</v>
      </c>
      <c r="J99" s="38">
        <v>1</v>
      </c>
      <c r="K99" s="37">
        <v>0</v>
      </c>
      <c r="L99" s="105">
        <v>0.72727272727272729</v>
      </c>
      <c r="M99" s="106">
        <v>9.7902097902097904E-2</v>
      </c>
      <c r="N99" s="106">
        <v>6.2937062937062943E-2</v>
      </c>
      <c r="O99" s="106">
        <v>2.097902097902098E-2</v>
      </c>
      <c r="P99" s="106">
        <v>2.7972027972027972E-2</v>
      </c>
      <c r="Q99" s="107">
        <v>6.2937062937062943E-2</v>
      </c>
      <c r="R99" s="105">
        <v>0.36974789915966388</v>
      </c>
      <c r="S99" s="106">
        <v>0.25210084033613445</v>
      </c>
      <c r="T99" s="106">
        <v>0.21008403361344538</v>
      </c>
      <c r="U99" s="106">
        <v>5.8823529411764705E-2</v>
      </c>
      <c r="V99" s="106">
        <v>7.5630252100840331E-2</v>
      </c>
      <c r="W99" s="107">
        <v>4.2016806722689079E-2</v>
      </c>
      <c r="X99" s="111">
        <f t="shared" si="26"/>
        <v>0</v>
      </c>
      <c r="Y99" s="90">
        <f t="shared" si="27"/>
        <v>0</v>
      </c>
      <c r="Z99" s="90">
        <f t="shared" si="28"/>
        <v>0</v>
      </c>
      <c r="AA99" s="90">
        <f t="shared" si="29"/>
        <v>0</v>
      </c>
      <c r="AB99" s="90">
        <f t="shared" si="30"/>
        <v>0</v>
      </c>
      <c r="AC99" s="112">
        <f t="shared" si="31"/>
        <v>0</v>
      </c>
      <c r="AD99" s="111">
        <f t="shared" si="20"/>
        <v>0.36974789915966388</v>
      </c>
      <c r="AE99" s="90">
        <f t="shared" si="21"/>
        <v>0.25210084033613445</v>
      </c>
      <c r="AF99" s="90">
        <f t="shared" si="22"/>
        <v>0.21008403361344538</v>
      </c>
      <c r="AG99" s="90">
        <f t="shared" si="23"/>
        <v>5.8823529411764705E-2</v>
      </c>
      <c r="AH99" s="90">
        <f t="shared" si="24"/>
        <v>7.5630252100840331E-2</v>
      </c>
      <c r="AI99" s="112">
        <f t="shared" si="25"/>
        <v>4.2016806722689079E-2</v>
      </c>
      <c r="AJ99" s="121">
        <f>Input!$E$22*WRs!C99+Input!$E$23*WRs!D99+Input!$E$24*WRs!X99+Input!$E$25*WRs!Y99+Input!$E$26*WRs!Z99+Input!$E$27*WRs!AA99+Input!$E$28*WRs!AB99+Input!$E$29*WRs!AC99+Input!$E$30*WRs!E99+Input!$E$31*WRs!G99+Input!$E$32*WRs!H99+Input!$E$33*WRs!AD99+Input!$E$34*WRs!AE99+Input!$E$35*WRs!AF99+Input!$E$36*WRs!AG99+Input!$E$37*WRs!AH99+Input!$E$38*WRs!AI99+Input!$E$39*WRs!I99+Input!$E$40*WRs!K99</f>
        <v>34.45378151260504</v>
      </c>
    </row>
    <row r="100" spans="1:36" x14ac:dyDescent="0.25">
      <c r="A100" s="89" t="s">
        <v>439</v>
      </c>
      <c r="B100" s="112" t="s">
        <v>194</v>
      </c>
      <c r="C100" s="45">
        <v>0</v>
      </c>
      <c r="D100" s="37">
        <v>0</v>
      </c>
      <c r="E100" s="37">
        <v>0</v>
      </c>
      <c r="F100" s="38">
        <v>0</v>
      </c>
      <c r="G100" s="45">
        <v>20</v>
      </c>
      <c r="H100" s="37">
        <f>13*G100</f>
        <v>260</v>
      </c>
      <c r="I100" s="37">
        <v>0</v>
      </c>
      <c r="J100" s="38">
        <v>2</v>
      </c>
      <c r="K100" s="37">
        <v>0</v>
      </c>
      <c r="L100" s="105">
        <v>0.72727272727272729</v>
      </c>
      <c r="M100" s="106">
        <v>9.7902097902097904E-2</v>
      </c>
      <c r="N100" s="106">
        <v>6.2937062937062943E-2</v>
      </c>
      <c r="O100" s="106">
        <v>2.097902097902098E-2</v>
      </c>
      <c r="P100" s="106">
        <v>2.7972027972027972E-2</v>
      </c>
      <c r="Q100" s="107">
        <v>6.2937062937062943E-2</v>
      </c>
      <c r="R100" s="105">
        <v>0.36974789915966388</v>
      </c>
      <c r="S100" s="106">
        <v>0.25210084033613445</v>
      </c>
      <c r="T100" s="106">
        <v>0.21008403361344538</v>
      </c>
      <c r="U100" s="106">
        <v>5.8823529411764705E-2</v>
      </c>
      <c r="V100" s="106">
        <v>7.5630252100840331E-2</v>
      </c>
      <c r="W100" s="107">
        <v>4.2016806722689079E-2</v>
      </c>
      <c r="X100" s="111">
        <f t="shared" si="26"/>
        <v>0</v>
      </c>
      <c r="Y100" s="90">
        <f t="shared" si="27"/>
        <v>0</v>
      </c>
      <c r="Z100" s="90">
        <f t="shared" si="28"/>
        <v>0</v>
      </c>
      <c r="AA100" s="90">
        <f t="shared" si="29"/>
        <v>0</v>
      </c>
      <c r="AB100" s="90">
        <f t="shared" si="30"/>
        <v>0</v>
      </c>
      <c r="AC100" s="112">
        <f t="shared" si="31"/>
        <v>0</v>
      </c>
      <c r="AD100" s="111">
        <f t="shared" si="20"/>
        <v>0.73949579831932777</v>
      </c>
      <c r="AE100" s="90">
        <f t="shared" si="21"/>
        <v>0.50420168067226889</v>
      </c>
      <c r="AF100" s="90">
        <f t="shared" si="22"/>
        <v>0.42016806722689076</v>
      </c>
      <c r="AG100" s="90">
        <f t="shared" si="23"/>
        <v>0.11764705882352941</v>
      </c>
      <c r="AH100" s="90">
        <f t="shared" si="24"/>
        <v>0.15126050420168066</v>
      </c>
      <c r="AI100" s="112">
        <f t="shared" si="25"/>
        <v>8.4033613445378158E-2</v>
      </c>
      <c r="AJ100" s="121">
        <f>Input!$E$22*WRs!C100+Input!$E$23*WRs!D100+Input!$E$24*WRs!X100+Input!$E$25*WRs!Y100+Input!$E$26*WRs!Z100+Input!$E$27*WRs!AA100+Input!$E$28*WRs!AB100+Input!$E$29*WRs!AC100+Input!$E$30*WRs!E100+Input!$E$31*WRs!G100+Input!$E$32*WRs!H100+Input!$E$33*WRs!AD100+Input!$E$34*WRs!AE100+Input!$E$35*WRs!AF100+Input!$E$36*WRs!AG100+Input!$E$37*WRs!AH100+Input!$E$38*WRs!AI100+Input!$E$39*WRs!I100+Input!$E$40*WRs!K100</f>
        <v>40.907563025210095</v>
      </c>
    </row>
    <row r="101" spans="1:36" x14ac:dyDescent="0.25">
      <c r="A101" s="89" t="s">
        <v>440</v>
      </c>
      <c r="B101" s="112" t="s">
        <v>158</v>
      </c>
      <c r="C101" s="45">
        <v>0</v>
      </c>
      <c r="D101" s="37">
        <v>0</v>
      </c>
      <c r="E101" s="37">
        <v>0</v>
      </c>
      <c r="F101" s="38">
        <v>0</v>
      </c>
      <c r="G101" s="45">
        <v>28</v>
      </c>
      <c r="H101" s="37">
        <f>11*G101</f>
        <v>308</v>
      </c>
      <c r="I101" s="37">
        <v>0</v>
      </c>
      <c r="J101" s="38">
        <v>1</v>
      </c>
      <c r="K101" s="37">
        <v>0</v>
      </c>
      <c r="L101" s="105">
        <v>0.72727272727272729</v>
      </c>
      <c r="M101" s="106">
        <v>9.7902097902097904E-2</v>
      </c>
      <c r="N101" s="106">
        <v>6.2937062937062943E-2</v>
      </c>
      <c r="O101" s="106">
        <v>2.097902097902098E-2</v>
      </c>
      <c r="P101" s="106">
        <v>2.7972027972027972E-2</v>
      </c>
      <c r="Q101" s="107">
        <v>6.2937062937062943E-2</v>
      </c>
      <c r="R101" s="105">
        <v>0.36974789915966388</v>
      </c>
      <c r="S101" s="106">
        <v>0.25210084033613445</v>
      </c>
      <c r="T101" s="106">
        <v>0.21008403361344538</v>
      </c>
      <c r="U101" s="106">
        <v>5.8823529411764705E-2</v>
      </c>
      <c r="V101" s="106">
        <v>7.5630252100840331E-2</v>
      </c>
      <c r="W101" s="107">
        <v>4.2016806722689079E-2</v>
      </c>
      <c r="X101" s="111">
        <f t="shared" si="26"/>
        <v>0</v>
      </c>
      <c r="Y101" s="90">
        <f t="shared" si="27"/>
        <v>0</v>
      </c>
      <c r="Z101" s="90">
        <f t="shared" si="28"/>
        <v>0</v>
      </c>
      <c r="AA101" s="90">
        <f t="shared" si="29"/>
        <v>0</v>
      </c>
      <c r="AB101" s="90">
        <f t="shared" si="30"/>
        <v>0</v>
      </c>
      <c r="AC101" s="112">
        <f t="shared" si="31"/>
        <v>0</v>
      </c>
      <c r="AD101" s="111">
        <f t="shared" si="20"/>
        <v>0.36974789915966388</v>
      </c>
      <c r="AE101" s="90">
        <f t="shared" si="21"/>
        <v>0.25210084033613445</v>
      </c>
      <c r="AF101" s="90">
        <f t="shared" si="22"/>
        <v>0.21008403361344538</v>
      </c>
      <c r="AG101" s="90">
        <f t="shared" si="23"/>
        <v>5.8823529411764705E-2</v>
      </c>
      <c r="AH101" s="90">
        <f t="shared" si="24"/>
        <v>7.5630252100840331E-2</v>
      </c>
      <c r="AI101" s="112">
        <f t="shared" si="25"/>
        <v>4.2016806722689079E-2</v>
      </c>
      <c r="AJ101" s="121">
        <f>Input!$E$22*WRs!C101+Input!$E$23*WRs!D101+Input!$E$24*WRs!X101+Input!$E$25*WRs!Y101+Input!$E$26*WRs!Z101+Input!$E$27*WRs!AA101+Input!$E$28*WRs!AB101+Input!$E$29*WRs!AC101+Input!$E$30*WRs!E101+Input!$E$31*WRs!G101+Input!$E$32*WRs!H101+Input!$E$33*WRs!AD101+Input!$E$34*WRs!AE101+Input!$E$35*WRs!AF101+Input!$E$36*WRs!AG101+Input!$E$37*WRs!AH101+Input!$E$38*WRs!AI101+Input!$E$39*WRs!I101+Input!$E$40*WRs!K101</f>
        <v>38.253781512605045</v>
      </c>
    </row>
    <row r="102" spans="1:36" x14ac:dyDescent="0.25">
      <c r="A102" s="89" t="s">
        <v>441</v>
      </c>
      <c r="B102" s="112" t="s">
        <v>168</v>
      </c>
      <c r="C102" s="45">
        <v>0</v>
      </c>
      <c r="D102" s="37">
        <v>0</v>
      </c>
      <c r="E102" s="37">
        <v>0</v>
      </c>
      <c r="F102" s="38">
        <v>0</v>
      </c>
      <c r="G102" s="45">
        <v>20</v>
      </c>
      <c r="H102" s="37">
        <f>12*G102</f>
        <v>240</v>
      </c>
      <c r="I102" s="37">
        <v>0</v>
      </c>
      <c r="J102" s="38">
        <v>1</v>
      </c>
      <c r="K102" s="37">
        <v>0</v>
      </c>
      <c r="L102" s="105">
        <v>0.72727272727272729</v>
      </c>
      <c r="M102" s="106">
        <v>9.7902097902097904E-2</v>
      </c>
      <c r="N102" s="106">
        <v>6.2937062937062943E-2</v>
      </c>
      <c r="O102" s="106">
        <v>2.097902097902098E-2</v>
      </c>
      <c r="P102" s="106">
        <v>2.7972027972027972E-2</v>
      </c>
      <c r="Q102" s="107">
        <v>6.2937062937062943E-2</v>
      </c>
      <c r="R102" s="105">
        <v>0.36974789915966388</v>
      </c>
      <c r="S102" s="106">
        <v>0.25210084033613445</v>
      </c>
      <c r="T102" s="106">
        <v>0.21008403361344538</v>
      </c>
      <c r="U102" s="106">
        <v>5.8823529411764705E-2</v>
      </c>
      <c r="V102" s="106">
        <v>7.5630252100840331E-2</v>
      </c>
      <c r="W102" s="107">
        <v>4.2016806722689079E-2</v>
      </c>
      <c r="X102" s="111">
        <f t="shared" si="26"/>
        <v>0</v>
      </c>
      <c r="Y102" s="90">
        <f t="shared" si="27"/>
        <v>0</v>
      </c>
      <c r="Z102" s="90">
        <f t="shared" si="28"/>
        <v>0</v>
      </c>
      <c r="AA102" s="90">
        <f t="shared" si="29"/>
        <v>0</v>
      </c>
      <c r="AB102" s="90">
        <f t="shared" si="30"/>
        <v>0</v>
      </c>
      <c r="AC102" s="112">
        <f t="shared" si="31"/>
        <v>0</v>
      </c>
      <c r="AD102" s="111">
        <f t="shared" si="20"/>
        <v>0.36974789915966388</v>
      </c>
      <c r="AE102" s="90">
        <f t="shared" si="21"/>
        <v>0.25210084033613445</v>
      </c>
      <c r="AF102" s="90">
        <f t="shared" si="22"/>
        <v>0.21008403361344538</v>
      </c>
      <c r="AG102" s="90">
        <f t="shared" si="23"/>
        <v>5.8823529411764705E-2</v>
      </c>
      <c r="AH102" s="90">
        <f t="shared" si="24"/>
        <v>7.5630252100840331E-2</v>
      </c>
      <c r="AI102" s="112">
        <f t="shared" si="25"/>
        <v>4.2016806722689079E-2</v>
      </c>
      <c r="AJ102" s="121">
        <f>Input!$E$22*WRs!C102+Input!$E$23*WRs!D102+Input!$E$24*WRs!X102+Input!$E$25*WRs!Y102+Input!$E$26*WRs!Z102+Input!$E$27*WRs!AA102+Input!$E$28*WRs!AB102+Input!$E$29*WRs!AC102+Input!$E$30*WRs!E102+Input!$E$31*WRs!G102+Input!$E$32*WRs!H102+Input!$E$33*WRs!AD102+Input!$E$34*WRs!AE102+Input!$E$35*WRs!AF102+Input!$E$36*WRs!AG102+Input!$E$37*WRs!AH102+Input!$E$38*WRs!AI102+Input!$E$39*WRs!I102+Input!$E$40*WRs!K102</f>
        <v>31.453781512605048</v>
      </c>
    </row>
    <row r="103" spans="1:36" x14ac:dyDescent="0.25">
      <c r="A103" s="89" t="s">
        <v>442</v>
      </c>
      <c r="B103" s="112" t="s">
        <v>172</v>
      </c>
      <c r="C103" s="45">
        <v>0</v>
      </c>
      <c r="D103" s="37">
        <v>0</v>
      </c>
      <c r="E103" s="37">
        <v>0</v>
      </c>
      <c r="F103" s="38">
        <v>0</v>
      </c>
      <c r="G103" s="45">
        <v>25</v>
      </c>
      <c r="H103" s="37">
        <f>12*G103</f>
        <v>300</v>
      </c>
      <c r="I103" s="37">
        <v>0</v>
      </c>
      <c r="J103" s="38">
        <v>1</v>
      </c>
      <c r="K103" s="37">
        <v>0</v>
      </c>
      <c r="L103" s="105">
        <v>0.72727272727272729</v>
      </c>
      <c r="M103" s="106">
        <v>9.7902097902097904E-2</v>
      </c>
      <c r="N103" s="106">
        <v>6.2937062937062943E-2</v>
      </c>
      <c r="O103" s="106">
        <v>2.097902097902098E-2</v>
      </c>
      <c r="P103" s="106">
        <v>2.7972027972027972E-2</v>
      </c>
      <c r="Q103" s="107">
        <v>6.2937062937062943E-2</v>
      </c>
      <c r="R103" s="105">
        <v>0.36974789915966388</v>
      </c>
      <c r="S103" s="106">
        <v>0.25210084033613445</v>
      </c>
      <c r="T103" s="106">
        <v>0.21008403361344538</v>
      </c>
      <c r="U103" s="106">
        <v>5.8823529411764705E-2</v>
      </c>
      <c r="V103" s="106">
        <v>7.5630252100840331E-2</v>
      </c>
      <c r="W103" s="107">
        <v>4.2016806722689079E-2</v>
      </c>
      <c r="X103" s="111">
        <f t="shared" si="26"/>
        <v>0</v>
      </c>
      <c r="Y103" s="90">
        <f t="shared" si="27"/>
        <v>0</v>
      </c>
      <c r="Z103" s="90">
        <f t="shared" si="28"/>
        <v>0</v>
      </c>
      <c r="AA103" s="90">
        <f t="shared" si="29"/>
        <v>0</v>
      </c>
      <c r="AB103" s="90">
        <f t="shared" si="30"/>
        <v>0</v>
      </c>
      <c r="AC103" s="112">
        <f t="shared" si="31"/>
        <v>0</v>
      </c>
      <c r="AD103" s="111">
        <f t="shared" si="20"/>
        <v>0.36974789915966388</v>
      </c>
      <c r="AE103" s="90">
        <f t="shared" si="21"/>
        <v>0.25210084033613445</v>
      </c>
      <c r="AF103" s="90">
        <f t="shared" si="22"/>
        <v>0.21008403361344538</v>
      </c>
      <c r="AG103" s="90">
        <f t="shared" si="23"/>
        <v>5.8823529411764705E-2</v>
      </c>
      <c r="AH103" s="90">
        <f t="shared" si="24"/>
        <v>7.5630252100840331E-2</v>
      </c>
      <c r="AI103" s="112">
        <f t="shared" si="25"/>
        <v>4.2016806722689079E-2</v>
      </c>
      <c r="AJ103" s="121">
        <f>Input!$E$22*WRs!C103+Input!$E$23*WRs!D103+Input!$E$24*WRs!X103+Input!$E$25*WRs!Y103+Input!$E$26*WRs!Z103+Input!$E$27*WRs!AA103+Input!$E$28*WRs!AB103+Input!$E$29*WRs!AC103+Input!$E$30*WRs!E103+Input!$E$31*WRs!G103+Input!$E$32*WRs!H103+Input!$E$33*WRs!AD103+Input!$E$34*WRs!AE103+Input!$E$35*WRs!AF103+Input!$E$36*WRs!AG103+Input!$E$37*WRs!AH103+Input!$E$38*WRs!AI103+Input!$E$39*WRs!I103+Input!$E$40*WRs!K103</f>
        <v>37.45378151260504</v>
      </c>
    </row>
    <row r="104" spans="1:36" x14ac:dyDescent="0.25">
      <c r="A104" s="89" t="s">
        <v>443</v>
      </c>
      <c r="B104" s="112" t="s">
        <v>182</v>
      </c>
      <c r="C104" s="45">
        <v>0</v>
      </c>
      <c r="D104" s="37">
        <v>0</v>
      </c>
      <c r="E104" s="37">
        <v>0</v>
      </c>
      <c r="F104" s="38">
        <v>0</v>
      </c>
      <c r="G104" s="45">
        <v>25</v>
      </c>
      <c r="H104" s="37">
        <f>12*G104</f>
        <v>300</v>
      </c>
      <c r="I104" s="37">
        <v>0</v>
      </c>
      <c r="J104" s="38">
        <v>1</v>
      </c>
      <c r="K104" s="37">
        <v>0</v>
      </c>
      <c r="L104" s="105">
        <v>0.72727272727272729</v>
      </c>
      <c r="M104" s="106">
        <v>9.7902097902097904E-2</v>
      </c>
      <c r="N104" s="106">
        <v>6.2937062937062943E-2</v>
      </c>
      <c r="O104" s="106">
        <v>2.097902097902098E-2</v>
      </c>
      <c r="P104" s="106">
        <v>2.7972027972027972E-2</v>
      </c>
      <c r="Q104" s="107">
        <v>6.2937062937062943E-2</v>
      </c>
      <c r="R104" s="105">
        <v>0.36974789915966388</v>
      </c>
      <c r="S104" s="106">
        <v>0.25210084033613445</v>
      </c>
      <c r="T104" s="106">
        <v>0.21008403361344538</v>
      </c>
      <c r="U104" s="106">
        <v>5.8823529411764705E-2</v>
      </c>
      <c r="V104" s="106">
        <v>7.5630252100840331E-2</v>
      </c>
      <c r="W104" s="107">
        <v>4.2016806722689079E-2</v>
      </c>
      <c r="X104" s="111">
        <f t="shared" si="26"/>
        <v>0</v>
      </c>
      <c r="Y104" s="90">
        <f t="shared" si="27"/>
        <v>0</v>
      </c>
      <c r="Z104" s="90">
        <f t="shared" si="28"/>
        <v>0</v>
      </c>
      <c r="AA104" s="90">
        <f t="shared" si="29"/>
        <v>0</v>
      </c>
      <c r="AB104" s="90">
        <f t="shared" si="30"/>
        <v>0</v>
      </c>
      <c r="AC104" s="112">
        <f t="shared" si="31"/>
        <v>0</v>
      </c>
      <c r="AD104" s="111">
        <f t="shared" si="20"/>
        <v>0.36974789915966388</v>
      </c>
      <c r="AE104" s="90">
        <f t="shared" si="21"/>
        <v>0.25210084033613445</v>
      </c>
      <c r="AF104" s="90">
        <f t="shared" si="22"/>
        <v>0.21008403361344538</v>
      </c>
      <c r="AG104" s="90">
        <f t="shared" si="23"/>
        <v>5.8823529411764705E-2</v>
      </c>
      <c r="AH104" s="90">
        <f t="shared" si="24"/>
        <v>7.5630252100840331E-2</v>
      </c>
      <c r="AI104" s="112">
        <f t="shared" si="25"/>
        <v>4.2016806722689079E-2</v>
      </c>
      <c r="AJ104" s="121">
        <f>Input!$E$22*WRs!C104+Input!$E$23*WRs!D104+Input!$E$24*WRs!X104+Input!$E$25*WRs!Y104+Input!$E$26*WRs!Z104+Input!$E$27*WRs!AA104+Input!$E$28*WRs!AB104+Input!$E$29*WRs!AC104+Input!$E$30*WRs!E104+Input!$E$31*WRs!G104+Input!$E$32*WRs!H104+Input!$E$33*WRs!AD104+Input!$E$34*WRs!AE104+Input!$E$35*WRs!AF104+Input!$E$36*WRs!AG104+Input!$E$37*WRs!AH104+Input!$E$38*WRs!AI104+Input!$E$39*WRs!I104+Input!$E$40*WRs!K104</f>
        <v>37.45378151260504</v>
      </c>
    </row>
    <row r="105" spans="1:36" x14ac:dyDescent="0.25">
      <c r="A105" s="89" t="s">
        <v>444</v>
      </c>
      <c r="B105" s="112" t="s">
        <v>150</v>
      </c>
      <c r="C105" s="45">
        <v>0</v>
      </c>
      <c r="D105" s="37">
        <v>0</v>
      </c>
      <c r="E105" s="37">
        <v>0</v>
      </c>
      <c r="F105" s="38">
        <v>0</v>
      </c>
      <c r="G105" s="45">
        <v>20</v>
      </c>
      <c r="H105" s="37">
        <f>11.6*G105</f>
        <v>232</v>
      </c>
      <c r="I105" s="37">
        <v>0</v>
      </c>
      <c r="J105" s="38">
        <v>2</v>
      </c>
      <c r="K105" s="37">
        <v>0</v>
      </c>
      <c r="L105" s="105">
        <v>0.72727272727272729</v>
      </c>
      <c r="M105" s="106">
        <v>9.7902097902097904E-2</v>
      </c>
      <c r="N105" s="106">
        <v>6.2937062937062943E-2</v>
      </c>
      <c r="O105" s="106">
        <v>2.097902097902098E-2</v>
      </c>
      <c r="P105" s="106">
        <v>2.7972027972027972E-2</v>
      </c>
      <c r="Q105" s="107">
        <v>6.2937062937062943E-2</v>
      </c>
      <c r="R105" s="105">
        <v>0.36974789915966388</v>
      </c>
      <c r="S105" s="106">
        <v>0.25210084033613445</v>
      </c>
      <c r="T105" s="106">
        <v>0.21008403361344538</v>
      </c>
      <c r="U105" s="106">
        <v>5.8823529411764705E-2</v>
      </c>
      <c r="V105" s="106">
        <v>7.5630252100840331E-2</v>
      </c>
      <c r="W105" s="107">
        <v>4.2016806722689079E-2</v>
      </c>
      <c r="X105" s="111">
        <f t="shared" si="26"/>
        <v>0</v>
      </c>
      <c r="Y105" s="90">
        <f t="shared" si="27"/>
        <v>0</v>
      </c>
      <c r="Z105" s="90">
        <f t="shared" si="28"/>
        <v>0</v>
      </c>
      <c r="AA105" s="90">
        <f t="shared" si="29"/>
        <v>0</v>
      </c>
      <c r="AB105" s="90">
        <f t="shared" si="30"/>
        <v>0</v>
      </c>
      <c r="AC105" s="112">
        <f t="shared" si="31"/>
        <v>0</v>
      </c>
      <c r="AD105" s="111">
        <f t="shared" si="20"/>
        <v>0.73949579831932777</v>
      </c>
      <c r="AE105" s="90">
        <f t="shared" si="21"/>
        <v>0.50420168067226889</v>
      </c>
      <c r="AF105" s="90">
        <f t="shared" si="22"/>
        <v>0.42016806722689076</v>
      </c>
      <c r="AG105" s="90">
        <f t="shared" si="23"/>
        <v>0.11764705882352941</v>
      </c>
      <c r="AH105" s="90">
        <f t="shared" si="24"/>
        <v>0.15126050420168066</v>
      </c>
      <c r="AI105" s="112">
        <f t="shared" si="25"/>
        <v>8.4033613445378158E-2</v>
      </c>
      <c r="AJ105" s="121">
        <f>Input!$E$22*WRs!C105+Input!$E$23*WRs!D105+Input!$E$24*WRs!X105+Input!$E$25*WRs!Y105+Input!$E$26*WRs!Z105+Input!$E$27*WRs!AA105+Input!$E$28*WRs!AB105+Input!$E$29*WRs!AC105+Input!$E$30*WRs!E105+Input!$E$31*WRs!G105+Input!$E$32*WRs!H105+Input!$E$33*WRs!AD105+Input!$E$34*WRs!AE105+Input!$E$35*WRs!AF105+Input!$E$36*WRs!AG105+Input!$E$37*WRs!AH105+Input!$E$38*WRs!AI105+Input!$E$39*WRs!I105+Input!$E$40*WRs!K105</f>
        <v>38.107563025210098</v>
      </c>
    </row>
    <row r="106" spans="1:36" x14ac:dyDescent="0.25">
      <c r="A106" s="89" t="s">
        <v>445</v>
      </c>
      <c r="B106" s="112" t="s">
        <v>170</v>
      </c>
      <c r="C106" s="45">
        <v>0</v>
      </c>
      <c r="D106" s="37">
        <v>0</v>
      </c>
      <c r="E106" s="37">
        <v>0</v>
      </c>
      <c r="F106" s="38">
        <v>0</v>
      </c>
      <c r="G106" s="36">
        <v>25</v>
      </c>
      <c r="H106" s="40">
        <f>11*G106</f>
        <v>275</v>
      </c>
      <c r="I106" s="37">
        <v>0</v>
      </c>
      <c r="J106" s="41">
        <v>1</v>
      </c>
      <c r="K106" s="40">
        <v>0</v>
      </c>
      <c r="L106" s="105">
        <v>0.72727272727272729</v>
      </c>
      <c r="M106" s="106">
        <v>9.7902097902097904E-2</v>
      </c>
      <c r="N106" s="106">
        <v>6.2937062937062943E-2</v>
      </c>
      <c r="O106" s="106">
        <v>2.097902097902098E-2</v>
      </c>
      <c r="P106" s="106">
        <v>2.7972027972027972E-2</v>
      </c>
      <c r="Q106" s="107">
        <v>6.2937062937062943E-2</v>
      </c>
      <c r="R106" s="105">
        <v>0.36974789915966388</v>
      </c>
      <c r="S106" s="106">
        <v>0.25210084033613445</v>
      </c>
      <c r="T106" s="106">
        <v>0.21008403361344538</v>
      </c>
      <c r="U106" s="106">
        <v>5.8823529411764705E-2</v>
      </c>
      <c r="V106" s="106">
        <v>7.5630252100840331E-2</v>
      </c>
      <c r="W106" s="107">
        <v>4.2016806722689079E-2</v>
      </c>
      <c r="X106" s="111">
        <f t="shared" si="26"/>
        <v>0</v>
      </c>
      <c r="Y106" s="90">
        <f t="shared" si="27"/>
        <v>0</v>
      </c>
      <c r="Z106" s="90">
        <f t="shared" si="28"/>
        <v>0</v>
      </c>
      <c r="AA106" s="90">
        <f t="shared" si="29"/>
        <v>0</v>
      </c>
      <c r="AB106" s="90">
        <f t="shared" si="30"/>
        <v>0</v>
      </c>
      <c r="AC106" s="112">
        <f t="shared" si="31"/>
        <v>0</v>
      </c>
      <c r="AD106" s="111">
        <f t="shared" si="20"/>
        <v>0.36974789915966388</v>
      </c>
      <c r="AE106" s="90">
        <f t="shared" si="21"/>
        <v>0.25210084033613445</v>
      </c>
      <c r="AF106" s="90">
        <f t="shared" si="22"/>
        <v>0.21008403361344538</v>
      </c>
      <c r="AG106" s="90">
        <f t="shared" si="23"/>
        <v>5.8823529411764705E-2</v>
      </c>
      <c r="AH106" s="90">
        <f t="shared" si="24"/>
        <v>7.5630252100840331E-2</v>
      </c>
      <c r="AI106" s="112">
        <f t="shared" si="25"/>
        <v>4.2016806722689079E-2</v>
      </c>
      <c r="AJ106" s="121">
        <f>Input!$E$22*WRs!C106+Input!$E$23*WRs!D106+Input!$E$24*WRs!X106+Input!$E$25*WRs!Y106+Input!$E$26*WRs!Z106+Input!$E$27*WRs!AA106+Input!$E$28*WRs!AB106+Input!$E$29*WRs!AC106+Input!$E$30*WRs!E106+Input!$E$31*WRs!G106+Input!$E$32*WRs!H106+Input!$E$33*WRs!AD106+Input!$E$34*WRs!AE106+Input!$E$35*WRs!AF106+Input!$E$36*WRs!AG106+Input!$E$37*WRs!AH106+Input!$E$38*WRs!AI106+Input!$E$39*WRs!I106+Input!$E$40*WRs!K106</f>
        <v>34.95378151260504</v>
      </c>
    </row>
    <row r="107" spans="1:36" x14ac:dyDescent="0.25">
      <c r="A107" s="89" t="s">
        <v>446</v>
      </c>
      <c r="B107" s="112" t="s">
        <v>168</v>
      </c>
      <c r="C107" s="45">
        <v>0</v>
      </c>
      <c r="D107" s="37">
        <v>0</v>
      </c>
      <c r="E107" s="37">
        <v>0</v>
      </c>
      <c r="F107" s="38">
        <v>0</v>
      </c>
      <c r="G107" s="45">
        <v>15</v>
      </c>
      <c r="H107" s="37">
        <f>18*G107</f>
        <v>270</v>
      </c>
      <c r="I107" s="37">
        <v>0</v>
      </c>
      <c r="J107" s="38">
        <v>1</v>
      </c>
      <c r="K107" s="37">
        <v>0</v>
      </c>
      <c r="L107" s="105">
        <v>0.72727272727272729</v>
      </c>
      <c r="M107" s="106">
        <v>9.7902097902097904E-2</v>
      </c>
      <c r="N107" s="106">
        <v>6.2937062937062943E-2</v>
      </c>
      <c r="O107" s="106">
        <v>2.097902097902098E-2</v>
      </c>
      <c r="P107" s="106">
        <v>2.7972027972027972E-2</v>
      </c>
      <c r="Q107" s="107">
        <v>6.2937062937062943E-2</v>
      </c>
      <c r="R107" s="105">
        <v>0.36974789915966388</v>
      </c>
      <c r="S107" s="106">
        <v>0.25210084033613445</v>
      </c>
      <c r="T107" s="106">
        <v>0.21008403361344538</v>
      </c>
      <c r="U107" s="106">
        <v>5.8823529411764705E-2</v>
      </c>
      <c r="V107" s="106">
        <v>7.5630252100840331E-2</v>
      </c>
      <c r="W107" s="107">
        <v>4.2016806722689079E-2</v>
      </c>
      <c r="X107" s="111">
        <f t="shared" si="26"/>
        <v>0</v>
      </c>
      <c r="Y107" s="90">
        <f t="shared" si="27"/>
        <v>0</v>
      </c>
      <c r="Z107" s="90">
        <f t="shared" si="28"/>
        <v>0</v>
      </c>
      <c r="AA107" s="90">
        <f t="shared" si="29"/>
        <v>0</v>
      </c>
      <c r="AB107" s="90">
        <f t="shared" si="30"/>
        <v>0</v>
      </c>
      <c r="AC107" s="112">
        <f t="shared" si="31"/>
        <v>0</v>
      </c>
      <c r="AD107" s="111">
        <f t="shared" si="20"/>
        <v>0.36974789915966388</v>
      </c>
      <c r="AE107" s="90">
        <f t="shared" si="21"/>
        <v>0.25210084033613445</v>
      </c>
      <c r="AF107" s="90">
        <f t="shared" si="22"/>
        <v>0.21008403361344538</v>
      </c>
      <c r="AG107" s="90">
        <f t="shared" si="23"/>
        <v>5.8823529411764705E-2</v>
      </c>
      <c r="AH107" s="90">
        <f t="shared" si="24"/>
        <v>7.5630252100840331E-2</v>
      </c>
      <c r="AI107" s="112">
        <f t="shared" si="25"/>
        <v>4.2016806722689079E-2</v>
      </c>
      <c r="AJ107" s="121">
        <f>Input!$E$22*WRs!C107+Input!$E$23*WRs!D107+Input!$E$24*WRs!X107+Input!$E$25*WRs!Y107+Input!$E$26*WRs!Z107+Input!$E$27*WRs!AA107+Input!$E$28*WRs!AB107+Input!$E$29*WRs!AC107+Input!$E$30*WRs!E107+Input!$E$31*WRs!G107+Input!$E$32*WRs!H107+Input!$E$33*WRs!AD107+Input!$E$34*WRs!AE107+Input!$E$35*WRs!AF107+Input!$E$36*WRs!AG107+Input!$E$37*WRs!AH107+Input!$E$38*WRs!AI107+Input!$E$39*WRs!I107+Input!$E$40*WRs!K107</f>
        <v>34.45378151260504</v>
      </c>
    </row>
    <row r="108" spans="1:36" x14ac:dyDescent="0.25">
      <c r="A108" s="89" t="s">
        <v>447</v>
      </c>
      <c r="B108" s="112" t="s">
        <v>152</v>
      </c>
      <c r="C108" s="45">
        <v>0</v>
      </c>
      <c r="D108" s="37">
        <v>0</v>
      </c>
      <c r="E108" s="37">
        <v>0</v>
      </c>
      <c r="F108" s="38">
        <v>0</v>
      </c>
      <c r="G108" s="45">
        <v>10</v>
      </c>
      <c r="H108" s="37">
        <f>17.5*G108</f>
        <v>175</v>
      </c>
      <c r="I108" s="37">
        <v>0</v>
      </c>
      <c r="J108" s="38">
        <v>1</v>
      </c>
      <c r="K108" s="37">
        <v>0</v>
      </c>
      <c r="L108" s="105">
        <v>0.72727272727272729</v>
      </c>
      <c r="M108" s="106">
        <v>9.7902097902097904E-2</v>
      </c>
      <c r="N108" s="106">
        <v>6.2937062937062943E-2</v>
      </c>
      <c r="O108" s="106">
        <v>2.097902097902098E-2</v>
      </c>
      <c r="P108" s="106">
        <v>2.7972027972027972E-2</v>
      </c>
      <c r="Q108" s="107">
        <v>6.2937062937062943E-2</v>
      </c>
      <c r="R108" s="105">
        <v>0.36974789915966388</v>
      </c>
      <c r="S108" s="106">
        <v>0.25210084033613445</v>
      </c>
      <c r="T108" s="106">
        <v>0.21008403361344538</v>
      </c>
      <c r="U108" s="106">
        <v>5.8823529411764705E-2</v>
      </c>
      <c r="V108" s="106">
        <v>7.5630252100840331E-2</v>
      </c>
      <c r="W108" s="107">
        <v>4.2016806722689079E-2</v>
      </c>
      <c r="X108" s="111">
        <f t="shared" si="26"/>
        <v>0</v>
      </c>
      <c r="Y108" s="90">
        <f t="shared" si="27"/>
        <v>0</v>
      </c>
      <c r="Z108" s="90">
        <f t="shared" si="28"/>
        <v>0</v>
      </c>
      <c r="AA108" s="90">
        <f t="shared" si="29"/>
        <v>0</v>
      </c>
      <c r="AB108" s="90">
        <f t="shared" si="30"/>
        <v>0</v>
      </c>
      <c r="AC108" s="112">
        <f t="shared" si="31"/>
        <v>0</v>
      </c>
      <c r="AD108" s="111">
        <f t="shared" si="20"/>
        <v>0.36974789915966388</v>
      </c>
      <c r="AE108" s="90">
        <f t="shared" si="21"/>
        <v>0.25210084033613445</v>
      </c>
      <c r="AF108" s="90">
        <f t="shared" si="22"/>
        <v>0.21008403361344538</v>
      </c>
      <c r="AG108" s="90">
        <f t="shared" si="23"/>
        <v>5.8823529411764705E-2</v>
      </c>
      <c r="AH108" s="90">
        <f t="shared" si="24"/>
        <v>7.5630252100840331E-2</v>
      </c>
      <c r="AI108" s="112">
        <f t="shared" si="25"/>
        <v>4.2016806722689079E-2</v>
      </c>
      <c r="AJ108" s="121">
        <f>Input!$E$22*WRs!C108+Input!$E$23*WRs!D108+Input!$E$24*WRs!X108+Input!$E$25*WRs!Y108+Input!$E$26*WRs!Z108+Input!$E$27*WRs!AA108+Input!$E$28*WRs!AB108+Input!$E$29*WRs!AC108+Input!$E$30*WRs!E108+Input!$E$31*WRs!G108+Input!$E$32*WRs!H108+Input!$E$33*WRs!AD108+Input!$E$34*WRs!AE108+Input!$E$35*WRs!AF108+Input!$E$36*WRs!AG108+Input!$E$37*WRs!AH108+Input!$E$38*WRs!AI108+Input!$E$39*WRs!I108+Input!$E$40*WRs!K108</f>
        <v>24.953781512605048</v>
      </c>
    </row>
    <row r="109" spans="1:36" x14ac:dyDescent="0.25">
      <c r="A109" s="89" t="s">
        <v>448</v>
      </c>
      <c r="B109" s="112" t="s">
        <v>192</v>
      </c>
      <c r="C109" s="45">
        <v>0</v>
      </c>
      <c r="D109" s="37">
        <v>0</v>
      </c>
      <c r="E109" s="37">
        <v>0</v>
      </c>
      <c r="F109" s="38">
        <v>0</v>
      </c>
      <c r="G109" s="45">
        <v>45</v>
      </c>
      <c r="H109" s="37">
        <f>13*G109</f>
        <v>585</v>
      </c>
      <c r="I109" s="37">
        <v>0</v>
      </c>
      <c r="J109" s="38">
        <v>3</v>
      </c>
      <c r="K109" s="37">
        <v>0</v>
      </c>
      <c r="L109" s="105">
        <v>0.72727272727272729</v>
      </c>
      <c r="M109" s="106">
        <v>9.7902097902097904E-2</v>
      </c>
      <c r="N109" s="106">
        <v>6.2937062937062943E-2</v>
      </c>
      <c r="O109" s="106">
        <v>2.097902097902098E-2</v>
      </c>
      <c r="P109" s="106">
        <v>2.7972027972027972E-2</v>
      </c>
      <c r="Q109" s="107">
        <v>6.2937062937062943E-2</v>
      </c>
      <c r="R109" s="105">
        <v>0.36974789915966388</v>
      </c>
      <c r="S109" s="106">
        <v>0.25210084033613445</v>
      </c>
      <c r="T109" s="106">
        <v>0.21008403361344538</v>
      </c>
      <c r="U109" s="106">
        <v>5.8823529411764705E-2</v>
      </c>
      <c r="V109" s="106">
        <v>7.5630252100840331E-2</v>
      </c>
      <c r="W109" s="107">
        <v>4.2016806722689079E-2</v>
      </c>
      <c r="X109" s="111">
        <f t="shared" si="26"/>
        <v>0</v>
      </c>
      <c r="Y109" s="90">
        <f t="shared" si="27"/>
        <v>0</v>
      </c>
      <c r="Z109" s="90">
        <f t="shared" si="28"/>
        <v>0</v>
      </c>
      <c r="AA109" s="90">
        <f t="shared" si="29"/>
        <v>0</v>
      </c>
      <c r="AB109" s="90">
        <f t="shared" si="30"/>
        <v>0</v>
      </c>
      <c r="AC109" s="112">
        <f t="shared" si="31"/>
        <v>0</v>
      </c>
      <c r="AD109" s="111">
        <f t="shared" si="20"/>
        <v>1.1092436974789917</v>
      </c>
      <c r="AE109" s="90">
        <f t="shared" si="21"/>
        <v>0.75630252100840334</v>
      </c>
      <c r="AF109" s="90">
        <f t="shared" si="22"/>
        <v>0.63025210084033612</v>
      </c>
      <c r="AG109" s="90">
        <f t="shared" si="23"/>
        <v>0.1764705882352941</v>
      </c>
      <c r="AH109" s="90">
        <f t="shared" si="24"/>
        <v>0.22689075630252098</v>
      </c>
      <c r="AI109" s="112">
        <f t="shared" si="25"/>
        <v>0.12605042016806722</v>
      </c>
      <c r="AJ109" s="121">
        <f>Input!$E$22*WRs!C109+Input!$E$23*WRs!D109+Input!$E$24*WRs!X109+Input!$E$25*WRs!Y109+Input!$E$26*WRs!Z109+Input!$E$27*WRs!AA109+Input!$E$28*WRs!AB109+Input!$E$29*WRs!AC109+Input!$E$30*WRs!E109+Input!$E$31*WRs!G109+Input!$E$32*WRs!H109+Input!$E$33*WRs!AD109+Input!$E$34*WRs!AE109+Input!$E$35*WRs!AF109+Input!$E$36*WRs!AG109+Input!$E$37*WRs!AH109+Input!$E$38*WRs!AI109+Input!$E$39*WRs!I109+Input!$E$40*WRs!K109</f>
        <v>80.861344537815128</v>
      </c>
    </row>
    <row r="110" spans="1:36" x14ac:dyDescent="0.25">
      <c r="A110" s="89" t="s">
        <v>449</v>
      </c>
      <c r="B110" s="112" t="s">
        <v>152</v>
      </c>
      <c r="C110" s="45">
        <v>0</v>
      </c>
      <c r="D110" s="37">
        <v>0</v>
      </c>
      <c r="E110" s="37">
        <v>0</v>
      </c>
      <c r="F110" s="38">
        <v>0</v>
      </c>
      <c r="G110" s="45">
        <v>20</v>
      </c>
      <c r="H110" s="37">
        <f>13*G110</f>
        <v>260</v>
      </c>
      <c r="I110" s="37">
        <v>0</v>
      </c>
      <c r="J110" s="38">
        <v>1</v>
      </c>
      <c r="K110" s="37">
        <v>0</v>
      </c>
      <c r="L110" s="105">
        <v>0.72727272727272729</v>
      </c>
      <c r="M110" s="106">
        <v>9.7902097902097904E-2</v>
      </c>
      <c r="N110" s="106">
        <v>6.2937062937062943E-2</v>
      </c>
      <c r="O110" s="106">
        <v>2.097902097902098E-2</v>
      </c>
      <c r="P110" s="106">
        <v>2.7972027972027972E-2</v>
      </c>
      <c r="Q110" s="107">
        <v>6.2937062937062943E-2</v>
      </c>
      <c r="R110" s="105">
        <v>0.36974789915966388</v>
      </c>
      <c r="S110" s="106">
        <v>0.25210084033613445</v>
      </c>
      <c r="T110" s="106">
        <v>0.21008403361344538</v>
      </c>
      <c r="U110" s="106">
        <v>5.8823529411764705E-2</v>
      </c>
      <c r="V110" s="106">
        <v>7.5630252100840331E-2</v>
      </c>
      <c r="W110" s="107">
        <v>4.2016806722689079E-2</v>
      </c>
      <c r="X110" s="111">
        <f t="shared" si="26"/>
        <v>0</v>
      </c>
      <c r="Y110" s="90">
        <f t="shared" si="27"/>
        <v>0</v>
      </c>
      <c r="Z110" s="90">
        <f t="shared" si="28"/>
        <v>0</v>
      </c>
      <c r="AA110" s="90">
        <f t="shared" si="29"/>
        <v>0</v>
      </c>
      <c r="AB110" s="90">
        <f t="shared" si="30"/>
        <v>0</v>
      </c>
      <c r="AC110" s="112">
        <f t="shared" si="31"/>
        <v>0</v>
      </c>
      <c r="AD110" s="111">
        <f t="shared" si="20"/>
        <v>0.36974789915966388</v>
      </c>
      <c r="AE110" s="90">
        <f t="shared" si="21"/>
        <v>0.25210084033613445</v>
      </c>
      <c r="AF110" s="90">
        <f t="shared" si="22"/>
        <v>0.21008403361344538</v>
      </c>
      <c r="AG110" s="90">
        <f t="shared" si="23"/>
        <v>5.8823529411764705E-2</v>
      </c>
      <c r="AH110" s="90">
        <f t="shared" si="24"/>
        <v>7.5630252100840331E-2</v>
      </c>
      <c r="AI110" s="112">
        <f t="shared" si="25"/>
        <v>4.2016806722689079E-2</v>
      </c>
      <c r="AJ110" s="121">
        <f>Input!$E$22*WRs!C110+Input!$E$23*WRs!D110+Input!$E$24*WRs!X110+Input!$E$25*WRs!Y110+Input!$E$26*WRs!Z110+Input!$E$27*WRs!AA110+Input!$E$28*WRs!AB110+Input!$E$29*WRs!AC110+Input!$E$30*WRs!E110+Input!$E$31*WRs!G110+Input!$E$32*WRs!H110+Input!$E$33*WRs!AD110+Input!$E$34*WRs!AE110+Input!$E$35*WRs!AF110+Input!$E$36*WRs!AG110+Input!$E$37*WRs!AH110+Input!$E$38*WRs!AI110+Input!$E$39*WRs!I110+Input!$E$40*WRs!K110</f>
        <v>33.45378151260504</v>
      </c>
    </row>
    <row r="111" spans="1:36" x14ac:dyDescent="0.25">
      <c r="A111" s="89" t="s">
        <v>450</v>
      </c>
      <c r="B111" s="112" t="s">
        <v>164</v>
      </c>
      <c r="C111" s="45">
        <v>0</v>
      </c>
      <c r="D111" s="37">
        <v>0</v>
      </c>
      <c r="E111" s="37">
        <v>0</v>
      </c>
      <c r="F111" s="38">
        <v>0</v>
      </c>
      <c r="G111" s="45">
        <v>5</v>
      </c>
      <c r="H111" s="37">
        <f>12.5*G111</f>
        <v>62.5</v>
      </c>
      <c r="I111" s="37">
        <v>0</v>
      </c>
      <c r="J111" s="38">
        <v>0</v>
      </c>
      <c r="K111" s="37">
        <v>0</v>
      </c>
      <c r="L111" s="105">
        <v>0.72727272727272729</v>
      </c>
      <c r="M111" s="106">
        <v>9.7902097902097904E-2</v>
      </c>
      <c r="N111" s="106">
        <v>6.2937062937062943E-2</v>
      </c>
      <c r="O111" s="106">
        <v>2.097902097902098E-2</v>
      </c>
      <c r="P111" s="106">
        <v>2.7972027972027972E-2</v>
      </c>
      <c r="Q111" s="107">
        <v>6.2937062937062943E-2</v>
      </c>
      <c r="R111" s="105">
        <v>0.36974789915966388</v>
      </c>
      <c r="S111" s="106">
        <v>0.25210084033613445</v>
      </c>
      <c r="T111" s="106">
        <v>0.21008403361344538</v>
      </c>
      <c r="U111" s="106">
        <v>5.8823529411764705E-2</v>
      </c>
      <c r="V111" s="106">
        <v>7.5630252100840331E-2</v>
      </c>
      <c r="W111" s="107">
        <v>4.2016806722689079E-2</v>
      </c>
      <c r="X111" s="111">
        <f t="shared" si="26"/>
        <v>0</v>
      </c>
      <c r="Y111" s="90">
        <f t="shared" si="27"/>
        <v>0</v>
      </c>
      <c r="Z111" s="90">
        <f t="shared" si="28"/>
        <v>0</v>
      </c>
      <c r="AA111" s="90">
        <f t="shared" si="29"/>
        <v>0</v>
      </c>
      <c r="AB111" s="90">
        <f t="shared" si="30"/>
        <v>0</v>
      </c>
      <c r="AC111" s="112">
        <f t="shared" si="31"/>
        <v>0</v>
      </c>
      <c r="AD111" s="111">
        <f t="shared" si="20"/>
        <v>0</v>
      </c>
      <c r="AE111" s="90">
        <f t="shared" si="21"/>
        <v>0</v>
      </c>
      <c r="AF111" s="90">
        <f t="shared" si="22"/>
        <v>0</v>
      </c>
      <c r="AG111" s="90">
        <f t="shared" si="23"/>
        <v>0</v>
      </c>
      <c r="AH111" s="90">
        <f t="shared" si="24"/>
        <v>0</v>
      </c>
      <c r="AI111" s="112">
        <f t="shared" si="25"/>
        <v>0</v>
      </c>
      <c r="AJ111" s="121">
        <f>Input!$E$22*WRs!C111+Input!$E$23*WRs!D111+Input!$E$24*WRs!X111+Input!$E$25*WRs!Y111+Input!$E$26*WRs!Z111+Input!$E$27*WRs!AA111+Input!$E$28*WRs!AB111+Input!$E$29*WRs!AC111+Input!$E$30*WRs!E111+Input!$E$31*WRs!G111+Input!$E$32*WRs!H111+Input!$E$33*WRs!AD111+Input!$E$34*WRs!AE111+Input!$E$35*WRs!AF111+Input!$E$36*WRs!AG111+Input!$E$37*WRs!AH111+Input!$E$38*WRs!AI111+Input!$E$39*WRs!I111+Input!$E$40*WRs!K111</f>
        <v>6.25</v>
      </c>
    </row>
    <row r="112" spans="1:36" x14ac:dyDescent="0.25">
      <c r="A112" s="89" t="s">
        <v>451</v>
      </c>
      <c r="B112" s="112" t="s">
        <v>142</v>
      </c>
      <c r="C112" s="45">
        <v>0</v>
      </c>
      <c r="D112" s="37">
        <v>0</v>
      </c>
      <c r="E112" s="37">
        <v>0</v>
      </c>
      <c r="F112" s="38">
        <v>0</v>
      </c>
      <c r="G112" s="45">
        <v>10</v>
      </c>
      <c r="H112" s="37">
        <f>16.6*G112</f>
        <v>166</v>
      </c>
      <c r="I112" s="37">
        <v>0</v>
      </c>
      <c r="J112" s="38">
        <v>0</v>
      </c>
      <c r="K112" s="37">
        <v>0</v>
      </c>
      <c r="L112" s="105">
        <v>0.72727272727272729</v>
      </c>
      <c r="M112" s="106">
        <v>9.7902097902097904E-2</v>
      </c>
      <c r="N112" s="106">
        <v>6.2937062937062943E-2</v>
      </c>
      <c r="O112" s="106">
        <v>2.097902097902098E-2</v>
      </c>
      <c r="P112" s="106">
        <v>2.7972027972027972E-2</v>
      </c>
      <c r="Q112" s="107">
        <v>6.2937062937062943E-2</v>
      </c>
      <c r="R112" s="105">
        <v>0.36974789915966388</v>
      </c>
      <c r="S112" s="106">
        <v>0.25210084033613445</v>
      </c>
      <c r="T112" s="106">
        <v>0.21008403361344538</v>
      </c>
      <c r="U112" s="106">
        <v>5.8823529411764705E-2</v>
      </c>
      <c r="V112" s="106">
        <v>7.5630252100840331E-2</v>
      </c>
      <c r="W112" s="107">
        <v>4.2016806722689079E-2</v>
      </c>
      <c r="X112" s="111">
        <f t="shared" si="26"/>
        <v>0</v>
      </c>
      <c r="Y112" s="90">
        <f t="shared" si="27"/>
        <v>0</v>
      </c>
      <c r="Z112" s="90">
        <f t="shared" si="28"/>
        <v>0</v>
      </c>
      <c r="AA112" s="90">
        <f t="shared" si="29"/>
        <v>0</v>
      </c>
      <c r="AB112" s="90">
        <f t="shared" si="30"/>
        <v>0</v>
      </c>
      <c r="AC112" s="112">
        <f t="shared" si="31"/>
        <v>0</v>
      </c>
      <c r="AD112" s="111">
        <f t="shared" si="20"/>
        <v>0</v>
      </c>
      <c r="AE112" s="90">
        <f t="shared" si="21"/>
        <v>0</v>
      </c>
      <c r="AF112" s="90">
        <f t="shared" si="22"/>
        <v>0</v>
      </c>
      <c r="AG112" s="90">
        <f t="shared" si="23"/>
        <v>0</v>
      </c>
      <c r="AH112" s="90">
        <f t="shared" si="24"/>
        <v>0</v>
      </c>
      <c r="AI112" s="112">
        <f t="shared" si="25"/>
        <v>0</v>
      </c>
      <c r="AJ112" s="121">
        <f>Input!$E$22*WRs!C112+Input!$E$23*WRs!D112+Input!$E$24*WRs!X112+Input!$E$25*WRs!Y112+Input!$E$26*WRs!Z112+Input!$E$27*WRs!AA112+Input!$E$28*WRs!AB112+Input!$E$29*WRs!AC112+Input!$E$30*WRs!E112+Input!$E$31*WRs!G112+Input!$E$32*WRs!H112+Input!$E$33*WRs!AD112+Input!$E$34*WRs!AE112+Input!$E$35*WRs!AF112+Input!$E$36*WRs!AG112+Input!$E$37*WRs!AH112+Input!$E$38*WRs!AI112+Input!$E$39*WRs!I112+Input!$E$40*WRs!K112</f>
        <v>16.600000000000001</v>
      </c>
    </row>
    <row r="113" spans="1:36" x14ac:dyDescent="0.25">
      <c r="A113" s="89" t="s">
        <v>452</v>
      </c>
      <c r="B113" s="112" t="s">
        <v>144</v>
      </c>
      <c r="C113" s="45">
        <v>0</v>
      </c>
      <c r="D113" s="37">
        <v>0</v>
      </c>
      <c r="E113" s="37">
        <v>0</v>
      </c>
      <c r="F113" s="38">
        <v>0</v>
      </c>
      <c r="G113" s="45">
        <v>20</v>
      </c>
      <c r="H113" s="37">
        <f>12*G113</f>
        <v>240</v>
      </c>
      <c r="I113" s="37">
        <v>0</v>
      </c>
      <c r="J113" s="38">
        <v>1</v>
      </c>
      <c r="K113" s="37">
        <v>0</v>
      </c>
      <c r="L113" s="105">
        <v>0.72727272727272729</v>
      </c>
      <c r="M113" s="106">
        <v>9.7902097902097904E-2</v>
      </c>
      <c r="N113" s="106">
        <v>6.2937062937062943E-2</v>
      </c>
      <c r="O113" s="106">
        <v>2.097902097902098E-2</v>
      </c>
      <c r="P113" s="106">
        <v>2.7972027972027972E-2</v>
      </c>
      <c r="Q113" s="107">
        <v>6.2937062937062943E-2</v>
      </c>
      <c r="R113" s="105">
        <v>0.36974789915966388</v>
      </c>
      <c r="S113" s="106">
        <v>0.25210084033613445</v>
      </c>
      <c r="T113" s="106">
        <v>0.21008403361344538</v>
      </c>
      <c r="U113" s="106">
        <v>5.8823529411764705E-2</v>
      </c>
      <c r="V113" s="106">
        <v>7.5630252100840331E-2</v>
      </c>
      <c r="W113" s="107">
        <v>4.2016806722689079E-2</v>
      </c>
      <c r="X113" s="111">
        <f t="shared" si="26"/>
        <v>0</v>
      </c>
      <c r="Y113" s="90">
        <f t="shared" si="27"/>
        <v>0</v>
      </c>
      <c r="Z113" s="90">
        <f t="shared" si="28"/>
        <v>0</v>
      </c>
      <c r="AA113" s="90">
        <f t="shared" si="29"/>
        <v>0</v>
      </c>
      <c r="AB113" s="90">
        <f t="shared" si="30"/>
        <v>0</v>
      </c>
      <c r="AC113" s="112">
        <f t="shared" si="31"/>
        <v>0</v>
      </c>
      <c r="AD113" s="111">
        <f t="shared" si="20"/>
        <v>0.36974789915966388</v>
      </c>
      <c r="AE113" s="90">
        <f t="shared" si="21"/>
        <v>0.25210084033613445</v>
      </c>
      <c r="AF113" s="90">
        <f t="shared" si="22"/>
        <v>0.21008403361344538</v>
      </c>
      <c r="AG113" s="90">
        <f t="shared" si="23"/>
        <v>5.8823529411764705E-2</v>
      </c>
      <c r="AH113" s="90">
        <f t="shared" si="24"/>
        <v>7.5630252100840331E-2</v>
      </c>
      <c r="AI113" s="112">
        <f t="shared" si="25"/>
        <v>4.2016806722689079E-2</v>
      </c>
      <c r="AJ113" s="121">
        <f>Input!$E$22*WRs!C113+Input!$E$23*WRs!D113+Input!$E$24*WRs!X113+Input!$E$25*WRs!Y113+Input!$E$26*WRs!Z113+Input!$E$27*WRs!AA113+Input!$E$28*WRs!AB113+Input!$E$29*WRs!AC113+Input!$E$30*WRs!E113+Input!$E$31*WRs!G113+Input!$E$32*WRs!H113+Input!$E$33*WRs!AD113+Input!$E$34*WRs!AE113+Input!$E$35*WRs!AF113+Input!$E$36*WRs!AG113+Input!$E$37*WRs!AH113+Input!$E$38*WRs!AI113+Input!$E$39*WRs!I113+Input!$E$40*WRs!K113</f>
        <v>31.453781512605048</v>
      </c>
    </row>
    <row r="114" spans="1:36" x14ac:dyDescent="0.25">
      <c r="A114" s="89" t="s">
        <v>453</v>
      </c>
      <c r="B114" s="112" t="s">
        <v>168</v>
      </c>
      <c r="C114" s="45">
        <v>0</v>
      </c>
      <c r="D114" s="37">
        <v>0</v>
      </c>
      <c r="E114" s="37">
        <v>0</v>
      </c>
      <c r="F114" s="38">
        <v>0</v>
      </c>
      <c r="G114" s="45">
        <v>15</v>
      </c>
      <c r="H114" s="37">
        <f>16*G114</f>
        <v>240</v>
      </c>
      <c r="I114" s="37">
        <v>0</v>
      </c>
      <c r="J114" s="38">
        <v>1</v>
      </c>
      <c r="K114" s="37">
        <v>0</v>
      </c>
      <c r="L114" s="105">
        <v>0.72727272727272729</v>
      </c>
      <c r="M114" s="106">
        <v>9.7902097902097904E-2</v>
      </c>
      <c r="N114" s="106">
        <v>6.2937062937062943E-2</v>
      </c>
      <c r="O114" s="106">
        <v>2.097902097902098E-2</v>
      </c>
      <c r="P114" s="106">
        <v>2.7972027972027972E-2</v>
      </c>
      <c r="Q114" s="107">
        <v>6.2937062937062943E-2</v>
      </c>
      <c r="R114" s="105">
        <v>0.36974789915966388</v>
      </c>
      <c r="S114" s="106">
        <v>0.25210084033613445</v>
      </c>
      <c r="T114" s="106">
        <v>0.21008403361344538</v>
      </c>
      <c r="U114" s="106">
        <v>5.8823529411764705E-2</v>
      </c>
      <c r="V114" s="106">
        <v>7.5630252100840331E-2</v>
      </c>
      <c r="W114" s="107">
        <v>4.2016806722689079E-2</v>
      </c>
      <c r="X114" s="111">
        <f t="shared" si="26"/>
        <v>0</v>
      </c>
      <c r="Y114" s="90">
        <f t="shared" si="27"/>
        <v>0</v>
      </c>
      <c r="Z114" s="90">
        <f t="shared" si="28"/>
        <v>0</v>
      </c>
      <c r="AA114" s="90">
        <f t="shared" si="29"/>
        <v>0</v>
      </c>
      <c r="AB114" s="90">
        <f t="shared" si="30"/>
        <v>0</v>
      </c>
      <c r="AC114" s="112">
        <f t="shared" si="31"/>
        <v>0</v>
      </c>
      <c r="AD114" s="111">
        <f t="shared" si="20"/>
        <v>0.36974789915966388</v>
      </c>
      <c r="AE114" s="90">
        <f t="shared" si="21"/>
        <v>0.25210084033613445</v>
      </c>
      <c r="AF114" s="90">
        <f t="shared" si="22"/>
        <v>0.21008403361344538</v>
      </c>
      <c r="AG114" s="90">
        <f t="shared" si="23"/>
        <v>5.8823529411764705E-2</v>
      </c>
      <c r="AH114" s="90">
        <f t="shared" si="24"/>
        <v>7.5630252100840331E-2</v>
      </c>
      <c r="AI114" s="112">
        <f t="shared" si="25"/>
        <v>4.2016806722689079E-2</v>
      </c>
      <c r="AJ114" s="121">
        <f>Input!$E$22*WRs!C114+Input!$E$23*WRs!D114+Input!$E$24*WRs!X114+Input!$E$25*WRs!Y114+Input!$E$26*WRs!Z114+Input!$E$27*WRs!AA114+Input!$E$28*WRs!AB114+Input!$E$29*WRs!AC114+Input!$E$30*WRs!E114+Input!$E$31*WRs!G114+Input!$E$32*WRs!H114+Input!$E$33*WRs!AD114+Input!$E$34*WRs!AE114+Input!$E$35*WRs!AF114+Input!$E$36*WRs!AG114+Input!$E$37*WRs!AH114+Input!$E$38*WRs!AI114+Input!$E$39*WRs!I114+Input!$E$40*WRs!K114</f>
        <v>31.453781512605048</v>
      </c>
    </row>
    <row r="115" spans="1:36" x14ac:dyDescent="0.25">
      <c r="A115" s="89" t="s">
        <v>454</v>
      </c>
      <c r="B115" s="112" t="s">
        <v>144</v>
      </c>
      <c r="C115" s="45">
        <v>0</v>
      </c>
      <c r="D115" s="37">
        <v>0</v>
      </c>
      <c r="E115" s="37">
        <v>0</v>
      </c>
      <c r="F115" s="38">
        <v>0</v>
      </c>
      <c r="G115" s="45">
        <v>15</v>
      </c>
      <c r="H115" s="37">
        <f>11*G115</f>
        <v>165</v>
      </c>
      <c r="I115" s="37">
        <v>0</v>
      </c>
      <c r="J115" s="38">
        <v>2</v>
      </c>
      <c r="K115" s="37">
        <v>0</v>
      </c>
      <c r="L115" s="105">
        <v>0.72727272727272729</v>
      </c>
      <c r="M115" s="106">
        <v>9.7902097902097904E-2</v>
      </c>
      <c r="N115" s="106">
        <v>6.2937062937062943E-2</v>
      </c>
      <c r="O115" s="106">
        <v>2.097902097902098E-2</v>
      </c>
      <c r="P115" s="106">
        <v>2.7972027972027972E-2</v>
      </c>
      <c r="Q115" s="107">
        <v>6.2937062937062943E-2</v>
      </c>
      <c r="R115" s="105">
        <v>0.36974789915966388</v>
      </c>
      <c r="S115" s="106">
        <v>0.25210084033613445</v>
      </c>
      <c r="T115" s="106">
        <v>0.21008403361344538</v>
      </c>
      <c r="U115" s="106">
        <v>5.8823529411764705E-2</v>
      </c>
      <c r="V115" s="106">
        <v>7.5630252100840331E-2</v>
      </c>
      <c r="W115" s="107">
        <v>4.2016806722689079E-2</v>
      </c>
      <c r="X115" s="111">
        <f t="shared" si="26"/>
        <v>0</v>
      </c>
      <c r="Y115" s="90">
        <f t="shared" si="27"/>
        <v>0</v>
      </c>
      <c r="Z115" s="90">
        <f t="shared" si="28"/>
        <v>0</v>
      </c>
      <c r="AA115" s="90">
        <f t="shared" si="29"/>
        <v>0</v>
      </c>
      <c r="AB115" s="90">
        <f t="shared" si="30"/>
        <v>0</v>
      </c>
      <c r="AC115" s="112">
        <f t="shared" si="31"/>
        <v>0</v>
      </c>
      <c r="AD115" s="111">
        <f t="shared" si="20"/>
        <v>0.73949579831932777</v>
      </c>
      <c r="AE115" s="90">
        <f t="shared" si="21"/>
        <v>0.50420168067226889</v>
      </c>
      <c r="AF115" s="90">
        <f t="shared" si="22"/>
        <v>0.42016806722689076</v>
      </c>
      <c r="AG115" s="90">
        <f t="shared" si="23"/>
        <v>0.11764705882352941</v>
      </c>
      <c r="AH115" s="90">
        <f t="shared" si="24"/>
        <v>0.15126050420168066</v>
      </c>
      <c r="AI115" s="112">
        <f t="shared" si="25"/>
        <v>8.4033613445378158E-2</v>
      </c>
      <c r="AJ115" s="121">
        <f>Input!$E$22*WRs!C115+Input!$E$23*WRs!D115+Input!$E$24*WRs!X115+Input!$E$25*WRs!Y115+Input!$E$26*WRs!Z115+Input!$E$27*WRs!AA115+Input!$E$28*WRs!AB115+Input!$E$29*WRs!AC115+Input!$E$30*WRs!E115+Input!$E$31*WRs!G115+Input!$E$32*WRs!H115+Input!$E$33*WRs!AD115+Input!$E$34*WRs!AE115+Input!$E$35*WRs!AF115+Input!$E$36*WRs!AG115+Input!$E$37*WRs!AH115+Input!$E$38*WRs!AI115+Input!$E$39*WRs!I115+Input!$E$40*WRs!K115</f>
        <v>31.407563025210084</v>
      </c>
    </row>
    <row r="116" spans="1:36" x14ac:dyDescent="0.25">
      <c r="A116" s="89" t="s">
        <v>455</v>
      </c>
      <c r="B116" s="112" t="s">
        <v>136</v>
      </c>
      <c r="C116" s="45">
        <v>0</v>
      </c>
      <c r="D116" s="37">
        <v>0</v>
      </c>
      <c r="E116" s="37">
        <v>0</v>
      </c>
      <c r="F116" s="38">
        <v>0</v>
      </c>
      <c r="G116" s="45">
        <v>20</v>
      </c>
      <c r="H116" s="37">
        <f>11*G116</f>
        <v>220</v>
      </c>
      <c r="I116" s="37">
        <v>0</v>
      </c>
      <c r="J116" s="38">
        <v>1</v>
      </c>
      <c r="K116" s="37">
        <v>0</v>
      </c>
      <c r="L116" s="105">
        <v>0.72727272727272729</v>
      </c>
      <c r="M116" s="106">
        <v>9.7902097902097904E-2</v>
      </c>
      <c r="N116" s="106">
        <v>6.2937062937062943E-2</v>
      </c>
      <c r="O116" s="106">
        <v>2.097902097902098E-2</v>
      </c>
      <c r="P116" s="106">
        <v>2.7972027972027972E-2</v>
      </c>
      <c r="Q116" s="107">
        <v>6.2937062937062943E-2</v>
      </c>
      <c r="R116" s="105">
        <v>0.36974789915966388</v>
      </c>
      <c r="S116" s="106">
        <v>0.25210084033613445</v>
      </c>
      <c r="T116" s="106">
        <v>0.21008403361344538</v>
      </c>
      <c r="U116" s="106">
        <v>5.8823529411764705E-2</v>
      </c>
      <c r="V116" s="106">
        <v>7.5630252100840331E-2</v>
      </c>
      <c r="W116" s="107">
        <v>4.2016806722689079E-2</v>
      </c>
      <c r="X116" s="111">
        <f t="shared" si="26"/>
        <v>0</v>
      </c>
      <c r="Y116" s="90">
        <f t="shared" si="27"/>
        <v>0</v>
      </c>
      <c r="Z116" s="90">
        <f t="shared" si="28"/>
        <v>0</v>
      </c>
      <c r="AA116" s="90">
        <f t="shared" si="29"/>
        <v>0</v>
      </c>
      <c r="AB116" s="90">
        <f t="shared" si="30"/>
        <v>0</v>
      </c>
      <c r="AC116" s="112">
        <f t="shared" si="31"/>
        <v>0</v>
      </c>
      <c r="AD116" s="111">
        <f t="shared" si="20"/>
        <v>0.36974789915966388</v>
      </c>
      <c r="AE116" s="90">
        <f t="shared" si="21"/>
        <v>0.25210084033613445</v>
      </c>
      <c r="AF116" s="90">
        <f t="shared" si="22"/>
        <v>0.21008403361344538</v>
      </c>
      <c r="AG116" s="90">
        <f t="shared" si="23"/>
        <v>5.8823529411764705E-2</v>
      </c>
      <c r="AH116" s="90">
        <f t="shared" si="24"/>
        <v>7.5630252100840331E-2</v>
      </c>
      <c r="AI116" s="112">
        <f t="shared" si="25"/>
        <v>4.2016806722689079E-2</v>
      </c>
      <c r="AJ116" s="121">
        <f>Input!$E$22*WRs!C116+Input!$E$23*WRs!D116+Input!$E$24*WRs!X116+Input!$E$25*WRs!Y116+Input!$E$26*WRs!Z116+Input!$E$27*WRs!AA116+Input!$E$28*WRs!AB116+Input!$E$29*WRs!AC116+Input!$E$30*WRs!E116+Input!$E$31*WRs!G116+Input!$E$32*WRs!H116+Input!$E$33*WRs!AD116+Input!$E$34*WRs!AE116+Input!$E$35*WRs!AF116+Input!$E$36*WRs!AG116+Input!$E$37*WRs!AH116+Input!$E$38*WRs!AI116+Input!$E$39*WRs!I116+Input!$E$40*WRs!K116</f>
        <v>29.453781512605048</v>
      </c>
    </row>
    <row r="117" spans="1:36" x14ac:dyDescent="0.25">
      <c r="A117" s="89" t="s">
        <v>456</v>
      </c>
      <c r="B117" s="112" t="s">
        <v>144</v>
      </c>
      <c r="C117" s="45">
        <v>0</v>
      </c>
      <c r="D117" s="37">
        <v>0</v>
      </c>
      <c r="E117" s="37">
        <v>0</v>
      </c>
      <c r="F117" s="38">
        <v>0</v>
      </c>
      <c r="G117" s="45">
        <v>15</v>
      </c>
      <c r="H117" s="37">
        <f>13*G117</f>
        <v>195</v>
      </c>
      <c r="I117" s="37">
        <v>0</v>
      </c>
      <c r="J117" s="38">
        <v>1</v>
      </c>
      <c r="K117" s="37">
        <v>0</v>
      </c>
      <c r="L117" s="105">
        <v>0.72727272727272729</v>
      </c>
      <c r="M117" s="106">
        <v>9.7902097902097904E-2</v>
      </c>
      <c r="N117" s="106">
        <v>6.2937062937062943E-2</v>
      </c>
      <c r="O117" s="106">
        <v>2.097902097902098E-2</v>
      </c>
      <c r="P117" s="106">
        <v>2.7972027972027972E-2</v>
      </c>
      <c r="Q117" s="107">
        <v>6.2937062937062943E-2</v>
      </c>
      <c r="R117" s="105">
        <v>0.36974789915966388</v>
      </c>
      <c r="S117" s="106">
        <v>0.25210084033613445</v>
      </c>
      <c r="T117" s="106">
        <v>0.21008403361344538</v>
      </c>
      <c r="U117" s="106">
        <v>5.8823529411764705E-2</v>
      </c>
      <c r="V117" s="106">
        <v>7.5630252100840331E-2</v>
      </c>
      <c r="W117" s="107">
        <v>4.2016806722689079E-2</v>
      </c>
      <c r="X117" s="111">
        <f t="shared" si="26"/>
        <v>0</v>
      </c>
      <c r="Y117" s="90">
        <f t="shared" si="27"/>
        <v>0</v>
      </c>
      <c r="Z117" s="90">
        <f t="shared" si="28"/>
        <v>0</v>
      </c>
      <c r="AA117" s="90">
        <f t="shared" si="29"/>
        <v>0</v>
      </c>
      <c r="AB117" s="90">
        <f t="shared" si="30"/>
        <v>0</v>
      </c>
      <c r="AC117" s="112">
        <f t="shared" si="31"/>
        <v>0</v>
      </c>
      <c r="AD117" s="111">
        <f t="shared" si="20"/>
        <v>0.36974789915966388</v>
      </c>
      <c r="AE117" s="90">
        <f t="shared" si="21"/>
        <v>0.25210084033613445</v>
      </c>
      <c r="AF117" s="90">
        <f t="shared" si="22"/>
        <v>0.21008403361344538</v>
      </c>
      <c r="AG117" s="90">
        <f t="shared" si="23"/>
        <v>5.8823529411764705E-2</v>
      </c>
      <c r="AH117" s="90">
        <f t="shared" si="24"/>
        <v>7.5630252100840331E-2</v>
      </c>
      <c r="AI117" s="112">
        <f t="shared" si="25"/>
        <v>4.2016806722689079E-2</v>
      </c>
      <c r="AJ117" s="121">
        <f>Input!$E$22*WRs!C117+Input!$E$23*WRs!D117+Input!$E$24*WRs!X117+Input!$E$25*WRs!Y117+Input!$E$26*WRs!Z117+Input!$E$27*WRs!AA117+Input!$E$28*WRs!AB117+Input!$E$29*WRs!AC117+Input!$E$30*WRs!E117+Input!$E$31*WRs!G117+Input!$E$32*WRs!H117+Input!$E$33*WRs!AD117+Input!$E$34*WRs!AE117+Input!$E$35*WRs!AF117+Input!$E$36*WRs!AG117+Input!$E$37*WRs!AH117+Input!$E$38*WRs!AI117+Input!$E$39*WRs!I117+Input!$E$40*WRs!K117</f>
        <v>26.953781512605048</v>
      </c>
    </row>
    <row r="118" spans="1:36" x14ac:dyDescent="0.25">
      <c r="A118" s="89" t="s">
        <v>457</v>
      </c>
      <c r="B118" s="112" t="s">
        <v>176</v>
      </c>
      <c r="C118" s="45">
        <v>0</v>
      </c>
      <c r="D118" s="37">
        <v>0</v>
      </c>
      <c r="E118" s="37">
        <v>0</v>
      </c>
      <c r="F118" s="38">
        <v>0</v>
      </c>
      <c r="G118" s="45">
        <v>15</v>
      </c>
      <c r="H118" s="37">
        <f>12.8*G118</f>
        <v>192</v>
      </c>
      <c r="I118" s="37">
        <v>0</v>
      </c>
      <c r="J118" s="38">
        <v>1</v>
      </c>
      <c r="K118" s="37">
        <v>0</v>
      </c>
      <c r="L118" s="105">
        <v>0.72727272727272729</v>
      </c>
      <c r="M118" s="106">
        <v>9.7902097902097904E-2</v>
      </c>
      <c r="N118" s="106">
        <v>6.2937062937062943E-2</v>
      </c>
      <c r="O118" s="106">
        <v>2.097902097902098E-2</v>
      </c>
      <c r="P118" s="106">
        <v>2.7972027972027972E-2</v>
      </c>
      <c r="Q118" s="107">
        <v>6.2937062937062943E-2</v>
      </c>
      <c r="R118" s="105">
        <v>0.36974789915966388</v>
      </c>
      <c r="S118" s="106">
        <v>0.25210084033613445</v>
      </c>
      <c r="T118" s="106">
        <v>0.21008403361344538</v>
      </c>
      <c r="U118" s="106">
        <v>5.8823529411764705E-2</v>
      </c>
      <c r="V118" s="106">
        <v>7.5630252100840331E-2</v>
      </c>
      <c r="W118" s="107">
        <v>4.2016806722689079E-2</v>
      </c>
      <c r="X118" s="111">
        <f t="shared" si="26"/>
        <v>0</v>
      </c>
      <c r="Y118" s="90">
        <f t="shared" si="27"/>
        <v>0</v>
      </c>
      <c r="Z118" s="90">
        <f t="shared" si="28"/>
        <v>0</v>
      </c>
      <c r="AA118" s="90">
        <f t="shared" si="29"/>
        <v>0</v>
      </c>
      <c r="AB118" s="90">
        <f t="shared" si="30"/>
        <v>0</v>
      </c>
      <c r="AC118" s="112">
        <f t="shared" si="31"/>
        <v>0</v>
      </c>
      <c r="AD118" s="111">
        <f t="shared" si="20"/>
        <v>0.36974789915966388</v>
      </c>
      <c r="AE118" s="90">
        <f t="shared" si="21"/>
        <v>0.25210084033613445</v>
      </c>
      <c r="AF118" s="90">
        <f t="shared" si="22"/>
        <v>0.21008403361344538</v>
      </c>
      <c r="AG118" s="90">
        <f t="shared" si="23"/>
        <v>5.8823529411764705E-2</v>
      </c>
      <c r="AH118" s="90">
        <f t="shared" si="24"/>
        <v>7.5630252100840331E-2</v>
      </c>
      <c r="AI118" s="112">
        <f t="shared" si="25"/>
        <v>4.2016806722689079E-2</v>
      </c>
      <c r="AJ118" s="121">
        <f>Input!$E$22*WRs!C118+Input!$E$23*WRs!D118+Input!$E$24*WRs!X118+Input!$E$25*WRs!Y118+Input!$E$26*WRs!Z118+Input!$E$27*WRs!AA118+Input!$E$28*WRs!AB118+Input!$E$29*WRs!AC118+Input!$E$30*WRs!E118+Input!$E$31*WRs!G118+Input!$E$32*WRs!H118+Input!$E$33*WRs!AD118+Input!$E$34*WRs!AE118+Input!$E$35*WRs!AF118+Input!$E$36*WRs!AG118+Input!$E$37*WRs!AH118+Input!$E$38*WRs!AI118+Input!$E$39*WRs!I118+Input!$E$40*WRs!K118</f>
        <v>26.65378151260505</v>
      </c>
    </row>
    <row r="119" spans="1:36" x14ac:dyDescent="0.25">
      <c r="A119" s="89" t="s">
        <v>458</v>
      </c>
      <c r="B119" s="112" t="s">
        <v>190</v>
      </c>
      <c r="C119" s="45">
        <v>0</v>
      </c>
      <c r="D119" s="37">
        <v>0</v>
      </c>
      <c r="E119" s="37">
        <v>0</v>
      </c>
      <c r="F119" s="38">
        <v>0</v>
      </c>
      <c r="G119" s="45">
        <v>15</v>
      </c>
      <c r="H119" s="37">
        <f>12*G119</f>
        <v>180</v>
      </c>
      <c r="I119" s="37">
        <v>0</v>
      </c>
      <c r="J119" s="38">
        <v>1</v>
      </c>
      <c r="K119" s="37">
        <v>0</v>
      </c>
      <c r="L119" s="105">
        <v>0.72727272727272729</v>
      </c>
      <c r="M119" s="106">
        <v>9.7902097902097904E-2</v>
      </c>
      <c r="N119" s="106">
        <v>6.2937062937062943E-2</v>
      </c>
      <c r="O119" s="106">
        <v>2.097902097902098E-2</v>
      </c>
      <c r="P119" s="106">
        <v>2.7972027972027972E-2</v>
      </c>
      <c r="Q119" s="107">
        <v>6.2937062937062943E-2</v>
      </c>
      <c r="R119" s="105">
        <v>0.36974789915966388</v>
      </c>
      <c r="S119" s="106">
        <v>0.25210084033613445</v>
      </c>
      <c r="T119" s="106">
        <v>0.21008403361344538</v>
      </c>
      <c r="U119" s="106">
        <v>5.8823529411764705E-2</v>
      </c>
      <c r="V119" s="106">
        <v>7.5630252100840331E-2</v>
      </c>
      <c r="W119" s="107">
        <v>4.2016806722689079E-2</v>
      </c>
      <c r="X119" s="111">
        <f t="shared" si="26"/>
        <v>0</v>
      </c>
      <c r="Y119" s="90">
        <f t="shared" si="27"/>
        <v>0</v>
      </c>
      <c r="Z119" s="90">
        <f t="shared" si="28"/>
        <v>0</v>
      </c>
      <c r="AA119" s="90">
        <f t="shared" si="29"/>
        <v>0</v>
      </c>
      <c r="AB119" s="90">
        <f t="shared" si="30"/>
        <v>0</v>
      </c>
      <c r="AC119" s="112">
        <f t="shared" si="31"/>
        <v>0</v>
      </c>
      <c r="AD119" s="111">
        <f t="shared" si="20"/>
        <v>0.36974789915966388</v>
      </c>
      <c r="AE119" s="90">
        <f t="shared" si="21"/>
        <v>0.25210084033613445</v>
      </c>
      <c r="AF119" s="90">
        <f t="shared" si="22"/>
        <v>0.21008403361344538</v>
      </c>
      <c r="AG119" s="90">
        <f t="shared" si="23"/>
        <v>5.8823529411764705E-2</v>
      </c>
      <c r="AH119" s="90">
        <f t="shared" si="24"/>
        <v>7.5630252100840331E-2</v>
      </c>
      <c r="AI119" s="112">
        <f t="shared" si="25"/>
        <v>4.2016806722689079E-2</v>
      </c>
      <c r="AJ119" s="121">
        <f>Input!$E$22*WRs!C119+Input!$E$23*WRs!D119+Input!$E$24*WRs!X119+Input!$E$25*WRs!Y119+Input!$E$26*WRs!Z119+Input!$E$27*WRs!AA119+Input!$E$28*WRs!AB119+Input!$E$29*WRs!AC119+Input!$E$30*WRs!E119+Input!$E$31*WRs!G119+Input!$E$32*WRs!H119+Input!$E$33*WRs!AD119+Input!$E$34*WRs!AE119+Input!$E$35*WRs!AF119+Input!$E$36*WRs!AG119+Input!$E$37*WRs!AH119+Input!$E$38*WRs!AI119+Input!$E$39*WRs!I119+Input!$E$40*WRs!K119</f>
        <v>25.453781512605048</v>
      </c>
    </row>
    <row r="120" spans="1:36" x14ac:dyDescent="0.25">
      <c r="A120" s="89" t="s">
        <v>459</v>
      </c>
      <c r="B120" s="112" t="s">
        <v>190</v>
      </c>
      <c r="C120" s="45">
        <v>0</v>
      </c>
      <c r="D120" s="37">
        <v>0</v>
      </c>
      <c r="E120" s="37">
        <v>0</v>
      </c>
      <c r="F120" s="38">
        <v>0</v>
      </c>
      <c r="G120" s="45">
        <v>15</v>
      </c>
      <c r="H120" s="37">
        <f>12*G120</f>
        <v>180</v>
      </c>
      <c r="I120" s="37">
        <v>0</v>
      </c>
      <c r="J120" s="38">
        <v>1</v>
      </c>
      <c r="K120" s="37">
        <v>0</v>
      </c>
      <c r="L120" s="105">
        <v>0.72727272727272729</v>
      </c>
      <c r="M120" s="106">
        <v>9.7902097902097904E-2</v>
      </c>
      <c r="N120" s="106">
        <v>6.2937062937062943E-2</v>
      </c>
      <c r="O120" s="106">
        <v>2.097902097902098E-2</v>
      </c>
      <c r="P120" s="106">
        <v>2.7972027972027972E-2</v>
      </c>
      <c r="Q120" s="107">
        <v>6.2937062937062943E-2</v>
      </c>
      <c r="R120" s="105">
        <v>0.36974789915966388</v>
      </c>
      <c r="S120" s="106">
        <v>0.25210084033613445</v>
      </c>
      <c r="T120" s="106">
        <v>0.21008403361344538</v>
      </c>
      <c r="U120" s="106">
        <v>5.8823529411764705E-2</v>
      </c>
      <c r="V120" s="106">
        <v>7.5630252100840331E-2</v>
      </c>
      <c r="W120" s="107">
        <v>4.2016806722689079E-2</v>
      </c>
      <c r="X120" s="111">
        <f t="shared" si="26"/>
        <v>0</v>
      </c>
      <c r="Y120" s="90">
        <f t="shared" si="27"/>
        <v>0</v>
      </c>
      <c r="Z120" s="90">
        <f t="shared" si="28"/>
        <v>0</v>
      </c>
      <c r="AA120" s="90">
        <f t="shared" si="29"/>
        <v>0</v>
      </c>
      <c r="AB120" s="90">
        <f t="shared" si="30"/>
        <v>0</v>
      </c>
      <c r="AC120" s="112">
        <f t="shared" si="31"/>
        <v>0</v>
      </c>
      <c r="AD120" s="111">
        <f t="shared" si="20"/>
        <v>0.36974789915966388</v>
      </c>
      <c r="AE120" s="90">
        <f t="shared" si="21"/>
        <v>0.25210084033613445</v>
      </c>
      <c r="AF120" s="90">
        <f t="shared" si="22"/>
        <v>0.21008403361344538</v>
      </c>
      <c r="AG120" s="90">
        <f t="shared" si="23"/>
        <v>5.8823529411764705E-2</v>
      </c>
      <c r="AH120" s="90">
        <f t="shared" si="24"/>
        <v>7.5630252100840331E-2</v>
      </c>
      <c r="AI120" s="112">
        <f t="shared" si="25"/>
        <v>4.2016806722689079E-2</v>
      </c>
      <c r="AJ120" s="121">
        <f>Input!$E$22*WRs!C120+Input!$E$23*WRs!D120+Input!$E$24*WRs!X120+Input!$E$25*WRs!Y120+Input!$E$26*WRs!Z120+Input!$E$27*WRs!AA120+Input!$E$28*WRs!AB120+Input!$E$29*WRs!AC120+Input!$E$30*WRs!E120+Input!$E$31*WRs!G120+Input!$E$32*WRs!H120+Input!$E$33*WRs!AD120+Input!$E$34*WRs!AE120+Input!$E$35*WRs!AF120+Input!$E$36*WRs!AG120+Input!$E$37*WRs!AH120+Input!$E$38*WRs!AI120+Input!$E$39*WRs!I120+Input!$E$40*WRs!K120</f>
        <v>25.453781512605048</v>
      </c>
    </row>
    <row r="121" spans="1:36" x14ac:dyDescent="0.25">
      <c r="A121" s="89" t="s">
        <v>460</v>
      </c>
      <c r="B121" s="112" t="s">
        <v>148</v>
      </c>
      <c r="C121" s="45">
        <v>0</v>
      </c>
      <c r="D121" s="37">
        <v>0</v>
      </c>
      <c r="E121" s="37">
        <v>0</v>
      </c>
      <c r="F121" s="38">
        <v>0</v>
      </c>
      <c r="G121" s="45">
        <v>13</v>
      </c>
      <c r="H121" s="37">
        <f>12.5*G121</f>
        <v>162.5</v>
      </c>
      <c r="I121" s="37">
        <v>0</v>
      </c>
      <c r="J121" s="38">
        <v>1</v>
      </c>
      <c r="K121" s="37">
        <v>0</v>
      </c>
      <c r="L121" s="105">
        <v>0.72727272727272729</v>
      </c>
      <c r="M121" s="106">
        <v>9.7902097902097904E-2</v>
      </c>
      <c r="N121" s="106">
        <v>6.2937062937062943E-2</v>
      </c>
      <c r="O121" s="106">
        <v>2.097902097902098E-2</v>
      </c>
      <c r="P121" s="106">
        <v>2.7972027972027972E-2</v>
      </c>
      <c r="Q121" s="107">
        <v>6.2937062937062943E-2</v>
      </c>
      <c r="R121" s="105">
        <v>0.36974789915966388</v>
      </c>
      <c r="S121" s="106">
        <v>0.25210084033613445</v>
      </c>
      <c r="T121" s="106">
        <v>0.21008403361344538</v>
      </c>
      <c r="U121" s="106">
        <v>5.8823529411764705E-2</v>
      </c>
      <c r="V121" s="106">
        <v>7.5630252100840331E-2</v>
      </c>
      <c r="W121" s="107">
        <v>4.2016806722689079E-2</v>
      </c>
      <c r="X121" s="111">
        <f t="shared" si="26"/>
        <v>0</v>
      </c>
      <c r="Y121" s="90">
        <f t="shared" si="27"/>
        <v>0</v>
      </c>
      <c r="Z121" s="90">
        <f t="shared" si="28"/>
        <v>0</v>
      </c>
      <c r="AA121" s="90">
        <f t="shared" si="29"/>
        <v>0</v>
      </c>
      <c r="AB121" s="90">
        <f t="shared" si="30"/>
        <v>0</v>
      </c>
      <c r="AC121" s="112">
        <f t="shared" si="31"/>
        <v>0</v>
      </c>
      <c r="AD121" s="111">
        <f t="shared" si="20"/>
        <v>0.36974789915966388</v>
      </c>
      <c r="AE121" s="90">
        <f t="shared" si="21"/>
        <v>0.25210084033613445</v>
      </c>
      <c r="AF121" s="90">
        <f t="shared" si="22"/>
        <v>0.21008403361344538</v>
      </c>
      <c r="AG121" s="90">
        <f t="shared" si="23"/>
        <v>5.8823529411764705E-2</v>
      </c>
      <c r="AH121" s="90">
        <f t="shared" si="24"/>
        <v>7.5630252100840331E-2</v>
      </c>
      <c r="AI121" s="112">
        <f t="shared" si="25"/>
        <v>4.2016806722689079E-2</v>
      </c>
      <c r="AJ121" s="121">
        <f>Input!$E$22*WRs!C121+Input!$E$23*WRs!D121+Input!$E$24*WRs!X121+Input!$E$25*WRs!Y121+Input!$E$26*WRs!Z121+Input!$E$27*WRs!AA121+Input!$E$28*WRs!AB121+Input!$E$29*WRs!AC121+Input!$E$30*WRs!E121+Input!$E$31*WRs!G121+Input!$E$32*WRs!H121+Input!$E$33*WRs!AD121+Input!$E$34*WRs!AE121+Input!$E$35*WRs!AF121+Input!$E$36*WRs!AG121+Input!$E$37*WRs!AH121+Input!$E$38*WRs!AI121+Input!$E$39*WRs!I121+Input!$E$40*WRs!K121</f>
        <v>23.703781512605048</v>
      </c>
    </row>
    <row r="122" spans="1:36" x14ac:dyDescent="0.25">
      <c r="A122" s="89" t="s">
        <v>461</v>
      </c>
      <c r="B122" s="112" t="s">
        <v>146</v>
      </c>
      <c r="C122" s="45">
        <v>0</v>
      </c>
      <c r="D122" s="37">
        <v>0</v>
      </c>
      <c r="E122" s="37">
        <v>0</v>
      </c>
      <c r="F122" s="38">
        <v>0</v>
      </c>
      <c r="G122" s="45">
        <v>10</v>
      </c>
      <c r="H122" s="37">
        <f>13.6*G122</f>
        <v>136</v>
      </c>
      <c r="I122" s="37">
        <v>0</v>
      </c>
      <c r="J122" s="38">
        <v>0</v>
      </c>
      <c r="K122" s="37">
        <v>0</v>
      </c>
      <c r="L122" s="105">
        <v>0.72727272727272729</v>
      </c>
      <c r="M122" s="106">
        <v>9.7902097902097904E-2</v>
      </c>
      <c r="N122" s="106">
        <v>6.2937062937062943E-2</v>
      </c>
      <c r="O122" s="106">
        <v>2.097902097902098E-2</v>
      </c>
      <c r="P122" s="106">
        <v>2.7972027972027972E-2</v>
      </c>
      <c r="Q122" s="107">
        <v>6.2937062937062943E-2</v>
      </c>
      <c r="R122" s="105">
        <v>0.36974789915966388</v>
      </c>
      <c r="S122" s="106">
        <v>0.25210084033613445</v>
      </c>
      <c r="T122" s="106">
        <v>0.21008403361344538</v>
      </c>
      <c r="U122" s="106">
        <v>5.8823529411764705E-2</v>
      </c>
      <c r="V122" s="106">
        <v>7.5630252100840331E-2</v>
      </c>
      <c r="W122" s="107">
        <v>4.2016806722689079E-2</v>
      </c>
      <c r="X122" s="111">
        <f t="shared" si="26"/>
        <v>0</v>
      </c>
      <c r="Y122" s="90">
        <f t="shared" si="27"/>
        <v>0</v>
      </c>
      <c r="Z122" s="90">
        <f t="shared" si="28"/>
        <v>0</v>
      </c>
      <c r="AA122" s="90">
        <f t="shared" si="29"/>
        <v>0</v>
      </c>
      <c r="AB122" s="90">
        <f t="shared" si="30"/>
        <v>0</v>
      </c>
      <c r="AC122" s="112">
        <f t="shared" si="31"/>
        <v>0</v>
      </c>
      <c r="AD122" s="111">
        <f t="shared" si="20"/>
        <v>0</v>
      </c>
      <c r="AE122" s="90">
        <f t="shared" si="21"/>
        <v>0</v>
      </c>
      <c r="AF122" s="90">
        <f t="shared" si="22"/>
        <v>0</v>
      </c>
      <c r="AG122" s="90">
        <f t="shared" si="23"/>
        <v>0</v>
      </c>
      <c r="AH122" s="90">
        <f t="shared" si="24"/>
        <v>0</v>
      </c>
      <c r="AI122" s="112">
        <f t="shared" si="25"/>
        <v>0</v>
      </c>
      <c r="AJ122" s="121">
        <f>Input!$E$22*WRs!C122+Input!$E$23*WRs!D122+Input!$E$24*WRs!X122+Input!$E$25*WRs!Y122+Input!$E$26*WRs!Z122+Input!$E$27*WRs!AA122+Input!$E$28*WRs!AB122+Input!$E$29*WRs!AC122+Input!$E$30*WRs!E122+Input!$E$31*WRs!G122+Input!$E$32*WRs!H122+Input!$E$33*WRs!AD122+Input!$E$34*WRs!AE122+Input!$E$35*WRs!AF122+Input!$E$36*WRs!AG122+Input!$E$37*WRs!AH122+Input!$E$38*WRs!AI122+Input!$E$39*WRs!I122+Input!$E$40*WRs!K122</f>
        <v>13.600000000000001</v>
      </c>
    </row>
    <row r="123" spans="1:36" x14ac:dyDescent="0.25">
      <c r="A123" s="89" t="s">
        <v>462</v>
      </c>
      <c r="B123" s="112" t="s">
        <v>156</v>
      </c>
      <c r="C123" s="45">
        <v>0</v>
      </c>
      <c r="D123" s="37">
        <v>0</v>
      </c>
      <c r="E123" s="37">
        <v>0</v>
      </c>
      <c r="F123" s="38">
        <v>0</v>
      </c>
      <c r="G123" s="45">
        <v>10</v>
      </c>
      <c r="H123" s="37">
        <f>13*G123</f>
        <v>130</v>
      </c>
      <c r="I123" s="37">
        <v>0</v>
      </c>
      <c r="J123" s="38">
        <v>1</v>
      </c>
      <c r="K123" s="37">
        <v>0</v>
      </c>
      <c r="L123" s="105">
        <v>0.72727272727272729</v>
      </c>
      <c r="M123" s="106">
        <v>9.7902097902097904E-2</v>
      </c>
      <c r="N123" s="106">
        <v>6.2937062937062943E-2</v>
      </c>
      <c r="O123" s="106">
        <v>2.097902097902098E-2</v>
      </c>
      <c r="P123" s="106">
        <v>2.7972027972027972E-2</v>
      </c>
      <c r="Q123" s="107">
        <v>6.2937062937062943E-2</v>
      </c>
      <c r="R123" s="105">
        <v>0.36974789915966388</v>
      </c>
      <c r="S123" s="106">
        <v>0.25210084033613445</v>
      </c>
      <c r="T123" s="106">
        <v>0.21008403361344538</v>
      </c>
      <c r="U123" s="106">
        <v>5.8823529411764705E-2</v>
      </c>
      <c r="V123" s="106">
        <v>7.5630252100840331E-2</v>
      </c>
      <c r="W123" s="107">
        <v>4.2016806722689079E-2</v>
      </c>
      <c r="X123" s="111">
        <f t="shared" si="26"/>
        <v>0</v>
      </c>
      <c r="Y123" s="90">
        <f t="shared" si="27"/>
        <v>0</v>
      </c>
      <c r="Z123" s="90">
        <f t="shared" si="28"/>
        <v>0</v>
      </c>
      <c r="AA123" s="90">
        <f t="shared" si="29"/>
        <v>0</v>
      </c>
      <c r="AB123" s="90">
        <f t="shared" si="30"/>
        <v>0</v>
      </c>
      <c r="AC123" s="112">
        <f t="shared" si="31"/>
        <v>0</v>
      </c>
      <c r="AD123" s="111">
        <f t="shared" si="20"/>
        <v>0.36974789915966388</v>
      </c>
      <c r="AE123" s="90">
        <f t="shared" si="21"/>
        <v>0.25210084033613445</v>
      </c>
      <c r="AF123" s="90">
        <f t="shared" si="22"/>
        <v>0.21008403361344538</v>
      </c>
      <c r="AG123" s="90">
        <f t="shared" si="23"/>
        <v>5.8823529411764705E-2</v>
      </c>
      <c r="AH123" s="90">
        <f t="shared" si="24"/>
        <v>7.5630252100840331E-2</v>
      </c>
      <c r="AI123" s="112">
        <f t="shared" si="25"/>
        <v>4.2016806722689079E-2</v>
      </c>
      <c r="AJ123" s="121">
        <f>Input!$E$22*WRs!C123+Input!$E$23*WRs!D123+Input!$E$24*WRs!X123+Input!$E$25*WRs!Y123+Input!$E$26*WRs!Z123+Input!$E$27*WRs!AA123+Input!$E$28*WRs!AB123+Input!$E$29*WRs!AC123+Input!$E$30*WRs!E123+Input!$E$31*WRs!G123+Input!$E$32*WRs!H123+Input!$E$33*WRs!AD123+Input!$E$34*WRs!AE123+Input!$E$35*WRs!AF123+Input!$E$36*WRs!AG123+Input!$E$37*WRs!AH123+Input!$E$38*WRs!AI123+Input!$E$39*WRs!I123+Input!$E$40*WRs!K123</f>
        <v>20.453781512605048</v>
      </c>
    </row>
    <row r="124" spans="1:36" x14ac:dyDescent="0.25">
      <c r="A124" s="89" t="s">
        <v>463</v>
      </c>
      <c r="B124" s="112" t="s">
        <v>178</v>
      </c>
      <c r="C124" s="45">
        <v>0</v>
      </c>
      <c r="D124" s="37">
        <v>0</v>
      </c>
      <c r="E124" s="37">
        <v>0</v>
      </c>
      <c r="F124" s="38">
        <v>0</v>
      </c>
      <c r="G124" s="45">
        <v>10</v>
      </c>
      <c r="H124" s="37">
        <f>13*G124</f>
        <v>130</v>
      </c>
      <c r="I124" s="37">
        <v>0</v>
      </c>
      <c r="J124" s="38">
        <v>1</v>
      </c>
      <c r="K124" s="37">
        <v>0</v>
      </c>
      <c r="L124" s="105">
        <v>0.72727272727272729</v>
      </c>
      <c r="M124" s="106">
        <v>9.7902097902097904E-2</v>
      </c>
      <c r="N124" s="106">
        <v>6.2937062937062943E-2</v>
      </c>
      <c r="O124" s="106">
        <v>2.097902097902098E-2</v>
      </c>
      <c r="P124" s="106">
        <v>2.7972027972027972E-2</v>
      </c>
      <c r="Q124" s="107">
        <v>6.2937062937062943E-2</v>
      </c>
      <c r="R124" s="105">
        <v>0.36974789915966388</v>
      </c>
      <c r="S124" s="106">
        <v>0.25210084033613445</v>
      </c>
      <c r="T124" s="106">
        <v>0.21008403361344538</v>
      </c>
      <c r="U124" s="106">
        <v>5.8823529411764705E-2</v>
      </c>
      <c r="V124" s="106">
        <v>7.5630252100840331E-2</v>
      </c>
      <c r="W124" s="107">
        <v>4.2016806722689079E-2</v>
      </c>
      <c r="X124" s="111">
        <f t="shared" si="26"/>
        <v>0</v>
      </c>
      <c r="Y124" s="90">
        <f t="shared" si="27"/>
        <v>0</v>
      </c>
      <c r="Z124" s="90">
        <f t="shared" si="28"/>
        <v>0</v>
      </c>
      <c r="AA124" s="90">
        <f t="shared" si="29"/>
        <v>0</v>
      </c>
      <c r="AB124" s="90">
        <f t="shared" si="30"/>
        <v>0</v>
      </c>
      <c r="AC124" s="112">
        <f t="shared" si="31"/>
        <v>0</v>
      </c>
      <c r="AD124" s="111">
        <f t="shared" si="20"/>
        <v>0.36974789915966388</v>
      </c>
      <c r="AE124" s="90">
        <f t="shared" si="21"/>
        <v>0.25210084033613445</v>
      </c>
      <c r="AF124" s="90">
        <f t="shared" si="22"/>
        <v>0.21008403361344538</v>
      </c>
      <c r="AG124" s="90">
        <f t="shared" si="23"/>
        <v>5.8823529411764705E-2</v>
      </c>
      <c r="AH124" s="90">
        <f t="shared" si="24"/>
        <v>7.5630252100840331E-2</v>
      </c>
      <c r="AI124" s="112">
        <f t="shared" si="25"/>
        <v>4.2016806722689079E-2</v>
      </c>
      <c r="AJ124" s="121">
        <f>Input!$E$22*WRs!C124+Input!$E$23*WRs!D124+Input!$E$24*WRs!X124+Input!$E$25*WRs!Y124+Input!$E$26*WRs!Z124+Input!$E$27*WRs!AA124+Input!$E$28*WRs!AB124+Input!$E$29*WRs!AC124+Input!$E$30*WRs!E124+Input!$E$31*WRs!G124+Input!$E$32*WRs!H124+Input!$E$33*WRs!AD124+Input!$E$34*WRs!AE124+Input!$E$35*WRs!AF124+Input!$E$36*WRs!AG124+Input!$E$37*WRs!AH124+Input!$E$38*WRs!AI124+Input!$E$39*WRs!I124+Input!$E$40*WRs!K124</f>
        <v>20.453781512605048</v>
      </c>
    </row>
    <row r="125" spans="1:36" x14ac:dyDescent="0.25">
      <c r="A125" s="89" t="s">
        <v>464</v>
      </c>
      <c r="B125" s="112" t="s">
        <v>170</v>
      </c>
      <c r="C125" s="45">
        <v>0</v>
      </c>
      <c r="D125" s="37">
        <v>0</v>
      </c>
      <c r="E125" s="37">
        <v>0</v>
      </c>
      <c r="F125" s="38">
        <v>0</v>
      </c>
      <c r="G125" s="36">
        <v>15</v>
      </c>
      <c r="H125" s="40">
        <f>12*G125</f>
        <v>180</v>
      </c>
      <c r="I125" s="37">
        <v>0</v>
      </c>
      <c r="J125" s="41">
        <v>0</v>
      </c>
      <c r="K125" s="40">
        <v>0</v>
      </c>
      <c r="L125" s="105">
        <v>0.72727272727272729</v>
      </c>
      <c r="M125" s="106">
        <v>9.7902097902097904E-2</v>
      </c>
      <c r="N125" s="106">
        <v>6.2937062937062943E-2</v>
      </c>
      <c r="O125" s="106">
        <v>2.097902097902098E-2</v>
      </c>
      <c r="P125" s="106">
        <v>2.7972027972027972E-2</v>
      </c>
      <c r="Q125" s="107">
        <v>6.2937062937062943E-2</v>
      </c>
      <c r="R125" s="105">
        <v>0.36974789915966388</v>
      </c>
      <c r="S125" s="106">
        <v>0.25210084033613445</v>
      </c>
      <c r="T125" s="106">
        <v>0.21008403361344538</v>
      </c>
      <c r="U125" s="106">
        <v>5.8823529411764705E-2</v>
      </c>
      <c r="V125" s="106">
        <v>7.5630252100840331E-2</v>
      </c>
      <c r="W125" s="107">
        <v>4.2016806722689079E-2</v>
      </c>
      <c r="X125" s="111">
        <f t="shared" si="26"/>
        <v>0</v>
      </c>
      <c r="Y125" s="90">
        <f t="shared" si="27"/>
        <v>0</v>
      </c>
      <c r="Z125" s="90">
        <f t="shared" si="28"/>
        <v>0</v>
      </c>
      <c r="AA125" s="90">
        <f t="shared" si="29"/>
        <v>0</v>
      </c>
      <c r="AB125" s="90">
        <f t="shared" si="30"/>
        <v>0</v>
      </c>
      <c r="AC125" s="112">
        <f t="shared" si="31"/>
        <v>0</v>
      </c>
      <c r="AD125" s="111">
        <f t="shared" si="20"/>
        <v>0</v>
      </c>
      <c r="AE125" s="90">
        <f t="shared" si="21"/>
        <v>0</v>
      </c>
      <c r="AF125" s="90">
        <f t="shared" si="22"/>
        <v>0</v>
      </c>
      <c r="AG125" s="90">
        <f t="shared" si="23"/>
        <v>0</v>
      </c>
      <c r="AH125" s="90">
        <f t="shared" si="24"/>
        <v>0</v>
      </c>
      <c r="AI125" s="112">
        <f t="shared" si="25"/>
        <v>0</v>
      </c>
      <c r="AJ125" s="121">
        <f>Input!$E$22*WRs!C125+Input!$E$23*WRs!D125+Input!$E$24*WRs!X125+Input!$E$25*WRs!Y125+Input!$E$26*WRs!Z125+Input!$E$27*WRs!AA125+Input!$E$28*WRs!AB125+Input!$E$29*WRs!AC125+Input!$E$30*WRs!E125+Input!$E$31*WRs!G125+Input!$E$32*WRs!H125+Input!$E$33*WRs!AD125+Input!$E$34*WRs!AE125+Input!$E$35*WRs!AF125+Input!$E$36*WRs!AG125+Input!$E$37*WRs!AH125+Input!$E$38*WRs!AI125+Input!$E$39*WRs!I125+Input!$E$40*WRs!K125</f>
        <v>18</v>
      </c>
    </row>
    <row r="126" spans="1:36" x14ac:dyDescent="0.25">
      <c r="A126" s="89" t="s">
        <v>465</v>
      </c>
      <c r="B126" s="112" t="s">
        <v>150</v>
      </c>
      <c r="C126" s="45">
        <v>1</v>
      </c>
      <c r="D126" s="37">
        <v>12</v>
      </c>
      <c r="E126" s="37">
        <v>0</v>
      </c>
      <c r="F126" s="38">
        <v>0</v>
      </c>
      <c r="G126" s="45">
        <v>10</v>
      </c>
      <c r="H126" s="37">
        <f>15*G126</f>
        <v>150</v>
      </c>
      <c r="I126" s="37">
        <v>0</v>
      </c>
      <c r="J126" s="38">
        <v>0</v>
      </c>
      <c r="K126" s="37">
        <v>0</v>
      </c>
      <c r="L126" s="105">
        <v>0.72727272727272729</v>
      </c>
      <c r="M126" s="106">
        <v>9.7902097902097904E-2</v>
      </c>
      <c r="N126" s="106">
        <v>6.2937062937062943E-2</v>
      </c>
      <c r="O126" s="106">
        <v>2.097902097902098E-2</v>
      </c>
      <c r="P126" s="106">
        <v>2.7972027972027972E-2</v>
      </c>
      <c r="Q126" s="107">
        <v>6.2937062937062943E-2</v>
      </c>
      <c r="R126" s="105">
        <v>0.36974789915966388</v>
      </c>
      <c r="S126" s="106">
        <v>0.25210084033613445</v>
      </c>
      <c r="T126" s="106">
        <v>0.21008403361344538</v>
      </c>
      <c r="U126" s="106">
        <v>5.8823529411764705E-2</v>
      </c>
      <c r="V126" s="106">
        <v>7.5630252100840331E-2</v>
      </c>
      <c r="W126" s="107">
        <v>4.2016806722689079E-2</v>
      </c>
      <c r="X126" s="111">
        <f t="shared" si="26"/>
        <v>0</v>
      </c>
      <c r="Y126" s="90">
        <f t="shared" si="27"/>
        <v>0</v>
      </c>
      <c r="Z126" s="90">
        <f t="shared" si="28"/>
        <v>0</v>
      </c>
      <c r="AA126" s="90">
        <f t="shared" si="29"/>
        <v>0</v>
      </c>
      <c r="AB126" s="90">
        <f t="shared" si="30"/>
        <v>0</v>
      </c>
      <c r="AC126" s="112">
        <f t="shared" si="31"/>
        <v>0</v>
      </c>
      <c r="AD126" s="111">
        <f t="shared" si="20"/>
        <v>0</v>
      </c>
      <c r="AE126" s="90">
        <f t="shared" si="21"/>
        <v>0</v>
      </c>
      <c r="AF126" s="90">
        <f t="shared" si="22"/>
        <v>0</v>
      </c>
      <c r="AG126" s="90">
        <f t="shared" si="23"/>
        <v>0</v>
      </c>
      <c r="AH126" s="90">
        <f t="shared" si="24"/>
        <v>0</v>
      </c>
      <c r="AI126" s="112">
        <f t="shared" si="25"/>
        <v>0</v>
      </c>
      <c r="AJ126" s="121">
        <f>Input!$E$22*WRs!C126+Input!$E$23*WRs!D126+Input!$E$24*WRs!X126+Input!$E$25*WRs!Y126+Input!$E$26*WRs!Z126+Input!$E$27*WRs!AA126+Input!$E$28*WRs!AB126+Input!$E$29*WRs!AC126+Input!$E$30*WRs!E126+Input!$E$31*WRs!G126+Input!$E$32*WRs!H126+Input!$E$33*WRs!AD126+Input!$E$34*WRs!AE126+Input!$E$35*WRs!AF126+Input!$E$36*WRs!AG126+Input!$E$37*WRs!AH126+Input!$E$38*WRs!AI126+Input!$E$39*WRs!I126+Input!$E$40*WRs!K126</f>
        <v>16.2</v>
      </c>
    </row>
    <row r="127" spans="1:36" x14ac:dyDescent="0.25">
      <c r="A127" s="89" t="s">
        <v>466</v>
      </c>
      <c r="B127" s="112" t="s">
        <v>144</v>
      </c>
      <c r="C127" s="45">
        <v>0</v>
      </c>
      <c r="D127" s="37">
        <v>0</v>
      </c>
      <c r="E127" s="37">
        <v>0</v>
      </c>
      <c r="F127" s="38">
        <v>0</v>
      </c>
      <c r="G127" s="45">
        <v>10</v>
      </c>
      <c r="H127" s="37">
        <f>10*G127</f>
        <v>100</v>
      </c>
      <c r="I127" s="37">
        <v>0</v>
      </c>
      <c r="J127" s="38">
        <v>1</v>
      </c>
      <c r="K127" s="37">
        <v>0</v>
      </c>
      <c r="L127" s="105">
        <v>0.72727272727272729</v>
      </c>
      <c r="M127" s="106">
        <v>9.7902097902097904E-2</v>
      </c>
      <c r="N127" s="106">
        <v>6.2937062937062943E-2</v>
      </c>
      <c r="O127" s="106">
        <v>2.097902097902098E-2</v>
      </c>
      <c r="P127" s="106">
        <v>2.7972027972027972E-2</v>
      </c>
      <c r="Q127" s="107">
        <v>6.2937062937062943E-2</v>
      </c>
      <c r="R127" s="105">
        <v>0.36974789915966388</v>
      </c>
      <c r="S127" s="106">
        <v>0.25210084033613445</v>
      </c>
      <c r="T127" s="106">
        <v>0.21008403361344538</v>
      </c>
      <c r="U127" s="106">
        <v>5.8823529411764705E-2</v>
      </c>
      <c r="V127" s="106">
        <v>7.5630252100840331E-2</v>
      </c>
      <c r="W127" s="107">
        <v>4.2016806722689079E-2</v>
      </c>
      <c r="X127" s="111">
        <f t="shared" si="26"/>
        <v>0</v>
      </c>
      <c r="Y127" s="90">
        <f t="shared" si="27"/>
        <v>0</v>
      </c>
      <c r="Z127" s="90">
        <f t="shared" si="28"/>
        <v>0</v>
      </c>
      <c r="AA127" s="90">
        <f t="shared" si="29"/>
        <v>0</v>
      </c>
      <c r="AB127" s="90">
        <f t="shared" si="30"/>
        <v>0</v>
      </c>
      <c r="AC127" s="112">
        <f t="shared" si="31"/>
        <v>0</v>
      </c>
      <c r="AD127" s="111">
        <f t="shared" si="20"/>
        <v>0.36974789915966388</v>
      </c>
      <c r="AE127" s="90">
        <f t="shared" si="21"/>
        <v>0.25210084033613445</v>
      </c>
      <c r="AF127" s="90">
        <f t="shared" si="22"/>
        <v>0.21008403361344538</v>
      </c>
      <c r="AG127" s="90">
        <f t="shared" si="23"/>
        <v>5.8823529411764705E-2</v>
      </c>
      <c r="AH127" s="90">
        <f t="shared" si="24"/>
        <v>7.5630252100840331E-2</v>
      </c>
      <c r="AI127" s="112">
        <f t="shared" si="25"/>
        <v>4.2016806722689079E-2</v>
      </c>
      <c r="AJ127" s="121">
        <f>Input!$E$22*WRs!C127+Input!$E$23*WRs!D127+Input!$E$24*WRs!X127+Input!$E$25*WRs!Y127+Input!$E$26*WRs!Z127+Input!$E$27*WRs!AA127+Input!$E$28*WRs!AB127+Input!$E$29*WRs!AC127+Input!$E$30*WRs!E127+Input!$E$31*WRs!G127+Input!$E$32*WRs!H127+Input!$E$33*WRs!AD127+Input!$E$34*WRs!AE127+Input!$E$35*WRs!AF127+Input!$E$36*WRs!AG127+Input!$E$37*WRs!AH127+Input!$E$38*WRs!AI127+Input!$E$39*WRs!I127+Input!$E$40*WRs!K127</f>
        <v>17.45378151260504</v>
      </c>
    </row>
    <row r="128" spans="1:36" x14ac:dyDescent="0.25">
      <c r="A128" s="89" t="s">
        <v>467</v>
      </c>
      <c r="B128" s="112" t="s">
        <v>188</v>
      </c>
      <c r="C128" s="45">
        <v>0</v>
      </c>
      <c r="D128" s="37">
        <v>0</v>
      </c>
      <c r="E128" s="37">
        <v>0</v>
      </c>
      <c r="F128" s="38">
        <v>0</v>
      </c>
      <c r="G128" s="45">
        <v>9</v>
      </c>
      <c r="H128" s="37">
        <f>11.1*G128</f>
        <v>99.899999999999991</v>
      </c>
      <c r="I128" s="37">
        <v>0</v>
      </c>
      <c r="J128" s="38">
        <v>1</v>
      </c>
      <c r="K128" s="37">
        <v>0</v>
      </c>
      <c r="L128" s="105">
        <v>0.72727272727272729</v>
      </c>
      <c r="M128" s="106">
        <v>9.7902097902097904E-2</v>
      </c>
      <c r="N128" s="106">
        <v>6.2937062937062943E-2</v>
      </c>
      <c r="O128" s="106">
        <v>2.097902097902098E-2</v>
      </c>
      <c r="P128" s="106">
        <v>2.7972027972027972E-2</v>
      </c>
      <c r="Q128" s="107">
        <v>6.2937062937062943E-2</v>
      </c>
      <c r="R128" s="105">
        <v>0.36974789915966388</v>
      </c>
      <c r="S128" s="106">
        <v>0.25210084033613445</v>
      </c>
      <c r="T128" s="106">
        <v>0.21008403361344538</v>
      </c>
      <c r="U128" s="106">
        <v>5.8823529411764705E-2</v>
      </c>
      <c r="V128" s="106">
        <v>7.5630252100840331E-2</v>
      </c>
      <c r="W128" s="107">
        <v>4.2016806722689079E-2</v>
      </c>
      <c r="X128" s="111">
        <f t="shared" si="26"/>
        <v>0</v>
      </c>
      <c r="Y128" s="90">
        <f t="shared" si="27"/>
        <v>0</v>
      </c>
      <c r="Z128" s="90">
        <f t="shared" si="28"/>
        <v>0</v>
      </c>
      <c r="AA128" s="90">
        <f t="shared" si="29"/>
        <v>0</v>
      </c>
      <c r="AB128" s="90">
        <f t="shared" si="30"/>
        <v>0</v>
      </c>
      <c r="AC128" s="112">
        <f t="shared" si="31"/>
        <v>0</v>
      </c>
      <c r="AD128" s="111">
        <f t="shared" si="20"/>
        <v>0.36974789915966388</v>
      </c>
      <c r="AE128" s="90">
        <f t="shared" si="21"/>
        <v>0.25210084033613445</v>
      </c>
      <c r="AF128" s="90">
        <f t="shared" si="22"/>
        <v>0.21008403361344538</v>
      </c>
      <c r="AG128" s="90">
        <f t="shared" si="23"/>
        <v>5.8823529411764705E-2</v>
      </c>
      <c r="AH128" s="90">
        <f t="shared" si="24"/>
        <v>7.5630252100840331E-2</v>
      </c>
      <c r="AI128" s="112">
        <f t="shared" si="25"/>
        <v>4.2016806722689079E-2</v>
      </c>
      <c r="AJ128" s="121">
        <f>Input!$E$22*WRs!C128+Input!$E$23*WRs!D128+Input!$E$24*WRs!X128+Input!$E$25*WRs!Y128+Input!$E$26*WRs!Z128+Input!$E$27*WRs!AA128+Input!$E$28*WRs!AB128+Input!$E$29*WRs!AC128+Input!$E$30*WRs!E128+Input!$E$31*WRs!G128+Input!$E$32*WRs!H128+Input!$E$33*WRs!AD128+Input!$E$34*WRs!AE128+Input!$E$35*WRs!AF128+Input!$E$36*WRs!AG128+Input!$E$37*WRs!AH128+Input!$E$38*WRs!AI128+Input!$E$39*WRs!I128+Input!$E$40*WRs!K128</f>
        <v>17.443781512605042</v>
      </c>
    </row>
    <row r="129" spans="1:36" x14ac:dyDescent="0.25">
      <c r="A129" s="89" t="s">
        <v>468</v>
      </c>
      <c r="B129" s="112" t="s">
        <v>186</v>
      </c>
      <c r="C129" s="45">
        <v>0</v>
      </c>
      <c r="D129" s="37">
        <v>0</v>
      </c>
      <c r="E129" s="37">
        <v>0</v>
      </c>
      <c r="F129" s="38">
        <v>0</v>
      </c>
      <c r="G129" s="45">
        <v>10</v>
      </c>
      <c r="H129" s="37">
        <f>14.5*G129</f>
        <v>145</v>
      </c>
      <c r="I129" s="37">
        <v>0</v>
      </c>
      <c r="J129" s="38">
        <v>0</v>
      </c>
      <c r="K129" s="37">
        <v>0</v>
      </c>
      <c r="L129" s="105">
        <v>0.72727272727272729</v>
      </c>
      <c r="M129" s="106">
        <v>9.7902097902097904E-2</v>
      </c>
      <c r="N129" s="106">
        <v>6.2937062937062943E-2</v>
      </c>
      <c r="O129" s="106">
        <v>2.097902097902098E-2</v>
      </c>
      <c r="P129" s="106">
        <v>2.7972027972027972E-2</v>
      </c>
      <c r="Q129" s="107">
        <v>6.2937062937062943E-2</v>
      </c>
      <c r="R129" s="105">
        <v>0.36974789915966388</v>
      </c>
      <c r="S129" s="106">
        <v>0.25210084033613445</v>
      </c>
      <c r="T129" s="106">
        <v>0.21008403361344538</v>
      </c>
      <c r="U129" s="106">
        <v>5.8823529411764705E-2</v>
      </c>
      <c r="V129" s="106">
        <v>7.5630252100840331E-2</v>
      </c>
      <c r="W129" s="107">
        <v>4.2016806722689079E-2</v>
      </c>
      <c r="X129" s="111">
        <f t="shared" si="26"/>
        <v>0</v>
      </c>
      <c r="Y129" s="90">
        <f t="shared" si="27"/>
        <v>0</v>
      </c>
      <c r="Z129" s="90">
        <f t="shared" si="28"/>
        <v>0</v>
      </c>
      <c r="AA129" s="90">
        <f t="shared" si="29"/>
        <v>0</v>
      </c>
      <c r="AB129" s="90">
        <f t="shared" si="30"/>
        <v>0</v>
      </c>
      <c r="AC129" s="112">
        <f t="shared" si="31"/>
        <v>0</v>
      </c>
      <c r="AD129" s="111">
        <f t="shared" si="20"/>
        <v>0</v>
      </c>
      <c r="AE129" s="90">
        <f t="shared" si="21"/>
        <v>0</v>
      </c>
      <c r="AF129" s="90">
        <f t="shared" si="22"/>
        <v>0</v>
      </c>
      <c r="AG129" s="90">
        <f t="shared" si="23"/>
        <v>0</v>
      </c>
      <c r="AH129" s="90">
        <f t="shared" si="24"/>
        <v>0</v>
      </c>
      <c r="AI129" s="112">
        <f t="shared" si="25"/>
        <v>0</v>
      </c>
      <c r="AJ129" s="121">
        <f>Input!$E$22*WRs!C129+Input!$E$23*WRs!D129+Input!$E$24*WRs!X129+Input!$E$25*WRs!Y129+Input!$E$26*WRs!Z129+Input!$E$27*WRs!AA129+Input!$E$28*WRs!AB129+Input!$E$29*WRs!AC129+Input!$E$30*WRs!E129+Input!$E$31*WRs!G129+Input!$E$32*WRs!H129+Input!$E$33*WRs!AD129+Input!$E$34*WRs!AE129+Input!$E$35*WRs!AF129+Input!$E$36*WRs!AG129+Input!$E$37*WRs!AH129+Input!$E$38*WRs!AI129+Input!$E$39*WRs!I129+Input!$E$40*WRs!K129</f>
        <v>14.5</v>
      </c>
    </row>
    <row r="130" spans="1:36" x14ac:dyDescent="0.25">
      <c r="A130" s="89" t="s">
        <v>469</v>
      </c>
      <c r="B130" s="112" t="s">
        <v>154</v>
      </c>
      <c r="C130" s="45">
        <v>0</v>
      </c>
      <c r="D130" s="37">
        <v>0</v>
      </c>
      <c r="E130" s="37">
        <v>0</v>
      </c>
      <c r="F130" s="38">
        <v>0</v>
      </c>
      <c r="G130" s="45">
        <v>10</v>
      </c>
      <c r="H130" s="37">
        <f>13.7*G130</f>
        <v>137</v>
      </c>
      <c r="I130" s="37">
        <v>0</v>
      </c>
      <c r="J130" s="38">
        <v>0</v>
      </c>
      <c r="K130" s="37">
        <v>0</v>
      </c>
      <c r="L130" s="105">
        <v>0.72727272727272729</v>
      </c>
      <c r="M130" s="106">
        <v>9.7902097902097904E-2</v>
      </c>
      <c r="N130" s="106">
        <v>6.2937062937062943E-2</v>
      </c>
      <c r="O130" s="106">
        <v>2.097902097902098E-2</v>
      </c>
      <c r="P130" s="106">
        <v>2.7972027972027972E-2</v>
      </c>
      <c r="Q130" s="107">
        <v>6.2937062937062943E-2</v>
      </c>
      <c r="R130" s="105">
        <v>0.36974789915966388</v>
      </c>
      <c r="S130" s="106">
        <v>0.25210084033613445</v>
      </c>
      <c r="T130" s="106">
        <v>0.21008403361344538</v>
      </c>
      <c r="U130" s="106">
        <v>5.8823529411764705E-2</v>
      </c>
      <c r="V130" s="106">
        <v>7.5630252100840331E-2</v>
      </c>
      <c r="W130" s="107">
        <v>4.2016806722689079E-2</v>
      </c>
      <c r="X130" s="111">
        <f t="shared" si="26"/>
        <v>0</v>
      </c>
      <c r="Y130" s="90">
        <f t="shared" si="27"/>
        <v>0</v>
      </c>
      <c r="Z130" s="90">
        <f t="shared" si="28"/>
        <v>0</v>
      </c>
      <c r="AA130" s="90">
        <f t="shared" si="29"/>
        <v>0</v>
      </c>
      <c r="AB130" s="90">
        <f t="shared" si="30"/>
        <v>0</v>
      </c>
      <c r="AC130" s="112">
        <f t="shared" si="31"/>
        <v>0</v>
      </c>
      <c r="AD130" s="111">
        <f t="shared" si="20"/>
        <v>0</v>
      </c>
      <c r="AE130" s="90">
        <f t="shared" si="21"/>
        <v>0</v>
      </c>
      <c r="AF130" s="90">
        <f t="shared" si="22"/>
        <v>0</v>
      </c>
      <c r="AG130" s="90">
        <f t="shared" si="23"/>
        <v>0</v>
      </c>
      <c r="AH130" s="90">
        <f t="shared" si="24"/>
        <v>0</v>
      </c>
      <c r="AI130" s="112">
        <f t="shared" si="25"/>
        <v>0</v>
      </c>
      <c r="AJ130" s="121">
        <f>Input!$E$22*WRs!C130+Input!$E$23*WRs!D130+Input!$E$24*WRs!X130+Input!$E$25*WRs!Y130+Input!$E$26*WRs!Z130+Input!$E$27*WRs!AA130+Input!$E$28*WRs!AB130+Input!$E$29*WRs!AC130+Input!$E$30*WRs!E130+Input!$E$31*WRs!G130+Input!$E$32*WRs!H130+Input!$E$33*WRs!AD130+Input!$E$34*WRs!AE130+Input!$E$35*WRs!AF130+Input!$E$36*WRs!AG130+Input!$E$37*WRs!AH130+Input!$E$38*WRs!AI130+Input!$E$39*WRs!I130+Input!$E$40*WRs!K130</f>
        <v>13.700000000000001</v>
      </c>
    </row>
    <row r="131" spans="1:36" x14ac:dyDescent="0.25">
      <c r="A131" s="89" t="s">
        <v>470</v>
      </c>
      <c r="B131" s="112" t="s">
        <v>196</v>
      </c>
      <c r="C131" s="45">
        <v>0</v>
      </c>
      <c r="D131" s="37">
        <v>0</v>
      </c>
      <c r="E131" s="37">
        <v>0</v>
      </c>
      <c r="F131" s="38">
        <v>0</v>
      </c>
      <c r="G131" s="45">
        <v>10</v>
      </c>
      <c r="H131" s="37">
        <f>12.6*G131</f>
        <v>126</v>
      </c>
      <c r="I131" s="37">
        <v>0</v>
      </c>
      <c r="J131" s="38">
        <v>0</v>
      </c>
      <c r="K131" s="37">
        <v>0</v>
      </c>
      <c r="L131" s="105">
        <v>0.72727272727272729</v>
      </c>
      <c r="M131" s="106">
        <v>9.7902097902097904E-2</v>
      </c>
      <c r="N131" s="106">
        <v>6.2937062937062943E-2</v>
      </c>
      <c r="O131" s="106">
        <v>2.097902097902098E-2</v>
      </c>
      <c r="P131" s="106">
        <v>2.7972027972027972E-2</v>
      </c>
      <c r="Q131" s="107">
        <v>6.2937062937062943E-2</v>
      </c>
      <c r="R131" s="105">
        <v>0.36974789915966388</v>
      </c>
      <c r="S131" s="106">
        <v>0.25210084033613445</v>
      </c>
      <c r="T131" s="106">
        <v>0.21008403361344538</v>
      </c>
      <c r="U131" s="106">
        <v>5.8823529411764705E-2</v>
      </c>
      <c r="V131" s="106">
        <v>7.5630252100840331E-2</v>
      </c>
      <c r="W131" s="107">
        <v>4.2016806722689079E-2</v>
      </c>
      <c r="X131" s="111">
        <f t="shared" si="26"/>
        <v>0</v>
      </c>
      <c r="Y131" s="90">
        <f t="shared" si="27"/>
        <v>0</v>
      </c>
      <c r="Z131" s="90">
        <f t="shared" si="28"/>
        <v>0</v>
      </c>
      <c r="AA131" s="90">
        <f t="shared" si="29"/>
        <v>0</v>
      </c>
      <c r="AB131" s="90">
        <f t="shared" si="30"/>
        <v>0</v>
      </c>
      <c r="AC131" s="112">
        <f t="shared" si="31"/>
        <v>0</v>
      </c>
      <c r="AD131" s="111">
        <f t="shared" si="20"/>
        <v>0</v>
      </c>
      <c r="AE131" s="90">
        <f t="shared" si="21"/>
        <v>0</v>
      </c>
      <c r="AF131" s="90">
        <f t="shared" si="22"/>
        <v>0</v>
      </c>
      <c r="AG131" s="90">
        <f t="shared" si="23"/>
        <v>0</v>
      </c>
      <c r="AH131" s="90">
        <f t="shared" si="24"/>
        <v>0</v>
      </c>
      <c r="AI131" s="112">
        <f t="shared" si="25"/>
        <v>0</v>
      </c>
      <c r="AJ131" s="121">
        <f>Input!$E$22*WRs!C131+Input!$E$23*WRs!D131+Input!$E$24*WRs!X131+Input!$E$25*WRs!Y131+Input!$E$26*WRs!Z131+Input!$E$27*WRs!AA131+Input!$E$28*WRs!AB131+Input!$E$29*WRs!AC131+Input!$E$30*WRs!E131+Input!$E$31*WRs!G131+Input!$E$32*WRs!H131+Input!$E$33*WRs!AD131+Input!$E$34*WRs!AE131+Input!$E$35*WRs!AF131+Input!$E$36*WRs!AG131+Input!$E$37*WRs!AH131+Input!$E$38*WRs!AI131+Input!$E$39*WRs!I131+Input!$E$40*WRs!K131</f>
        <v>12.600000000000001</v>
      </c>
    </row>
    <row r="132" spans="1:36" x14ac:dyDescent="0.25">
      <c r="A132" s="89" t="s">
        <v>471</v>
      </c>
      <c r="B132" s="112" t="s">
        <v>180</v>
      </c>
      <c r="C132" s="45">
        <v>0</v>
      </c>
      <c r="D132" s="37">
        <v>0</v>
      </c>
      <c r="E132" s="37">
        <v>0</v>
      </c>
      <c r="F132" s="38">
        <v>0</v>
      </c>
      <c r="G132" s="45">
        <v>10</v>
      </c>
      <c r="H132" s="37">
        <f>12*G132</f>
        <v>120</v>
      </c>
      <c r="I132" s="37">
        <v>0</v>
      </c>
      <c r="J132" s="38">
        <v>0</v>
      </c>
      <c r="K132" s="37">
        <v>0</v>
      </c>
      <c r="L132" s="105">
        <v>0.72727272727272729</v>
      </c>
      <c r="M132" s="106">
        <v>9.7902097902097904E-2</v>
      </c>
      <c r="N132" s="106">
        <v>6.2937062937062943E-2</v>
      </c>
      <c r="O132" s="106">
        <v>2.097902097902098E-2</v>
      </c>
      <c r="P132" s="106">
        <v>2.7972027972027972E-2</v>
      </c>
      <c r="Q132" s="107">
        <v>6.2937062937062943E-2</v>
      </c>
      <c r="R132" s="105">
        <v>0.36974789915966388</v>
      </c>
      <c r="S132" s="106">
        <v>0.25210084033613445</v>
      </c>
      <c r="T132" s="106">
        <v>0.21008403361344538</v>
      </c>
      <c r="U132" s="106">
        <v>5.8823529411764705E-2</v>
      </c>
      <c r="V132" s="106">
        <v>7.5630252100840331E-2</v>
      </c>
      <c r="W132" s="107">
        <v>4.2016806722689079E-2</v>
      </c>
      <c r="X132" s="111">
        <f t="shared" si="26"/>
        <v>0</v>
      </c>
      <c r="Y132" s="90">
        <f t="shared" si="27"/>
        <v>0</v>
      </c>
      <c r="Z132" s="90">
        <f t="shared" si="28"/>
        <v>0</v>
      </c>
      <c r="AA132" s="90">
        <f t="shared" si="29"/>
        <v>0</v>
      </c>
      <c r="AB132" s="90">
        <f t="shared" si="30"/>
        <v>0</v>
      </c>
      <c r="AC132" s="112">
        <f t="shared" si="31"/>
        <v>0</v>
      </c>
      <c r="AD132" s="111">
        <f t="shared" ref="AD132:AD138" si="32">$J132*R132</f>
        <v>0</v>
      </c>
      <c r="AE132" s="90">
        <f t="shared" ref="AE132:AE138" si="33">$J132*S132</f>
        <v>0</v>
      </c>
      <c r="AF132" s="90">
        <f t="shared" ref="AF132:AF138" si="34">$J132*T132</f>
        <v>0</v>
      </c>
      <c r="AG132" s="90">
        <f t="shared" ref="AG132:AG138" si="35">$J132*U132</f>
        <v>0</v>
      </c>
      <c r="AH132" s="90">
        <f t="shared" ref="AH132:AH138" si="36">$J132*V132</f>
        <v>0</v>
      </c>
      <c r="AI132" s="112">
        <f t="shared" ref="AI132:AI138" si="37">$J132*W132</f>
        <v>0</v>
      </c>
      <c r="AJ132" s="121">
        <f>Input!$E$22*WRs!C132+Input!$E$23*WRs!D132+Input!$E$24*WRs!X132+Input!$E$25*WRs!Y132+Input!$E$26*WRs!Z132+Input!$E$27*WRs!AA132+Input!$E$28*WRs!AB132+Input!$E$29*WRs!AC132+Input!$E$30*WRs!E132+Input!$E$31*WRs!G132+Input!$E$32*WRs!H132+Input!$E$33*WRs!AD132+Input!$E$34*WRs!AE132+Input!$E$35*WRs!AF132+Input!$E$36*WRs!AG132+Input!$E$37*WRs!AH132+Input!$E$38*WRs!AI132+Input!$E$39*WRs!I132+Input!$E$40*WRs!K132</f>
        <v>12</v>
      </c>
    </row>
    <row r="133" spans="1:36" x14ac:dyDescent="0.25">
      <c r="A133" s="89" t="s">
        <v>472</v>
      </c>
      <c r="B133" s="112" t="s">
        <v>168</v>
      </c>
      <c r="C133" s="45">
        <v>0</v>
      </c>
      <c r="D133" s="37">
        <v>0</v>
      </c>
      <c r="E133" s="37">
        <v>0</v>
      </c>
      <c r="F133" s="38">
        <v>0</v>
      </c>
      <c r="G133" s="45">
        <v>10</v>
      </c>
      <c r="H133" s="37">
        <f>12*G133</f>
        <v>120</v>
      </c>
      <c r="I133" s="37">
        <v>0</v>
      </c>
      <c r="J133" s="38">
        <v>0</v>
      </c>
      <c r="K133" s="37">
        <v>0</v>
      </c>
      <c r="L133" s="105">
        <v>0.72727272727272729</v>
      </c>
      <c r="M133" s="106">
        <v>9.7902097902097904E-2</v>
      </c>
      <c r="N133" s="106">
        <v>6.2937062937062943E-2</v>
      </c>
      <c r="O133" s="106">
        <v>2.097902097902098E-2</v>
      </c>
      <c r="P133" s="106">
        <v>2.7972027972027972E-2</v>
      </c>
      <c r="Q133" s="107">
        <v>6.2937062937062943E-2</v>
      </c>
      <c r="R133" s="105">
        <v>0.36974789915966388</v>
      </c>
      <c r="S133" s="106">
        <v>0.25210084033613445</v>
      </c>
      <c r="T133" s="106">
        <v>0.21008403361344538</v>
      </c>
      <c r="U133" s="106">
        <v>5.8823529411764705E-2</v>
      </c>
      <c r="V133" s="106">
        <v>7.5630252100840331E-2</v>
      </c>
      <c r="W133" s="107">
        <v>4.2016806722689079E-2</v>
      </c>
      <c r="X133" s="111">
        <f t="shared" si="26"/>
        <v>0</v>
      </c>
      <c r="Y133" s="90">
        <f t="shared" si="27"/>
        <v>0</v>
      </c>
      <c r="Z133" s="90">
        <f t="shared" si="28"/>
        <v>0</v>
      </c>
      <c r="AA133" s="90">
        <f t="shared" si="29"/>
        <v>0</v>
      </c>
      <c r="AB133" s="90">
        <f t="shared" si="30"/>
        <v>0</v>
      </c>
      <c r="AC133" s="112">
        <f t="shared" si="31"/>
        <v>0</v>
      </c>
      <c r="AD133" s="111">
        <f t="shared" si="32"/>
        <v>0</v>
      </c>
      <c r="AE133" s="90">
        <f t="shared" si="33"/>
        <v>0</v>
      </c>
      <c r="AF133" s="90">
        <f t="shared" si="34"/>
        <v>0</v>
      </c>
      <c r="AG133" s="90">
        <f t="shared" si="35"/>
        <v>0</v>
      </c>
      <c r="AH133" s="90">
        <f t="shared" si="36"/>
        <v>0</v>
      </c>
      <c r="AI133" s="112">
        <f t="shared" si="37"/>
        <v>0</v>
      </c>
      <c r="AJ133" s="121">
        <f>Input!$E$22*WRs!C133+Input!$E$23*WRs!D133+Input!$E$24*WRs!X133+Input!$E$25*WRs!Y133+Input!$E$26*WRs!Z133+Input!$E$27*WRs!AA133+Input!$E$28*WRs!AB133+Input!$E$29*WRs!AC133+Input!$E$30*WRs!E133+Input!$E$31*WRs!G133+Input!$E$32*WRs!H133+Input!$E$33*WRs!AD133+Input!$E$34*WRs!AE133+Input!$E$35*WRs!AF133+Input!$E$36*WRs!AG133+Input!$E$37*WRs!AH133+Input!$E$38*WRs!AI133+Input!$E$39*WRs!I133+Input!$E$40*WRs!K133</f>
        <v>12</v>
      </c>
    </row>
    <row r="134" spans="1:36" x14ac:dyDescent="0.25">
      <c r="A134" s="89" t="s">
        <v>473</v>
      </c>
      <c r="B134" s="112" t="s">
        <v>162</v>
      </c>
      <c r="C134" s="45">
        <v>0</v>
      </c>
      <c r="D134" s="37">
        <v>0</v>
      </c>
      <c r="E134" s="37">
        <v>0</v>
      </c>
      <c r="F134" s="38">
        <v>0</v>
      </c>
      <c r="G134" s="45">
        <v>10</v>
      </c>
      <c r="H134" s="37">
        <f>12*G134</f>
        <v>120</v>
      </c>
      <c r="I134" s="37">
        <v>0</v>
      </c>
      <c r="J134" s="38">
        <v>0</v>
      </c>
      <c r="K134" s="37">
        <v>0</v>
      </c>
      <c r="L134" s="105">
        <v>0.72727272727272729</v>
      </c>
      <c r="M134" s="106">
        <v>9.7902097902097904E-2</v>
      </c>
      <c r="N134" s="106">
        <v>6.2937062937062943E-2</v>
      </c>
      <c r="O134" s="106">
        <v>2.097902097902098E-2</v>
      </c>
      <c r="P134" s="106">
        <v>2.7972027972027972E-2</v>
      </c>
      <c r="Q134" s="107">
        <v>6.2937062937062943E-2</v>
      </c>
      <c r="R134" s="105">
        <v>0.36974789915966388</v>
      </c>
      <c r="S134" s="106">
        <v>0.25210084033613445</v>
      </c>
      <c r="T134" s="106">
        <v>0.21008403361344538</v>
      </c>
      <c r="U134" s="106">
        <v>5.8823529411764705E-2</v>
      </c>
      <c r="V134" s="106">
        <v>7.5630252100840331E-2</v>
      </c>
      <c r="W134" s="107">
        <v>4.2016806722689079E-2</v>
      </c>
      <c r="X134" s="111">
        <f t="shared" si="26"/>
        <v>0</v>
      </c>
      <c r="Y134" s="90">
        <f t="shared" si="27"/>
        <v>0</v>
      </c>
      <c r="Z134" s="90">
        <f t="shared" si="28"/>
        <v>0</v>
      </c>
      <c r="AA134" s="90">
        <f t="shared" si="29"/>
        <v>0</v>
      </c>
      <c r="AB134" s="90">
        <f t="shared" si="30"/>
        <v>0</v>
      </c>
      <c r="AC134" s="112">
        <f t="shared" si="31"/>
        <v>0</v>
      </c>
      <c r="AD134" s="111">
        <f t="shared" si="32"/>
        <v>0</v>
      </c>
      <c r="AE134" s="90">
        <f t="shared" si="33"/>
        <v>0</v>
      </c>
      <c r="AF134" s="90">
        <f t="shared" si="34"/>
        <v>0</v>
      </c>
      <c r="AG134" s="90">
        <f t="shared" si="35"/>
        <v>0</v>
      </c>
      <c r="AH134" s="90">
        <f t="shared" si="36"/>
        <v>0</v>
      </c>
      <c r="AI134" s="112">
        <f t="shared" si="37"/>
        <v>0</v>
      </c>
      <c r="AJ134" s="121">
        <f>Input!$E$22*WRs!C134+Input!$E$23*WRs!D134+Input!$E$24*WRs!X134+Input!$E$25*WRs!Y134+Input!$E$26*WRs!Z134+Input!$E$27*WRs!AA134+Input!$E$28*WRs!AB134+Input!$E$29*WRs!AC134+Input!$E$30*WRs!E134+Input!$E$31*WRs!G134+Input!$E$32*WRs!H134+Input!$E$33*WRs!AD134+Input!$E$34*WRs!AE134+Input!$E$35*WRs!AF134+Input!$E$36*WRs!AG134+Input!$E$37*WRs!AH134+Input!$E$38*WRs!AI134+Input!$E$39*WRs!I134+Input!$E$40*WRs!K134</f>
        <v>12</v>
      </c>
    </row>
    <row r="135" spans="1:36" x14ac:dyDescent="0.25">
      <c r="A135" s="89" t="s">
        <v>474</v>
      </c>
      <c r="B135" s="112" t="s">
        <v>140</v>
      </c>
      <c r="C135" s="45">
        <v>0</v>
      </c>
      <c r="D135" s="37">
        <v>0</v>
      </c>
      <c r="E135" s="37">
        <v>0</v>
      </c>
      <c r="F135" s="38">
        <v>0</v>
      </c>
      <c r="G135" s="45">
        <v>10</v>
      </c>
      <c r="H135" s="37">
        <f>12*G135</f>
        <v>120</v>
      </c>
      <c r="I135" s="37">
        <v>0</v>
      </c>
      <c r="J135" s="38">
        <v>0</v>
      </c>
      <c r="K135" s="37">
        <v>0</v>
      </c>
      <c r="L135" s="105">
        <v>0.72727272727272729</v>
      </c>
      <c r="M135" s="106">
        <v>9.7902097902097904E-2</v>
      </c>
      <c r="N135" s="106">
        <v>6.2937062937062943E-2</v>
      </c>
      <c r="O135" s="106">
        <v>2.097902097902098E-2</v>
      </c>
      <c r="P135" s="106">
        <v>2.7972027972027972E-2</v>
      </c>
      <c r="Q135" s="107">
        <v>6.2937062937062943E-2</v>
      </c>
      <c r="R135" s="105">
        <v>0.36974789915966388</v>
      </c>
      <c r="S135" s="106">
        <v>0.25210084033613445</v>
      </c>
      <c r="T135" s="106">
        <v>0.21008403361344538</v>
      </c>
      <c r="U135" s="106">
        <v>5.8823529411764705E-2</v>
      </c>
      <c r="V135" s="106">
        <v>7.5630252100840331E-2</v>
      </c>
      <c r="W135" s="107">
        <v>4.2016806722689079E-2</v>
      </c>
      <c r="X135" s="111">
        <f t="shared" si="26"/>
        <v>0</v>
      </c>
      <c r="Y135" s="90">
        <f t="shared" si="27"/>
        <v>0</v>
      </c>
      <c r="Z135" s="90">
        <f t="shared" si="28"/>
        <v>0</v>
      </c>
      <c r="AA135" s="90">
        <f t="shared" si="29"/>
        <v>0</v>
      </c>
      <c r="AB135" s="90">
        <f t="shared" si="30"/>
        <v>0</v>
      </c>
      <c r="AC135" s="112">
        <f t="shared" si="31"/>
        <v>0</v>
      </c>
      <c r="AD135" s="111">
        <f t="shared" si="32"/>
        <v>0</v>
      </c>
      <c r="AE135" s="90">
        <f t="shared" si="33"/>
        <v>0</v>
      </c>
      <c r="AF135" s="90">
        <f t="shared" si="34"/>
        <v>0</v>
      </c>
      <c r="AG135" s="90">
        <f t="shared" si="35"/>
        <v>0</v>
      </c>
      <c r="AH135" s="90">
        <f t="shared" si="36"/>
        <v>0</v>
      </c>
      <c r="AI135" s="112">
        <f t="shared" si="37"/>
        <v>0</v>
      </c>
      <c r="AJ135" s="121">
        <f>Input!$E$22*WRs!C135+Input!$E$23*WRs!D135+Input!$E$24*WRs!X135+Input!$E$25*WRs!Y135+Input!$E$26*WRs!Z135+Input!$E$27*WRs!AA135+Input!$E$28*WRs!AB135+Input!$E$29*WRs!AC135+Input!$E$30*WRs!E135+Input!$E$31*WRs!G135+Input!$E$32*WRs!H135+Input!$E$33*WRs!AD135+Input!$E$34*WRs!AE135+Input!$E$35*WRs!AF135+Input!$E$36*WRs!AG135+Input!$E$37*WRs!AH135+Input!$E$38*WRs!AI135+Input!$E$39*WRs!I135+Input!$E$40*WRs!K135</f>
        <v>12</v>
      </c>
    </row>
    <row r="136" spans="1:36" x14ac:dyDescent="0.25">
      <c r="A136" s="89" t="s">
        <v>475</v>
      </c>
      <c r="B136" s="112" t="s">
        <v>160</v>
      </c>
      <c r="C136" s="45">
        <v>0</v>
      </c>
      <c r="D136" s="37">
        <v>0</v>
      </c>
      <c r="E136" s="37">
        <v>0</v>
      </c>
      <c r="F136" s="38">
        <v>0</v>
      </c>
      <c r="G136" s="45">
        <v>10</v>
      </c>
      <c r="H136" s="37">
        <f>11*G136</f>
        <v>110</v>
      </c>
      <c r="I136" s="37">
        <v>0</v>
      </c>
      <c r="J136" s="38">
        <v>0</v>
      </c>
      <c r="K136" s="37">
        <v>0</v>
      </c>
      <c r="L136" s="105">
        <v>0.72727272727272729</v>
      </c>
      <c r="M136" s="106">
        <v>9.7902097902097904E-2</v>
      </c>
      <c r="N136" s="106">
        <v>6.2937062937062943E-2</v>
      </c>
      <c r="O136" s="106">
        <v>2.097902097902098E-2</v>
      </c>
      <c r="P136" s="106">
        <v>2.7972027972027972E-2</v>
      </c>
      <c r="Q136" s="107">
        <v>6.2937062937062943E-2</v>
      </c>
      <c r="R136" s="105">
        <v>0.36974789915966388</v>
      </c>
      <c r="S136" s="106">
        <v>0.25210084033613445</v>
      </c>
      <c r="T136" s="106">
        <v>0.21008403361344538</v>
      </c>
      <c r="U136" s="106">
        <v>5.8823529411764705E-2</v>
      </c>
      <c r="V136" s="106">
        <v>7.5630252100840331E-2</v>
      </c>
      <c r="W136" s="107">
        <v>4.2016806722689079E-2</v>
      </c>
      <c r="X136" s="111">
        <f t="shared" si="26"/>
        <v>0</v>
      </c>
      <c r="Y136" s="90">
        <f t="shared" si="27"/>
        <v>0</v>
      </c>
      <c r="Z136" s="90">
        <f t="shared" si="28"/>
        <v>0</v>
      </c>
      <c r="AA136" s="90">
        <f t="shared" si="29"/>
        <v>0</v>
      </c>
      <c r="AB136" s="90">
        <f t="shared" si="30"/>
        <v>0</v>
      </c>
      <c r="AC136" s="112">
        <f t="shared" si="31"/>
        <v>0</v>
      </c>
      <c r="AD136" s="111">
        <f t="shared" si="32"/>
        <v>0</v>
      </c>
      <c r="AE136" s="90">
        <f t="shared" si="33"/>
        <v>0</v>
      </c>
      <c r="AF136" s="90">
        <f t="shared" si="34"/>
        <v>0</v>
      </c>
      <c r="AG136" s="90">
        <f t="shared" si="35"/>
        <v>0</v>
      </c>
      <c r="AH136" s="90">
        <f t="shared" si="36"/>
        <v>0</v>
      </c>
      <c r="AI136" s="112">
        <f t="shared" si="37"/>
        <v>0</v>
      </c>
      <c r="AJ136" s="121">
        <f>Input!$E$22*WRs!C136+Input!$E$23*WRs!D136+Input!$E$24*WRs!X136+Input!$E$25*WRs!Y136+Input!$E$26*WRs!Z136+Input!$E$27*WRs!AA136+Input!$E$28*WRs!AB136+Input!$E$29*WRs!AC136+Input!$E$30*WRs!E136+Input!$E$31*WRs!G136+Input!$E$32*WRs!H136+Input!$E$33*WRs!AD136+Input!$E$34*WRs!AE136+Input!$E$35*WRs!AF136+Input!$E$36*WRs!AG136+Input!$E$37*WRs!AH136+Input!$E$38*WRs!AI136+Input!$E$39*WRs!I136+Input!$E$40*WRs!K136</f>
        <v>11</v>
      </c>
    </row>
    <row r="137" spans="1:36" x14ac:dyDescent="0.25">
      <c r="A137" s="89" t="s">
        <v>476</v>
      </c>
      <c r="B137" s="112" t="s">
        <v>182</v>
      </c>
      <c r="C137" s="45">
        <v>0</v>
      </c>
      <c r="D137" s="37">
        <v>0</v>
      </c>
      <c r="E137" s="37">
        <v>0</v>
      </c>
      <c r="F137" s="38">
        <v>0</v>
      </c>
      <c r="G137" s="45">
        <v>10</v>
      </c>
      <c r="H137" s="37">
        <f>11*G137</f>
        <v>110</v>
      </c>
      <c r="I137" s="37">
        <v>0</v>
      </c>
      <c r="J137" s="38">
        <v>0</v>
      </c>
      <c r="K137" s="37">
        <v>0</v>
      </c>
      <c r="L137" s="105">
        <v>0.72727272727272729</v>
      </c>
      <c r="M137" s="106">
        <v>9.7902097902097904E-2</v>
      </c>
      <c r="N137" s="106">
        <v>6.2937062937062943E-2</v>
      </c>
      <c r="O137" s="106">
        <v>2.097902097902098E-2</v>
      </c>
      <c r="P137" s="106">
        <v>2.7972027972027972E-2</v>
      </c>
      <c r="Q137" s="107">
        <v>6.2937062937062943E-2</v>
      </c>
      <c r="R137" s="105">
        <v>0.36974789915966388</v>
      </c>
      <c r="S137" s="106">
        <v>0.25210084033613445</v>
      </c>
      <c r="T137" s="106">
        <v>0.21008403361344538</v>
      </c>
      <c r="U137" s="106">
        <v>5.8823529411764705E-2</v>
      </c>
      <c r="V137" s="106">
        <v>7.5630252100840331E-2</v>
      </c>
      <c r="W137" s="107">
        <v>4.2016806722689079E-2</v>
      </c>
      <c r="X137" s="111">
        <f t="shared" si="26"/>
        <v>0</v>
      </c>
      <c r="Y137" s="90">
        <f t="shared" si="27"/>
        <v>0</v>
      </c>
      <c r="Z137" s="90">
        <f t="shared" si="28"/>
        <v>0</v>
      </c>
      <c r="AA137" s="90">
        <f t="shared" si="29"/>
        <v>0</v>
      </c>
      <c r="AB137" s="90">
        <f t="shared" si="30"/>
        <v>0</v>
      </c>
      <c r="AC137" s="112">
        <f t="shared" si="31"/>
        <v>0</v>
      </c>
      <c r="AD137" s="111">
        <f t="shared" si="32"/>
        <v>0</v>
      </c>
      <c r="AE137" s="90">
        <f t="shared" si="33"/>
        <v>0</v>
      </c>
      <c r="AF137" s="90">
        <f t="shared" si="34"/>
        <v>0</v>
      </c>
      <c r="AG137" s="90">
        <f t="shared" si="35"/>
        <v>0</v>
      </c>
      <c r="AH137" s="90">
        <f t="shared" si="36"/>
        <v>0</v>
      </c>
      <c r="AI137" s="112">
        <f t="shared" si="37"/>
        <v>0</v>
      </c>
      <c r="AJ137" s="121">
        <f>Input!$E$22*WRs!C137+Input!$E$23*WRs!D137+Input!$E$24*WRs!X137+Input!$E$25*WRs!Y137+Input!$E$26*WRs!Z137+Input!$E$27*WRs!AA137+Input!$E$28*WRs!AB137+Input!$E$29*WRs!AC137+Input!$E$30*WRs!E137+Input!$E$31*WRs!G137+Input!$E$32*WRs!H137+Input!$E$33*WRs!AD137+Input!$E$34*WRs!AE137+Input!$E$35*WRs!AF137+Input!$E$36*WRs!AG137+Input!$E$37*WRs!AH137+Input!$E$38*WRs!AI137+Input!$E$39*WRs!I137+Input!$E$40*WRs!K137</f>
        <v>11</v>
      </c>
    </row>
    <row r="138" spans="1:36" x14ac:dyDescent="0.25">
      <c r="A138" s="91" t="s">
        <v>477</v>
      </c>
      <c r="B138" s="114" t="s">
        <v>166</v>
      </c>
      <c r="C138" s="46">
        <v>0</v>
      </c>
      <c r="D138" s="43">
        <v>0</v>
      </c>
      <c r="E138" s="43">
        <v>0</v>
      </c>
      <c r="F138" s="44">
        <v>0</v>
      </c>
      <c r="G138" s="46">
        <v>5</v>
      </c>
      <c r="H138" s="43">
        <f>9.4*G138</f>
        <v>47</v>
      </c>
      <c r="I138" s="43">
        <v>0</v>
      </c>
      <c r="J138" s="44">
        <v>0</v>
      </c>
      <c r="K138" s="43">
        <v>0</v>
      </c>
      <c r="L138" s="108">
        <v>0.72727272727272729</v>
      </c>
      <c r="M138" s="109">
        <v>9.7902097902097904E-2</v>
      </c>
      <c r="N138" s="109">
        <v>6.2937062937062943E-2</v>
      </c>
      <c r="O138" s="109">
        <v>2.097902097902098E-2</v>
      </c>
      <c r="P138" s="109">
        <v>2.7972027972027972E-2</v>
      </c>
      <c r="Q138" s="110">
        <v>6.2937062937062943E-2</v>
      </c>
      <c r="R138" s="108">
        <v>0.36974789915966388</v>
      </c>
      <c r="S138" s="109">
        <v>0.25210084033613445</v>
      </c>
      <c r="T138" s="109">
        <v>0.21008403361344538</v>
      </c>
      <c r="U138" s="109">
        <v>5.8823529411764705E-2</v>
      </c>
      <c r="V138" s="109">
        <v>7.5630252100840331E-2</v>
      </c>
      <c r="W138" s="110">
        <v>4.2016806722689079E-2</v>
      </c>
      <c r="X138" s="113">
        <f t="shared" si="26"/>
        <v>0</v>
      </c>
      <c r="Y138" s="92">
        <f t="shared" si="27"/>
        <v>0</v>
      </c>
      <c r="Z138" s="92">
        <f t="shared" si="28"/>
        <v>0</v>
      </c>
      <c r="AA138" s="92">
        <f t="shared" si="29"/>
        <v>0</v>
      </c>
      <c r="AB138" s="92">
        <f t="shared" si="30"/>
        <v>0</v>
      </c>
      <c r="AC138" s="114">
        <f t="shared" si="31"/>
        <v>0</v>
      </c>
      <c r="AD138" s="113">
        <f t="shared" si="32"/>
        <v>0</v>
      </c>
      <c r="AE138" s="92">
        <f t="shared" si="33"/>
        <v>0</v>
      </c>
      <c r="AF138" s="92">
        <f t="shared" si="34"/>
        <v>0</v>
      </c>
      <c r="AG138" s="92">
        <f t="shared" si="35"/>
        <v>0</v>
      </c>
      <c r="AH138" s="92">
        <f t="shared" si="36"/>
        <v>0</v>
      </c>
      <c r="AI138" s="114">
        <f t="shared" si="37"/>
        <v>0</v>
      </c>
      <c r="AJ138" s="99">
        <f>Input!$E$22*WRs!C138+Input!$E$23*WRs!D138+Input!$E$24*WRs!X138+Input!$E$25*WRs!Y138+Input!$E$26*WRs!Z138+Input!$E$27*WRs!AA138+Input!$E$28*WRs!AB138+Input!$E$29*WRs!AC138+Input!$E$30*WRs!E138+Input!$E$31*WRs!G138+Input!$E$32*WRs!H138+Input!$E$33*WRs!AD138+Input!$E$34*WRs!AE138+Input!$E$35*WRs!AF138+Input!$E$36*WRs!AG138+Input!$E$37*WRs!AH138+Input!$E$38*WRs!AI138+Input!$E$39*WRs!I138+Input!$E$40*WRs!K138</f>
        <v>4.7</v>
      </c>
    </row>
    <row r="139" spans="1:36" x14ac:dyDescent="0.25">
      <c r="C139" s="5"/>
      <c r="F139" s="5"/>
      <c r="G139" s="5"/>
      <c r="J139" s="5"/>
      <c r="K139" s="5"/>
      <c r="L139" s="123"/>
      <c r="M139" s="123"/>
      <c r="N139" s="123"/>
      <c r="O139" s="123"/>
      <c r="P139" s="123"/>
      <c r="Q139" s="123"/>
    </row>
    <row r="140" spans="1:36" x14ac:dyDescent="0.25">
      <c r="C140" s="5"/>
      <c r="F140" s="5"/>
      <c r="G140" s="5"/>
      <c r="J140" s="5"/>
      <c r="K140" s="5"/>
      <c r="L140" s="123"/>
      <c r="M140" s="123"/>
      <c r="N140" s="123"/>
      <c r="O140" s="123"/>
      <c r="P140" s="123"/>
      <c r="Q140" s="123"/>
    </row>
    <row r="141" spans="1:36" x14ac:dyDescent="0.25">
      <c r="C141" s="5"/>
      <c r="F141" s="5"/>
      <c r="G141" s="5"/>
      <c r="J141" s="5"/>
      <c r="K141" s="5"/>
      <c r="L141" s="123"/>
      <c r="M141" s="123"/>
      <c r="N141" s="123"/>
      <c r="O141" s="123"/>
      <c r="P141" s="123"/>
      <c r="Q141" s="123"/>
    </row>
    <row r="142" spans="1:36" x14ac:dyDescent="0.25">
      <c r="C142" s="5"/>
      <c r="F142" s="5"/>
      <c r="G142" s="5"/>
      <c r="J142" s="5"/>
      <c r="K142" s="5"/>
      <c r="L142" s="123"/>
      <c r="M142" s="123"/>
      <c r="N142" s="123"/>
      <c r="O142" s="123"/>
      <c r="P142" s="123"/>
      <c r="Q142" s="123"/>
    </row>
    <row r="143" spans="1:36" x14ac:dyDescent="0.25">
      <c r="C143" s="5"/>
      <c r="F143" s="5"/>
      <c r="G143" s="5"/>
      <c r="J143" s="5"/>
      <c r="K143" s="5"/>
      <c r="L143" s="123"/>
      <c r="M143" s="123"/>
      <c r="N143" s="123"/>
      <c r="O143" s="123"/>
      <c r="P143" s="123"/>
      <c r="Q143" s="123"/>
    </row>
    <row r="144" spans="1:36" x14ac:dyDescent="0.25">
      <c r="C144" s="5"/>
      <c r="F144" s="5"/>
      <c r="G144" s="5"/>
      <c r="J144" s="5"/>
      <c r="K144" s="5"/>
      <c r="L144" s="123"/>
      <c r="M144" s="123"/>
      <c r="N144" s="123"/>
      <c r="O144" s="123"/>
      <c r="P144" s="123"/>
      <c r="Q144" s="123"/>
    </row>
    <row r="145" spans="3:17" x14ac:dyDescent="0.25">
      <c r="C145" s="5"/>
      <c r="F145" s="5"/>
      <c r="G145" s="5"/>
      <c r="J145" s="5"/>
      <c r="K145" s="5"/>
      <c r="L145" s="123"/>
      <c r="M145" s="123"/>
      <c r="N145" s="123"/>
      <c r="O145" s="123"/>
      <c r="P145" s="123"/>
      <c r="Q145" s="123"/>
    </row>
    <row r="146" spans="3:17" x14ac:dyDescent="0.25">
      <c r="C146" s="5"/>
      <c r="F146" s="5"/>
      <c r="G146" s="5"/>
      <c r="J146" s="5"/>
      <c r="K146" s="5"/>
      <c r="L146" s="123"/>
      <c r="M146" s="123"/>
      <c r="N146" s="123"/>
      <c r="O146" s="123"/>
      <c r="P146" s="123"/>
      <c r="Q146" s="123"/>
    </row>
    <row r="147" spans="3:17" x14ac:dyDescent="0.25">
      <c r="C147" s="5"/>
      <c r="F147" s="5"/>
      <c r="G147" s="5"/>
      <c r="J147" s="5"/>
      <c r="K147" s="5"/>
      <c r="L147" s="123"/>
      <c r="M147" s="123"/>
      <c r="N147" s="123"/>
      <c r="O147" s="123"/>
      <c r="P147" s="123"/>
      <c r="Q147" s="123"/>
    </row>
    <row r="148" spans="3:17" x14ac:dyDescent="0.25">
      <c r="C148" s="5"/>
      <c r="F148" s="5"/>
      <c r="G148" s="5"/>
      <c r="J148" s="5"/>
      <c r="K148" s="5"/>
      <c r="L148" s="123"/>
      <c r="M148" s="123"/>
      <c r="N148" s="123"/>
      <c r="O148" s="123"/>
      <c r="P148" s="123"/>
      <c r="Q148" s="123"/>
    </row>
    <row r="149" spans="3:17" x14ac:dyDescent="0.25">
      <c r="C149" s="5"/>
      <c r="F149" s="5"/>
      <c r="G149" s="5"/>
      <c r="J149" s="5"/>
      <c r="K149" s="5"/>
      <c r="L149" s="123"/>
      <c r="M149" s="123"/>
      <c r="N149" s="123"/>
      <c r="O149" s="123"/>
      <c r="P149" s="123"/>
      <c r="Q149" s="123"/>
    </row>
    <row r="150" spans="3:17" x14ac:dyDescent="0.25">
      <c r="C150" s="5"/>
      <c r="F150" s="5"/>
      <c r="G150" s="5"/>
      <c r="J150" s="5"/>
      <c r="K150" s="5"/>
      <c r="L150" s="123"/>
      <c r="M150" s="123"/>
      <c r="N150" s="123"/>
      <c r="O150" s="123"/>
      <c r="P150" s="123"/>
      <c r="Q150" s="123"/>
    </row>
    <row r="151" spans="3:17" x14ac:dyDescent="0.25">
      <c r="C151" s="5"/>
      <c r="F151" s="5"/>
      <c r="G151" s="5"/>
      <c r="J151" s="5"/>
      <c r="K151" s="5"/>
      <c r="L151" s="123"/>
      <c r="M151" s="123"/>
      <c r="N151" s="123"/>
      <c r="O151" s="123"/>
      <c r="P151" s="123"/>
      <c r="Q151" s="123"/>
    </row>
    <row r="152" spans="3:17" x14ac:dyDescent="0.25">
      <c r="C152" s="5"/>
      <c r="F152" s="5"/>
      <c r="G152" s="5"/>
      <c r="J152" s="5"/>
      <c r="K152" s="5"/>
      <c r="L152" s="123"/>
      <c r="M152" s="123"/>
      <c r="N152" s="123"/>
      <c r="O152" s="123"/>
      <c r="P152" s="123"/>
      <c r="Q152" s="123"/>
    </row>
    <row r="153" spans="3:17" x14ac:dyDescent="0.25">
      <c r="C153" s="5"/>
      <c r="F153" s="5"/>
      <c r="G153" s="5"/>
      <c r="J153" s="5"/>
      <c r="K153" s="5"/>
      <c r="L153" s="123"/>
      <c r="M153" s="123"/>
      <c r="N153" s="123"/>
      <c r="O153" s="123"/>
      <c r="P153" s="123"/>
      <c r="Q153" s="123"/>
    </row>
    <row r="154" spans="3:17" x14ac:dyDescent="0.25">
      <c r="C154" s="5"/>
      <c r="F154" s="5"/>
      <c r="G154" s="5"/>
      <c r="J154" s="5"/>
      <c r="K154" s="5"/>
      <c r="L154" s="123"/>
      <c r="M154" s="123"/>
      <c r="N154" s="123"/>
      <c r="O154" s="123"/>
      <c r="P154" s="123"/>
      <c r="Q154" s="123"/>
    </row>
    <row r="155" spans="3:17" x14ac:dyDescent="0.25">
      <c r="C155" s="5"/>
      <c r="F155" s="5"/>
      <c r="G155" s="5"/>
      <c r="J155" s="5"/>
      <c r="K155" s="5"/>
      <c r="L155" s="123"/>
      <c r="M155" s="123"/>
      <c r="N155" s="123"/>
      <c r="O155" s="123"/>
      <c r="P155" s="123"/>
      <c r="Q155" s="123"/>
    </row>
    <row r="156" spans="3:17" x14ac:dyDescent="0.25">
      <c r="C156" s="5"/>
      <c r="F156" s="5"/>
      <c r="G156" s="5"/>
      <c r="J156" s="5"/>
      <c r="K156" s="5"/>
      <c r="L156" s="123"/>
      <c r="M156" s="123"/>
      <c r="N156" s="123"/>
      <c r="O156" s="123"/>
      <c r="P156" s="123"/>
      <c r="Q156" s="123"/>
    </row>
    <row r="157" spans="3:17" x14ac:dyDescent="0.25">
      <c r="C157" s="5"/>
      <c r="F157" s="5"/>
      <c r="G157" s="5"/>
      <c r="J157" s="5"/>
      <c r="K157" s="5"/>
      <c r="L157" s="123"/>
      <c r="M157" s="123"/>
      <c r="N157" s="123"/>
      <c r="O157" s="123"/>
      <c r="P157" s="123"/>
      <c r="Q157" s="123"/>
    </row>
    <row r="158" spans="3:17" x14ac:dyDescent="0.25">
      <c r="C158" s="5"/>
      <c r="F158" s="5"/>
      <c r="G158" s="5"/>
      <c r="J158" s="5"/>
      <c r="K158" s="5"/>
      <c r="L158" s="123"/>
      <c r="M158" s="123"/>
      <c r="N158" s="123"/>
      <c r="O158" s="123"/>
      <c r="P158" s="123"/>
      <c r="Q158" s="123"/>
    </row>
    <row r="159" spans="3:17" x14ac:dyDescent="0.25">
      <c r="C159" s="5"/>
      <c r="F159" s="5"/>
      <c r="G159" s="5"/>
      <c r="J159" s="5"/>
      <c r="K159" s="5"/>
      <c r="L159" s="123"/>
      <c r="M159" s="123"/>
      <c r="N159" s="123"/>
      <c r="O159" s="123"/>
      <c r="P159" s="123"/>
      <c r="Q159" s="123"/>
    </row>
    <row r="160" spans="3:17" x14ac:dyDescent="0.25">
      <c r="C160" s="5"/>
      <c r="F160" s="5"/>
      <c r="G160" s="5"/>
      <c r="J160" s="5"/>
      <c r="K160" s="5"/>
      <c r="L160" s="123"/>
      <c r="M160" s="123"/>
      <c r="N160" s="123"/>
      <c r="O160" s="123"/>
      <c r="P160" s="123"/>
      <c r="Q160" s="123"/>
    </row>
    <row r="161" spans="3:17" x14ac:dyDescent="0.25">
      <c r="C161" s="5"/>
      <c r="F161" s="5"/>
      <c r="G161" s="5"/>
      <c r="J161" s="5"/>
      <c r="K161" s="5"/>
      <c r="L161" s="123"/>
      <c r="M161" s="123"/>
      <c r="N161" s="123"/>
      <c r="O161" s="123"/>
      <c r="P161" s="123"/>
      <c r="Q161" s="123"/>
    </row>
    <row r="162" spans="3:17" x14ac:dyDescent="0.25">
      <c r="C162" s="5"/>
      <c r="F162" s="5"/>
      <c r="G162" s="5"/>
      <c r="J162" s="5"/>
      <c r="K162" s="5"/>
      <c r="L162" s="123"/>
      <c r="M162" s="123"/>
      <c r="N162" s="123"/>
      <c r="O162" s="123"/>
      <c r="P162" s="123"/>
      <c r="Q162" s="123"/>
    </row>
    <row r="163" spans="3:17" x14ac:dyDescent="0.25">
      <c r="C163" s="5"/>
      <c r="F163" s="5"/>
      <c r="G163" s="5"/>
      <c r="J163" s="5"/>
      <c r="K163" s="5"/>
      <c r="L163" s="123"/>
      <c r="M163" s="123"/>
      <c r="N163" s="123"/>
      <c r="O163" s="123"/>
      <c r="P163" s="123"/>
      <c r="Q163" s="123"/>
    </row>
    <row r="164" spans="3:17" x14ac:dyDescent="0.25">
      <c r="C164" s="5"/>
      <c r="F164" s="5"/>
      <c r="G164" s="5"/>
      <c r="J164" s="5"/>
      <c r="K164" s="5"/>
      <c r="L164" s="123"/>
      <c r="M164" s="123"/>
      <c r="N164" s="123"/>
      <c r="O164" s="123"/>
      <c r="P164" s="123"/>
      <c r="Q164" s="123"/>
    </row>
    <row r="165" spans="3:17" x14ac:dyDescent="0.25">
      <c r="C165" s="5"/>
      <c r="F165" s="5"/>
      <c r="G165" s="5"/>
      <c r="J165" s="5"/>
      <c r="K165" s="5"/>
      <c r="L165" s="123"/>
      <c r="M165" s="123"/>
      <c r="N165" s="123"/>
      <c r="O165" s="123"/>
      <c r="P165" s="123"/>
      <c r="Q165" s="123"/>
    </row>
    <row r="166" spans="3:17" x14ac:dyDescent="0.25">
      <c r="C166" s="5"/>
      <c r="F166" s="5"/>
      <c r="G166" s="5"/>
      <c r="J166" s="5"/>
      <c r="K166" s="5"/>
      <c r="L166" s="123"/>
      <c r="M166" s="123"/>
      <c r="N166" s="123"/>
      <c r="O166" s="123"/>
      <c r="P166" s="123"/>
      <c r="Q166" s="123"/>
    </row>
    <row r="167" spans="3:17" x14ac:dyDescent="0.25">
      <c r="C167" s="5"/>
      <c r="F167" s="5"/>
      <c r="G167" s="5"/>
      <c r="J167" s="5"/>
      <c r="K167" s="5"/>
      <c r="L167" s="123"/>
      <c r="M167" s="123"/>
      <c r="N167" s="123"/>
      <c r="O167" s="123"/>
      <c r="P167" s="123"/>
      <c r="Q167" s="123"/>
    </row>
    <row r="168" spans="3:17" x14ac:dyDescent="0.25">
      <c r="C168" s="5"/>
      <c r="F168" s="5"/>
      <c r="G168" s="5"/>
      <c r="J168" s="5"/>
      <c r="K168" s="5"/>
      <c r="L168" s="123"/>
      <c r="M168" s="123"/>
      <c r="N168" s="123"/>
      <c r="O168" s="123"/>
      <c r="P168" s="123"/>
      <c r="Q168" s="123"/>
    </row>
    <row r="169" spans="3:17" x14ac:dyDescent="0.25">
      <c r="C169" s="5"/>
      <c r="F169" s="5"/>
      <c r="G169" s="5"/>
      <c r="J169" s="5"/>
      <c r="K169" s="5"/>
      <c r="L169" s="123"/>
      <c r="M169" s="123"/>
      <c r="N169" s="123"/>
      <c r="O169" s="123"/>
      <c r="P169" s="123"/>
      <c r="Q169" s="123"/>
    </row>
    <row r="170" spans="3:17" x14ac:dyDescent="0.25">
      <c r="C170" s="5"/>
      <c r="F170" s="5"/>
      <c r="G170" s="5"/>
      <c r="J170" s="5"/>
      <c r="K170" s="5"/>
      <c r="L170" s="123"/>
      <c r="M170" s="123"/>
      <c r="N170" s="123"/>
      <c r="O170" s="123"/>
      <c r="P170" s="123"/>
      <c r="Q170" s="123"/>
    </row>
    <row r="171" spans="3:17" x14ac:dyDescent="0.25">
      <c r="C171" s="5"/>
      <c r="F171" s="5"/>
      <c r="G171" s="5"/>
      <c r="J171" s="5"/>
      <c r="K171" s="5"/>
      <c r="L171" s="123"/>
      <c r="M171" s="123"/>
      <c r="N171" s="123"/>
      <c r="O171" s="123"/>
      <c r="P171" s="123"/>
      <c r="Q171" s="123"/>
    </row>
    <row r="172" spans="3:17" x14ac:dyDescent="0.25">
      <c r="C172" s="5"/>
      <c r="F172" s="5"/>
      <c r="G172" s="5"/>
      <c r="J172" s="5"/>
      <c r="K172" s="5"/>
      <c r="L172" s="123"/>
      <c r="M172" s="123"/>
      <c r="N172" s="123"/>
      <c r="O172" s="123"/>
      <c r="P172" s="123"/>
      <c r="Q172" s="123"/>
    </row>
    <row r="173" spans="3:17" x14ac:dyDescent="0.25">
      <c r="C173" s="5"/>
      <c r="F173" s="5"/>
      <c r="G173" s="5"/>
      <c r="J173" s="5"/>
      <c r="K173" s="5"/>
      <c r="L173" s="123"/>
      <c r="M173" s="123"/>
      <c r="N173" s="123"/>
      <c r="O173" s="123"/>
      <c r="P173" s="123"/>
      <c r="Q173" s="123"/>
    </row>
    <row r="174" spans="3:17" x14ac:dyDescent="0.25">
      <c r="C174" s="5"/>
      <c r="F174" s="5"/>
      <c r="G174" s="5"/>
      <c r="J174" s="5"/>
      <c r="K174" s="5"/>
      <c r="L174" s="123"/>
      <c r="M174" s="123"/>
      <c r="N174" s="123"/>
      <c r="O174" s="123"/>
      <c r="P174" s="123"/>
      <c r="Q174" s="123"/>
    </row>
    <row r="175" spans="3:17" x14ac:dyDescent="0.25">
      <c r="C175" s="5"/>
      <c r="F175" s="5"/>
      <c r="G175" s="5"/>
      <c r="J175" s="5"/>
      <c r="K175" s="5"/>
      <c r="L175" s="123"/>
      <c r="M175" s="123"/>
      <c r="N175" s="123"/>
      <c r="O175" s="123"/>
      <c r="P175" s="123"/>
      <c r="Q175" s="123"/>
    </row>
    <row r="176" spans="3:17" x14ac:dyDescent="0.25">
      <c r="C176" s="5"/>
      <c r="F176" s="5"/>
      <c r="G176" s="5"/>
      <c r="J176" s="5"/>
      <c r="K176" s="5"/>
      <c r="L176" s="123"/>
      <c r="M176" s="123"/>
      <c r="N176" s="123"/>
      <c r="O176" s="123"/>
      <c r="P176" s="123"/>
      <c r="Q176" s="123"/>
    </row>
    <row r="177" spans="3:17" x14ac:dyDescent="0.25">
      <c r="C177" s="5"/>
      <c r="F177" s="5"/>
      <c r="G177" s="5"/>
      <c r="J177" s="5"/>
      <c r="K177" s="5"/>
      <c r="L177" s="123"/>
      <c r="M177" s="123"/>
      <c r="N177" s="123"/>
      <c r="O177" s="123"/>
      <c r="P177" s="123"/>
      <c r="Q177" s="123"/>
    </row>
    <row r="178" spans="3:17" x14ac:dyDescent="0.25">
      <c r="C178" s="5"/>
      <c r="F178" s="5"/>
      <c r="G178" s="5"/>
      <c r="J178" s="5"/>
      <c r="K178" s="5"/>
      <c r="L178" s="123"/>
      <c r="M178" s="123"/>
      <c r="N178" s="123"/>
      <c r="O178" s="123"/>
      <c r="P178" s="123"/>
      <c r="Q178" s="123"/>
    </row>
    <row r="179" spans="3:17" x14ac:dyDescent="0.25">
      <c r="C179" s="5"/>
      <c r="F179" s="5"/>
      <c r="G179" s="5"/>
      <c r="J179" s="5"/>
      <c r="K179" s="5"/>
      <c r="L179" s="123"/>
      <c r="M179" s="123"/>
      <c r="N179" s="123"/>
      <c r="O179" s="123"/>
      <c r="P179" s="123"/>
      <c r="Q179" s="123"/>
    </row>
    <row r="180" spans="3:17" x14ac:dyDescent="0.25">
      <c r="C180" s="5"/>
      <c r="F180" s="5"/>
      <c r="G180" s="5"/>
      <c r="J180" s="5"/>
      <c r="K180" s="5"/>
      <c r="L180" s="123"/>
      <c r="M180" s="123"/>
      <c r="N180" s="123"/>
      <c r="O180" s="123"/>
      <c r="P180" s="123"/>
      <c r="Q180" s="123"/>
    </row>
    <row r="181" spans="3:17" x14ac:dyDescent="0.25">
      <c r="C181" s="5"/>
      <c r="F181" s="5"/>
      <c r="G181" s="5"/>
      <c r="J181" s="5"/>
      <c r="K181" s="5"/>
      <c r="L181" s="123"/>
      <c r="M181" s="123"/>
      <c r="N181" s="123"/>
      <c r="O181" s="123"/>
      <c r="P181" s="123"/>
      <c r="Q181" s="123"/>
    </row>
    <row r="182" spans="3:17" x14ac:dyDescent="0.25">
      <c r="C182" s="5"/>
      <c r="F182" s="5"/>
      <c r="G182" s="5"/>
      <c r="J182" s="5"/>
      <c r="K182" s="5"/>
      <c r="L182" s="123"/>
      <c r="M182" s="123"/>
      <c r="N182" s="123"/>
      <c r="O182" s="123"/>
      <c r="P182" s="123"/>
      <c r="Q182" s="123"/>
    </row>
    <row r="183" spans="3:17" x14ac:dyDescent="0.25">
      <c r="C183" s="5"/>
      <c r="F183" s="5"/>
      <c r="G183" s="5"/>
      <c r="J183" s="5"/>
      <c r="K183" s="5"/>
      <c r="L183" s="123"/>
      <c r="M183" s="123"/>
      <c r="N183" s="123"/>
      <c r="O183" s="123"/>
      <c r="P183" s="123"/>
      <c r="Q183" s="123"/>
    </row>
    <row r="184" spans="3:17" x14ac:dyDescent="0.25">
      <c r="C184" s="5"/>
      <c r="F184" s="5"/>
      <c r="G184" s="5"/>
      <c r="J184" s="5"/>
      <c r="K184" s="5"/>
      <c r="L184" s="123"/>
      <c r="M184" s="123"/>
      <c r="N184" s="123"/>
      <c r="O184" s="123"/>
      <c r="P184" s="123"/>
      <c r="Q184" s="123"/>
    </row>
    <row r="185" spans="3:17" x14ac:dyDescent="0.25">
      <c r="C185" s="5"/>
      <c r="F185" s="5"/>
      <c r="G185" s="5"/>
      <c r="J185" s="5"/>
      <c r="K185" s="5"/>
      <c r="L185" s="123"/>
      <c r="M185" s="123"/>
      <c r="N185" s="123"/>
      <c r="O185" s="123"/>
      <c r="P185" s="123"/>
      <c r="Q185" s="123"/>
    </row>
    <row r="186" spans="3:17" x14ac:dyDescent="0.25">
      <c r="C186" s="5"/>
      <c r="F186" s="5"/>
      <c r="G186" s="5"/>
      <c r="J186" s="5"/>
      <c r="K186" s="5"/>
      <c r="L186" s="123"/>
      <c r="M186" s="123"/>
      <c r="N186" s="123"/>
      <c r="O186" s="123"/>
      <c r="P186" s="123"/>
      <c r="Q186" s="123"/>
    </row>
    <row r="187" spans="3:17" x14ac:dyDescent="0.25">
      <c r="C187" s="5"/>
      <c r="F187" s="5"/>
      <c r="G187" s="5"/>
      <c r="J187" s="5"/>
      <c r="K187" s="5"/>
      <c r="L187" s="123"/>
      <c r="M187" s="123"/>
      <c r="N187" s="123"/>
      <c r="O187" s="123"/>
      <c r="P187" s="123"/>
      <c r="Q187" s="123"/>
    </row>
    <row r="188" spans="3:17" x14ac:dyDescent="0.25">
      <c r="C188" s="5"/>
      <c r="F188" s="5"/>
      <c r="G188" s="5"/>
      <c r="J188" s="5"/>
      <c r="K188" s="5"/>
      <c r="L188" s="123"/>
      <c r="M188" s="123"/>
      <c r="N188" s="123"/>
      <c r="O188" s="123"/>
      <c r="P188" s="123"/>
      <c r="Q188" s="123"/>
    </row>
    <row r="189" spans="3:17" x14ac:dyDescent="0.25">
      <c r="C189" s="5"/>
      <c r="F189" s="5"/>
      <c r="G189" s="5"/>
      <c r="J189" s="5"/>
      <c r="K189" s="5"/>
      <c r="L189" s="123"/>
      <c r="M189" s="123"/>
      <c r="N189" s="123"/>
      <c r="O189" s="123"/>
      <c r="P189" s="123"/>
      <c r="Q189" s="123"/>
    </row>
    <row r="190" spans="3:17" x14ac:dyDescent="0.25">
      <c r="C190" s="5"/>
      <c r="F190" s="5"/>
      <c r="G190" s="5"/>
      <c r="J190" s="5"/>
      <c r="K190" s="5"/>
      <c r="L190" s="123"/>
      <c r="M190" s="123"/>
      <c r="N190" s="123"/>
      <c r="O190" s="123"/>
      <c r="P190" s="123"/>
      <c r="Q190" s="123"/>
    </row>
    <row r="191" spans="3:17" x14ac:dyDescent="0.25">
      <c r="C191" s="5"/>
      <c r="F191" s="5"/>
      <c r="G191" s="5"/>
      <c r="J191" s="5"/>
      <c r="K191" s="5"/>
      <c r="L191" s="123"/>
      <c r="M191" s="123"/>
      <c r="N191" s="123"/>
      <c r="O191" s="123"/>
      <c r="P191" s="123"/>
      <c r="Q191" s="123"/>
    </row>
    <row r="192" spans="3:17" x14ac:dyDescent="0.25">
      <c r="C192" s="5"/>
      <c r="F192" s="5"/>
      <c r="G192" s="5"/>
      <c r="J192" s="5"/>
      <c r="K192" s="5"/>
      <c r="L192" s="123"/>
      <c r="M192" s="123"/>
      <c r="N192" s="123"/>
      <c r="O192" s="123"/>
      <c r="P192" s="123"/>
      <c r="Q192" s="123"/>
    </row>
    <row r="193" spans="3:17" x14ac:dyDescent="0.25">
      <c r="C193" s="5"/>
      <c r="F193" s="5"/>
      <c r="G193" s="5"/>
      <c r="J193" s="5"/>
      <c r="K193" s="5"/>
      <c r="L193" s="123"/>
      <c r="M193" s="123"/>
      <c r="N193" s="123"/>
      <c r="O193" s="123"/>
      <c r="P193" s="123"/>
      <c r="Q193" s="123"/>
    </row>
    <row r="194" spans="3:17" x14ac:dyDescent="0.25">
      <c r="C194" s="5"/>
      <c r="F194" s="5"/>
      <c r="G194" s="5"/>
      <c r="J194" s="5"/>
      <c r="K194" s="5"/>
      <c r="L194" s="123"/>
      <c r="M194" s="123"/>
      <c r="N194" s="123"/>
      <c r="O194" s="123"/>
      <c r="P194" s="123"/>
      <c r="Q194" s="123"/>
    </row>
    <row r="195" spans="3:17" x14ac:dyDescent="0.25">
      <c r="C195" s="5"/>
      <c r="F195" s="5"/>
      <c r="G195" s="5"/>
      <c r="J195" s="5"/>
      <c r="K195" s="5"/>
      <c r="L195" s="123"/>
      <c r="M195" s="123"/>
      <c r="N195" s="123"/>
      <c r="O195" s="123"/>
      <c r="P195" s="123"/>
      <c r="Q195" s="123"/>
    </row>
    <row r="196" spans="3:17" x14ac:dyDescent="0.25">
      <c r="C196" s="5"/>
      <c r="F196" s="5"/>
      <c r="G196" s="5"/>
      <c r="J196" s="5"/>
      <c r="K196" s="5"/>
      <c r="L196" s="123"/>
      <c r="M196" s="123"/>
      <c r="N196" s="123"/>
      <c r="O196" s="123"/>
      <c r="P196" s="123"/>
      <c r="Q196" s="123"/>
    </row>
    <row r="197" spans="3:17" x14ac:dyDescent="0.25">
      <c r="C197" s="5"/>
      <c r="F197" s="5"/>
      <c r="G197" s="5"/>
      <c r="J197" s="5"/>
      <c r="K197" s="5"/>
      <c r="L197" s="123"/>
      <c r="M197" s="123"/>
      <c r="N197" s="123"/>
      <c r="O197" s="123"/>
      <c r="P197" s="123"/>
      <c r="Q197" s="123"/>
    </row>
    <row r="198" spans="3:17" x14ac:dyDescent="0.25">
      <c r="C198" s="5"/>
      <c r="F198" s="5"/>
      <c r="G198" s="5"/>
      <c r="J198" s="5"/>
      <c r="K198" s="5"/>
      <c r="L198" s="123"/>
      <c r="M198" s="123"/>
      <c r="N198" s="123"/>
      <c r="O198" s="123"/>
      <c r="P198" s="123"/>
      <c r="Q198" s="123"/>
    </row>
    <row r="199" spans="3:17" x14ac:dyDescent="0.25">
      <c r="C199" s="5"/>
      <c r="F199" s="5"/>
      <c r="G199" s="5"/>
      <c r="J199" s="5"/>
      <c r="K199" s="5"/>
      <c r="L199" s="123"/>
      <c r="M199" s="123"/>
      <c r="N199" s="123"/>
      <c r="O199" s="123"/>
      <c r="P199" s="123"/>
      <c r="Q199" s="123"/>
    </row>
    <row r="200" spans="3:17" x14ac:dyDescent="0.25">
      <c r="C200" s="5"/>
      <c r="F200" s="5"/>
      <c r="G200" s="5"/>
      <c r="J200" s="5"/>
      <c r="K200" s="5"/>
      <c r="L200" s="123"/>
      <c r="M200" s="123"/>
      <c r="N200" s="123"/>
      <c r="O200" s="123"/>
      <c r="P200" s="123"/>
      <c r="Q200" s="123"/>
    </row>
    <row r="201" spans="3:17" x14ac:dyDescent="0.25">
      <c r="C201" s="5"/>
      <c r="F201" s="5"/>
      <c r="G201" s="5"/>
      <c r="J201" s="5"/>
      <c r="K201" s="5"/>
      <c r="L201" s="123"/>
      <c r="M201" s="123"/>
      <c r="N201" s="123"/>
      <c r="O201" s="123"/>
      <c r="P201" s="123"/>
      <c r="Q201" s="123"/>
    </row>
    <row r="202" spans="3:17" x14ac:dyDescent="0.25">
      <c r="C202" s="5"/>
      <c r="F202" s="5"/>
      <c r="G202" s="5"/>
      <c r="J202" s="5"/>
      <c r="K202" s="5"/>
      <c r="L202" s="123"/>
      <c r="M202" s="123"/>
      <c r="N202" s="123"/>
      <c r="O202" s="123"/>
      <c r="P202" s="123"/>
      <c r="Q202" s="123"/>
    </row>
    <row r="203" spans="3:17" x14ac:dyDescent="0.25">
      <c r="C203" s="5"/>
      <c r="F203" s="5"/>
      <c r="G203" s="5"/>
      <c r="J203" s="5"/>
      <c r="K203" s="5"/>
      <c r="L203" s="123"/>
      <c r="M203" s="123"/>
      <c r="N203" s="123"/>
      <c r="O203" s="123"/>
      <c r="P203" s="123"/>
      <c r="Q203" s="123"/>
    </row>
    <row r="204" spans="3:17" x14ac:dyDescent="0.25">
      <c r="C204" s="5"/>
      <c r="F204" s="5"/>
      <c r="G204" s="5"/>
      <c r="J204" s="5"/>
      <c r="K204" s="5"/>
      <c r="L204" s="123"/>
      <c r="M204" s="123"/>
      <c r="N204" s="123"/>
      <c r="O204" s="123"/>
      <c r="P204" s="123"/>
      <c r="Q204" s="123"/>
    </row>
    <row r="205" spans="3:17" x14ac:dyDescent="0.25">
      <c r="C205" s="5"/>
      <c r="F205" s="5"/>
      <c r="G205" s="5"/>
      <c r="J205" s="5"/>
      <c r="K205" s="5"/>
      <c r="L205" s="123"/>
      <c r="M205" s="123"/>
      <c r="N205" s="123"/>
      <c r="O205" s="123"/>
      <c r="P205" s="123"/>
      <c r="Q205" s="123"/>
    </row>
    <row r="206" spans="3:17" x14ac:dyDescent="0.25">
      <c r="C206" s="5"/>
      <c r="F206" s="5"/>
      <c r="G206" s="5"/>
      <c r="J206" s="5"/>
      <c r="K206" s="5"/>
      <c r="L206" s="123"/>
      <c r="M206" s="123"/>
      <c r="N206" s="123"/>
      <c r="O206" s="123"/>
      <c r="P206" s="123"/>
      <c r="Q206" s="123"/>
    </row>
    <row r="207" spans="3:17" x14ac:dyDescent="0.25">
      <c r="C207" s="5"/>
      <c r="F207" s="5"/>
      <c r="G207" s="5"/>
      <c r="J207" s="5"/>
      <c r="K207" s="5"/>
      <c r="L207" s="123"/>
      <c r="M207" s="123"/>
      <c r="N207" s="123"/>
      <c r="O207" s="123"/>
      <c r="P207" s="123"/>
      <c r="Q207" s="123"/>
    </row>
    <row r="208" spans="3:17" x14ac:dyDescent="0.25">
      <c r="C208" s="5"/>
      <c r="F208" s="5"/>
      <c r="G208" s="5"/>
      <c r="J208" s="5"/>
      <c r="K208" s="5"/>
      <c r="L208" s="123"/>
      <c r="M208" s="123"/>
      <c r="N208" s="123"/>
      <c r="O208" s="123"/>
      <c r="P208" s="123"/>
      <c r="Q208" s="123"/>
    </row>
    <row r="209" spans="3:17" x14ac:dyDescent="0.25">
      <c r="C209" s="5"/>
      <c r="F209" s="5"/>
      <c r="G209" s="5"/>
      <c r="J209" s="5"/>
      <c r="K209" s="5"/>
      <c r="L209" s="123"/>
      <c r="M209" s="123"/>
      <c r="N209" s="123"/>
      <c r="O209" s="123"/>
      <c r="P209" s="123"/>
      <c r="Q209" s="123"/>
    </row>
    <row r="210" spans="3:17" x14ac:dyDescent="0.25">
      <c r="C210" s="5"/>
      <c r="F210" s="5"/>
      <c r="G210" s="5"/>
      <c r="J210" s="5"/>
      <c r="K210" s="5"/>
      <c r="L210" s="123"/>
      <c r="M210" s="123"/>
      <c r="N210" s="123"/>
      <c r="O210" s="123"/>
      <c r="P210" s="123"/>
      <c r="Q210" s="123"/>
    </row>
    <row r="211" spans="3:17" x14ac:dyDescent="0.25">
      <c r="C211" s="5"/>
      <c r="F211" s="5"/>
      <c r="G211" s="5"/>
      <c r="J211" s="5"/>
      <c r="K211" s="5"/>
      <c r="L211" s="123"/>
      <c r="M211" s="123"/>
      <c r="N211" s="123"/>
      <c r="O211" s="123"/>
      <c r="P211" s="123"/>
      <c r="Q211" s="123"/>
    </row>
    <row r="212" spans="3:17" x14ac:dyDescent="0.25">
      <c r="C212" s="5"/>
      <c r="F212" s="5"/>
      <c r="G212" s="5"/>
      <c r="J212" s="5"/>
      <c r="K212" s="5"/>
      <c r="L212" s="123"/>
      <c r="M212" s="123"/>
      <c r="N212" s="123"/>
      <c r="O212" s="123"/>
      <c r="P212" s="123"/>
      <c r="Q212" s="123"/>
    </row>
    <row r="213" spans="3:17" x14ac:dyDescent="0.25">
      <c r="C213" s="5"/>
      <c r="F213" s="5"/>
      <c r="G213" s="5"/>
      <c r="J213" s="5"/>
      <c r="K213" s="5"/>
      <c r="L213" s="123"/>
      <c r="M213" s="123"/>
      <c r="N213" s="123"/>
      <c r="O213" s="123"/>
      <c r="P213" s="123"/>
      <c r="Q213" s="123"/>
    </row>
    <row r="214" spans="3:17" x14ac:dyDescent="0.25">
      <c r="C214" s="5"/>
      <c r="F214" s="5"/>
      <c r="G214" s="5"/>
      <c r="J214" s="5"/>
      <c r="K214" s="5"/>
      <c r="L214" s="123"/>
      <c r="M214" s="123"/>
      <c r="N214" s="123"/>
      <c r="O214" s="123"/>
      <c r="P214" s="123"/>
      <c r="Q214" s="123"/>
    </row>
    <row r="215" spans="3:17" x14ac:dyDescent="0.25">
      <c r="C215" s="5"/>
      <c r="F215" s="5"/>
      <c r="G215" s="5"/>
      <c r="J215" s="5"/>
      <c r="K215" s="5"/>
      <c r="L215" s="123"/>
      <c r="M215" s="123"/>
      <c r="N215" s="123"/>
      <c r="O215" s="123"/>
      <c r="P215" s="123"/>
      <c r="Q215" s="123"/>
    </row>
    <row r="216" spans="3:17" x14ac:dyDescent="0.25">
      <c r="C216" s="5"/>
      <c r="F216" s="5"/>
      <c r="G216" s="5"/>
      <c r="J216" s="5"/>
      <c r="K216" s="5"/>
      <c r="L216" s="123"/>
      <c r="M216" s="123"/>
      <c r="N216" s="123"/>
      <c r="O216" s="123"/>
      <c r="P216" s="123"/>
      <c r="Q216" s="123"/>
    </row>
    <row r="217" spans="3:17" x14ac:dyDescent="0.25">
      <c r="C217" s="5"/>
      <c r="F217" s="5"/>
      <c r="G217" s="5"/>
      <c r="J217" s="5"/>
      <c r="K217" s="5"/>
      <c r="L217" s="123"/>
      <c r="M217" s="123"/>
      <c r="N217" s="123"/>
      <c r="O217" s="123"/>
      <c r="P217" s="123"/>
      <c r="Q217" s="123"/>
    </row>
    <row r="218" spans="3:17" x14ac:dyDescent="0.25">
      <c r="C218" s="5"/>
      <c r="F218" s="5"/>
      <c r="G218" s="5"/>
      <c r="J218" s="5"/>
      <c r="K218" s="5"/>
      <c r="L218" s="123"/>
      <c r="M218" s="123"/>
      <c r="N218" s="123"/>
      <c r="O218" s="123"/>
      <c r="P218" s="123"/>
      <c r="Q218" s="123"/>
    </row>
    <row r="219" spans="3:17" x14ac:dyDescent="0.25">
      <c r="C219" s="5"/>
      <c r="F219" s="5"/>
      <c r="G219" s="5"/>
      <c r="J219" s="5"/>
      <c r="K219" s="5"/>
      <c r="L219" s="123"/>
      <c r="M219" s="123"/>
      <c r="N219" s="123"/>
      <c r="O219" s="123"/>
      <c r="P219" s="123"/>
      <c r="Q219" s="123"/>
    </row>
    <row r="220" spans="3:17" x14ac:dyDescent="0.25">
      <c r="C220" s="5"/>
      <c r="F220" s="5"/>
      <c r="G220" s="5"/>
      <c r="J220" s="5"/>
      <c r="K220" s="5"/>
      <c r="L220" s="123"/>
      <c r="M220" s="123"/>
      <c r="N220" s="123"/>
      <c r="O220" s="123"/>
      <c r="P220" s="123"/>
      <c r="Q220" s="123"/>
    </row>
    <row r="221" spans="3:17" x14ac:dyDescent="0.25">
      <c r="C221" s="5"/>
      <c r="F221" s="5"/>
      <c r="G221" s="5"/>
      <c r="J221" s="5"/>
      <c r="K221" s="5"/>
      <c r="L221" s="123"/>
      <c r="M221" s="123"/>
      <c r="N221" s="123"/>
      <c r="O221" s="123"/>
      <c r="P221" s="123"/>
      <c r="Q221" s="123"/>
    </row>
    <row r="222" spans="3:17" x14ac:dyDescent="0.25">
      <c r="L222" s="123"/>
      <c r="M222" s="123"/>
      <c r="N222" s="123"/>
      <c r="O222" s="123"/>
      <c r="P222" s="123"/>
      <c r="Q222" s="123"/>
    </row>
    <row r="223" spans="3:17" x14ac:dyDescent="0.25">
      <c r="L223" s="123"/>
      <c r="M223" s="123"/>
      <c r="N223" s="123"/>
      <c r="O223" s="123"/>
      <c r="P223" s="123"/>
      <c r="Q223" s="123"/>
    </row>
    <row r="224" spans="3:17" x14ac:dyDescent="0.25">
      <c r="L224" s="123"/>
      <c r="M224" s="123"/>
      <c r="N224" s="123"/>
      <c r="O224" s="123"/>
      <c r="P224" s="123"/>
      <c r="Q224" s="123"/>
    </row>
    <row r="225" spans="12:17" x14ac:dyDescent="0.25">
      <c r="L225" s="123"/>
      <c r="M225" s="123"/>
      <c r="N225" s="123"/>
      <c r="O225" s="123"/>
      <c r="P225" s="123"/>
      <c r="Q225" s="123"/>
    </row>
    <row r="226" spans="12:17" x14ac:dyDescent="0.25">
      <c r="L226" s="123"/>
      <c r="M226" s="123"/>
      <c r="N226" s="123"/>
      <c r="O226" s="123"/>
      <c r="P226" s="123"/>
      <c r="Q226" s="123"/>
    </row>
    <row r="227" spans="12:17" x14ac:dyDescent="0.25">
      <c r="L227" s="123"/>
      <c r="M227" s="123"/>
      <c r="N227" s="123"/>
      <c r="O227" s="123"/>
      <c r="P227" s="123"/>
      <c r="Q227" s="123"/>
    </row>
    <row r="228" spans="12:17" x14ac:dyDescent="0.25">
      <c r="L228" s="123"/>
      <c r="M228" s="123"/>
      <c r="N228" s="123"/>
      <c r="O228" s="123"/>
      <c r="P228" s="123"/>
      <c r="Q228" s="123"/>
    </row>
    <row r="229" spans="12:17" x14ac:dyDescent="0.25">
      <c r="L229" s="123"/>
      <c r="M229" s="123"/>
      <c r="N229" s="123"/>
      <c r="O229" s="123"/>
      <c r="P229" s="123"/>
      <c r="Q229" s="123"/>
    </row>
    <row r="230" spans="12:17" x14ac:dyDescent="0.25">
      <c r="L230" s="123"/>
      <c r="M230" s="123"/>
      <c r="N230" s="123"/>
      <c r="O230" s="123"/>
      <c r="P230" s="123"/>
      <c r="Q230" s="123"/>
    </row>
    <row r="231" spans="12:17" x14ac:dyDescent="0.25">
      <c r="L231" s="123"/>
      <c r="M231" s="123"/>
      <c r="N231" s="123"/>
      <c r="O231" s="123"/>
      <c r="P231" s="123"/>
      <c r="Q231" s="123"/>
    </row>
    <row r="232" spans="12:17" x14ac:dyDescent="0.25">
      <c r="L232" s="123"/>
      <c r="M232" s="123"/>
      <c r="N232" s="123"/>
      <c r="O232" s="123"/>
      <c r="P232" s="123"/>
      <c r="Q232" s="123"/>
    </row>
    <row r="233" spans="12:17" x14ac:dyDescent="0.25">
      <c r="L233" s="123"/>
      <c r="M233" s="123"/>
      <c r="N233" s="123"/>
      <c r="O233" s="123"/>
      <c r="P233" s="123"/>
      <c r="Q233" s="123"/>
    </row>
    <row r="234" spans="12:17" x14ac:dyDescent="0.25">
      <c r="L234" s="123"/>
      <c r="M234" s="123"/>
      <c r="N234" s="123"/>
      <c r="O234" s="123"/>
      <c r="P234" s="123"/>
      <c r="Q234" s="123"/>
    </row>
    <row r="235" spans="12:17" x14ac:dyDescent="0.25">
      <c r="L235" s="123"/>
      <c r="M235" s="123"/>
      <c r="N235" s="123"/>
      <c r="O235" s="123"/>
      <c r="P235" s="123"/>
      <c r="Q235" s="123"/>
    </row>
    <row r="236" spans="12:17" x14ac:dyDescent="0.25">
      <c r="L236" s="123"/>
      <c r="M236" s="123"/>
      <c r="N236" s="123"/>
      <c r="O236" s="123"/>
      <c r="P236" s="123"/>
      <c r="Q236" s="123"/>
    </row>
    <row r="237" spans="12:17" x14ac:dyDescent="0.25">
      <c r="L237" s="123"/>
      <c r="M237" s="123"/>
      <c r="N237" s="123"/>
      <c r="O237" s="123"/>
      <c r="P237" s="123"/>
      <c r="Q237" s="123"/>
    </row>
    <row r="238" spans="12:17" x14ac:dyDescent="0.25">
      <c r="L238" s="123"/>
      <c r="M238" s="123"/>
      <c r="N238" s="123"/>
      <c r="O238" s="123"/>
      <c r="P238" s="123"/>
      <c r="Q238" s="123"/>
    </row>
    <row r="239" spans="12:17" x14ac:dyDescent="0.25">
      <c r="L239" s="123"/>
      <c r="M239" s="123"/>
      <c r="N239" s="123"/>
      <c r="O239" s="123"/>
      <c r="P239" s="123"/>
      <c r="Q239" s="123"/>
    </row>
    <row r="240" spans="12:17" x14ac:dyDescent="0.25">
      <c r="L240" s="123"/>
      <c r="M240" s="123"/>
      <c r="N240" s="123"/>
      <c r="O240" s="123"/>
      <c r="P240" s="123"/>
      <c r="Q240" s="123"/>
    </row>
    <row r="241" spans="12:17" x14ac:dyDescent="0.25">
      <c r="L241" s="123"/>
      <c r="M241" s="123"/>
      <c r="N241" s="123"/>
      <c r="O241" s="123"/>
      <c r="P241" s="123"/>
      <c r="Q241" s="123"/>
    </row>
    <row r="242" spans="12:17" x14ac:dyDescent="0.25">
      <c r="L242" s="123"/>
      <c r="M242" s="123"/>
      <c r="N242" s="123"/>
      <c r="O242" s="123"/>
      <c r="P242" s="123"/>
      <c r="Q242" s="123"/>
    </row>
    <row r="243" spans="12:17" x14ac:dyDescent="0.25">
      <c r="L243" s="123"/>
      <c r="M243" s="123"/>
      <c r="N243" s="123"/>
      <c r="O243" s="123"/>
      <c r="P243" s="123"/>
      <c r="Q243" s="123"/>
    </row>
    <row r="244" spans="12:17" x14ac:dyDescent="0.25">
      <c r="L244" s="123"/>
      <c r="M244" s="123"/>
      <c r="N244" s="123"/>
      <c r="O244" s="123"/>
      <c r="P244" s="123"/>
      <c r="Q244" s="123"/>
    </row>
    <row r="245" spans="12:17" x14ac:dyDescent="0.25">
      <c r="L245" s="123"/>
      <c r="M245" s="123"/>
      <c r="N245" s="123"/>
      <c r="O245" s="123"/>
      <c r="P245" s="123"/>
      <c r="Q245" s="123"/>
    </row>
    <row r="246" spans="12:17" x14ac:dyDescent="0.25">
      <c r="L246" s="123"/>
      <c r="M246" s="123"/>
      <c r="N246" s="123"/>
      <c r="O246" s="123"/>
      <c r="P246" s="123"/>
      <c r="Q246" s="123"/>
    </row>
    <row r="247" spans="12:17" x14ac:dyDescent="0.25">
      <c r="L247" s="123"/>
      <c r="M247" s="123"/>
      <c r="N247" s="123"/>
      <c r="O247" s="123"/>
      <c r="P247" s="123"/>
      <c r="Q247" s="123"/>
    </row>
    <row r="248" spans="12:17" x14ac:dyDescent="0.25">
      <c r="L248" s="123"/>
      <c r="M248" s="123"/>
      <c r="N248" s="123"/>
      <c r="O248" s="123"/>
      <c r="P248" s="123"/>
      <c r="Q248" s="123"/>
    </row>
    <row r="249" spans="12:17" x14ac:dyDescent="0.25">
      <c r="L249" s="123"/>
      <c r="M249" s="123"/>
      <c r="N249" s="123"/>
      <c r="O249" s="123"/>
      <c r="P249" s="123"/>
      <c r="Q249" s="123"/>
    </row>
    <row r="250" spans="12:17" x14ac:dyDescent="0.25">
      <c r="L250" s="123"/>
      <c r="M250" s="123"/>
      <c r="N250" s="123"/>
      <c r="O250" s="123"/>
      <c r="P250" s="123"/>
      <c r="Q250" s="123"/>
    </row>
    <row r="251" spans="12:17" x14ac:dyDescent="0.25">
      <c r="L251" s="123"/>
      <c r="M251" s="123"/>
      <c r="N251" s="123"/>
      <c r="O251" s="123"/>
      <c r="P251" s="123"/>
      <c r="Q251" s="123"/>
    </row>
    <row r="252" spans="12:17" x14ac:dyDescent="0.25">
      <c r="L252" s="123"/>
      <c r="M252" s="123"/>
      <c r="N252" s="123"/>
      <c r="O252" s="123"/>
      <c r="P252" s="123"/>
      <c r="Q252" s="123"/>
    </row>
    <row r="253" spans="12:17" x14ac:dyDescent="0.25">
      <c r="L253" s="123"/>
      <c r="M253" s="123"/>
      <c r="N253" s="123"/>
      <c r="O253" s="123"/>
      <c r="P253" s="123"/>
      <c r="Q253" s="123"/>
    </row>
    <row r="254" spans="12:17" x14ac:dyDescent="0.25">
      <c r="L254" s="123"/>
      <c r="M254" s="123"/>
      <c r="N254" s="123"/>
      <c r="O254" s="123"/>
      <c r="P254" s="123"/>
      <c r="Q254" s="123"/>
    </row>
    <row r="255" spans="12:17" x14ac:dyDescent="0.25">
      <c r="L255" s="123"/>
      <c r="M255" s="123"/>
      <c r="N255" s="123"/>
      <c r="O255" s="123"/>
      <c r="P255" s="123"/>
      <c r="Q255" s="123"/>
    </row>
    <row r="256" spans="12:17" x14ac:dyDescent="0.25">
      <c r="L256" s="123"/>
      <c r="M256" s="123"/>
      <c r="N256" s="123"/>
      <c r="O256" s="123"/>
      <c r="P256" s="123"/>
      <c r="Q256" s="123"/>
    </row>
    <row r="257" spans="12:17" x14ac:dyDescent="0.25">
      <c r="L257" s="123"/>
      <c r="M257" s="123"/>
      <c r="N257" s="123"/>
      <c r="O257" s="123"/>
      <c r="P257" s="123"/>
      <c r="Q257" s="123"/>
    </row>
    <row r="258" spans="12:17" x14ac:dyDescent="0.25">
      <c r="L258" s="123"/>
      <c r="M258" s="123"/>
      <c r="N258" s="123"/>
      <c r="O258" s="123"/>
      <c r="P258" s="123"/>
      <c r="Q258" s="123"/>
    </row>
    <row r="259" spans="12:17" x14ac:dyDescent="0.25">
      <c r="L259" s="123"/>
      <c r="M259" s="123"/>
      <c r="N259" s="123"/>
      <c r="O259" s="123"/>
      <c r="P259" s="123"/>
      <c r="Q259" s="123"/>
    </row>
    <row r="260" spans="12:17" x14ac:dyDescent="0.25">
      <c r="L260" s="123"/>
      <c r="M260" s="123"/>
      <c r="N260" s="123"/>
      <c r="O260" s="123"/>
      <c r="P260" s="123"/>
      <c r="Q260" s="123"/>
    </row>
    <row r="261" spans="12:17" x14ac:dyDescent="0.25">
      <c r="L261" s="123"/>
      <c r="M261" s="123"/>
      <c r="N261" s="123"/>
      <c r="O261" s="123"/>
      <c r="P261" s="123"/>
      <c r="Q261" s="123"/>
    </row>
    <row r="262" spans="12:17" x14ac:dyDescent="0.25">
      <c r="L262" s="123"/>
      <c r="M262" s="123"/>
      <c r="N262" s="123"/>
      <c r="O262" s="123"/>
      <c r="P262" s="123"/>
      <c r="Q262" s="123"/>
    </row>
    <row r="263" spans="12:17" x14ac:dyDescent="0.25">
      <c r="L263" s="123"/>
      <c r="M263" s="123"/>
      <c r="N263" s="123"/>
      <c r="O263" s="123"/>
      <c r="P263" s="123"/>
      <c r="Q263" s="123"/>
    </row>
    <row r="264" spans="12:17" x14ac:dyDescent="0.25">
      <c r="L264" s="123"/>
      <c r="M264" s="123"/>
      <c r="N264" s="123"/>
      <c r="O264" s="123"/>
      <c r="P264" s="123"/>
      <c r="Q264" s="123"/>
    </row>
    <row r="265" spans="12:17" x14ac:dyDescent="0.25">
      <c r="L265" s="123"/>
      <c r="M265" s="123"/>
      <c r="N265" s="123"/>
      <c r="O265" s="123"/>
      <c r="P265" s="123"/>
      <c r="Q265" s="123"/>
    </row>
    <row r="266" spans="12:17" x14ac:dyDescent="0.25">
      <c r="L266" s="123"/>
      <c r="M266" s="123"/>
      <c r="N266" s="123"/>
      <c r="O266" s="123"/>
      <c r="P266" s="123"/>
      <c r="Q266" s="123"/>
    </row>
    <row r="267" spans="12:17" x14ac:dyDescent="0.25">
      <c r="L267" s="123"/>
      <c r="M267" s="123"/>
      <c r="N267" s="123"/>
      <c r="O267" s="123"/>
      <c r="P267" s="123"/>
      <c r="Q267" s="123"/>
    </row>
    <row r="268" spans="12:17" x14ac:dyDescent="0.25">
      <c r="L268" s="123"/>
      <c r="M268" s="123"/>
      <c r="N268" s="123"/>
      <c r="O268" s="123"/>
      <c r="P268" s="123"/>
      <c r="Q268" s="123"/>
    </row>
    <row r="269" spans="12:17" x14ac:dyDescent="0.25">
      <c r="L269" s="123"/>
      <c r="M269" s="123"/>
      <c r="N269" s="123"/>
      <c r="O269" s="123"/>
      <c r="P269" s="123"/>
      <c r="Q269" s="123"/>
    </row>
    <row r="270" spans="12:17" x14ac:dyDescent="0.25">
      <c r="L270" s="123"/>
      <c r="M270" s="123"/>
      <c r="N270" s="123"/>
      <c r="O270" s="123"/>
      <c r="P270" s="123"/>
      <c r="Q270" s="123"/>
    </row>
    <row r="271" spans="12:17" x14ac:dyDescent="0.25">
      <c r="L271" s="123"/>
      <c r="M271" s="123"/>
      <c r="N271" s="123"/>
      <c r="O271" s="123"/>
      <c r="P271" s="123"/>
      <c r="Q271" s="123"/>
    </row>
    <row r="272" spans="12:17" x14ac:dyDescent="0.25">
      <c r="L272" s="123"/>
      <c r="M272" s="123"/>
      <c r="N272" s="123"/>
      <c r="O272" s="123"/>
      <c r="P272" s="123"/>
      <c r="Q272" s="123"/>
    </row>
    <row r="273" spans="12:17" x14ac:dyDescent="0.25">
      <c r="L273" s="123"/>
      <c r="M273" s="123"/>
      <c r="N273" s="123"/>
      <c r="O273" s="123"/>
      <c r="P273" s="123"/>
      <c r="Q273" s="123"/>
    </row>
    <row r="274" spans="12:17" x14ac:dyDescent="0.25">
      <c r="L274" s="123"/>
      <c r="M274" s="123"/>
      <c r="N274" s="123"/>
      <c r="O274" s="123"/>
      <c r="P274" s="123"/>
      <c r="Q274" s="123"/>
    </row>
    <row r="275" spans="12:17" x14ac:dyDescent="0.25">
      <c r="L275" s="123"/>
      <c r="M275" s="123"/>
      <c r="N275" s="123"/>
      <c r="O275" s="123"/>
      <c r="P275" s="123"/>
      <c r="Q275" s="123"/>
    </row>
    <row r="276" spans="12:17" x14ac:dyDescent="0.25">
      <c r="L276" s="123"/>
      <c r="M276" s="123"/>
      <c r="N276" s="123"/>
      <c r="O276" s="123"/>
      <c r="P276" s="123"/>
      <c r="Q276" s="123"/>
    </row>
    <row r="277" spans="12:17" x14ac:dyDescent="0.25">
      <c r="L277" s="123"/>
      <c r="M277" s="123"/>
      <c r="N277" s="123"/>
      <c r="O277" s="123"/>
      <c r="P277" s="123"/>
      <c r="Q277" s="123"/>
    </row>
    <row r="278" spans="12:17" x14ac:dyDescent="0.25">
      <c r="L278" s="123"/>
      <c r="M278" s="123"/>
      <c r="N278" s="123"/>
      <c r="O278" s="123"/>
      <c r="P278" s="123"/>
      <c r="Q278" s="123"/>
    </row>
    <row r="279" spans="12:17" x14ac:dyDescent="0.25">
      <c r="L279" s="123"/>
      <c r="M279" s="123"/>
      <c r="N279" s="123"/>
      <c r="O279" s="123"/>
      <c r="P279" s="123"/>
      <c r="Q279" s="123"/>
    </row>
    <row r="280" spans="12:17" x14ac:dyDescent="0.25">
      <c r="L280" s="123"/>
      <c r="M280" s="123"/>
      <c r="N280" s="123"/>
      <c r="O280" s="123"/>
      <c r="P280" s="123"/>
      <c r="Q280" s="123"/>
    </row>
    <row r="281" spans="12:17" x14ac:dyDescent="0.25">
      <c r="L281" s="123"/>
      <c r="M281" s="123"/>
      <c r="N281" s="123"/>
      <c r="O281" s="123"/>
      <c r="P281" s="123"/>
      <c r="Q281" s="123"/>
    </row>
    <row r="282" spans="12:17" x14ac:dyDescent="0.25">
      <c r="L282" s="123"/>
      <c r="M282" s="123"/>
      <c r="N282" s="123"/>
      <c r="O282" s="123"/>
      <c r="P282" s="123"/>
      <c r="Q282" s="123"/>
    </row>
    <row r="283" spans="12:17" x14ac:dyDescent="0.25">
      <c r="L283" s="123"/>
      <c r="M283" s="123"/>
      <c r="N283" s="123"/>
      <c r="O283" s="123"/>
      <c r="P283" s="123"/>
      <c r="Q283" s="123"/>
    </row>
    <row r="284" spans="12:17" x14ac:dyDescent="0.25">
      <c r="L284" s="123"/>
      <c r="M284" s="123"/>
      <c r="N284" s="123"/>
      <c r="O284" s="123"/>
      <c r="P284" s="123"/>
      <c r="Q284" s="123"/>
    </row>
    <row r="285" spans="12:17" x14ac:dyDescent="0.25">
      <c r="L285" s="123"/>
      <c r="M285" s="123"/>
      <c r="N285" s="123"/>
      <c r="O285" s="123"/>
      <c r="P285" s="123"/>
      <c r="Q285" s="123"/>
    </row>
    <row r="286" spans="12:17" x14ac:dyDescent="0.25">
      <c r="L286" s="123"/>
      <c r="M286" s="123"/>
      <c r="N286" s="123"/>
      <c r="O286" s="123"/>
      <c r="P286" s="123"/>
      <c r="Q286" s="123"/>
    </row>
    <row r="287" spans="12:17" x14ac:dyDescent="0.25">
      <c r="L287" s="123"/>
      <c r="M287" s="123"/>
      <c r="N287" s="123"/>
      <c r="O287" s="123"/>
      <c r="P287" s="123"/>
      <c r="Q287" s="123"/>
    </row>
    <row r="288" spans="12:17" x14ac:dyDescent="0.25">
      <c r="L288" s="123"/>
      <c r="M288" s="123"/>
      <c r="N288" s="123"/>
      <c r="O288" s="123"/>
      <c r="P288" s="123"/>
      <c r="Q288" s="123"/>
    </row>
    <row r="289" spans="12:17" x14ac:dyDescent="0.25">
      <c r="L289" s="123"/>
      <c r="M289" s="123"/>
      <c r="N289" s="123"/>
      <c r="O289" s="123"/>
      <c r="P289" s="123"/>
      <c r="Q289" s="123"/>
    </row>
    <row r="290" spans="12:17" x14ac:dyDescent="0.25">
      <c r="L290" s="123"/>
      <c r="M290" s="123"/>
      <c r="N290" s="123"/>
      <c r="O290" s="123"/>
      <c r="P290" s="123"/>
      <c r="Q290" s="123"/>
    </row>
    <row r="291" spans="12:17" x14ac:dyDescent="0.25">
      <c r="L291" s="123"/>
      <c r="M291" s="123"/>
      <c r="N291" s="123"/>
      <c r="O291" s="123"/>
      <c r="P291" s="123"/>
      <c r="Q291" s="123"/>
    </row>
    <row r="292" spans="12:17" x14ac:dyDescent="0.25">
      <c r="L292" s="123"/>
      <c r="M292" s="123"/>
      <c r="N292" s="123"/>
      <c r="O292" s="123"/>
      <c r="P292" s="123"/>
      <c r="Q292" s="123"/>
    </row>
    <row r="293" spans="12:17" x14ac:dyDescent="0.25">
      <c r="L293" s="123"/>
      <c r="M293" s="123"/>
      <c r="N293" s="123"/>
      <c r="O293" s="123"/>
      <c r="P293" s="123"/>
      <c r="Q293" s="123"/>
    </row>
    <row r="294" spans="12:17" x14ac:dyDescent="0.25">
      <c r="L294" s="123"/>
      <c r="M294" s="123"/>
      <c r="N294" s="123"/>
      <c r="O294" s="123"/>
      <c r="P294" s="123"/>
      <c r="Q294" s="123"/>
    </row>
    <row r="295" spans="12:17" x14ac:dyDescent="0.25">
      <c r="L295" s="123"/>
      <c r="M295" s="123"/>
      <c r="N295" s="123"/>
      <c r="O295" s="123"/>
      <c r="P295" s="123"/>
      <c r="Q295" s="123"/>
    </row>
    <row r="296" spans="12:17" x14ac:dyDescent="0.25">
      <c r="L296" s="123"/>
      <c r="M296" s="123"/>
      <c r="N296" s="123"/>
      <c r="O296" s="123"/>
      <c r="P296" s="123"/>
      <c r="Q296" s="123"/>
    </row>
    <row r="297" spans="12:17" x14ac:dyDescent="0.25">
      <c r="L297" s="123"/>
      <c r="M297" s="123"/>
      <c r="N297" s="123"/>
      <c r="O297" s="123"/>
      <c r="P297" s="123"/>
      <c r="Q297" s="123"/>
    </row>
    <row r="298" spans="12:17" x14ac:dyDescent="0.25">
      <c r="L298" s="123"/>
      <c r="M298" s="123"/>
      <c r="N298" s="123"/>
      <c r="O298" s="123"/>
      <c r="P298" s="123"/>
      <c r="Q298" s="123"/>
    </row>
    <row r="299" spans="12:17" x14ac:dyDescent="0.25">
      <c r="L299" s="123"/>
      <c r="M299" s="123"/>
      <c r="N299" s="123"/>
      <c r="O299" s="123"/>
      <c r="P299" s="123"/>
      <c r="Q299" s="123"/>
    </row>
    <row r="300" spans="12:17" x14ac:dyDescent="0.25">
      <c r="L300" s="123"/>
      <c r="M300" s="123"/>
      <c r="N300" s="123"/>
      <c r="O300" s="123"/>
      <c r="P300" s="123"/>
      <c r="Q300" s="123"/>
    </row>
    <row r="301" spans="12:17" x14ac:dyDescent="0.25">
      <c r="L301" s="123"/>
      <c r="M301" s="123"/>
      <c r="N301" s="123"/>
      <c r="O301" s="123"/>
      <c r="P301" s="123"/>
      <c r="Q301" s="123"/>
    </row>
    <row r="302" spans="12:17" x14ac:dyDescent="0.25">
      <c r="L302" s="123"/>
      <c r="M302" s="123"/>
      <c r="N302" s="123"/>
      <c r="O302" s="123"/>
      <c r="P302" s="123"/>
      <c r="Q302" s="123"/>
    </row>
    <row r="303" spans="12:17" x14ac:dyDescent="0.25">
      <c r="L303" s="123"/>
      <c r="M303" s="123"/>
      <c r="N303" s="123"/>
      <c r="O303" s="123"/>
      <c r="P303" s="123"/>
      <c r="Q303" s="123"/>
    </row>
    <row r="304" spans="12:17" x14ac:dyDescent="0.25">
      <c r="L304" s="123"/>
      <c r="M304" s="123"/>
      <c r="N304" s="123"/>
      <c r="O304" s="123"/>
      <c r="P304" s="123"/>
      <c r="Q304" s="123"/>
    </row>
    <row r="305" spans="12:17" x14ac:dyDescent="0.25">
      <c r="L305" s="123"/>
      <c r="M305" s="123"/>
      <c r="N305" s="123"/>
      <c r="O305" s="123"/>
      <c r="P305" s="123"/>
      <c r="Q305" s="123"/>
    </row>
    <row r="306" spans="12:17" x14ac:dyDescent="0.25">
      <c r="L306" s="123"/>
      <c r="M306" s="123"/>
      <c r="N306" s="123"/>
      <c r="O306" s="123"/>
      <c r="P306" s="123"/>
      <c r="Q306" s="123"/>
    </row>
    <row r="307" spans="12:17" x14ac:dyDescent="0.25">
      <c r="L307" s="123"/>
      <c r="M307" s="123"/>
      <c r="N307" s="123"/>
      <c r="O307" s="123"/>
      <c r="P307" s="123"/>
      <c r="Q307" s="123"/>
    </row>
    <row r="308" spans="12:17" x14ac:dyDescent="0.25">
      <c r="L308" s="123"/>
      <c r="M308" s="123"/>
      <c r="N308" s="123"/>
      <c r="O308" s="123"/>
      <c r="P308" s="123"/>
      <c r="Q308" s="123"/>
    </row>
    <row r="309" spans="12:17" x14ac:dyDescent="0.25">
      <c r="L309" s="123"/>
      <c r="M309" s="123"/>
      <c r="N309" s="123"/>
      <c r="O309" s="123"/>
      <c r="P309" s="123"/>
      <c r="Q309" s="123"/>
    </row>
    <row r="310" spans="12:17" x14ac:dyDescent="0.25">
      <c r="L310" s="123"/>
      <c r="M310" s="123"/>
      <c r="N310" s="123"/>
      <c r="O310" s="123"/>
      <c r="P310" s="123"/>
      <c r="Q310" s="123"/>
    </row>
    <row r="311" spans="12:17" x14ac:dyDescent="0.25">
      <c r="L311" s="123"/>
      <c r="M311" s="123"/>
      <c r="N311" s="123"/>
      <c r="O311" s="123"/>
      <c r="P311" s="123"/>
      <c r="Q311" s="123"/>
    </row>
    <row r="312" spans="12:17" x14ac:dyDescent="0.25">
      <c r="L312" s="123"/>
      <c r="M312" s="123"/>
      <c r="N312" s="123"/>
      <c r="O312" s="123"/>
      <c r="P312" s="123"/>
      <c r="Q312" s="123"/>
    </row>
    <row r="313" spans="12:17" x14ac:dyDescent="0.25">
      <c r="L313" s="123"/>
      <c r="M313" s="123"/>
      <c r="N313" s="123"/>
      <c r="O313" s="123"/>
      <c r="P313" s="123"/>
      <c r="Q313" s="123"/>
    </row>
    <row r="314" spans="12:17" x14ac:dyDescent="0.25">
      <c r="L314" s="123"/>
      <c r="M314" s="123"/>
      <c r="N314" s="123"/>
      <c r="O314" s="123"/>
      <c r="P314" s="123"/>
      <c r="Q314" s="123"/>
    </row>
    <row r="315" spans="12:17" x14ac:dyDescent="0.25">
      <c r="L315" s="123"/>
      <c r="M315" s="123"/>
      <c r="N315" s="123"/>
      <c r="O315" s="123"/>
      <c r="P315" s="123"/>
      <c r="Q315" s="123"/>
    </row>
    <row r="316" spans="12:17" x14ac:dyDescent="0.25">
      <c r="L316" s="123"/>
      <c r="M316" s="123"/>
      <c r="N316" s="123"/>
      <c r="O316" s="123"/>
      <c r="P316" s="123"/>
      <c r="Q316" s="123"/>
    </row>
    <row r="317" spans="12:17" x14ac:dyDescent="0.25">
      <c r="L317" s="123"/>
      <c r="M317" s="123"/>
      <c r="N317" s="123"/>
      <c r="O317" s="123"/>
      <c r="P317" s="123"/>
      <c r="Q317" s="123"/>
    </row>
    <row r="318" spans="12:17" x14ac:dyDescent="0.25">
      <c r="L318" s="123"/>
      <c r="M318" s="123"/>
      <c r="N318" s="123"/>
      <c r="O318" s="123"/>
      <c r="P318" s="123"/>
      <c r="Q318" s="123"/>
    </row>
    <row r="319" spans="12:17" x14ac:dyDescent="0.25">
      <c r="L319" s="123"/>
      <c r="M319" s="123"/>
      <c r="N319" s="123"/>
      <c r="O319" s="123"/>
      <c r="P319" s="123"/>
      <c r="Q319" s="123"/>
    </row>
    <row r="320" spans="12:17" x14ac:dyDescent="0.25">
      <c r="L320" s="123"/>
      <c r="M320" s="123"/>
      <c r="N320" s="123"/>
      <c r="O320" s="123"/>
      <c r="P320" s="123"/>
      <c r="Q320" s="123"/>
    </row>
    <row r="321" spans="12:17" x14ac:dyDescent="0.25">
      <c r="L321" s="123"/>
      <c r="M321" s="123"/>
      <c r="N321" s="123"/>
      <c r="O321" s="123"/>
      <c r="P321" s="123"/>
      <c r="Q321" s="123"/>
    </row>
    <row r="322" spans="12:17" x14ac:dyDescent="0.25">
      <c r="L322" s="123"/>
      <c r="M322" s="123"/>
      <c r="N322" s="123"/>
      <c r="O322" s="123"/>
      <c r="P322" s="123"/>
      <c r="Q322" s="123"/>
    </row>
    <row r="323" spans="12:17" x14ac:dyDescent="0.25">
      <c r="L323" s="123"/>
      <c r="M323" s="123"/>
      <c r="N323" s="123"/>
      <c r="O323" s="123"/>
      <c r="P323" s="123"/>
      <c r="Q323" s="123"/>
    </row>
    <row r="324" spans="12:17" x14ac:dyDescent="0.25">
      <c r="L324" s="123"/>
      <c r="M324" s="123"/>
      <c r="N324" s="123"/>
      <c r="O324" s="123"/>
      <c r="P324" s="123"/>
      <c r="Q324" s="123"/>
    </row>
    <row r="325" spans="12:17" x14ac:dyDescent="0.25">
      <c r="L325" s="123"/>
      <c r="M325" s="123"/>
      <c r="N325" s="123"/>
      <c r="O325" s="123"/>
      <c r="P325" s="123"/>
      <c r="Q325" s="123"/>
    </row>
    <row r="326" spans="12:17" x14ac:dyDescent="0.25">
      <c r="L326" s="123"/>
      <c r="M326" s="123"/>
      <c r="N326" s="123"/>
      <c r="O326" s="123"/>
      <c r="P326" s="123"/>
      <c r="Q326" s="123"/>
    </row>
    <row r="327" spans="12:17" x14ac:dyDescent="0.25">
      <c r="L327" s="123"/>
      <c r="M327" s="123"/>
      <c r="N327" s="123"/>
      <c r="O327" s="123"/>
      <c r="P327" s="123"/>
      <c r="Q327" s="123"/>
    </row>
    <row r="328" spans="12:17" x14ac:dyDescent="0.25">
      <c r="L328" s="123"/>
      <c r="M328" s="123"/>
      <c r="N328" s="123"/>
      <c r="O328" s="123"/>
      <c r="P328" s="123"/>
      <c r="Q328" s="123"/>
    </row>
    <row r="329" spans="12:17" x14ac:dyDescent="0.25">
      <c r="L329" s="123"/>
      <c r="M329" s="123"/>
      <c r="N329" s="123"/>
      <c r="O329" s="123"/>
      <c r="P329" s="123"/>
      <c r="Q329" s="123"/>
    </row>
    <row r="330" spans="12:17" x14ac:dyDescent="0.25">
      <c r="L330" s="123"/>
      <c r="M330" s="123"/>
      <c r="N330" s="123"/>
      <c r="O330" s="123"/>
      <c r="P330" s="123"/>
      <c r="Q330" s="123"/>
    </row>
    <row r="331" spans="12:17" x14ac:dyDescent="0.25">
      <c r="L331" s="123"/>
      <c r="M331" s="123"/>
      <c r="N331" s="123"/>
      <c r="O331" s="123"/>
      <c r="P331" s="123"/>
      <c r="Q331" s="123"/>
    </row>
    <row r="332" spans="12:17" x14ac:dyDescent="0.25">
      <c r="L332" s="123"/>
      <c r="M332" s="123"/>
      <c r="N332" s="123"/>
      <c r="O332" s="123"/>
      <c r="P332" s="123"/>
      <c r="Q332" s="123"/>
    </row>
    <row r="333" spans="12:17" x14ac:dyDescent="0.25">
      <c r="L333" s="123"/>
      <c r="M333" s="123"/>
      <c r="N333" s="123"/>
      <c r="O333" s="123"/>
      <c r="P333" s="123"/>
      <c r="Q333" s="123"/>
    </row>
    <row r="334" spans="12:17" x14ac:dyDescent="0.25">
      <c r="L334" s="123"/>
      <c r="M334" s="123"/>
      <c r="N334" s="123"/>
      <c r="O334" s="123"/>
      <c r="P334" s="123"/>
      <c r="Q334" s="123"/>
    </row>
    <row r="335" spans="12:17" x14ac:dyDescent="0.25">
      <c r="L335" s="123"/>
      <c r="M335" s="123"/>
      <c r="N335" s="123"/>
      <c r="O335" s="123"/>
      <c r="P335" s="123"/>
      <c r="Q335" s="123"/>
    </row>
    <row r="336" spans="12:17" x14ac:dyDescent="0.25">
      <c r="L336" s="123"/>
      <c r="M336" s="123"/>
      <c r="N336" s="123"/>
      <c r="O336" s="123"/>
      <c r="P336" s="123"/>
      <c r="Q336" s="123"/>
    </row>
    <row r="337" spans="12:17" x14ac:dyDescent="0.25">
      <c r="L337" s="123"/>
      <c r="M337" s="123"/>
      <c r="N337" s="123"/>
      <c r="O337" s="123"/>
      <c r="P337" s="123"/>
      <c r="Q337" s="123"/>
    </row>
    <row r="338" spans="12:17" x14ac:dyDescent="0.25">
      <c r="L338" s="123"/>
      <c r="M338" s="123"/>
      <c r="N338" s="123"/>
      <c r="O338" s="123"/>
      <c r="P338" s="123"/>
      <c r="Q338" s="123"/>
    </row>
    <row r="339" spans="12:17" x14ac:dyDescent="0.25">
      <c r="L339" s="123"/>
      <c r="M339" s="123"/>
      <c r="N339" s="123"/>
      <c r="O339" s="123"/>
      <c r="P339" s="123"/>
      <c r="Q339" s="123"/>
    </row>
    <row r="340" spans="12:17" x14ac:dyDescent="0.25">
      <c r="L340" s="123"/>
      <c r="M340" s="123"/>
      <c r="N340" s="123"/>
      <c r="O340" s="123"/>
      <c r="P340" s="123"/>
      <c r="Q340" s="123"/>
    </row>
    <row r="341" spans="12:17" x14ac:dyDescent="0.25">
      <c r="L341" s="123"/>
      <c r="M341" s="123"/>
      <c r="N341" s="123"/>
      <c r="O341" s="123"/>
      <c r="P341" s="123"/>
      <c r="Q341" s="123"/>
    </row>
    <row r="342" spans="12:17" x14ac:dyDescent="0.25">
      <c r="L342" s="123"/>
      <c r="M342" s="123"/>
      <c r="N342" s="123"/>
      <c r="O342" s="123"/>
      <c r="P342" s="123"/>
      <c r="Q342" s="123"/>
    </row>
    <row r="343" spans="12:17" x14ac:dyDescent="0.25">
      <c r="L343" s="123"/>
      <c r="M343" s="123"/>
      <c r="N343" s="123"/>
      <c r="O343" s="123"/>
      <c r="P343" s="123"/>
      <c r="Q343" s="123"/>
    </row>
    <row r="344" spans="12:17" x14ac:dyDescent="0.25">
      <c r="L344" s="123"/>
      <c r="M344" s="123"/>
      <c r="N344" s="123"/>
      <c r="O344" s="123"/>
      <c r="P344" s="123"/>
      <c r="Q344" s="123"/>
    </row>
    <row r="345" spans="12:17" x14ac:dyDescent="0.25">
      <c r="L345" s="123"/>
      <c r="M345" s="123"/>
      <c r="N345" s="123"/>
      <c r="O345" s="123"/>
      <c r="P345" s="123"/>
      <c r="Q345" s="123"/>
    </row>
    <row r="346" spans="12:17" x14ac:dyDescent="0.25">
      <c r="L346" s="123"/>
      <c r="M346" s="123"/>
      <c r="N346" s="123"/>
      <c r="O346" s="123"/>
      <c r="P346" s="123"/>
      <c r="Q346" s="123"/>
    </row>
    <row r="347" spans="12:17" x14ac:dyDescent="0.25">
      <c r="L347" s="123"/>
      <c r="M347" s="123"/>
      <c r="N347" s="123"/>
      <c r="O347" s="123"/>
      <c r="P347" s="123"/>
      <c r="Q347" s="123"/>
    </row>
    <row r="348" spans="12:17" x14ac:dyDescent="0.25">
      <c r="L348" s="123"/>
      <c r="M348" s="123"/>
      <c r="N348" s="123"/>
      <c r="O348" s="123"/>
      <c r="P348" s="123"/>
      <c r="Q348" s="123"/>
    </row>
    <row r="349" spans="12:17" x14ac:dyDescent="0.25">
      <c r="L349" s="123"/>
      <c r="M349" s="123"/>
      <c r="N349" s="123"/>
      <c r="O349" s="123"/>
      <c r="P349" s="123"/>
      <c r="Q349" s="123"/>
    </row>
    <row r="350" spans="12:17" x14ac:dyDescent="0.25">
      <c r="L350" s="123"/>
      <c r="M350" s="123"/>
      <c r="N350" s="123"/>
      <c r="O350" s="123"/>
      <c r="P350" s="123"/>
      <c r="Q350" s="123"/>
    </row>
    <row r="351" spans="12:17" x14ac:dyDescent="0.25">
      <c r="L351" s="123"/>
      <c r="M351" s="123"/>
      <c r="N351" s="123"/>
      <c r="O351" s="123"/>
      <c r="P351" s="123"/>
      <c r="Q351" s="123"/>
    </row>
    <row r="352" spans="12:17" x14ac:dyDescent="0.25">
      <c r="L352" s="123"/>
      <c r="M352" s="123"/>
      <c r="N352" s="123"/>
      <c r="O352" s="123"/>
      <c r="P352" s="123"/>
      <c r="Q352" s="123"/>
    </row>
    <row r="353" spans="12:17" x14ac:dyDescent="0.25">
      <c r="L353" s="123"/>
      <c r="M353" s="123"/>
      <c r="N353" s="123"/>
      <c r="O353" s="123"/>
      <c r="P353" s="123"/>
      <c r="Q353" s="123"/>
    </row>
    <row r="354" spans="12:17" x14ac:dyDescent="0.25">
      <c r="L354" s="123"/>
      <c r="M354" s="123"/>
      <c r="N354" s="123"/>
      <c r="O354" s="123"/>
      <c r="P354" s="123"/>
      <c r="Q354" s="123"/>
    </row>
    <row r="355" spans="12:17" x14ac:dyDescent="0.25">
      <c r="L355" s="123"/>
      <c r="M355" s="123"/>
      <c r="N355" s="123"/>
      <c r="O355" s="123"/>
      <c r="P355" s="123"/>
      <c r="Q355" s="123"/>
    </row>
    <row r="356" spans="12:17" x14ac:dyDescent="0.25">
      <c r="L356" s="123"/>
      <c r="M356" s="123"/>
      <c r="N356" s="123"/>
      <c r="O356" s="123"/>
      <c r="P356" s="123"/>
      <c r="Q356" s="123"/>
    </row>
    <row r="357" spans="12:17" x14ac:dyDescent="0.25">
      <c r="L357" s="123"/>
      <c r="M357" s="123"/>
      <c r="N357" s="123"/>
      <c r="O357" s="123"/>
      <c r="P357" s="123"/>
      <c r="Q357" s="123"/>
    </row>
    <row r="358" spans="12:17" x14ac:dyDescent="0.25">
      <c r="L358" s="123"/>
      <c r="M358" s="123"/>
      <c r="N358" s="123"/>
      <c r="O358" s="123"/>
      <c r="P358" s="123"/>
      <c r="Q358" s="123"/>
    </row>
    <row r="359" spans="12:17" x14ac:dyDescent="0.25">
      <c r="L359" s="123"/>
      <c r="M359" s="123"/>
      <c r="N359" s="123"/>
      <c r="O359" s="123"/>
      <c r="P359" s="123"/>
      <c r="Q359" s="123"/>
    </row>
    <row r="360" spans="12:17" x14ac:dyDescent="0.25">
      <c r="L360" s="123"/>
      <c r="M360" s="123"/>
      <c r="N360" s="123"/>
      <c r="O360" s="123"/>
      <c r="P360" s="123"/>
      <c r="Q360" s="123"/>
    </row>
    <row r="361" spans="12:17" x14ac:dyDescent="0.25">
      <c r="L361" s="123"/>
      <c r="M361" s="123"/>
      <c r="N361" s="123"/>
      <c r="O361" s="123"/>
      <c r="P361" s="123"/>
      <c r="Q361" s="123"/>
    </row>
    <row r="362" spans="12:17" x14ac:dyDescent="0.25">
      <c r="L362" s="123"/>
      <c r="M362" s="123"/>
      <c r="N362" s="123"/>
      <c r="O362" s="123"/>
      <c r="P362" s="123"/>
      <c r="Q362" s="123"/>
    </row>
    <row r="363" spans="12:17" x14ac:dyDescent="0.25">
      <c r="L363" s="123"/>
      <c r="M363" s="123"/>
      <c r="N363" s="123"/>
      <c r="O363" s="123"/>
      <c r="P363" s="123"/>
      <c r="Q363" s="123"/>
    </row>
    <row r="364" spans="12:17" x14ac:dyDescent="0.25">
      <c r="L364" s="123"/>
      <c r="M364" s="123"/>
      <c r="N364" s="123"/>
      <c r="O364" s="123"/>
      <c r="P364" s="123"/>
      <c r="Q364" s="123"/>
    </row>
    <row r="365" spans="12:17" x14ac:dyDescent="0.25">
      <c r="L365" s="123"/>
      <c r="M365" s="123"/>
      <c r="N365" s="123"/>
      <c r="O365" s="123"/>
      <c r="P365" s="123"/>
      <c r="Q365" s="123"/>
    </row>
    <row r="366" spans="12:17" x14ac:dyDescent="0.25">
      <c r="L366" s="123"/>
      <c r="M366" s="123"/>
      <c r="N366" s="123"/>
      <c r="O366" s="123"/>
      <c r="P366" s="123"/>
      <c r="Q366" s="123"/>
    </row>
    <row r="367" spans="12:17" x14ac:dyDescent="0.25">
      <c r="L367" s="123"/>
      <c r="M367" s="123"/>
      <c r="N367" s="123"/>
      <c r="O367" s="123"/>
      <c r="P367" s="123"/>
      <c r="Q367" s="123"/>
    </row>
    <row r="368" spans="12:17" x14ac:dyDescent="0.25">
      <c r="L368" s="123"/>
      <c r="M368" s="123"/>
      <c r="N368" s="123"/>
      <c r="O368" s="123"/>
      <c r="P368" s="123"/>
      <c r="Q368" s="123"/>
    </row>
    <row r="369" spans="12:17" x14ac:dyDescent="0.25">
      <c r="L369" s="123"/>
      <c r="M369" s="123"/>
      <c r="N369" s="123"/>
      <c r="O369" s="123"/>
      <c r="P369" s="123"/>
      <c r="Q369" s="123"/>
    </row>
    <row r="370" spans="12:17" x14ac:dyDescent="0.25">
      <c r="L370" s="123"/>
      <c r="M370" s="123"/>
      <c r="N370" s="123"/>
      <c r="O370" s="123"/>
      <c r="P370" s="123"/>
      <c r="Q370" s="123"/>
    </row>
    <row r="371" spans="12:17" x14ac:dyDescent="0.25">
      <c r="L371" s="123"/>
      <c r="M371" s="123"/>
      <c r="N371" s="123"/>
      <c r="O371" s="123"/>
      <c r="P371" s="123"/>
      <c r="Q371" s="123"/>
    </row>
    <row r="372" spans="12:17" x14ac:dyDescent="0.25">
      <c r="L372" s="123"/>
      <c r="M372" s="123"/>
      <c r="N372" s="123"/>
      <c r="O372" s="123"/>
      <c r="P372" s="123"/>
      <c r="Q372" s="123"/>
    </row>
    <row r="373" spans="12:17" x14ac:dyDescent="0.25">
      <c r="L373" s="123"/>
      <c r="M373" s="123"/>
      <c r="N373" s="123"/>
      <c r="O373" s="123"/>
      <c r="P373" s="123"/>
      <c r="Q373" s="123"/>
    </row>
    <row r="374" spans="12:17" x14ac:dyDescent="0.25">
      <c r="L374" s="123"/>
      <c r="M374" s="123"/>
      <c r="N374" s="123"/>
      <c r="O374" s="123"/>
      <c r="P374" s="123"/>
      <c r="Q374" s="123"/>
    </row>
    <row r="375" spans="12:17" x14ac:dyDescent="0.25">
      <c r="L375" s="123"/>
      <c r="M375" s="123"/>
      <c r="N375" s="123"/>
      <c r="O375" s="123"/>
      <c r="P375" s="123"/>
      <c r="Q375" s="123"/>
    </row>
    <row r="376" spans="12:17" x14ac:dyDescent="0.25">
      <c r="L376" s="123"/>
      <c r="M376" s="123"/>
      <c r="N376" s="123"/>
      <c r="O376" s="123"/>
      <c r="P376" s="123"/>
      <c r="Q376" s="123"/>
    </row>
    <row r="377" spans="12:17" x14ac:dyDescent="0.25">
      <c r="L377" s="123"/>
      <c r="M377" s="123"/>
      <c r="N377" s="123"/>
      <c r="O377" s="123"/>
      <c r="P377" s="123"/>
      <c r="Q377" s="123"/>
    </row>
    <row r="378" spans="12:17" x14ac:dyDescent="0.25">
      <c r="L378" s="123"/>
      <c r="M378" s="123"/>
      <c r="N378" s="123"/>
      <c r="O378" s="123"/>
      <c r="P378" s="123"/>
      <c r="Q378" s="123"/>
    </row>
    <row r="379" spans="12:17" x14ac:dyDescent="0.25">
      <c r="L379" s="123"/>
      <c r="M379" s="123"/>
      <c r="N379" s="123"/>
      <c r="O379" s="123"/>
      <c r="P379" s="123"/>
      <c r="Q379" s="123"/>
    </row>
    <row r="380" spans="12:17" x14ac:dyDescent="0.25">
      <c r="L380" s="123"/>
      <c r="M380" s="123"/>
      <c r="N380" s="123"/>
      <c r="O380" s="123"/>
      <c r="P380" s="123"/>
      <c r="Q380" s="123"/>
    </row>
    <row r="381" spans="12:17" x14ac:dyDescent="0.25">
      <c r="L381" s="123"/>
      <c r="M381" s="123"/>
      <c r="N381" s="123"/>
      <c r="O381" s="123"/>
      <c r="P381" s="123"/>
      <c r="Q381" s="123"/>
    </row>
    <row r="382" spans="12:17" x14ac:dyDescent="0.25">
      <c r="L382" s="123"/>
      <c r="M382" s="123"/>
      <c r="N382" s="123"/>
      <c r="O382" s="123"/>
      <c r="P382" s="123"/>
      <c r="Q382" s="123"/>
    </row>
    <row r="383" spans="12:17" x14ac:dyDescent="0.25">
      <c r="L383" s="123"/>
      <c r="M383" s="123"/>
      <c r="N383" s="123"/>
      <c r="O383" s="123"/>
      <c r="P383" s="123"/>
      <c r="Q383" s="123"/>
    </row>
    <row r="384" spans="12:17" x14ac:dyDescent="0.25">
      <c r="L384" s="123"/>
      <c r="M384" s="123"/>
      <c r="N384" s="123"/>
      <c r="O384" s="123"/>
      <c r="P384" s="123"/>
      <c r="Q384" s="123"/>
    </row>
    <row r="385" spans="12:17" x14ac:dyDescent="0.25">
      <c r="L385" s="123"/>
      <c r="M385" s="123"/>
      <c r="N385" s="123"/>
      <c r="O385" s="123"/>
      <c r="P385" s="123"/>
      <c r="Q385" s="123"/>
    </row>
    <row r="386" spans="12:17" x14ac:dyDescent="0.25">
      <c r="L386" s="123"/>
      <c r="M386" s="123"/>
      <c r="N386" s="123"/>
      <c r="O386" s="123"/>
      <c r="P386" s="123"/>
      <c r="Q386" s="123"/>
    </row>
    <row r="387" spans="12:17" x14ac:dyDescent="0.25">
      <c r="L387" s="123"/>
      <c r="M387" s="123"/>
      <c r="N387" s="123"/>
      <c r="O387" s="123"/>
      <c r="P387" s="123"/>
      <c r="Q387" s="123"/>
    </row>
    <row r="388" spans="12:17" x14ac:dyDescent="0.25">
      <c r="L388" s="123"/>
      <c r="M388" s="123"/>
      <c r="N388" s="123"/>
      <c r="O388" s="123"/>
      <c r="P388" s="123"/>
      <c r="Q388" s="123"/>
    </row>
    <row r="389" spans="12:17" x14ac:dyDescent="0.25">
      <c r="L389" s="123"/>
      <c r="M389" s="123"/>
      <c r="N389" s="123"/>
      <c r="O389" s="123"/>
      <c r="P389" s="123"/>
      <c r="Q389" s="123"/>
    </row>
    <row r="390" spans="12:17" x14ac:dyDescent="0.25">
      <c r="L390" s="123"/>
      <c r="M390" s="123"/>
      <c r="N390" s="123"/>
      <c r="O390" s="123"/>
      <c r="P390" s="123"/>
      <c r="Q390" s="123"/>
    </row>
    <row r="391" spans="12:17" x14ac:dyDescent="0.25">
      <c r="L391" s="123"/>
      <c r="M391" s="123"/>
      <c r="N391" s="123"/>
      <c r="O391" s="123"/>
      <c r="P391" s="123"/>
      <c r="Q391" s="123"/>
    </row>
    <row r="392" spans="12:17" x14ac:dyDescent="0.25">
      <c r="L392" s="123"/>
      <c r="M392" s="123"/>
      <c r="N392" s="123"/>
      <c r="O392" s="123"/>
      <c r="P392" s="123"/>
      <c r="Q392" s="123"/>
    </row>
    <row r="393" spans="12:17" x14ac:dyDescent="0.25">
      <c r="L393" s="123"/>
      <c r="M393" s="123"/>
      <c r="N393" s="123"/>
      <c r="O393" s="123"/>
      <c r="P393" s="123"/>
      <c r="Q393" s="123"/>
    </row>
    <row r="394" spans="12:17" x14ac:dyDescent="0.25">
      <c r="L394" s="123"/>
      <c r="M394" s="123"/>
      <c r="N394" s="123"/>
      <c r="O394" s="123"/>
      <c r="P394" s="123"/>
      <c r="Q394" s="123"/>
    </row>
    <row r="395" spans="12:17" x14ac:dyDescent="0.25">
      <c r="L395" s="123"/>
      <c r="M395" s="123"/>
      <c r="N395" s="123"/>
      <c r="O395" s="123"/>
      <c r="P395" s="123"/>
      <c r="Q395" s="123"/>
    </row>
    <row r="396" spans="12:17" x14ac:dyDescent="0.25">
      <c r="L396" s="123"/>
      <c r="M396" s="123"/>
      <c r="N396" s="123"/>
      <c r="O396" s="123"/>
      <c r="P396" s="123"/>
      <c r="Q396" s="123"/>
    </row>
    <row r="397" spans="12:17" x14ac:dyDescent="0.25">
      <c r="L397" s="123"/>
      <c r="M397" s="123"/>
      <c r="N397" s="123"/>
      <c r="O397" s="123"/>
      <c r="P397" s="123"/>
      <c r="Q397" s="123"/>
    </row>
    <row r="398" spans="12:17" x14ac:dyDescent="0.25">
      <c r="L398" s="123"/>
      <c r="M398" s="123"/>
      <c r="N398" s="123"/>
      <c r="O398" s="123"/>
      <c r="P398" s="123"/>
      <c r="Q398" s="123"/>
    </row>
    <row r="399" spans="12:17" x14ac:dyDescent="0.25">
      <c r="L399" s="123"/>
      <c r="M399" s="123"/>
      <c r="N399" s="123"/>
      <c r="O399" s="123"/>
      <c r="P399" s="123"/>
      <c r="Q399" s="123"/>
    </row>
    <row r="400" spans="12:17" x14ac:dyDescent="0.25">
      <c r="L400" s="123"/>
      <c r="M400" s="123"/>
      <c r="N400" s="123"/>
      <c r="O400" s="123"/>
      <c r="P400" s="123"/>
      <c r="Q400" s="123"/>
    </row>
    <row r="401" spans="12:17" x14ac:dyDescent="0.25">
      <c r="L401" s="123"/>
      <c r="M401" s="123"/>
      <c r="N401" s="123"/>
      <c r="O401" s="123"/>
      <c r="P401" s="123"/>
      <c r="Q401" s="123"/>
    </row>
    <row r="402" spans="12:17" x14ac:dyDescent="0.25">
      <c r="L402" s="123"/>
      <c r="M402" s="123"/>
      <c r="N402" s="123"/>
      <c r="O402" s="123"/>
      <c r="P402" s="123"/>
      <c r="Q402" s="123"/>
    </row>
    <row r="403" spans="12:17" x14ac:dyDescent="0.25">
      <c r="L403" s="123"/>
      <c r="M403" s="123"/>
      <c r="N403" s="123"/>
      <c r="O403" s="123"/>
      <c r="P403" s="123"/>
      <c r="Q403" s="123"/>
    </row>
    <row r="404" spans="12:17" x14ac:dyDescent="0.25">
      <c r="L404" s="123"/>
      <c r="M404" s="123"/>
      <c r="N404" s="123"/>
      <c r="O404" s="123"/>
      <c r="P404" s="123"/>
      <c r="Q404" s="123"/>
    </row>
    <row r="405" spans="12:17" x14ac:dyDescent="0.25">
      <c r="L405" s="123"/>
      <c r="M405" s="123"/>
      <c r="N405" s="123"/>
      <c r="O405" s="123"/>
      <c r="P405" s="123"/>
      <c r="Q405" s="123"/>
    </row>
    <row r="406" spans="12:17" x14ac:dyDescent="0.25">
      <c r="L406" s="123"/>
      <c r="M406" s="123"/>
      <c r="N406" s="123"/>
      <c r="O406" s="123"/>
      <c r="P406" s="123"/>
      <c r="Q406" s="123"/>
    </row>
    <row r="407" spans="12:17" x14ac:dyDescent="0.25">
      <c r="L407" s="123"/>
      <c r="M407" s="123"/>
      <c r="N407" s="123"/>
      <c r="O407" s="123"/>
      <c r="P407" s="123"/>
      <c r="Q407" s="123"/>
    </row>
    <row r="408" spans="12:17" x14ac:dyDescent="0.25">
      <c r="L408" s="123"/>
      <c r="M408" s="123"/>
      <c r="N408" s="123"/>
      <c r="O408" s="123"/>
      <c r="P408" s="123"/>
      <c r="Q408" s="123"/>
    </row>
    <row r="409" spans="12:17" x14ac:dyDescent="0.25">
      <c r="L409" s="123"/>
      <c r="M409" s="123"/>
      <c r="N409" s="123"/>
      <c r="O409" s="123"/>
      <c r="P409" s="123"/>
      <c r="Q409" s="123"/>
    </row>
    <row r="410" spans="12:17" x14ac:dyDescent="0.25">
      <c r="L410" s="123"/>
      <c r="M410" s="123"/>
      <c r="N410" s="123"/>
      <c r="O410" s="123"/>
      <c r="P410" s="123"/>
      <c r="Q410" s="123"/>
    </row>
    <row r="411" spans="12:17" x14ac:dyDescent="0.25">
      <c r="L411" s="123"/>
      <c r="M411" s="123"/>
      <c r="N411" s="123"/>
      <c r="O411" s="123"/>
      <c r="P411" s="123"/>
      <c r="Q411" s="123"/>
    </row>
    <row r="412" spans="12:17" x14ac:dyDescent="0.25">
      <c r="L412" s="123"/>
      <c r="M412" s="123"/>
      <c r="N412" s="123"/>
      <c r="O412" s="123"/>
      <c r="P412" s="123"/>
      <c r="Q412" s="123"/>
    </row>
    <row r="413" spans="12:17" x14ac:dyDescent="0.25">
      <c r="L413" s="123"/>
      <c r="M413" s="123"/>
      <c r="N413" s="123"/>
      <c r="O413" s="123"/>
      <c r="P413" s="123"/>
      <c r="Q413" s="123"/>
    </row>
    <row r="414" spans="12:17" x14ac:dyDescent="0.25">
      <c r="L414" s="123"/>
      <c r="M414" s="123"/>
      <c r="N414" s="123"/>
      <c r="O414" s="123"/>
      <c r="P414" s="123"/>
      <c r="Q414" s="123"/>
    </row>
    <row r="415" spans="12:17" x14ac:dyDescent="0.25">
      <c r="L415" s="123"/>
      <c r="M415" s="123"/>
      <c r="N415" s="123"/>
      <c r="O415" s="123"/>
      <c r="P415" s="123"/>
      <c r="Q415" s="123"/>
    </row>
    <row r="416" spans="12:17" x14ac:dyDescent="0.25">
      <c r="L416" s="123"/>
      <c r="M416" s="123"/>
      <c r="N416" s="123"/>
      <c r="O416" s="123"/>
      <c r="P416" s="123"/>
      <c r="Q416" s="123"/>
    </row>
    <row r="417" spans="12:17" x14ac:dyDescent="0.25">
      <c r="L417" s="123"/>
      <c r="M417" s="123"/>
      <c r="N417" s="123"/>
      <c r="O417" s="123"/>
      <c r="P417" s="123"/>
      <c r="Q417" s="123"/>
    </row>
    <row r="418" spans="12:17" x14ac:dyDescent="0.25">
      <c r="L418" s="123"/>
      <c r="M418" s="123"/>
      <c r="N418" s="123"/>
      <c r="O418" s="123"/>
      <c r="P418" s="123"/>
      <c r="Q418" s="123"/>
    </row>
    <row r="419" spans="12:17" x14ac:dyDescent="0.25">
      <c r="L419" s="123"/>
      <c r="M419" s="123"/>
      <c r="N419" s="123"/>
      <c r="O419" s="123"/>
      <c r="P419" s="123"/>
      <c r="Q419" s="123"/>
    </row>
    <row r="420" spans="12:17" x14ac:dyDescent="0.25">
      <c r="L420" s="123"/>
      <c r="M420" s="123"/>
      <c r="N420" s="123"/>
      <c r="O420" s="123"/>
      <c r="P420" s="123"/>
      <c r="Q420" s="123"/>
    </row>
    <row r="421" spans="12:17" x14ac:dyDescent="0.25">
      <c r="L421" s="123"/>
      <c r="M421" s="123"/>
      <c r="N421" s="123"/>
      <c r="O421" s="123"/>
      <c r="P421" s="123"/>
      <c r="Q421" s="123"/>
    </row>
    <row r="422" spans="12:17" x14ac:dyDescent="0.25">
      <c r="L422" s="123"/>
      <c r="M422" s="123"/>
      <c r="N422" s="123"/>
      <c r="O422" s="123"/>
      <c r="P422" s="123"/>
      <c r="Q422" s="123"/>
    </row>
    <row r="423" spans="12:17" x14ac:dyDescent="0.25">
      <c r="L423" s="123"/>
      <c r="M423" s="123"/>
      <c r="N423" s="123"/>
      <c r="O423" s="123"/>
      <c r="P423" s="123"/>
      <c r="Q423" s="123"/>
    </row>
    <row r="424" spans="12:17" x14ac:dyDescent="0.25">
      <c r="L424" s="123"/>
      <c r="M424" s="123"/>
      <c r="N424" s="123"/>
      <c r="O424" s="123"/>
      <c r="P424" s="123"/>
      <c r="Q424" s="123"/>
    </row>
    <row r="425" spans="12:17" x14ac:dyDescent="0.25">
      <c r="L425" s="123"/>
      <c r="M425" s="123"/>
      <c r="N425" s="123"/>
      <c r="O425" s="123"/>
      <c r="P425" s="123"/>
      <c r="Q425" s="123"/>
    </row>
    <row r="426" spans="12:17" x14ac:dyDescent="0.25">
      <c r="L426" s="123"/>
      <c r="M426" s="123"/>
      <c r="N426" s="123"/>
      <c r="O426" s="123"/>
      <c r="P426" s="123"/>
      <c r="Q426" s="123"/>
    </row>
    <row r="427" spans="12:17" x14ac:dyDescent="0.25">
      <c r="L427" s="123"/>
      <c r="M427" s="123"/>
      <c r="N427" s="123"/>
      <c r="O427" s="123"/>
      <c r="P427" s="123"/>
      <c r="Q427" s="123"/>
    </row>
    <row r="428" spans="12:17" x14ac:dyDescent="0.25">
      <c r="L428" s="123"/>
      <c r="M428" s="123"/>
      <c r="N428" s="123"/>
      <c r="O428" s="123"/>
      <c r="P428" s="123"/>
      <c r="Q428" s="123"/>
    </row>
    <row r="429" spans="12:17" x14ac:dyDescent="0.25">
      <c r="L429" s="123"/>
      <c r="M429" s="123"/>
      <c r="N429" s="123"/>
      <c r="O429" s="123"/>
      <c r="P429" s="123"/>
      <c r="Q429" s="123"/>
    </row>
    <row r="430" spans="12:17" x14ac:dyDescent="0.25">
      <c r="L430" s="123"/>
      <c r="M430" s="123"/>
      <c r="N430" s="123"/>
      <c r="O430" s="123"/>
      <c r="P430" s="123"/>
      <c r="Q430" s="123"/>
    </row>
    <row r="431" spans="12:17" x14ac:dyDescent="0.25">
      <c r="L431" s="123"/>
      <c r="M431" s="123"/>
      <c r="N431" s="123"/>
      <c r="O431" s="123"/>
      <c r="P431" s="123"/>
      <c r="Q431" s="123"/>
    </row>
    <row r="432" spans="12:17" x14ac:dyDescent="0.25">
      <c r="L432" s="123"/>
      <c r="M432" s="123"/>
      <c r="N432" s="123"/>
      <c r="O432" s="123"/>
      <c r="P432" s="123"/>
      <c r="Q432" s="123"/>
    </row>
    <row r="433" spans="12:17" x14ac:dyDescent="0.25">
      <c r="L433" s="123"/>
      <c r="M433" s="123"/>
      <c r="N433" s="123"/>
      <c r="O433" s="123"/>
      <c r="P433" s="123"/>
      <c r="Q433" s="123"/>
    </row>
    <row r="434" spans="12:17" x14ac:dyDescent="0.25">
      <c r="L434" s="123"/>
      <c r="M434" s="123"/>
      <c r="N434" s="123"/>
      <c r="O434" s="123"/>
      <c r="P434" s="123"/>
      <c r="Q434" s="123"/>
    </row>
    <row r="435" spans="12:17" x14ac:dyDescent="0.25">
      <c r="L435" s="123"/>
      <c r="M435" s="123"/>
      <c r="N435" s="123"/>
      <c r="O435" s="123"/>
      <c r="P435" s="123"/>
      <c r="Q435" s="123"/>
    </row>
    <row r="436" spans="12:17" x14ac:dyDescent="0.25">
      <c r="L436" s="123"/>
      <c r="M436" s="123"/>
      <c r="N436" s="123"/>
      <c r="O436" s="123"/>
      <c r="P436" s="123"/>
      <c r="Q436" s="123"/>
    </row>
    <row r="437" spans="12:17" x14ac:dyDescent="0.25">
      <c r="L437" s="123"/>
      <c r="M437" s="123"/>
      <c r="N437" s="123"/>
      <c r="O437" s="123"/>
      <c r="P437" s="123"/>
      <c r="Q437" s="123"/>
    </row>
    <row r="438" spans="12:17" x14ac:dyDescent="0.25">
      <c r="L438" s="123"/>
      <c r="M438" s="123"/>
      <c r="N438" s="123"/>
      <c r="O438" s="123"/>
      <c r="P438" s="123"/>
      <c r="Q438" s="123"/>
    </row>
    <row r="439" spans="12:17" x14ac:dyDescent="0.25">
      <c r="L439" s="123"/>
      <c r="M439" s="123"/>
      <c r="N439" s="123"/>
      <c r="O439" s="123"/>
      <c r="P439" s="123"/>
      <c r="Q439" s="123"/>
    </row>
    <row r="440" spans="12:17" x14ac:dyDescent="0.25">
      <c r="L440" s="123"/>
      <c r="M440" s="123"/>
      <c r="N440" s="123"/>
      <c r="O440" s="123"/>
      <c r="P440" s="123"/>
      <c r="Q440" s="123"/>
    </row>
    <row r="441" spans="12:17" x14ac:dyDescent="0.25">
      <c r="L441" s="123"/>
      <c r="M441" s="123"/>
      <c r="N441" s="123"/>
      <c r="O441" s="123"/>
      <c r="P441" s="123"/>
      <c r="Q441" s="123"/>
    </row>
    <row r="442" spans="12:17" x14ac:dyDescent="0.25">
      <c r="L442" s="123"/>
      <c r="M442" s="123"/>
      <c r="N442" s="123"/>
      <c r="O442" s="123"/>
      <c r="P442" s="123"/>
      <c r="Q442" s="123"/>
    </row>
    <row r="443" spans="12:17" x14ac:dyDescent="0.25">
      <c r="L443" s="123"/>
      <c r="M443" s="123"/>
      <c r="N443" s="123"/>
      <c r="O443" s="123"/>
      <c r="P443" s="123"/>
      <c r="Q443" s="123"/>
    </row>
    <row r="444" spans="12:17" x14ac:dyDescent="0.25">
      <c r="L444" s="123"/>
      <c r="M444" s="123"/>
      <c r="N444" s="123"/>
      <c r="O444" s="123"/>
      <c r="P444" s="123"/>
      <c r="Q444" s="123"/>
    </row>
    <row r="445" spans="12:17" x14ac:dyDescent="0.25">
      <c r="L445" s="123"/>
      <c r="M445" s="123"/>
      <c r="N445" s="123"/>
      <c r="O445" s="123"/>
      <c r="P445" s="123"/>
      <c r="Q445" s="123"/>
    </row>
    <row r="446" spans="12:17" x14ac:dyDescent="0.25">
      <c r="L446" s="123"/>
      <c r="M446" s="123"/>
      <c r="N446" s="123"/>
      <c r="O446" s="123"/>
      <c r="P446" s="123"/>
      <c r="Q446" s="123"/>
    </row>
    <row r="447" spans="12:17" x14ac:dyDescent="0.25">
      <c r="L447" s="123"/>
      <c r="M447" s="123"/>
      <c r="N447" s="123"/>
      <c r="O447" s="123"/>
      <c r="P447" s="123"/>
      <c r="Q447" s="123"/>
    </row>
    <row r="448" spans="12:17" x14ac:dyDescent="0.25">
      <c r="L448" s="123"/>
      <c r="M448" s="123"/>
      <c r="N448" s="123"/>
      <c r="O448" s="123"/>
      <c r="P448" s="123"/>
      <c r="Q448" s="123"/>
    </row>
    <row r="449" spans="12:17" x14ac:dyDescent="0.25">
      <c r="L449" s="123"/>
      <c r="M449" s="123"/>
      <c r="N449" s="123"/>
      <c r="O449" s="123"/>
      <c r="P449" s="123"/>
      <c r="Q449" s="123"/>
    </row>
    <row r="450" spans="12:17" x14ac:dyDescent="0.25">
      <c r="L450" s="123"/>
      <c r="M450" s="123"/>
      <c r="N450" s="123"/>
      <c r="O450" s="123"/>
      <c r="P450" s="123"/>
      <c r="Q450" s="123"/>
    </row>
    <row r="451" spans="12:17" x14ac:dyDescent="0.25">
      <c r="L451" s="123"/>
      <c r="M451" s="123"/>
      <c r="N451" s="123"/>
      <c r="O451" s="123"/>
      <c r="P451" s="123"/>
      <c r="Q451" s="123"/>
    </row>
    <row r="452" spans="12:17" x14ac:dyDescent="0.25">
      <c r="L452" s="123"/>
      <c r="M452" s="123"/>
      <c r="N452" s="123"/>
      <c r="O452" s="123"/>
      <c r="P452" s="123"/>
      <c r="Q452" s="123"/>
    </row>
    <row r="453" spans="12:17" x14ac:dyDescent="0.25">
      <c r="L453" s="123"/>
      <c r="M453" s="123"/>
      <c r="N453" s="123"/>
      <c r="O453" s="123"/>
      <c r="P453" s="123"/>
      <c r="Q453" s="123"/>
    </row>
    <row r="454" spans="12:17" x14ac:dyDescent="0.25">
      <c r="L454" s="123"/>
      <c r="M454" s="123"/>
      <c r="N454" s="123"/>
      <c r="O454" s="123"/>
      <c r="P454" s="123"/>
      <c r="Q454" s="123"/>
    </row>
    <row r="455" spans="12:17" x14ac:dyDescent="0.25">
      <c r="L455" s="123"/>
      <c r="M455" s="123"/>
      <c r="N455" s="123"/>
      <c r="O455" s="123"/>
      <c r="P455" s="123"/>
      <c r="Q455" s="123"/>
    </row>
    <row r="456" spans="12:17" x14ac:dyDescent="0.25">
      <c r="L456" s="123"/>
      <c r="M456" s="123"/>
      <c r="N456" s="123"/>
      <c r="O456" s="123"/>
      <c r="P456" s="123"/>
      <c r="Q456" s="123"/>
    </row>
    <row r="457" spans="12:17" x14ac:dyDescent="0.25">
      <c r="L457" s="123"/>
      <c r="M457" s="123"/>
      <c r="N457" s="123"/>
      <c r="O457" s="123"/>
      <c r="P457" s="123"/>
      <c r="Q457" s="123"/>
    </row>
    <row r="458" spans="12:17" x14ac:dyDescent="0.25">
      <c r="L458" s="123"/>
      <c r="M458" s="123"/>
      <c r="N458" s="123"/>
      <c r="O458" s="123"/>
      <c r="P458" s="123"/>
      <c r="Q458" s="123"/>
    </row>
    <row r="459" spans="12:17" x14ac:dyDescent="0.25">
      <c r="L459" s="123"/>
      <c r="M459" s="123"/>
      <c r="N459" s="123"/>
      <c r="O459" s="123"/>
      <c r="P459" s="123"/>
      <c r="Q459" s="123"/>
    </row>
    <row r="460" spans="12:17" x14ac:dyDescent="0.25">
      <c r="L460" s="123"/>
      <c r="M460" s="123"/>
      <c r="N460" s="123"/>
      <c r="O460" s="123"/>
      <c r="P460" s="123"/>
      <c r="Q460" s="123"/>
    </row>
    <row r="461" spans="12:17" x14ac:dyDescent="0.25">
      <c r="L461" s="123"/>
      <c r="M461" s="123"/>
      <c r="N461" s="123"/>
      <c r="O461" s="123"/>
      <c r="P461" s="123"/>
      <c r="Q461" s="123"/>
    </row>
    <row r="462" spans="12:17" x14ac:dyDescent="0.25">
      <c r="L462" s="123"/>
      <c r="M462" s="123"/>
      <c r="N462" s="123"/>
      <c r="O462" s="123"/>
      <c r="P462" s="123"/>
      <c r="Q462" s="123"/>
    </row>
    <row r="463" spans="12:17" x14ac:dyDescent="0.25">
      <c r="L463" s="123"/>
      <c r="M463" s="123"/>
      <c r="N463" s="123"/>
      <c r="O463" s="123"/>
      <c r="P463" s="123"/>
      <c r="Q463" s="123"/>
    </row>
    <row r="464" spans="12:17" x14ac:dyDescent="0.25">
      <c r="L464" s="123"/>
      <c r="M464" s="123"/>
      <c r="N464" s="123"/>
      <c r="O464" s="123"/>
      <c r="P464" s="123"/>
      <c r="Q464" s="123"/>
    </row>
    <row r="465" spans="12:17" x14ac:dyDescent="0.25">
      <c r="L465" s="123"/>
      <c r="M465" s="123"/>
      <c r="N465" s="123"/>
      <c r="O465" s="123"/>
      <c r="P465" s="123"/>
      <c r="Q465" s="123"/>
    </row>
    <row r="466" spans="12:17" x14ac:dyDescent="0.25">
      <c r="L466" s="123"/>
      <c r="M466" s="123"/>
      <c r="N466" s="123"/>
      <c r="O466" s="123"/>
      <c r="P466" s="123"/>
      <c r="Q466" s="123"/>
    </row>
    <row r="467" spans="12:17" x14ac:dyDescent="0.25">
      <c r="L467" s="123"/>
      <c r="M467" s="123"/>
      <c r="N467" s="123"/>
      <c r="O467" s="123"/>
      <c r="P467" s="123"/>
      <c r="Q467" s="123"/>
    </row>
    <row r="468" spans="12:17" x14ac:dyDescent="0.25">
      <c r="L468" s="123"/>
      <c r="M468" s="123"/>
      <c r="N468" s="123"/>
      <c r="O468" s="123"/>
      <c r="P468" s="123"/>
      <c r="Q468" s="123"/>
    </row>
    <row r="469" spans="12:17" x14ac:dyDescent="0.25">
      <c r="L469" s="123"/>
      <c r="M469" s="123"/>
      <c r="N469" s="123"/>
      <c r="O469" s="123"/>
      <c r="P469" s="123"/>
      <c r="Q469" s="123"/>
    </row>
    <row r="470" spans="12:17" x14ac:dyDescent="0.25">
      <c r="L470" s="123"/>
      <c r="M470" s="123"/>
      <c r="N470" s="123"/>
      <c r="O470" s="123"/>
      <c r="P470" s="123"/>
      <c r="Q470" s="123"/>
    </row>
    <row r="471" spans="12:17" x14ac:dyDescent="0.25">
      <c r="L471" s="123"/>
      <c r="M471" s="123"/>
      <c r="N471" s="123"/>
      <c r="O471" s="123"/>
      <c r="P471" s="123"/>
      <c r="Q471" s="123"/>
    </row>
    <row r="472" spans="12:17" x14ac:dyDescent="0.25">
      <c r="L472" s="123"/>
      <c r="M472" s="123"/>
      <c r="N472" s="123"/>
      <c r="O472" s="123"/>
      <c r="P472" s="123"/>
      <c r="Q472" s="123"/>
    </row>
    <row r="473" spans="12:17" x14ac:dyDescent="0.25">
      <c r="L473" s="123"/>
      <c r="M473" s="123"/>
      <c r="N473" s="123"/>
      <c r="O473" s="123"/>
      <c r="P473" s="123"/>
      <c r="Q473" s="123"/>
    </row>
    <row r="474" spans="12:17" x14ac:dyDescent="0.25">
      <c r="L474" s="123"/>
      <c r="M474" s="123"/>
      <c r="N474" s="123"/>
      <c r="O474" s="123"/>
      <c r="P474" s="123"/>
      <c r="Q474" s="123"/>
    </row>
    <row r="475" spans="12:17" x14ac:dyDescent="0.25">
      <c r="L475" s="123"/>
      <c r="M475" s="123"/>
      <c r="N475" s="123"/>
      <c r="O475" s="123"/>
      <c r="P475" s="123"/>
      <c r="Q475" s="123"/>
    </row>
    <row r="476" spans="12:17" x14ac:dyDescent="0.25">
      <c r="L476" s="123"/>
      <c r="M476" s="123"/>
      <c r="N476" s="123"/>
      <c r="O476" s="123"/>
      <c r="P476" s="123"/>
      <c r="Q476" s="123"/>
    </row>
    <row r="477" spans="12:17" x14ac:dyDescent="0.25">
      <c r="L477" s="123"/>
      <c r="M477" s="123"/>
      <c r="N477" s="123"/>
      <c r="O477" s="123"/>
      <c r="P477" s="123"/>
      <c r="Q477" s="123"/>
    </row>
    <row r="478" spans="12:17" x14ac:dyDescent="0.25">
      <c r="L478" s="123"/>
      <c r="M478" s="123"/>
      <c r="N478" s="123"/>
      <c r="O478" s="123"/>
      <c r="P478" s="123"/>
      <c r="Q478" s="123"/>
    </row>
    <row r="479" spans="12:17" x14ac:dyDescent="0.25">
      <c r="L479" s="123"/>
      <c r="M479" s="123"/>
      <c r="N479" s="123"/>
      <c r="O479" s="123"/>
      <c r="P479" s="123"/>
      <c r="Q479" s="123"/>
    </row>
    <row r="480" spans="12:17" x14ac:dyDescent="0.25">
      <c r="L480" s="123"/>
      <c r="M480" s="123"/>
      <c r="N480" s="123"/>
      <c r="O480" s="123"/>
      <c r="P480" s="123"/>
      <c r="Q480" s="123"/>
    </row>
    <row r="481" spans="12:17" x14ac:dyDescent="0.25">
      <c r="L481" s="123"/>
      <c r="M481" s="123"/>
      <c r="N481" s="123"/>
      <c r="O481" s="123"/>
      <c r="P481" s="123"/>
      <c r="Q481" s="123"/>
    </row>
    <row r="482" spans="12:17" x14ac:dyDescent="0.25">
      <c r="L482" s="123"/>
      <c r="M482" s="123"/>
      <c r="N482" s="123"/>
      <c r="O482" s="123"/>
      <c r="P482" s="123"/>
      <c r="Q482" s="123"/>
    </row>
    <row r="483" spans="12:17" x14ac:dyDescent="0.25">
      <c r="L483" s="123"/>
      <c r="M483" s="123"/>
      <c r="N483" s="123"/>
      <c r="O483" s="123"/>
      <c r="P483" s="123"/>
      <c r="Q483" s="123"/>
    </row>
    <row r="484" spans="12:17" x14ac:dyDescent="0.25">
      <c r="L484" s="123"/>
      <c r="M484" s="123"/>
      <c r="N484" s="123"/>
      <c r="O484" s="123"/>
      <c r="P484" s="123"/>
      <c r="Q484" s="123"/>
    </row>
    <row r="485" spans="12:17" x14ac:dyDescent="0.25">
      <c r="L485" s="123"/>
      <c r="M485" s="123"/>
      <c r="N485" s="123"/>
      <c r="O485" s="123"/>
      <c r="P485" s="123"/>
      <c r="Q485" s="123"/>
    </row>
    <row r="486" spans="12:17" x14ac:dyDescent="0.25">
      <c r="L486" s="123"/>
      <c r="M486" s="123"/>
      <c r="N486" s="123"/>
      <c r="O486" s="123"/>
      <c r="P486" s="123"/>
      <c r="Q486" s="123"/>
    </row>
    <row r="487" spans="12:17" x14ac:dyDescent="0.25">
      <c r="L487" s="123"/>
      <c r="M487" s="123"/>
      <c r="N487" s="123"/>
      <c r="O487" s="123"/>
      <c r="P487" s="123"/>
      <c r="Q487" s="123"/>
    </row>
    <row r="488" spans="12:17" x14ac:dyDescent="0.25">
      <c r="L488" s="123"/>
      <c r="M488" s="123"/>
      <c r="N488" s="123"/>
      <c r="O488" s="123"/>
      <c r="P488" s="123"/>
      <c r="Q488" s="123"/>
    </row>
    <row r="489" spans="12:17" x14ac:dyDescent="0.25">
      <c r="L489" s="123"/>
      <c r="M489" s="123"/>
      <c r="N489" s="123"/>
      <c r="O489" s="123"/>
      <c r="P489" s="123"/>
      <c r="Q489" s="123"/>
    </row>
    <row r="490" spans="12:17" x14ac:dyDescent="0.25">
      <c r="L490" s="123"/>
      <c r="M490" s="123"/>
      <c r="N490" s="123"/>
      <c r="O490" s="123"/>
      <c r="P490" s="123"/>
      <c r="Q490" s="123"/>
    </row>
    <row r="491" spans="12:17" x14ac:dyDescent="0.25">
      <c r="L491" s="123"/>
      <c r="M491" s="123"/>
      <c r="N491" s="123"/>
      <c r="O491" s="123"/>
      <c r="P491" s="123"/>
      <c r="Q491" s="123"/>
    </row>
    <row r="492" spans="12:17" x14ac:dyDescent="0.25">
      <c r="L492" s="123"/>
      <c r="M492" s="123"/>
      <c r="N492" s="123"/>
      <c r="O492" s="123"/>
      <c r="P492" s="123"/>
      <c r="Q492" s="123"/>
    </row>
    <row r="493" spans="12:17" x14ac:dyDescent="0.25">
      <c r="L493" s="123"/>
      <c r="M493" s="123"/>
      <c r="N493" s="123"/>
      <c r="O493" s="123"/>
      <c r="P493" s="123"/>
      <c r="Q493" s="123"/>
    </row>
    <row r="494" spans="12:17" x14ac:dyDescent="0.25">
      <c r="L494" s="123"/>
      <c r="M494" s="123"/>
      <c r="N494" s="123"/>
      <c r="O494" s="123"/>
      <c r="P494" s="123"/>
      <c r="Q494" s="123"/>
    </row>
    <row r="495" spans="12:17" x14ac:dyDescent="0.25">
      <c r="L495" s="123"/>
      <c r="M495" s="123"/>
      <c r="N495" s="123"/>
      <c r="O495" s="123"/>
      <c r="P495" s="123"/>
      <c r="Q495" s="123"/>
    </row>
    <row r="496" spans="12:17" x14ac:dyDescent="0.25">
      <c r="L496" s="123"/>
      <c r="M496" s="123"/>
      <c r="N496" s="123"/>
      <c r="O496" s="123"/>
      <c r="P496" s="123"/>
      <c r="Q496" s="123"/>
    </row>
    <row r="497" spans="12:17" x14ac:dyDescent="0.25">
      <c r="L497" s="123"/>
      <c r="M497" s="123"/>
      <c r="N497" s="123"/>
      <c r="O497" s="123"/>
      <c r="P497" s="123"/>
      <c r="Q497" s="123"/>
    </row>
    <row r="498" spans="12:17" x14ac:dyDescent="0.25">
      <c r="L498" s="123"/>
      <c r="M498" s="123"/>
      <c r="N498" s="123"/>
      <c r="O498" s="123"/>
      <c r="P498" s="123"/>
      <c r="Q498" s="123"/>
    </row>
    <row r="499" spans="12:17" x14ac:dyDescent="0.25">
      <c r="L499" s="123"/>
      <c r="M499" s="123"/>
      <c r="N499" s="123"/>
      <c r="O499" s="123"/>
      <c r="P499" s="123"/>
      <c r="Q499" s="123"/>
    </row>
    <row r="500" spans="12:17" x14ac:dyDescent="0.25">
      <c r="L500" s="123"/>
      <c r="M500" s="123"/>
      <c r="N500" s="123"/>
      <c r="O500" s="123"/>
      <c r="P500" s="123"/>
      <c r="Q500" s="123"/>
    </row>
    <row r="501" spans="12:17" x14ac:dyDescent="0.25">
      <c r="L501" s="123"/>
      <c r="M501" s="123"/>
      <c r="N501" s="123"/>
      <c r="O501" s="123"/>
      <c r="P501" s="123"/>
      <c r="Q501" s="123"/>
    </row>
    <row r="502" spans="12:17" x14ac:dyDescent="0.25">
      <c r="L502" s="123"/>
      <c r="M502" s="123"/>
      <c r="N502" s="123"/>
      <c r="O502" s="123"/>
      <c r="P502" s="123"/>
      <c r="Q502" s="123"/>
    </row>
    <row r="503" spans="12:17" x14ac:dyDescent="0.25">
      <c r="L503" s="123"/>
      <c r="M503" s="123"/>
      <c r="N503" s="123"/>
      <c r="O503" s="123"/>
      <c r="P503" s="123"/>
      <c r="Q503" s="123"/>
    </row>
    <row r="504" spans="12:17" x14ac:dyDescent="0.25">
      <c r="L504" s="123"/>
      <c r="M504" s="123"/>
      <c r="N504" s="123"/>
      <c r="O504" s="123"/>
      <c r="P504" s="123"/>
      <c r="Q504" s="123"/>
    </row>
    <row r="505" spans="12:17" x14ac:dyDescent="0.25">
      <c r="L505" s="123"/>
      <c r="M505" s="123"/>
      <c r="N505" s="123"/>
      <c r="O505" s="123"/>
      <c r="P505" s="123"/>
      <c r="Q505" s="123"/>
    </row>
    <row r="506" spans="12:17" x14ac:dyDescent="0.25">
      <c r="L506" s="123"/>
      <c r="M506" s="123"/>
      <c r="N506" s="123"/>
      <c r="O506" s="123"/>
      <c r="P506" s="123"/>
      <c r="Q506" s="123"/>
    </row>
    <row r="507" spans="12:17" x14ac:dyDescent="0.25">
      <c r="L507" s="123"/>
      <c r="M507" s="123"/>
      <c r="N507" s="123"/>
      <c r="O507" s="123"/>
      <c r="P507" s="123"/>
      <c r="Q507" s="123"/>
    </row>
    <row r="508" spans="12:17" x14ac:dyDescent="0.25">
      <c r="L508" s="123"/>
      <c r="M508" s="123"/>
      <c r="N508" s="123"/>
      <c r="O508" s="123"/>
      <c r="P508" s="123"/>
      <c r="Q508" s="123"/>
    </row>
    <row r="509" spans="12:17" x14ac:dyDescent="0.25">
      <c r="L509" s="123"/>
      <c r="M509" s="123"/>
      <c r="N509" s="123"/>
      <c r="O509" s="123"/>
      <c r="P509" s="123"/>
      <c r="Q509" s="123"/>
    </row>
    <row r="510" spans="12:17" x14ac:dyDescent="0.25">
      <c r="L510" s="123"/>
      <c r="M510" s="123"/>
      <c r="N510" s="123"/>
      <c r="O510" s="123"/>
      <c r="P510" s="123"/>
      <c r="Q510" s="123"/>
    </row>
    <row r="511" spans="12:17" x14ac:dyDescent="0.25">
      <c r="L511" s="123"/>
      <c r="M511" s="123"/>
      <c r="N511" s="123"/>
      <c r="O511" s="123"/>
      <c r="P511" s="123"/>
      <c r="Q511" s="123"/>
    </row>
    <row r="512" spans="12:17" x14ac:dyDescent="0.25">
      <c r="L512" s="123"/>
      <c r="M512" s="123"/>
      <c r="N512" s="123"/>
      <c r="O512" s="123"/>
      <c r="P512" s="123"/>
      <c r="Q512" s="123"/>
    </row>
    <row r="513" spans="12:17" x14ac:dyDescent="0.25">
      <c r="L513" s="123"/>
      <c r="M513" s="123"/>
      <c r="N513" s="123"/>
      <c r="O513" s="123"/>
      <c r="P513" s="123"/>
      <c r="Q513" s="123"/>
    </row>
    <row r="514" spans="12:17" x14ac:dyDescent="0.25">
      <c r="L514" s="123"/>
      <c r="M514" s="123"/>
      <c r="N514" s="123"/>
      <c r="O514" s="123"/>
      <c r="P514" s="123"/>
      <c r="Q514" s="123"/>
    </row>
    <row r="515" spans="12:17" x14ac:dyDescent="0.25">
      <c r="L515" s="123"/>
      <c r="M515" s="123"/>
      <c r="N515" s="123"/>
      <c r="O515" s="123"/>
      <c r="P515" s="123"/>
      <c r="Q515" s="123"/>
    </row>
    <row r="516" spans="12:17" x14ac:dyDescent="0.25">
      <c r="L516" s="123"/>
      <c r="M516" s="123"/>
      <c r="N516" s="123"/>
      <c r="O516" s="123"/>
      <c r="P516" s="123"/>
      <c r="Q516" s="123"/>
    </row>
    <row r="517" spans="12:17" x14ac:dyDescent="0.25">
      <c r="L517" s="123"/>
      <c r="M517" s="123"/>
      <c r="N517" s="123"/>
      <c r="O517" s="123"/>
      <c r="P517" s="123"/>
      <c r="Q517" s="123"/>
    </row>
    <row r="518" spans="12:17" x14ac:dyDescent="0.25">
      <c r="L518" s="123"/>
      <c r="M518" s="123"/>
      <c r="N518" s="123"/>
      <c r="O518" s="123"/>
      <c r="P518" s="123"/>
      <c r="Q518" s="123"/>
    </row>
    <row r="519" spans="12:17" x14ac:dyDescent="0.25">
      <c r="L519" s="123"/>
      <c r="M519" s="123"/>
      <c r="N519" s="123"/>
      <c r="O519" s="123"/>
      <c r="P519" s="123"/>
      <c r="Q519" s="123"/>
    </row>
    <row r="520" spans="12:17" x14ac:dyDescent="0.25">
      <c r="L520" s="123"/>
      <c r="M520" s="123"/>
      <c r="N520" s="123"/>
      <c r="O520" s="123"/>
      <c r="P520" s="123"/>
      <c r="Q520" s="123"/>
    </row>
    <row r="521" spans="12:17" x14ac:dyDescent="0.25">
      <c r="L521" s="123"/>
      <c r="M521" s="123"/>
      <c r="N521" s="123"/>
      <c r="O521" s="123"/>
      <c r="P521" s="123"/>
      <c r="Q521" s="123"/>
    </row>
    <row r="522" spans="12:17" x14ac:dyDescent="0.25">
      <c r="L522" s="123"/>
      <c r="M522" s="123"/>
      <c r="N522" s="123"/>
      <c r="O522" s="123"/>
      <c r="P522" s="123"/>
      <c r="Q522" s="123"/>
    </row>
    <row r="523" spans="12:17" x14ac:dyDescent="0.25">
      <c r="L523" s="123"/>
      <c r="M523" s="123"/>
      <c r="N523" s="123"/>
      <c r="O523" s="123"/>
      <c r="P523" s="123"/>
      <c r="Q523" s="123"/>
    </row>
    <row r="524" spans="12:17" x14ac:dyDescent="0.25">
      <c r="L524" s="123"/>
      <c r="M524" s="123"/>
      <c r="N524" s="123"/>
      <c r="O524" s="123"/>
      <c r="P524" s="123"/>
      <c r="Q524" s="123"/>
    </row>
    <row r="525" spans="12:17" x14ac:dyDescent="0.25">
      <c r="L525" s="123"/>
      <c r="M525" s="123"/>
      <c r="N525" s="123"/>
      <c r="O525" s="123"/>
      <c r="P525" s="123"/>
      <c r="Q525" s="123"/>
    </row>
    <row r="526" spans="12:17" x14ac:dyDescent="0.25">
      <c r="L526" s="123"/>
      <c r="M526" s="123"/>
      <c r="N526" s="123"/>
      <c r="O526" s="123"/>
      <c r="P526" s="123"/>
      <c r="Q526" s="123"/>
    </row>
    <row r="527" spans="12:17" x14ac:dyDescent="0.25">
      <c r="L527" s="123"/>
      <c r="M527" s="123"/>
      <c r="N527" s="123"/>
      <c r="O527" s="123"/>
      <c r="P527" s="123"/>
      <c r="Q527" s="123"/>
    </row>
    <row r="528" spans="12:17" x14ac:dyDescent="0.25">
      <c r="L528" s="123"/>
      <c r="M528" s="123"/>
      <c r="N528" s="123"/>
      <c r="O528" s="123"/>
      <c r="P528" s="123"/>
      <c r="Q528" s="123"/>
    </row>
    <row r="529" spans="12:17" x14ac:dyDescent="0.25">
      <c r="L529" s="123"/>
      <c r="M529" s="123"/>
      <c r="N529" s="123"/>
      <c r="O529" s="123"/>
      <c r="P529" s="123"/>
      <c r="Q529" s="123"/>
    </row>
    <row r="530" spans="12:17" x14ac:dyDescent="0.25">
      <c r="L530" s="123"/>
      <c r="M530" s="123"/>
      <c r="N530" s="123"/>
      <c r="O530" s="123"/>
      <c r="P530" s="123"/>
      <c r="Q530" s="123"/>
    </row>
    <row r="531" spans="12:17" x14ac:dyDescent="0.25">
      <c r="L531" s="123"/>
      <c r="M531" s="123"/>
      <c r="N531" s="123"/>
      <c r="O531" s="123"/>
      <c r="P531" s="123"/>
      <c r="Q531" s="123"/>
    </row>
    <row r="532" spans="12:17" x14ac:dyDescent="0.25">
      <c r="L532" s="123"/>
      <c r="M532" s="123"/>
      <c r="N532" s="123"/>
      <c r="O532" s="123"/>
      <c r="P532" s="123"/>
      <c r="Q532" s="123"/>
    </row>
    <row r="533" spans="12:17" x14ac:dyDescent="0.25">
      <c r="L533" s="123"/>
      <c r="M533" s="123"/>
      <c r="N533" s="123"/>
      <c r="O533" s="123"/>
      <c r="P533" s="123"/>
      <c r="Q533" s="123"/>
    </row>
    <row r="534" spans="12:17" x14ac:dyDescent="0.25">
      <c r="L534" s="123"/>
      <c r="M534" s="123"/>
      <c r="N534" s="123"/>
      <c r="O534" s="123"/>
      <c r="P534" s="123"/>
      <c r="Q534" s="123"/>
    </row>
    <row r="535" spans="12:17" x14ac:dyDescent="0.25">
      <c r="L535" s="123"/>
      <c r="M535" s="123"/>
      <c r="N535" s="123"/>
      <c r="O535" s="123"/>
      <c r="P535" s="123"/>
      <c r="Q535" s="123"/>
    </row>
    <row r="536" spans="12:17" x14ac:dyDescent="0.25">
      <c r="L536" s="123"/>
      <c r="M536" s="123"/>
      <c r="N536" s="123"/>
      <c r="O536" s="123"/>
      <c r="P536" s="123"/>
      <c r="Q536" s="123"/>
    </row>
    <row r="537" spans="12:17" x14ac:dyDescent="0.25">
      <c r="L537" s="123"/>
      <c r="M537" s="123"/>
      <c r="N537" s="123"/>
      <c r="O537" s="123"/>
      <c r="P537" s="123"/>
      <c r="Q537" s="123"/>
    </row>
    <row r="538" spans="12:17" x14ac:dyDescent="0.25">
      <c r="L538" s="123"/>
      <c r="M538" s="123"/>
      <c r="N538" s="123"/>
      <c r="O538" s="123"/>
      <c r="P538" s="123"/>
      <c r="Q538" s="123"/>
    </row>
    <row r="539" spans="12:17" x14ac:dyDescent="0.25">
      <c r="L539" s="123"/>
      <c r="M539" s="123"/>
      <c r="N539" s="123"/>
      <c r="O539" s="123"/>
      <c r="P539" s="123"/>
      <c r="Q539" s="123"/>
    </row>
    <row r="540" spans="12:17" x14ac:dyDescent="0.25">
      <c r="L540" s="123"/>
      <c r="M540" s="123"/>
      <c r="N540" s="123"/>
      <c r="O540" s="123"/>
      <c r="P540" s="123"/>
      <c r="Q540" s="123"/>
    </row>
    <row r="541" spans="12:17" x14ac:dyDescent="0.25">
      <c r="L541" s="123"/>
      <c r="M541" s="123"/>
      <c r="N541" s="123"/>
      <c r="O541" s="123"/>
      <c r="P541" s="123"/>
      <c r="Q541" s="123"/>
    </row>
    <row r="542" spans="12:17" x14ac:dyDescent="0.25">
      <c r="L542" s="123"/>
      <c r="M542" s="123"/>
      <c r="N542" s="123"/>
      <c r="O542" s="123"/>
      <c r="P542" s="123"/>
      <c r="Q542" s="123"/>
    </row>
    <row r="543" spans="12:17" x14ac:dyDescent="0.25">
      <c r="L543" s="123"/>
      <c r="M543" s="123"/>
      <c r="N543" s="123"/>
      <c r="O543" s="123"/>
      <c r="P543" s="123"/>
      <c r="Q543" s="123"/>
    </row>
    <row r="544" spans="12:17" x14ac:dyDescent="0.25">
      <c r="L544" s="123"/>
      <c r="M544" s="123"/>
      <c r="N544" s="123"/>
      <c r="O544" s="123"/>
      <c r="P544" s="123"/>
      <c r="Q544" s="123"/>
    </row>
    <row r="545" spans="12:17" x14ac:dyDescent="0.25">
      <c r="L545" s="123"/>
      <c r="M545" s="123"/>
      <c r="N545" s="123"/>
      <c r="O545" s="123"/>
      <c r="P545" s="123"/>
      <c r="Q545" s="123"/>
    </row>
    <row r="546" spans="12:17" x14ac:dyDescent="0.25">
      <c r="L546" s="123"/>
      <c r="M546" s="123"/>
      <c r="N546" s="123"/>
      <c r="O546" s="123"/>
      <c r="P546" s="123"/>
      <c r="Q546" s="123"/>
    </row>
    <row r="547" spans="12:17" x14ac:dyDescent="0.25">
      <c r="L547" s="123"/>
      <c r="M547" s="123"/>
      <c r="N547" s="123"/>
      <c r="O547" s="123"/>
      <c r="P547" s="123"/>
      <c r="Q547" s="123"/>
    </row>
    <row r="548" spans="12:17" x14ac:dyDescent="0.25">
      <c r="L548" s="123"/>
      <c r="M548" s="123"/>
      <c r="N548" s="123"/>
      <c r="O548" s="123"/>
      <c r="P548" s="123"/>
      <c r="Q548" s="123"/>
    </row>
    <row r="549" spans="12:17" x14ac:dyDescent="0.25">
      <c r="L549" s="123"/>
      <c r="M549" s="123"/>
      <c r="N549" s="123"/>
      <c r="O549" s="123"/>
      <c r="P549" s="123"/>
      <c r="Q549" s="123"/>
    </row>
    <row r="550" spans="12:17" x14ac:dyDescent="0.25">
      <c r="L550" s="123"/>
      <c r="M550" s="123"/>
      <c r="N550" s="123"/>
      <c r="O550" s="123"/>
      <c r="P550" s="123"/>
      <c r="Q550" s="123"/>
    </row>
    <row r="551" spans="12:17" x14ac:dyDescent="0.25">
      <c r="L551" s="123"/>
      <c r="M551" s="123"/>
      <c r="N551" s="123"/>
      <c r="O551" s="123"/>
      <c r="P551" s="123"/>
      <c r="Q551" s="123"/>
    </row>
    <row r="552" spans="12:17" x14ac:dyDescent="0.25">
      <c r="L552" s="123"/>
      <c r="M552" s="123"/>
      <c r="N552" s="123"/>
      <c r="O552" s="123"/>
      <c r="P552" s="123"/>
      <c r="Q552" s="123"/>
    </row>
    <row r="553" spans="12:17" x14ac:dyDescent="0.25">
      <c r="L553" s="123"/>
      <c r="M553" s="123"/>
      <c r="N553" s="123"/>
      <c r="O553" s="123"/>
      <c r="P553" s="123"/>
      <c r="Q553" s="123"/>
    </row>
    <row r="554" spans="12:17" x14ac:dyDescent="0.25">
      <c r="L554" s="123"/>
      <c r="M554" s="123"/>
      <c r="N554" s="123"/>
      <c r="O554" s="123"/>
      <c r="P554" s="123"/>
      <c r="Q554" s="123"/>
    </row>
    <row r="555" spans="12:17" x14ac:dyDescent="0.25">
      <c r="L555" s="123"/>
      <c r="M555" s="123"/>
      <c r="N555" s="123"/>
      <c r="O555" s="123"/>
      <c r="P555" s="123"/>
      <c r="Q555" s="123"/>
    </row>
    <row r="556" spans="12:17" x14ac:dyDescent="0.25">
      <c r="L556" s="123"/>
      <c r="M556" s="123"/>
      <c r="N556" s="123"/>
      <c r="O556" s="123"/>
      <c r="P556" s="123"/>
      <c r="Q556" s="123"/>
    </row>
    <row r="557" spans="12:17" x14ac:dyDescent="0.25">
      <c r="L557" s="123"/>
      <c r="M557" s="123"/>
      <c r="N557" s="123"/>
      <c r="O557" s="123"/>
      <c r="P557" s="123"/>
      <c r="Q557" s="123"/>
    </row>
    <row r="558" spans="12:17" x14ac:dyDescent="0.25">
      <c r="L558" s="123"/>
      <c r="M558" s="123"/>
      <c r="N558" s="123"/>
      <c r="O558" s="123"/>
      <c r="P558" s="123"/>
      <c r="Q558" s="123"/>
    </row>
    <row r="559" spans="12:17" x14ac:dyDescent="0.25">
      <c r="L559" s="123"/>
      <c r="M559" s="123"/>
      <c r="N559" s="123"/>
      <c r="O559" s="123"/>
      <c r="P559" s="123"/>
      <c r="Q559" s="123"/>
    </row>
    <row r="560" spans="12:17" x14ac:dyDescent="0.25">
      <c r="L560" s="123"/>
      <c r="M560" s="123"/>
      <c r="N560" s="123"/>
      <c r="O560" s="123"/>
      <c r="P560" s="123"/>
      <c r="Q560" s="123"/>
    </row>
    <row r="561" spans="12:17" x14ac:dyDescent="0.25">
      <c r="L561" s="123"/>
      <c r="M561" s="123"/>
      <c r="N561" s="123"/>
      <c r="O561" s="123"/>
      <c r="P561" s="123"/>
      <c r="Q561" s="123"/>
    </row>
    <row r="562" spans="12:17" x14ac:dyDescent="0.25">
      <c r="L562" s="123"/>
      <c r="M562" s="123"/>
      <c r="N562" s="123"/>
      <c r="O562" s="123"/>
      <c r="P562" s="123"/>
      <c r="Q562" s="123"/>
    </row>
    <row r="563" spans="12:17" x14ac:dyDescent="0.25">
      <c r="L563" s="123"/>
      <c r="M563" s="123"/>
      <c r="N563" s="123"/>
      <c r="O563" s="123"/>
      <c r="P563" s="123"/>
      <c r="Q563" s="123"/>
    </row>
    <row r="564" spans="12:17" x14ac:dyDescent="0.25">
      <c r="L564" s="123"/>
      <c r="M564" s="123"/>
      <c r="N564" s="123"/>
      <c r="O564" s="123"/>
      <c r="P564" s="123"/>
      <c r="Q564" s="123"/>
    </row>
    <row r="565" spans="12:17" x14ac:dyDescent="0.25">
      <c r="L565" s="123"/>
      <c r="M565" s="123"/>
      <c r="N565" s="123"/>
      <c r="O565" s="123"/>
      <c r="P565" s="123"/>
      <c r="Q565" s="123"/>
    </row>
    <row r="566" spans="12:17" x14ac:dyDescent="0.25">
      <c r="L566" s="123"/>
      <c r="M566" s="123"/>
      <c r="N566" s="123"/>
      <c r="O566" s="123"/>
      <c r="P566" s="123"/>
      <c r="Q566" s="123"/>
    </row>
    <row r="567" spans="12:17" x14ac:dyDescent="0.25">
      <c r="L567" s="123"/>
      <c r="M567" s="123"/>
      <c r="N567" s="123"/>
      <c r="O567" s="123"/>
      <c r="P567" s="123"/>
      <c r="Q567" s="123"/>
    </row>
    <row r="568" spans="12:17" x14ac:dyDescent="0.25">
      <c r="L568" s="123"/>
      <c r="M568" s="123"/>
      <c r="N568" s="123"/>
      <c r="O568" s="123"/>
      <c r="P568" s="123"/>
      <c r="Q568" s="123"/>
    </row>
    <row r="569" spans="12:17" x14ac:dyDescent="0.25">
      <c r="L569" s="123"/>
      <c r="M569" s="123"/>
      <c r="N569" s="123"/>
      <c r="O569" s="123"/>
      <c r="P569" s="123"/>
      <c r="Q569" s="123"/>
    </row>
    <row r="570" spans="12:17" x14ac:dyDescent="0.25">
      <c r="L570" s="123"/>
      <c r="M570" s="123"/>
      <c r="N570" s="123"/>
      <c r="O570" s="123"/>
      <c r="P570" s="123"/>
      <c r="Q570" s="123"/>
    </row>
    <row r="571" spans="12:17" x14ac:dyDescent="0.25">
      <c r="L571" s="123"/>
      <c r="M571" s="123"/>
      <c r="N571" s="123"/>
      <c r="O571" s="123"/>
      <c r="P571" s="123"/>
      <c r="Q571" s="123"/>
    </row>
    <row r="572" spans="12:17" x14ac:dyDescent="0.25">
      <c r="L572" s="123"/>
      <c r="M572" s="123"/>
      <c r="N572" s="123"/>
      <c r="O572" s="123"/>
      <c r="P572" s="123"/>
      <c r="Q572" s="123"/>
    </row>
    <row r="573" spans="12:17" x14ac:dyDescent="0.25">
      <c r="L573" s="123"/>
      <c r="M573" s="123"/>
      <c r="N573" s="123"/>
      <c r="O573" s="123"/>
      <c r="P573" s="123"/>
      <c r="Q573" s="123"/>
    </row>
    <row r="574" spans="12:17" x14ac:dyDescent="0.25">
      <c r="L574" s="123"/>
      <c r="M574" s="123"/>
      <c r="N574" s="123"/>
      <c r="O574" s="123"/>
      <c r="P574" s="123"/>
      <c r="Q574" s="123"/>
    </row>
    <row r="575" spans="12:17" x14ac:dyDescent="0.25">
      <c r="L575" s="123"/>
      <c r="M575" s="123"/>
      <c r="N575" s="123"/>
      <c r="O575" s="123"/>
      <c r="P575" s="123"/>
      <c r="Q575" s="123"/>
    </row>
    <row r="576" spans="12:17" x14ac:dyDescent="0.25">
      <c r="L576" s="123"/>
      <c r="M576" s="123"/>
      <c r="N576" s="123"/>
      <c r="O576" s="123"/>
      <c r="P576" s="123"/>
      <c r="Q576" s="123"/>
    </row>
    <row r="577" spans="12:17" x14ac:dyDescent="0.25">
      <c r="L577" s="123"/>
      <c r="M577" s="123"/>
      <c r="N577" s="123"/>
      <c r="O577" s="123"/>
      <c r="P577" s="123"/>
      <c r="Q577" s="123"/>
    </row>
    <row r="578" spans="12:17" x14ac:dyDescent="0.25">
      <c r="L578" s="123"/>
      <c r="M578" s="123"/>
      <c r="N578" s="123"/>
      <c r="O578" s="123"/>
      <c r="P578" s="123"/>
      <c r="Q578" s="123"/>
    </row>
    <row r="579" spans="12:17" x14ac:dyDescent="0.25">
      <c r="L579" s="123"/>
      <c r="M579" s="123"/>
      <c r="N579" s="123"/>
      <c r="O579" s="123"/>
      <c r="P579" s="123"/>
      <c r="Q579" s="123"/>
    </row>
    <row r="580" spans="12:17" x14ac:dyDescent="0.25">
      <c r="L580" s="123"/>
      <c r="M580" s="123"/>
      <c r="N580" s="123"/>
      <c r="O580" s="123"/>
      <c r="P580" s="123"/>
      <c r="Q580" s="123"/>
    </row>
    <row r="581" spans="12:17" x14ac:dyDescent="0.25">
      <c r="L581" s="123"/>
      <c r="M581" s="123"/>
      <c r="N581" s="123"/>
      <c r="O581" s="123"/>
      <c r="P581" s="123"/>
      <c r="Q581" s="123"/>
    </row>
    <row r="582" spans="12:17" x14ac:dyDescent="0.25">
      <c r="L582" s="123"/>
      <c r="M582" s="123"/>
      <c r="N582" s="123"/>
      <c r="O582" s="123"/>
      <c r="P582" s="123"/>
      <c r="Q582" s="123"/>
    </row>
    <row r="583" spans="12:17" x14ac:dyDescent="0.25">
      <c r="L583" s="123"/>
      <c r="M583" s="123"/>
      <c r="N583" s="123"/>
      <c r="O583" s="123"/>
      <c r="P583" s="123"/>
      <c r="Q583" s="123"/>
    </row>
    <row r="584" spans="12:17" x14ac:dyDescent="0.25">
      <c r="L584" s="123"/>
      <c r="M584" s="123"/>
      <c r="N584" s="123"/>
      <c r="O584" s="123"/>
      <c r="P584" s="123"/>
      <c r="Q584" s="123"/>
    </row>
    <row r="585" spans="12:17" x14ac:dyDescent="0.25">
      <c r="L585" s="123"/>
      <c r="M585" s="123"/>
      <c r="N585" s="123"/>
      <c r="O585" s="123"/>
      <c r="P585" s="123"/>
      <c r="Q585" s="123"/>
    </row>
    <row r="586" spans="12:17" x14ac:dyDescent="0.25">
      <c r="L586" s="123"/>
      <c r="M586" s="123"/>
      <c r="N586" s="123"/>
      <c r="O586" s="123"/>
      <c r="P586" s="123"/>
      <c r="Q586" s="123"/>
    </row>
    <row r="587" spans="12:17" x14ac:dyDescent="0.25">
      <c r="L587" s="123"/>
      <c r="M587" s="123"/>
      <c r="N587" s="123"/>
      <c r="O587" s="123"/>
      <c r="P587" s="123"/>
      <c r="Q587" s="123"/>
    </row>
    <row r="588" spans="12:17" x14ac:dyDescent="0.25">
      <c r="L588" s="123"/>
      <c r="M588" s="123"/>
      <c r="N588" s="123"/>
      <c r="O588" s="123"/>
      <c r="P588" s="123"/>
      <c r="Q588" s="123"/>
    </row>
    <row r="589" spans="12:17" x14ac:dyDescent="0.25">
      <c r="L589" s="123"/>
      <c r="M589" s="123"/>
      <c r="N589" s="123"/>
      <c r="O589" s="123"/>
      <c r="P589" s="123"/>
      <c r="Q589" s="123"/>
    </row>
    <row r="590" spans="12:17" x14ac:dyDescent="0.25">
      <c r="L590" s="123"/>
      <c r="M590" s="123"/>
      <c r="N590" s="123"/>
      <c r="O590" s="123"/>
      <c r="P590" s="123"/>
      <c r="Q590" s="123"/>
    </row>
    <row r="591" spans="12:17" x14ac:dyDescent="0.25">
      <c r="L591" s="123"/>
      <c r="M591" s="123"/>
      <c r="N591" s="123"/>
      <c r="O591" s="123"/>
      <c r="P591" s="123"/>
      <c r="Q591" s="123"/>
    </row>
    <row r="592" spans="12:17" x14ac:dyDescent="0.25">
      <c r="L592" s="123"/>
      <c r="M592" s="123"/>
      <c r="N592" s="123"/>
      <c r="O592" s="123"/>
      <c r="P592" s="123"/>
      <c r="Q592" s="123"/>
    </row>
    <row r="593" spans="12:17" x14ac:dyDescent="0.25">
      <c r="L593" s="123"/>
      <c r="M593" s="123"/>
      <c r="N593" s="123"/>
      <c r="O593" s="123"/>
      <c r="P593" s="123"/>
      <c r="Q593" s="123"/>
    </row>
    <row r="594" spans="12:17" x14ac:dyDescent="0.25">
      <c r="L594" s="123"/>
      <c r="M594" s="123"/>
      <c r="N594" s="123"/>
      <c r="O594" s="123"/>
      <c r="P594" s="123"/>
      <c r="Q594" s="123"/>
    </row>
    <row r="595" spans="12:17" x14ac:dyDescent="0.25">
      <c r="L595" s="123"/>
      <c r="M595" s="123"/>
      <c r="N595" s="123"/>
      <c r="O595" s="123"/>
      <c r="P595" s="123"/>
      <c r="Q595" s="123"/>
    </row>
    <row r="596" spans="12:17" x14ac:dyDescent="0.25">
      <c r="L596" s="123"/>
      <c r="M596" s="123"/>
      <c r="N596" s="123"/>
      <c r="O596" s="123"/>
      <c r="P596" s="123"/>
      <c r="Q596" s="123"/>
    </row>
    <row r="597" spans="12:17" x14ac:dyDescent="0.25">
      <c r="L597" s="123"/>
      <c r="M597" s="123"/>
      <c r="N597" s="123"/>
      <c r="O597" s="123"/>
      <c r="P597" s="123"/>
      <c r="Q597" s="123"/>
    </row>
    <row r="598" spans="12:17" x14ac:dyDescent="0.25">
      <c r="L598" s="123"/>
      <c r="M598" s="123"/>
      <c r="N598" s="123"/>
      <c r="O598" s="123"/>
      <c r="P598" s="123"/>
      <c r="Q598" s="123"/>
    </row>
    <row r="599" spans="12:17" x14ac:dyDescent="0.25">
      <c r="L599" s="123"/>
      <c r="M599" s="123"/>
      <c r="N599" s="123"/>
      <c r="O599" s="123"/>
      <c r="P599" s="123"/>
      <c r="Q599" s="123"/>
    </row>
    <row r="600" spans="12:17" x14ac:dyDescent="0.25">
      <c r="L600" s="123"/>
      <c r="M600" s="123"/>
      <c r="N600" s="123"/>
      <c r="O600" s="123"/>
      <c r="P600" s="123"/>
      <c r="Q600" s="123"/>
    </row>
    <row r="601" spans="12:17" x14ac:dyDescent="0.25">
      <c r="L601" s="123"/>
      <c r="M601" s="123"/>
      <c r="N601" s="123"/>
      <c r="O601" s="123"/>
      <c r="P601" s="123"/>
      <c r="Q601" s="123"/>
    </row>
    <row r="602" spans="12:17" x14ac:dyDescent="0.25">
      <c r="L602" s="123"/>
      <c r="M602" s="123"/>
      <c r="N602" s="123"/>
      <c r="O602" s="123"/>
      <c r="P602" s="123"/>
      <c r="Q602" s="123"/>
    </row>
    <row r="603" spans="12:17" x14ac:dyDescent="0.25">
      <c r="L603" s="123"/>
      <c r="M603" s="123"/>
      <c r="N603" s="123"/>
      <c r="O603" s="123"/>
      <c r="P603" s="123"/>
      <c r="Q603" s="123"/>
    </row>
    <row r="604" spans="12:17" x14ac:dyDescent="0.25">
      <c r="L604" s="123"/>
      <c r="M604" s="123"/>
      <c r="N604" s="123"/>
      <c r="O604" s="123"/>
      <c r="P604" s="123"/>
      <c r="Q604" s="123"/>
    </row>
    <row r="605" spans="12:17" x14ac:dyDescent="0.25">
      <c r="L605" s="123"/>
      <c r="M605" s="123"/>
      <c r="N605" s="123"/>
      <c r="O605" s="123"/>
      <c r="P605" s="123"/>
      <c r="Q605" s="123"/>
    </row>
    <row r="606" spans="12:17" x14ac:dyDescent="0.25">
      <c r="L606" s="123"/>
      <c r="M606" s="123"/>
      <c r="N606" s="123"/>
      <c r="O606" s="123"/>
      <c r="P606" s="123"/>
      <c r="Q606" s="123"/>
    </row>
    <row r="607" spans="12:17" x14ac:dyDescent="0.25">
      <c r="L607" s="123"/>
      <c r="M607" s="123"/>
      <c r="N607" s="123"/>
      <c r="O607" s="123"/>
      <c r="P607" s="123"/>
      <c r="Q607" s="123"/>
    </row>
    <row r="608" spans="12:17" x14ac:dyDescent="0.25">
      <c r="L608" s="123"/>
      <c r="M608" s="123"/>
      <c r="N608" s="123"/>
      <c r="O608" s="123"/>
      <c r="P608" s="123"/>
      <c r="Q608" s="123"/>
    </row>
    <row r="609" spans="12:17" x14ac:dyDescent="0.25">
      <c r="L609" s="123"/>
      <c r="M609" s="123"/>
      <c r="N609" s="123"/>
      <c r="O609" s="123"/>
      <c r="P609" s="123"/>
      <c r="Q609" s="123"/>
    </row>
    <row r="610" spans="12:17" x14ac:dyDescent="0.25">
      <c r="L610" s="123"/>
      <c r="M610" s="123"/>
      <c r="N610" s="123"/>
      <c r="O610" s="123"/>
      <c r="P610" s="123"/>
      <c r="Q610" s="123"/>
    </row>
    <row r="611" spans="12:17" x14ac:dyDescent="0.25">
      <c r="L611" s="123"/>
      <c r="M611" s="123"/>
      <c r="N611" s="123"/>
      <c r="O611" s="123"/>
      <c r="P611" s="123"/>
      <c r="Q611" s="123"/>
    </row>
    <row r="612" spans="12:17" x14ac:dyDescent="0.25">
      <c r="L612" s="123"/>
      <c r="M612" s="123"/>
      <c r="N612" s="123"/>
      <c r="O612" s="123"/>
      <c r="P612" s="123"/>
      <c r="Q612" s="123"/>
    </row>
    <row r="613" spans="12:17" x14ac:dyDescent="0.25">
      <c r="L613" s="123"/>
      <c r="M613" s="123"/>
      <c r="N613" s="123"/>
      <c r="O613" s="123"/>
      <c r="P613" s="123"/>
      <c r="Q613" s="123"/>
    </row>
    <row r="614" spans="12:17" x14ac:dyDescent="0.25">
      <c r="L614" s="123"/>
      <c r="M614" s="123"/>
      <c r="N614" s="123"/>
      <c r="O614" s="123"/>
      <c r="P614" s="123"/>
      <c r="Q614" s="123"/>
    </row>
    <row r="615" spans="12:17" x14ac:dyDescent="0.25">
      <c r="L615" s="123"/>
      <c r="M615" s="123"/>
      <c r="N615" s="123"/>
      <c r="O615" s="123"/>
      <c r="P615" s="123"/>
      <c r="Q615" s="123"/>
    </row>
    <row r="616" spans="12:17" x14ac:dyDescent="0.25">
      <c r="L616" s="123"/>
      <c r="M616" s="123"/>
      <c r="N616" s="123"/>
      <c r="O616" s="123"/>
      <c r="P616" s="123"/>
      <c r="Q616" s="123"/>
    </row>
    <row r="617" spans="12:17" x14ac:dyDescent="0.25">
      <c r="L617" s="123"/>
      <c r="M617" s="123"/>
      <c r="N617" s="123"/>
      <c r="O617" s="123"/>
      <c r="P617" s="123"/>
      <c r="Q617" s="123"/>
    </row>
    <row r="618" spans="12:17" x14ac:dyDescent="0.25">
      <c r="L618" s="123"/>
      <c r="M618" s="123"/>
      <c r="N618" s="123"/>
      <c r="O618" s="123"/>
      <c r="P618" s="123"/>
      <c r="Q618" s="123"/>
    </row>
    <row r="619" spans="12:17" x14ac:dyDescent="0.25">
      <c r="L619" s="123"/>
      <c r="M619" s="123"/>
      <c r="N619" s="123"/>
      <c r="O619" s="123"/>
      <c r="P619" s="123"/>
      <c r="Q619" s="123"/>
    </row>
    <row r="620" spans="12:17" x14ac:dyDescent="0.25">
      <c r="L620" s="123"/>
      <c r="M620" s="123"/>
      <c r="N620" s="123"/>
      <c r="O620" s="123"/>
      <c r="P620" s="123"/>
      <c r="Q620" s="123"/>
    </row>
    <row r="621" spans="12:17" x14ac:dyDescent="0.25">
      <c r="L621" s="123"/>
      <c r="M621" s="123"/>
      <c r="N621" s="123"/>
      <c r="O621" s="123"/>
      <c r="P621" s="123"/>
      <c r="Q621" s="123"/>
    </row>
    <row r="622" spans="12:17" x14ac:dyDescent="0.25">
      <c r="L622" s="123"/>
      <c r="M622" s="123"/>
      <c r="N622" s="123"/>
      <c r="O622" s="123"/>
      <c r="P622" s="123"/>
      <c r="Q622" s="123"/>
    </row>
    <row r="623" spans="12:17" x14ac:dyDescent="0.25">
      <c r="L623" s="123"/>
      <c r="M623" s="123"/>
      <c r="N623" s="123"/>
      <c r="O623" s="123"/>
      <c r="P623" s="123"/>
      <c r="Q623" s="123"/>
    </row>
    <row r="624" spans="12:17" x14ac:dyDescent="0.25">
      <c r="L624" s="123"/>
      <c r="M624" s="123"/>
      <c r="N624" s="123"/>
      <c r="O624" s="123"/>
      <c r="P624" s="123"/>
      <c r="Q624" s="123"/>
    </row>
    <row r="625" spans="12:17" x14ac:dyDescent="0.25">
      <c r="L625" s="123"/>
      <c r="M625" s="123"/>
      <c r="N625" s="123"/>
      <c r="O625" s="123"/>
      <c r="P625" s="123"/>
      <c r="Q625" s="123"/>
    </row>
    <row r="626" spans="12:17" x14ac:dyDescent="0.25">
      <c r="L626" s="123"/>
      <c r="M626" s="123"/>
      <c r="N626" s="123"/>
      <c r="O626" s="123"/>
      <c r="P626" s="123"/>
      <c r="Q626" s="123"/>
    </row>
    <row r="627" spans="12:17" x14ac:dyDescent="0.25">
      <c r="L627" s="123"/>
      <c r="M627" s="123"/>
      <c r="N627" s="123"/>
      <c r="O627" s="123"/>
      <c r="P627" s="123"/>
      <c r="Q627" s="123"/>
    </row>
    <row r="628" spans="12:17" x14ac:dyDescent="0.25">
      <c r="L628" s="123"/>
      <c r="M628" s="123"/>
      <c r="N628" s="123"/>
      <c r="O628" s="123"/>
      <c r="P628" s="123"/>
      <c r="Q628" s="123"/>
    </row>
    <row r="629" spans="12:17" x14ac:dyDescent="0.25">
      <c r="L629" s="123"/>
      <c r="M629" s="123"/>
      <c r="N629" s="123"/>
      <c r="O629" s="123"/>
      <c r="P629" s="123"/>
      <c r="Q629" s="123"/>
    </row>
    <row r="630" spans="12:17" x14ac:dyDescent="0.25">
      <c r="L630" s="123"/>
      <c r="M630" s="123"/>
      <c r="N630" s="123"/>
      <c r="O630" s="123"/>
      <c r="P630" s="123"/>
      <c r="Q630" s="123"/>
    </row>
    <row r="631" spans="12:17" x14ac:dyDescent="0.25">
      <c r="L631" s="123"/>
      <c r="M631" s="123"/>
      <c r="N631" s="123"/>
      <c r="O631" s="123"/>
      <c r="P631" s="123"/>
      <c r="Q631" s="123"/>
    </row>
    <row r="632" spans="12:17" x14ac:dyDescent="0.25">
      <c r="L632" s="123"/>
      <c r="M632" s="123"/>
      <c r="N632" s="123"/>
      <c r="O632" s="123"/>
      <c r="P632" s="123"/>
      <c r="Q632" s="123"/>
    </row>
    <row r="633" spans="12:17" x14ac:dyDescent="0.25">
      <c r="L633" s="123"/>
      <c r="M633" s="123"/>
      <c r="N633" s="123"/>
      <c r="O633" s="123"/>
      <c r="P633" s="123"/>
      <c r="Q633" s="123"/>
    </row>
    <row r="634" spans="12:17" x14ac:dyDescent="0.25">
      <c r="L634" s="123"/>
      <c r="M634" s="123"/>
      <c r="N634" s="123"/>
      <c r="O634" s="123"/>
      <c r="P634" s="123"/>
      <c r="Q634" s="123"/>
    </row>
    <row r="635" spans="12:17" x14ac:dyDescent="0.25">
      <c r="L635" s="123"/>
      <c r="M635" s="123"/>
      <c r="N635" s="123"/>
      <c r="O635" s="123"/>
      <c r="P635" s="123"/>
      <c r="Q635" s="123"/>
    </row>
    <row r="636" spans="12:17" x14ac:dyDescent="0.25">
      <c r="L636" s="123"/>
      <c r="M636" s="123"/>
      <c r="N636" s="123"/>
      <c r="O636" s="123"/>
      <c r="P636" s="123"/>
      <c r="Q636" s="123"/>
    </row>
    <row r="637" spans="12:17" x14ac:dyDescent="0.25">
      <c r="L637" s="123"/>
      <c r="M637" s="123"/>
      <c r="N637" s="123"/>
      <c r="O637" s="123"/>
      <c r="P637" s="123"/>
      <c r="Q637" s="123"/>
    </row>
    <row r="638" spans="12:17" x14ac:dyDescent="0.25">
      <c r="L638" s="123"/>
      <c r="M638" s="123"/>
      <c r="N638" s="123"/>
      <c r="O638" s="123"/>
      <c r="P638" s="123"/>
      <c r="Q638" s="123"/>
    </row>
    <row r="639" spans="12:17" x14ac:dyDescent="0.25">
      <c r="L639" s="123"/>
      <c r="M639" s="123"/>
      <c r="N639" s="123"/>
      <c r="O639" s="123"/>
      <c r="P639" s="123"/>
      <c r="Q639" s="123"/>
    </row>
    <row r="640" spans="12:17" x14ac:dyDescent="0.25">
      <c r="L640" s="123"/>
      <c r="M640" s="123"/>
      <c r="N640" s="123"/>
      <c r="O640" s="123"/>
      <c r="P640" s="123"/>
      <c r="Q640" s="123"/>
    </row>
    <row r="641" spans="12:17" x14ac:dyDescent="0.25">
      <c r="L641" s="123"/>
      <c r="M641" s="123"/>
      <c r="N641" s="123"/>
      <c r="O641" s="123"/>
      <c r="P641" s="123"/>
      <c r="Q641" s="123"/>
    </row>
    <row r="642" spans="12:17" x14ac:dyDescent="0.25">
      <c r="L642" s="123"/>
      <c r="M642" s="123"/>
      <c r="N642" s="123"/>
      <c r="O642" s="123"/>
      <c r="P642" s="123"/>
      <c r="Q642" s="123"/>
    </row>
    <row r="643" spans="12:17" x14ac:dyDescent="0.25">
      <c r="L643" s="123"/>
      <c r="M643" s="123"/>
      <c r="N643" s="123"/>
      <c r="O643" s="123"/>
      <c r="P643" s="123"/>
      <c r="Q643" s="123"/>
    </row>
    <row r="644" spans="12:17" x14ac:dyDescent="0.25">
      <c r="L644" s="123"/>
      <c r="M644" s="123"/>
      <c r="N644" s="123"/>
      <c r="O644" s="123"/>
      <c r="P644" s="123"/>
      <c r="Q644" s="123"/>
    </row>
    <row r="645" spans="12:17" x14ac:dyDescent="0.25">
      <c r="L645" s="123"/>
      <c r="M645" s="123"/>
      <c r="N645" s="123"/>
      <c r="O645" s="123"/>
      <c r="P645" s="123"/>
      <c r="Q645" s="123"/>
    </row>
    <row r="646" spans="12:17" x14ac:dyDescent="0.25">
      <c r="L646" s="123"/>
      <c r="M646" s="123"/>
      <c r="N646" s="123"/>
      <c r="O646" s="123"/>
      <c r="P646" s="123"/>
      <c r="Q646" s="123"/>
    </row>
    <row r="647" spans="12:17" x14ac:dyDescent="0.25">
      <c r="L647" s="123"/>
      <c r="M647" s="123"/>
      <c r="N647" s="123"/>
      <c r="O647" s="123"/>
      <c r="P647" s="123"/>
      <c r="Q647" s="123"/>
    </row>
    <row r="648" spans="12:17" x14ac:dyDescent="0.25">
      <c r="L648" s="123"/>
      <c r="M648" s="123"/>
      <c r="N648" s="123"/>
      <c r="O648" s="123"/>
      <c r="P648" s="123"/>
      <c r="Q648" s="123"/>
    </row>
    <row r="649" spans="12:17" x14ac:dyDescent="0.25">
      <c r="L649" s="123"/>
      <c r="M649" s="123"/>
      <c r="N649" s="123"/>
      <c r="O649" s="123"/>
      <c r="P649" s="123"/>
      <c r="Q649" s="123"/>
    </row>
    <row r="650" spans="12:17" x14ac:dyDescent="0.25">
      <c r="L650" s="123"/>
      <c r="M650" s="123"/>
      <c r="N650" s="123"/>
      <c r="O650" s="123"/>
      <c r="P650" s="123"/>
      <c r="Q650" s="123"/>
    </row>
    <row r="651" spans="12:17" x14ac:dyDescent="0.25">
      <c r="L651" s="123"/>
      <c r="M651" s="123"/>
      <c r="N651" s="123"/>
      <c r="O651" s="123"/>
      <c r="P651" s="123"/>
      <c r="Q651" s="123"/>
    </row>
    <row r="652" spans="12:17" x14ac:dyDescent="0.25">
      <c r="L652" s="123"/>
      <c r="M652" s="123"/>
      <c r="N652" s="123"/>
      <c r="O652" s="123"/>
      <c r="P652" s="123"/>
      <c r="Q652" s="123"/>
    </row>
    <row r="653" spans="12:17" x14ac:dyDescent="0.25">
      <c r="L653" s="123"/>
      <c r="M653" s="123"/>
      <c r="N653" s="123"/>
      <c r="O653" s="123"/>
      <c r="P653" s="123"/>
      <c r="Q653" s="123"/>
    </row>
    <row r="654" spans="12:17" x14ac:dyDescent="0.25">
      <c r="L654" s="123"/>
      <c r="M654" s="123"/>
      <c r="N654" s="123"/>
      <c r="O654" s="123"/>
      <c r="P654" s="123"/>
      <c r="Q654" s="123"/>
    </row>
    <row r="655" spans="12:17" x14ac:dyDescent="0.25">
      <c r="L655" s="123"/>
      <c r="M655" s="123"/>
      <c r="N655" s="123"/>
      <c r="O655" s="123"/>
      <c r="P655" s="123"/>
      <c r="Q655" s="123"/>
    </row>
    <row r="656" spans="12:17" x14ac:dyDescent="0.25">
      <c r="L656" s="123"/>
      <c r="M656" s="123"/>
      <c r="N656" s="123"/>
      <c r="O656" s="123"/>
      <c r="P656" s="123"/>
      <c r="Q656" s="123"/>
    </row>
    <row r="657" spans="12:17" x14ac:dyDescent="0.25">
      <c r="L657" s="123"/>
      <c r="M657" s="123"/>
      <c r="N657" s="123"/>
      <c r="O657" s="123"/>
      <c r="P657" s="123"/>
      <c r="Q657" s="123"/>
    </row>
    <row r="658" spans="12:17" x14ac:dyDescent="0.25">
      <c r="L658" s="123"/>
      <c r="M658" s="123"/>
      <c r="N658" s="123"/>
      <c r="O658" s="123"/>
      <c r="P658" s="123"/>
      <c r="Q658" s="123"/>
    </row>
    <row r="659" spans="12:17" x14ac:dyDescent="0.25">
      <c r="L659" s="123"/>
      <c r="M659" s="123"/>
      <c r="N659" s="123"/>
      <c r="O659" s="123"/>
      <c r="P659" s="123"/>
      <c r="Q659" s="123"/>
    </row>
    <row r="660" spans="12:17" x14ac:dyDescent="0.25">
      <c r="L660" s="123"/>
      <c r="M660" s="123"/>
      <c r="N660" s="123"/>
      <c r="O660" s="123"/>
      <c r="P660" s="123"/>
      <c r="Q660" s="123"/>
    </row>
    <row r="661" spans="12:17" x14ac:dyDescent="0.25">
      <c r="L661" s="123"/>
      <c r="M661" s="123"/>
      <c r="N661" s="123"/>
      <c r="O661" s="123"/>
      <c r="P661" s="123"/>
      <c r="Q661" s="123"/>
    </row>
    <row r="662" spans="12:17" x14ac:dyDescent="0.25">
      <c r="L662" s="123"/>
      <c r="M662" s="123"/>
      <c r="N662" s="123"/>
      <c r="O662" s="123"/>
      <c r="P662" s="123"/>
      <c r="Q662" s="123"/>
    </row>
    <row r="663" spans="12:17" x14ac:dyDescent="0.25">
      <c r="L663" s="123"/>
      <c r="M663" s="123"/>
      <c r="N663" s="123"/>
      <c r="O663" s="123"/>
      <c r="P663" s="123"/>
      <c r="Q663" s="123"/>
    </row>
    <row r="664" spans="12:17" x14ac:dyDescent="0.25">
      <c r="L664" s="123"/>
      <c r="M664" s="123"/>
      <c r="N664" s="123"/>
      <c r="O664" s="123"/>
      <c r="P664" s="123"/>
      <c r="Q664" s="123"/>
    </row>
    <row r="665" spans="12:17" x14ac:dyDescent="0.25">
      <c r="L665" s="123"/>
      <c r="M665" s="123"/>
      <c r="N665" s="123"/>
      <c r="O665" s="123"/>
      <c r="P665" s="123"/>
      <c r="Q665" s="123"/>
    </row>
    <row r="666" spans="12:17" x14ac:dyDescent="0.25">
      <c r="L666" s="123"/>
      <c r="M666" s="123"/>
      <c r="N666" s="123"/>
      <c r="O666" s="123"/>
      <c r="P666" s="123"/>
      <c r="Q666" s="123"/>
    </row>
    <row r="667" spans="12:17" x14ac:dyDescent="0.25">
      <c r="L667" s="123"/>
      <c r="M667" s="123"/>
      <c r="N667" s="123"/>
      <c r="O667" s="123"/>
      <c r="P667" s="123"/>
      <c r="Q667" s="123"/>
    </row>
    <row r="668" spans="12:17" x14ac:dyDescent="0.25">
      <c r="L668" s="123"/>
      <c r="M668" s="123"/>
      <c r="N668" s="123"/>
      <c r="O668" s="123"/>
      <c r="P668" s="123"/>
      <c r="Q668" s="123"/>
    </row>
    <row r="669" spans="12:17" x14ac:dyDescent="0.25">
      <c r="L669" s="123"/>
      <c r="M669" s="123"/>
      <c r="N669" s="123"/>
      <c r="O669" s="123"/>
      <c r="P669" s="123"/>
      <c r="Q669" s="123"/>
    </row>
    <row r="670" spans="12:17" x14ac:dyDescent="0.25">
      <c r="L670" s="123"/>
      <c r="M670" s="123"/>
      <c r="N670" s="123"/>
      <c r="O670" s="123"/>
      <c r="P670" s="123"/>
      <c r="Q670" s="123"/>
    </row>
    <row r="671" spans="12:17" x14ac:dyDescent="0.25">
      <c r="L671" s="123"/>
      <c r="M671" s="123"/>
      <c r="N671" s="123"/>
      <c r="O671" s="123"/>
      <c r="P671" s="123"/>
      <c r="Q671" s="123"/>
    </row>
    <row r="672" spans="12:17" x14ac:dyDescent="0.25">
      <c r="L672" s="123"/>
      <c r="M672" s="123"/>
      <c r="N672" s="123"/>
      <c r="O672" s="123"/>
      <c r="P672" s="123"/>
      <c r="Q672" s="123"/>
    </row>
    <row r="673" spans="12:17" x14ac:dyDescent="0.25">
      <c r="L673" s="123"/>
      <c r="M673" s="123"/>
      <c r="N673" s="123"/>
      <c r="O673" s="123"/>
      <c r="P673" s="123"/>
      <c r="Q673" s="123"/>
    </row>
    <row r="674" spans="12:17" x14ac:dyDescent="0.25">
      <c r="L674" s="123"/>
      <c r="M674" s="123"/>
      <c r="N674" s="123"/>
      <c r="O674" s="123"/>
      <c r="P674" s="123"/>
      <c r="Q674" s="123"/>
    </row>
    <row r="675" spans="12:17" x14ac:dyDescent="0.25">
      <c r="L675" s="123"/>
      <c r="M675" s="123"/>
      <c r="N675" s="123"/>
      <c r="O675" s="123"/>
      <c r="P675" s="123"/>
      <c r="Q675" s="123"/>
    </row>
    <row r="676" spans="12:17" x14ac:dyDescent="0.25">
      <c r="L676" s="123"/>
      <c r="M676" s="123"/>
      <c r="N676" s="123"/>
      <c r="O676" s="123"/>
      <c r="P676" s="123"/>
      <c r="Q676" s="123"/>
    </row>
    <row r="677" spans="12:17" x14ac:dyDescent="0.25">
      <c r="L677" s="123"/>
      <c r="M677" s="123"/>
      <c r="N677" s="123"/>
      <c r="O677" s="123"/>
      <c r="P677" s="123"/>
      <c r="Q677" s="123"/>
    </row>
    <row r="678" spans="12:17" x14ac:dyDescent="0.25">
      <c r="L678" s="123"/>
      <c r="M678" s="123"/>
      <c r="N678" s="123"/>
      <c r="O678" s="123"/>
      <c r="P678" s="123"/>
      <c r="Q678" s="123"/>
    </row>
    <row r="679" spans="12:17" x14ac:dyDescent="0.25">
      <c r="L679" s="123"/>
      <c r="M679" s="123"/>
      <c r="N679" s="123"/>
      <c r="O679" s="123"/>
      <c r="P679" s="123"/>
      <c r="Q679" s="123"/>
    </row>
    <row r="680" spans="12:17" x14ac:dyDescent="0.25">
      <c r="L680" s="123"/>
      <c r="M680" s="123"/>
      <c r="N680" s="123"/>
      <c r="O680" s="123"/>
      <c r="P680" s="123"/>
      <c r="Q680" s="123"/>
    </row>
    <row r="681" spans="12:17" x14ac:dyDescent="0.25">
      <c r="L681" s="123"/>
      <c r="M681" s="123"/>
      <c r="N681" s="123"/>
      <c r="O681" s="123"/>
      <c r="P681" s="123"/>
      <c r="Q681" s="123"/>
    </row>
    <row r="682" spans="12:17" x14ac:dyDescent="0.25">
      <c r="L682" s="123"/>
      <c r="M682" s="123"/>
      <c r="N682" s="123"/>
      <c r="O682" s="123"/>
      <c r="P682" s="123"/>
      <c r="Q682" s="123"/>
    </row>
    <row r="683" spans="12:17" x14ac:dyDescent="0.25">
      <c r="L683" s="123"/>
      <c r="M683" s="123"/>
      <c r="N683" s="123"/>
      <c r="O683" s="123"/>
      <c r="P683" s="123"/>
      <c r="Q683" s="123"/>
    </row>
    <row r="684" spans="12:17" x14ac:dyDescent="0.25">
      <c r="L684" s="123"/>
      <c r="M684" s="123"/>
      <c r="N684" s="123"/>
      <c r="O684" s="123"/>
      <c r="P684" s="123"/>
      <c r="Q684" s="123"/>
    </row>
    <row r="685" spans="12:17" x14ac:dyDescent="0.25">
      <c r="L685" s="123"/>
      <c r="M685" s="123"/>
      <c r="N685" s="123"/>
      <c r="O685" s="123"/>
      <c r="P685" s="123"/>
      <c r="Q685" s="123"/>
    </row>
    <row r="686" spans="12:17" x14ac:dyDescent="0.25">
      <c r="L686" s="123"/>
      <c r="M686" s="123"/>
      <c r="N686" s="123"/>
      <c r="O686" s="123"/>
      <c r="P686" s="123"/>
      <c r="Q686" s="123"/>
    </row>
    <row r="687" spans="12:17" x14ac:dyDescent="0.25">
      <c r="L687" s="123"/>
      <c r="M687" s="123"/>
      <c r="N687" s="123"/>
      <c r="O687" s="123"/>
      <c r="P687" s="123"/>
      <c r="Q687" s="123"/>
    </row>
    <row r="688" spans="12:17" x14ac:dyDescent="0.25">
      <c r="L688" s="123"/>
      <c r="M688" s="123"/>
      <c r="N688" s="123"/>
      <c r="O688" s="123"/>
      <c r="P688" s="123"/>
      <c r="Q688" s="123"/>
    </row>
    <row r="689" spans="12:17" x14ac:dyDescent="0.25">
      <c r="L689" s="123"/>
      <c r="M689" s="123"/>
      <c r="N689" s="123"/>
      <c r="O689" s="123"/>
      <c r="P689" s="123"/>
      <c r="Q689" s="123"/>
    </row>
    <row r="690" spans="12:17" x14ac:dyDescent="0.25">
      <c r="L690" s="123"/>
      <c r="M690" s="123"/>
      <c r="N690" s="123"/>
      <c r="O690" s="123"/>
      <c r="P690" s="123"/>
      <c r="Q690" s="123"/>
    </row>
    <row r="691" spans="12:17" x14ac:dyDescent="0.25">
      <c r="L691" s="123"/>
      <c r="M691" s="123"/>
      <c r="N691" s="123"/>
      <c r="O691" s="123"/>
      <c r="P691" s="123"/>
      <c r="Q691" s="123"/>
    </row>
    <row r="692" spans="12:17" x14ac:dyDescent="0.25">
      <c r="L692" s="123"/>
      <c r="M692" s="123"/>
      <c r="N692" s="123"/>
      <c r="O692" s="123"/>
      <c r="P692" s="123"/>
      <c r="Q692" s="123"/>
    </row>
    <row r="693" spans="12:17" x14ac:dyDescent="0.25">
      <c r="L693" s="123"/>
      <c r="M693" s="123"/>
      <c r="N693" s="123"/>
      <c r="O693" s="123"/>
      <c r="P693" s="123"/>
      <c r="Q693" s="123"/>
    </row>
    <row r="694" spans="12:17" x14ac:dyDescent="0.25">
      <c r="L694" s="123"/>
      <c r="M694" s="123"/>
      <c r="N694" s="123"/>
      <c r="O694" s="123"/>
      <c r="P694" s="123"/>
      <c r="Q694" s="123"/>
    </row>
    <row r="695" spans="12:17" x14ac:dyDescent="0.25">
      <c r="L695" s="123"/>
      <c r="M695" s="123"/>
      <c r="N695" s="123"/>
      <c r="O695" s="123"/>
      <c r="P695" s="123"/>
      <c r="Q695" s="123"/>
    </row>
    <row r="696" spans="12:17" x14ac:dyDescent="0.25">
      <c r="L696" s="123"/>
      <c r="M696" s="123"/>
      <c r="N696" s="123"/>
      <c r="O696" s="123"/>
      <c r="P696" s="123"/>
      <c r="Q696" s="123"/>
    </row>
    <row r="697" spans="12:17" x14ac:dyDescent="0.25">
      <c r="L697" s="123"/>
      <c r="M697" s="123"/>
      <c r="N697" s="123"/>
      <c r="O697" s="123"/>
      <c r="P697" s="123"/>
      <c r="Q697" s="123"/>
    </row>
    <row r="698" spans="12:17" x14ac:dyDescent="0.25">
      <c r="L698" s="123"/>
      <c r="M698" s="123"/>
      <c r="N698" s="123"/>
      <c r="O698" s="123"/>
      <c r="P698" s="123"/>
      <c r="Q698" s="123"/>
    </row>
    <row r="699" spans="12:17" x14ac:dyDescent="0.25">
      <c r="L699" s="123"/>
      <c r="M699" s="123"/>
      <c r="N699" s="123"/>
      <c r="O699" s="123"/>
      <c r="P699" s="123"/>
      <c r="Q699" s="123"/>
    </row>
    <row r="700" spans="12:17" x14ac:dyDescent="0.25">
      <c r="L700" s="123"/>
      <c r="M700" s="123"/>
      <c r="N700" s="123"/>
      <c r="O700" s="123"/>
      <c r="P700" s="123"/>
      <c r="Q700" s="123"/>
    </row>
    <row r="701" spans="12:17" x14ac:dyDescent="0.25">
      <c r="L701" s="123"/>
      <c r="M701" s="123"/>
      <c r="N701" s="123"/>
      <c r="O701" s="123"/>
      <c r="P701" s="123"/>
      <c r="Q701" s="123"/>
    </row>
    <row r="702" spans="12:17" x14ac:dyDescent="0.25">
      <c r="L702" s="123"/>
      <c r="M702" s="123"/>
      <c r="N702" s="123"/>
      <c r="O702" s="123"/>
      <c r="P702" s="123"/>
      <c r="Q702" s="123"/>
    </row>
    <row r="703" spans="12:17" x14ac:dyDescent="0.25">
      <c r="L703" s="123"/>
      <c r="M703" s="123"/>
      <c r="N703" s="123"/>
      <c r="O703" s="123"/>
      <c r="P703" s="123"/>
      <c r="Q703" s="123"/>
    </row>
    <row r="704" spans="12:17" x14ac:dyDescent="0.25">
      <c r="L704" s="123"/>
      <c r="M704" s="123"/>
      <c r="N704" s="123"/>
      <c r="O704" s="123"/>
      <c r="P704" s="123"/>
      <c r="Q704" s="123"/>
    </row>
    <row r="705" spans="12:17" x14ac:dyDescent="0.25">
      <c r="L705" s="123"/>
      <c r="M705" s="123"/>
      <c r="N705" s="123"/>
      <c r="O705" s="123"/>
      <c r="P705" s="123"/>
      <c r="Q705" s="123"/>
    </row>
    <row r="706" spans="12:17" x14ac:dyDescent="0.25">
      <c r="L706" s="123"/>
      <c r="M706" s="123"/>
      <c r="N706" s="123"/>
      <c r="O706" s="123"/>
      <c r="P706" s="123"/>
      <c r="Q706" s="123"/>
    </row>
    <row r="707" spans="12:17" x14ac:dyDescent="0.25">
      <c r="L707" s="123"/>
      <c r="M707" s="123"/>
      <c r="N707" s="123"/>
      <c r="O707" s="123"/>
      <c r="P707" s="123"/>
      <c r="Q707" s="123"/>
    </row>
    <row r="708" spans="12:17" x14ac:dyDescent="0.25">
      <c r="L708" s="123"/>
      <c r="M708" s="123"/>
      <c r="N708" s="123"/>
      <c r="O708" s="123"/>
      <c r="P708" s="123"/>
      <c r="Q708" s="123"/>
    </row>
    <row r="709" spans="12:17" x14ac:dyDescent="0.25">
      <c r="L709" s="123"/>
      <c r="M709" s="123"/>
      <c r="N709" s="123"/>
      <c r="O709" s="123"/>
      <c r="P709" s="123"/>
      <c r="Q709" s="123"/>
    </row>
    <row r="710" spans="12:17" x14ac:dyDescent="0.25">
      <c r="L710" s="123"/>
      <c r="M710" s="123"/>
      <c r="N710" s="123"/>
      <c r="O710" s="123"/>
      <c r="P710" s="123"/>
      <c r="Q710" s="123"/>
    </row>
    <row r="711" spans="12:17" x14ac:dyDescent="0.25">
      <c r="L711" s="123"/>
      <c r="M711" s="123"/>
      <c r="N711" s="123"/>
      <c r="O711" s="123"/>
      <c r="P711" s="123"/>
      <c r="Q711" s="123"/>
    </row>
    <row r="712" spans="12:17" x14ac:dyDescent="0.25">
      <c r="L712" s="123"/>
      <c r="M712" s="123"/>
      <c r="N712" s="123"/>
      <c r="O712" s="123"/>
      <c r="P712" s="123"/>
      <c r="Q712" s="123"/>
    </row>
    <row r="713" spans="12:17" x14ac:dyDescent="0.25">
      <c r="L713" s="123"/>
      <c r="M713" s="123"/>
      <c r="N713" s="123"/>
      <c r="O713" s="123"/>
      <c r="P713" s="123"/>
      <c r="Q713" s="123"/>
    </row>
    <row r="714" spans="12:17" x14ac:dyDescent="0.25">
      <c r="L714" s="123"/>
      <c r="M714" s="123"/>
      <c r="N714" s="123"/>
      <c r="O714" s="123"/>
      <c r="P714" s="123"/>
      <c r="Q714" s="123"/>
    </row>
    <row r="715" spans="12:17" x14ac:dyDescent="0.25">
      <c r="L715" s="123"/>
      <c r="M715" s="123"/>
      <c r="N715" s="123"/>
      <c r="O715" s="123"/>
      <c r="P715" s="123"/>
      <c r="Q715" s="123"/>
    </row>
    <row r="716" spans="12:17" x14ac:dyDescent="0.25">
      <c r="L716" s="123"/>
      <c r="M716" s="123"/>
      <c r="N716" s="123"/>
      <c r="O716" s="123"/>
      <c r="P716" s="123"/>
      <c r="Q716" s="123"/>
    </row>
    <row r="717" spans="12:17" x14ac:dyDescent="0.25">
      <c r="L717" s="123"/>
      <c r="M717" s="123"/>
      <c r="N717" s="123"/>
      <c r="O717" s="123"/>
      <c r="P717" s="123"/>
      <c r="Q717" s="123"/>
    </row>
    <row r="718" spans="12:17" x14ac:dyDescent="0.25">
      <c r="L718" s="123"/>
      <c r="M718" s="123"/>
      <c r="N718" s="123"/>
      <c r="O718" s="123"/>
      <c r="P718" s="123"/>
      <c r="Q718" s="123"/>
    </row>
    <row r="719" spans="12:17" x14ac:dyDescent="0.25">
      <c r="L719" s="123"/>
      <c r="M719" s="123"/>
      <c r="N719" s="123"/>
      <c r="O719" s="123"/>
      <c r="P719" s="123"/>
      <c r="Q719" s="123"/>
    </row>
    <row r="720" spans="12:17" x14ac:dyDescent="0.25">
      <c r="L720" s="123"/>
      <c r="M720" s="123"/>
      <c r="N720" s="123"/>
      <c r="O720" s="123"/>
      <c r="P720" s="123"/>
      <c r="Q720" s="123"/>
    </row>
    <row r="721" spans="12:17" x14ac:dyDescent="0.25">
      <c r="L721" s="123"/>
      <c r="M721" s="123"/>
      <c r="N721" s="123"/>
      <c r="O721" s="123"/>
      <c r="P721" s="123"/>
      <c r="Q721" s="123"/>
    </row>
    <row r="722" spans="12:17" x14ac:dyDescent="0.25">
      <c r="L722" s="123"/>
      <c r="M722" s="123"/>
      <c r="N722" s="123"/>
      <c r="O722" s="123"/>
      <c r="P722" s="123"/>
      <c r="Q722" s="123"/>
    </row>
    <row r="723" spans="12:17" x14ac:dyDescent="0.25">
      <c r="L723" s="123"/>
      <c r="M723" s="123"/>
      <c r="N723" s="123"/>
      <c r="O723" s="123"/>
      <c r="P723" s="123"/>
      <c r="Q723" s="123"/>
    </row>
    <row r="724" spans="12:17" x14ac:dyDescent="0.25">
      <c r="L724" s="123"/>
      <c r="M724" s="123"/>
      <c r="N724" s="123"/>
      <c r="O724" s="123"/>
      <c r="P724" s="123"/>
      <c r="Q724" s="123"/>
    </row>
    <row r="725" spans="12:17" x14ac:dyDescent="0.25">
      <c r="L725" s="123"/>
      <c r="M725" s="123"/>
      <c r="N725" s="123"/>
      <c r="O725" s="123"/>
      <c r="P725" s="123"/>
      <c r="Q725" s="123"/>
    </row>
    <row r="726" spans="12:17" x14ac:dyDescent="0.25">
      <c r="L726" s="123"/>
      <c r="M726" s="123"/>
      <c r="N726" s="123"/>
      <c r="O726" s="123"/>
      <c r="P726" s="123"/>
      <c r="Q726" s="123"/>
    </row>
    <row r="727" spans="12:17" x14ac:dyDescent="0.25">
      <c r="L727" s="123"/>
      <c r="M727" s="123"/>
      <c r="N727" s="123"/>
      <c r="O727" s="123"/>
      <c r="P727" s="123"/>
      <c r="Q727" s="123"/>
    </row>
    <row r="728" spans="12:17" x14ac:dyDescent="0.25">
      <c r="L728" s="123"/>
      <c r="M728" s="123"/>
      <c r="N728" s="123"/>
      <c r="O728" s="123"/>
      <c r="P728" s="123"/>
      <c r="Q728" s="123"/>
    </row>
    <row r="729" spans="12:17" x14ac:dyDescent="0.25">
      <c r="L729" s="123"/>
      <c r="M729" s="123"/>
      <c r="N729" s="123"/>
      <c r="O729" s="123"/>
      <c r="P729" s="123"/>
      <c r="Q729" s="123"/>
    </row>
    <row r="730" spans="12:17" x14ac:dyDescent="0.25">
      <c r="L730" s="123"/>
      <c r="M730" s="123"/>
      <c r="N730" s="123"/>
      <c r="O730" s="123"/>
      <c r="P730" s="123"/>
      <c r="Q730" s="123"/>
    </row>
    <row r="731" spans="12:17" x14ac:dyDescent="0.25">
      <c r="L731" s="123"/>
      <c r="M731" s="123"/>
      <c r="N731" s="123"/>
      <c r="O731" s="123"/>
      <c r="P731" s="123"/>
      <c r="Q731" s="123"/>
    </row>
    <row r="732" spans="12:17" x14ac:dyDescent="0.25">
      <c r="L732" s="123"/>
      <c r="M732" s="123"/>
      <c r="N732" s="123"/>
      <c r="O732" s="123"/>
      <c r="P732" s="123"/>
      <c r="Q732" s="123"/>
    </row>
    <row r="733" spans="12:17" x14ac:dyDescent="0.25">
      <c r="L733" s="123"/>
      <c r="M733" s="123"/>
      <c r="N733" s="123"/>
      <c r="O733" s="123"/>
      <c r="P733" s="123"/>
      <c r="Q733" s="123"/>
    </row>
    <row r="734" spans="12:17" x14ac:dyDescent="0.25">
      <c r="L734" s="123"/>
      <c r="M734" s="123"/>
      <c r="N734" s="123"/>
      <c r="O734" s="123"/>
      <c r="P734" s="123"/>
      <c r="Q734" s="123"/>
    </row>
    <row r="735" spans="12:17" x14ac:dyDescent="0.25">
      <c r="L735" s="123"/>
      <c r="M735" s="123"/>
      <c r="N735" s="123"/>
      <c r="O735" s="123"/>
      <c r="P735" s="123"/>
      <c r="Q735" s="123"/>
    </row>
    <row r="736" spans="12:17" x14ac:dyDescent="0.25">
      <c r="L736" s="123"/>
      <c r="M736" s="123"/>
      <c r="N736" s="123"/>
      <c r="O736" s="123"/>
      <c r="P736" s="123"/>
      <c r="Q736" s="123"/>
    </row>
    <row r="737" spans="12:17" x14ac:dyDescent="0.25">
      <c r="L737" s="123"/>
      <c r="M737" s="123"/>
      <c r="N737" s="123"/>
      <c r="O737" s="123"/>
      <c r="P737" s="123"/>
      <c r="Q737" s="123"/>
    </row>
    <row r="738" spans="12:17" x14ac:dyDescent="0.25">
      <c r="L738" s="123"/>
      <c r="M738" s="123"/>
      <c r="N738" s="123"/>
      <c r="O738" s="123"/>
      <c r="P738" s="123"/>
      <c r="Q738" s="123"/>
    </row>
    <row r="739" spans="12:17" x14ac:dyDescent="0.25">
      <c r="L739" s="123"/>
      <c r="M739" s="123"/>
      <c r="N739" s="123"/>
      <c r="O739" s="123"/>
      <c r="P739" s="123"/>
      <c r="Q739" s="123"/>
    </row>
    <row r="740" spans="12:17" x14ac:dyDescent="0.25">
      <c r="L740" s="123"/>
      <c r="M740" s="123"/>
      <c r="N740" s="123"/>
      <c r="O740" s="123"/>
      <c r="P740" s="123"/>
      <c r="Q740" s="123"/>
    </row>
    <row r="741" spans="12:17" x14ac:dyDescent="0.25">
      <c r="L741" s="123"/>
      <c r="M741" s="123"/>
      <c r="N741" s="123"/>
      <c r="O741" s="123"/>
      <c r="P741" s="123"/>
      <c r="Q741" s="123"/>
    </row>
    <row r="742" spans="12:17" x14ac:dyDescent="0.25">
      <c r="L742" s="123"/>
      <c r="M742" s="123"/>
      <c r="N742" s="123"/>
      <c r="O742" s="123"/>
      <c r="P742" s="123"/>
      <c r="Q742" s="123"/>
    </row>
    <row r="743" spans="12:17" x14ac:dyDescent="0.25">
      <c r="L743" s="123"/>
      <c r="M743" s="123"/>
      <c r="N743" s="123"/>
      <c r="O743" s="123"/>
      <c r="P743" s="123"/>
      <c r="Q743" s="123"/>
    </row>
    <row r="744" spans="12:17" x14ac:dyDescent="0.25">
      <c r="L744" s="123"/>
      <c r="M744" s="123"/>
      <c r="N744" s="123"/>
      <c r="O744" s="123"/>
      <c r="P744" s="123"/>
      <c r="Q744" s="123"/>
    </row>
    <row r="745" spans="12:17" x14ac:dyDescent="0.25">
      <c r="L745" s="123"/>
      <c r="M745" s="123"/>
      <c r="N745" s="123"/>
      <c r="O745" s="123"/>
      <c r="P745" s="123"/>
      <c r="Q745" s="123"/>
    </row>
    <row r="746" spans="12:17" x14ac:dyDescent="0.25">
      <c r="L746" s="123"/>
      <c r="M746" s="123"/>
      <c r="N746" s="123"/>
      <c r="O746" s="123"/>
      <c r="P746" s="123"/>
      <c r="Q746" s="123"/>
    </row>
    <row r="747" spans="12:17" x14ac:dyDescent="0.25">
      <c r="L747" s="123"/>
      <c r="M747" s="123"/>
      <c r="N747" s="123"/>
      <c r="O747" s="123"/>
      <c r="P747" s="123"/>
      <c r="Q747" s="123"/>
    </row>
    <row r="748" spans="12:17" x14ac:dyDescent="0.25">
      <c r="L748" s="123"/>
      <c r="M748" s="123"/>
      <c r="N748" s="123"/>
      <c r="O748" s="123"/>
      <c r="P748" s="123"/>
      <c r="Q748" s="123"/>
    </row>
    <row r="749" spans="12:17" x14ac:dyDescent="0.25">
      <c r="L749" s="123"/>
      <c r="M749" s="123"/>
      <c r="N749" s="123"/>
      <c r="O749" s="123"/>
      <c r="P749" s="123"/>
      <c r="Q749" s="123"/>
    </row>
    <row r="750" spans="12:17" x14ac:dyDescent="0.25">
      <c r="L750" s="123"/>
      <c r="M750" s="123"/>
      <c r="N750" s="123"/>
      <c r="O750" s="123"/>
      <c r="P750" s="123"/>
      <c r="Q750" s="123"/>
    </row>
    <row r="751" spans="12:17" x14ac:dyDescent="0.25">
      <c r="L751" s="123"/>
      <c r="M751" s="123"/>
      <c r="N751" s="123"/>
      <c r="O751" s="123"/>
      <c r="P751" s="123"/>
      <c r="Q751" s="123"/>
    </row>
    <row r="752" spans="12:17" x14ac:dyDescent="0.25">
      <c r="L752" s="123"/>
      <c r="M752" s="123"/>
      <c r="N752" s="123"/>
      <c r="O752" s="123"/>
      <c r="P752" s="123"/>
      <c r="Q752" s="123"/>
    </row>
    <row r="753" spans="12:17" x14ac:dyDescent="0.25">
      <c r="L753" s="123"/>
      <c r="M753" s="123"/>
      <c r="N753" s="123"/>
      <c r="O753" s="123"/>
      <c r="P753" s="123"/>
      <c r="Q753" s="123"/>
    </row>
    <row r="754" spans="12:17" x14ac:dyDescent="0.25">
      <c r="L754" s="123"/>
      <c r="M754" s="123"/>
      <c r="N754" s="123"/>
      <c r="O754" s="123"/>
      <c r="P754" s="123"/>
      <c r="Q754" s="123"/>
    </row>
    <row r="755" spans="12:17" x14ac:dyDescent="0.25">
      <c r="L755" s="123"/>
      <c r="M755" s="123"/>
      <c r="N755" s="123"/>
      <c r="O755" s="123"/>
      <c r="P755" s="123"/>
      <c r="Q755" s="123"/>
    </row>
    <row r="756" spans="12:17" x14ac:dyDescent="0.25">
      <c r="L756" s="123"/>
      <c r="M756" s="123"/>
      <c r="N756" s="123"/>
      <c r="O756" s="123"/>
      <c r="P756" s="123"/>
      <c r="Q756" s="123"/>
    </row>
    <row r="757" spans="12:17" x14ac:dyDescent="0.25">
      <c r="L757" s="123"/>
      <c r="M757" s="123"/>
      <c r="N757" s="123"/>
      <c r="O757" s="123"/>
      <c r="P757" s="123"/>
      <c r="Q757" s="123"/>
    </row>
    <row r="758" spans="12:17" x14ac:dyDescent="0.25">
      <c r="L758" s="123"/>
      <c r="M758" s="123"/>
      <c r="N758" s="123"/>
      <c r="O758" s="123"/>
      <c r="P758" s="123"/>
      <c r="Q758" s="123"/>
    </row>
    <row r="759" spans="12:17" x14ac:dyDescent="0.25">
      <c r="L759" s="123"/>
      <c r="M759" s="123"/>
      <c r="N759" s="123"/>
      <c r="O759" s="123"/>
      <c r="P759" s="123"/>
      <c r="Q759" s="123"/>
    </row>
    <row r="760" spans="12:17" x14ac:dyDescent="0.25">
      <c r="L760" s="123"/>
      <c r="M760" s="123"/>
      <c r="N760" s="123"/>
      <c r="O760" s="123"/>
      <c r="P760" s="123"/>
      <c r="Q760" s="123"/>
    </row>
    <row r="761" spans="12:17" x14ac:dyDescent="0.25">
      <c r="L761" s="123"/>
      <c r="M761" s="123"/>
      <c r="N761" s="123"/>
      <c r="O761" s="123"/>
      <c r="P761" s="123"/>
      <c r="Q761" s="123"/>
    </row>
    <row r="762" spans="12:17" x14ac:dyDescent="0.25">
      <c r="L762" s="123"/>
      <c r="M762" s="123"/>
      <c r="N762" s="123"/>
      <c r="O762" s="123"/>
      <c r="P762" s="123"/>
      <c r="Q762" s="123"/>
    </row>
    <row r="763" spans="12:17" x14ac:dyDescent="0.25">
      <c r="L763" s="123"/>
      <c r="M763" s="123"/>
      <c r="N763" s="123"/>
      <c r="O763" s="123"/>
      <c r="P763" s="123"/>
      <c r="Q763" s="123"/>
    </row>
    <row r="764" spans="12:17" x14ac:dyDescent="0.25">
      <c r="L764" s="123"/>
      <c r="M764" s="123"/>
      <c r="N764" s="123"/>
      <c r="O764" s="123"/>
      <c r="P764" s="123"/>
      <c r="Q764" s="123"/>
    </row>
    <row r="765" spans="12:17" x14ac:dyDescent="0.25">
      <c r="L765" s="123"/>
      <c r="M765" s="123"/>
      <c r="N765" s="123"/>
      <c r="O765" s="123"/>
      <c r="P765" s="123"/>
      <c r="Q765" s="123"/>
    </row>
    <row r="766" spans="12:17" x14ac:dyDescent="0.25">
      <c r="L766" s="123"/>
      <c r="M766" s="123"/>
      <c r="N766" s="123"/>
      <c r="O766" s="123"/>
      <c r="P766" s="123"/>
      <c r="Q766" s="123"/>
    </row>
    <row r="767" spans="12:17" x14ac:dyDescent="0.25">
      <c r="L767" s="123"/>
      <c r="M767" s="123"/>
      <c r="N767" s="123"/>
      <c r="O767" s="123"/>
      <c r="P767" s="123"/>
      <c r="Q767" s="123"/>
    </row>
    <row r="768" spans="12:17" x14ac:dyDescent="0.25">
      <c r="L768" s="123"/>
      <c r="M768" s="123"/>
      <c r="N768" s="123"/>
      <c r="O768" s="123"/>
      <c r="P768" s="123"/>
      <c r="Q768" s="123"/>
    </row>
    <row r="769" spans="12:17" x14ac:dyDescent="0.25">
      <c r="L769" s="123"/>
      <c r="M769" s="123"/>
      <c r="N769" s="123"/>
      <c r="O769" s="123"/>
      <c r="P769" s="123"/>
      <c r="Q769" s="123"/>
    </row>
    <row r="770" spans="12:17" x14ac:dyDescent="0.25">
      <c r="L770" s="123"/>
      <c r="M770" s="123"/>
      <c r="N770" s="123"/>
      <c r="O770" s="123"/>
      <c r="P770" s="123"/>
      <c r="Q770" s="123"/>
    </row>
    <row r="771" spans="12:17" x14ac:dyDescent="0.25">
      <c r="L771" s="123"/>
      <c r="M771" s="123"/>
      <c r="N771" s="123"/>
      <c r="O771" s="123"/>
      <c r="P771" s="123"/>
      <c r="Q771" s="123"/>
    </row>
    <row r="772" spans="12:17" x14ac:dyDescent="0.25">
      <c r="L772" s="123"/>
      <c r="M772" s="123"/>
      <c r="N772" s="123"/>
      <c r="O772" s="123"/>
      <c r="P772" s="123"/>
      <c r="Q772" s="123"/>
    </row>
    <row r="773" spans="12:17" x14ac:dyDescent="0.25">
      <c r="L773" s="123"/>
      <c r="M773" s="123"/>
      <c r="N773" s="123"/>
      <c r="O773" s="123"/>
      <c r="P773" s="123"/>
      <c r="Q773" s="123"/>
    </row>
    <row r="774" spans="12:17" x14ac:dyDescent="0.25">
      <c r="L774" s="123"/>
      <c r="M774" s="123"/>
      <c r="N774" s="123"/>
      <c r="O774" s="123"/>
      <c r="P774" s="123"/>
      <c r="Q774" s="123"/>
    </row>
    <row r="775" spans="12:17" x14ac:dyDescent="0.25">
      <c r="L775" s="123"/>
      <c r="M775" s="123"/>
      <c r="N775" s="123"/>
      <c r="O775" s="123"/>
      <c r="P775" s="123"/>
      <c r="Q775" s="123"/>
    </row>
    <row r="776" spans="12:17" x14ac:dyDescent="0.25">
      <c r="L776" s="123"/>
      <c r="M776" s="123"/>
      <c r="N776" s="123"/>
      <c r="O776" s="123"/>
      <c r="P776" s="123"/>
      <c r="Q776" s="123"/>
    </row>
    <row r="777" spans="12:17" x14ac:dyDescent="0.25">
      <c r="L777" s="123"/>
      <c r="M777" s="123"/>
      <c r="N777" s="123"/>
      <c r="O777" s="123"/>
      <c r="P777" s="123"/>
      <c r="Q777" s="123"/>
    </row>
    <row r="778" spans="12:17" x14ac:dyDescent="0.25">
      <c r="L778" s="123"/>
      <c r="M778" s="123"/>
      <c r="N778" s="123"/>
      <c r="O778" s="123"/>
      <c r="P778" s="123"/>
      <c r="Q778" s="123"/>
    </row>
    <row r="779" spans="12:17" x14ac:dyDescent="0.25">
      <c r="L779" s="123"/>
      <c r="M779" s="123"/>
      <c r="N779" s="123"/>
      <c r="O779" s="123"/>
      <c r="P779" s="123"/>
      <c r="Q779" s="123"/>
    </row>
    <row r="780" spans="12:17" x14ac:dyDescent="0.25">
      <c r="L780" s="123"/>
      <c r="M780" s="123"/>
      <c r="N780" s="123"/>
      <c r="O780" s="123"/>
      <c r="P780" s="123"/>
      <c r="Q780" s="123"/>
    </row>
    <row r="781" spans="12:17" x14ac:dyDescent="0.25">
      <c r="L781" s="123"/>
      <c r="M781" s="123"/>
      <c r="N781" s="123"/>
      <c r="O781" s="123"/>
      <c r="P781" s="123"/>
      <c r="Q781" s="123"/>
    </row>
    <row r="782" spans="12:17" x14ac:dyDescent="0.25">
      <c r="L782" s="123"/>
      <c r="M782" s="123"/>
      <c r="N782" s="123"/>
      <c r="O782" s="123"/>
      <c r="P782" s="123"/>
      <c r="Q782" s="123"/>
    </row>
    <row r="783" spans="12:17" x14ac:dyDescent="0.25">
      <c r="L783" s="123"/>
      <c r="M783" s="123"/>
      <c r="N783" s="123"/>
      <c r="O783" s="123"/>
      <c r="P783" s="123"/>
      <c r="Q783" s="123"/>
    </row>
    <row r="784" spans="12:17" x14ac:dyDescent="0.25">
      <c r="L784" s="123"/>
      <c r="M784" s="123"/>
      <c r="N784" s="123"/>
      <c r="O784" s="123"/>
      <c r="P784" s="123"/>
      <c r="Q784" s="123"/>
    </row>
    <row r="785" spans="12:17" x14ac:dyDescent="0.25">
      <c r="L785" s="123"/>
      <c r="M785" s="123"/>
      <c r="N785" s="123"/>
      <c r="O785" s="123"/>
      <c r="P785" s="123"/>
      <c r="Q785" s="123"/>
    </row>
    <row r="786" spans="12:17" x14ac:dyDescent="0.25">
      <c r="L786" s="123"/>
      <c r="M786" s="123"/>
      <c r="N786" s="123"/>
      <c r="O786" s="123"/>
      <c r="P786" s="123"/>
      <c r="Q786" s="123"/>
    </row>
    <row r="787" spans="12:17" x14ac:dyDescent="0.25">
      <c r="L787" s="123"/>
      <c r="M787" s="123"/>
      <c r="N787" s="123"/>
      <c r="O787" s="123"/>
      <c r="P787" s="123"/>
      <c r="Q787" s="123"/>
    </row>
    <row r="788" spans="12:17" x14ac:dyDescent="0.25">
      <c r="L788" s="123"/>
      <c r="M788" s="123"/>
      <c r="N788" s="123"/>
      <c r="O788" s="123"/>
      <c r="P788" s="123"/>
      <c r="Q788" s="123"/>
    </row>
    <row r="789" spans="12:17" x14ac:dyDescent="0.25">
      <c r="L789" s="123"/>
      <c r="M789" s="123"/>
      <c r="N789" s="123"/>
      <c r="O789" s="123"/>
      <c r="P789" s="123"/>
      <c r="Q789" s="123"/>
    </row>
    <row r="790" spans="12:17" x14ac:dyDescent="0.25">
      <c r="L790" s="123"/>
      <c r="M790" s="123"/>
      <c r="N790" s="123"/>
      <c r="O790" s="123"/>
      <c r="P790" s="123"/>
      <c r="Q790" s="123"/>
    </row>
    <row r="791" spans="12:17" x14ac:dyDescent="0.25">
      <c r="L791" s="123"/>
      <c r="M791" s="123"/>
      <c r="N791" s="123"/>
      <c r="O791" s="123"/>
      <c r="P791" s="123"/>
      <c r="Q791" s="123"/>
    </row>
    <row r="792" spans="12:17" x14ac:dyDescent="0.25">
      <c r="L792" s="123"/>
      <c r="M792" s="123"/>
      <c r="N792" s="123"/>
      <c r="O792" s="123"/>
      <c r="P792" s="123"/>
      <c r="Q792" s="123"/>
    </row>
    <row r="793" spans="12:17" x14ac:dyDescent="0.25">
      <c r="L793" s="123"/>
      <c r="M793" s="123"/>
      <c r="N793" s="123"/>
      <c r="O793" s="123"/>
      <c r="P793" s="123"/>
      <c r="Q793" s="123"/>
    </row>
    <row r="794" spans="12:17" x14ac:dyDescent="0.25">
      <c r="L794" s="123"/>
      <c r="M794" s="123"/>
      <c r="N794" s="123"/>
      <c r="O794" s="123"/>
      <c r="P794" s="123"/>
      <c r="Q794" s="123"/>
    </row>
    <row r="795" spans="12:17" x14ac:dyDescent="0.25">
      <c r="L795" s="123"/>
      <c r="M795" s="123"/>
      <c r="N795" s="123"/>
      <c r="O795" s="123"/>
      <c r="P795" s="123"/>
      <c r="Q795" s="123"/>
    </row>
    <row r="796" spans="12:17" x14ac:dyDescent="0.25">
      <c r="L796" s="123"/>
      <c r="M796" s="123"/>
      <c r="N796" s="123"/>
      <c r="O796" s="123"/>
      <c r="P796" s="123"/>
      <c r="Q796" s="123"/>
    </row>
    <row r="797" spans="12:17" x14ac:dyDescent="0.25">
      <c r="L797" s="123"/>
      <c r="M797" s="123"/>
      <c r="N797" s="123"/>
      <c r="O797" s="123"/>
      <c r="P797" s="123"/>
      <c r="Q797" s="123"/>
    </row>
    <row r="798" spans="12:17" x14ac:dyDescent="0.25">
      <c r="L798" s="123"/>
      <c r="M798" s="123"/>
      <c r="N798" s="123"/>
      <c r="O798" s="123"/>
      <c r="P798" s="123"/>
      <c r="Q798" s="123"/>
    </row>
    <row r="799" spans="12:17" x14ac:dyDescent="0.25">
      <c r="L799" s="123"/>
      <c r="M799" s="123"/>
      <c r="N799" s="123"/>
      <c r="O799" s="123"/>
      <c r="P799" s="123"/>
      <c r="Q799" s="123"/>
    </row>
    <row r="800" spans="12:17" x14ac:dyDescent="0.25">
      <c r="L800" s="123"/>
      <c r="M800" s="123"/>
      <c r="N800" s="123"/>
      <c r="O800" s="123"/>
      <c r="P800" s="123"/>
      <c r="Q800" s="123"/>
    </row>
    <row r="801" spans="12:17" x14ac:dyDescent="0.25">
      <c r="L801" s="123"/>
      <c r="M801" s="123"/>
      <c r="N801" s="123"/>
      <c r="O801" s="123"/>
      <c r="P801" s="123"/>
      <c r="Q801" s="123"/>
    </row>
    <row r="802" spans="12:17" x14ac:dyDescent="0.25">
      <c r="L802" s="123"/>
      <c r="M802" s="123"/>
      <c r="N802" s="123"/>
      <c r="O802" s="123"/>
      <c r="P802" s="123"/>
      <c r="Q802" s="123"/>
    </row>
    <row r="803" spans="12:17" x14ac:dyDescent="0.25">
      <c r="L803" s="123"/>
      <c r="M803" s="123"/>
      <c r="N803" s="123"/>
      <c r="O803" s="123"/>
      <c r="P803" s="123"/>
      <c r="Q803" s="123"/>
    </row>
    <row r="804" spans="12:17" x14ac:dyDescent="0.25">
      <c r="L804" s="123"/>
      <c r="M804" s="123"/>
      <c r="N804" s="123"/>
      <c r="O804" s="123"/>
      <c r="P804" s="123"/>
      <c r="Q804" s="123"/>
    </row>
    <row r="805" spans="12:17" x14ac:dyDescent="0.25">
      <c r="L805" s="123"/>
      <c r="M805" s="123"/>
      <c r="N805" s="123"/>
      <c r="O805" s="123"/>
      <c r="P805" s="123"/>
      <c r="Q805" s="123"/>
    </row>
    <row r="806" spans="12:17" x14ac:dyDescent="0.25">
      <c r="L806" s="123"/>
      <c r="M806" s="123"/>
      <c r="N806" s="123"/>
      <c r="O806" s="123"/>
      <c r="P806" s="123"/>
      <c r="Q806" s="123"/>
    </row>
    <row r="807" spans="12:17" x14ac:dyDescent="0.25">
      <c r="L807" s="123"/>
      <c r="M807" s="123"/>
      <c r="N807" s="123"/>
      <c r="O807" s="123"/>
      <c r="P807" s="123"/>
      <c r="Q807" s="123"/>
    </row>
    <row r="808" spans="12:17" x14ac:dyDescent="0.25">
      <c r="L808" s="123"/>
      <c r="M808" s="123"/>
      <c r="N808" s="123"/>
      <c r="O808" s="123"/>
      <c r="P808" s="123"/>
      <c r="Q808" s="123"/>
    </row>
    <row r="809" spans="12:17" x14ac:dyDescent="0.25">
      <c r="L809" s="123"/>
      <c r="M809" s="123"/>
      <c r="N809" s="123"/>
      <c r="O809" s="123"/>
      <c r="P809" s="123"/>
      <c r="Q809" s="123"/>
    </row>
    <row r="810" spans="12:17" x14ac:dyDescent="0.25">
      <c r="L810" s="123"/>
      <c r="M810" s="123"/>
      <c r="N810" s="123"/>
      <c r="O810" s="123"/>
      <c r="P810" s="123"/>
      <c r="Q810" s="123"/>
    </row>
    <row r="811" spans="12:17" x14ac:dyDescent="0.25">
      <c r="L811" s="123"/>
      <c r="M811" s="123"/>
      <c r="N811" s="123"/>
      <c r="O811" s="123"/>
      <c r="P811" s="123"/>
      <c r="Q811" s="123"/>
    </row>
    <row r="812" spans="12:17" x14ac:dyDescent="0.25">
      <c r="L812" s="123"/>
      <c r="M812" s="123"/>
      <c r="N812" s="123"/>
      <c r="O812" s="123"/>
      <c r="P812" s="123"/>
      <c r="Q812" s="123"/>
    </row>
    <row r="813" spans="12:17" x14ac:dyDescent="0.25">
      <c r="L813" s="123"/>
      <c r="M813" s="123"/>
      <c r="N813" s="123"/>
      <c r="O813" s="123"/>
      <c r="P813" s="123"/>
      <c r="Q813" s="123"/>
    </row>
    <row r="814" spans="12:17" x14ac:dyDescent="0.25">
      <c r="L814" s="123"/>
      <c r="M814" s="123"/>
      <c r="N814" s="123"/>
      <c r="O814" s="123"/>
      <c r="P814" s="123"/>
      <c r="Q814" s="123"/>
    </row>
    <row r="815" spans="12:17" x14ac:dyDescent="0.25">
      <c r="L815" s="123"/>
      <c r="M815" s="123"/>
      <c r="N815" s="123"/>
      <c r="O815" s="123"/>
      <c r="P815" s="123"/>
      <c r="Q815" s="123"/>
    </row>
    <row r="816" spans="12:17" x14ac:dyDescent="0.25">
      <c r="L816" s="123"/>
      <c r="M816" s="123"/>
      <c r="N816" s="123"/>
      <c r="O816" s="123"/>
      <c r="P816" s="123"/>
      <c r="Q816" s="123"/>
    </row>
    <row r="817" spans="12:17" x14ac:dyDescent="0.25">
      <c r="L817" s="123"/>
      <c r="M817" s="123"/>
      <c r="N817" s="123"/>
      <c r="O817" s="123"/>
      <c r="P817" s="123"/>
      <c r="Q817" s="123"/>
    </row>
    <row r="818" spans="12:17" x14ac:dyDescent="0.25">
      <c r="L818" s="123"/>
      <c r="M818" s="123"/>
      <c r="N818" s="123"/>
      <c r="O818" s="123"/>
      <c r="P818" s="123"/>
      <c r="Q818" s="123"/>
    </row>
    <row r="819" spans="12:17" x14ac:dyDescent="0.25">
      <c r="L819" s="123"/>
      <c r="M819" s="123"/>
      <c r="N819" s="123"/>
      <c r="O819" s="123"/>
      <c r="P819" s="123"/>
      <c r="Q819" s="123"/>
    </row>
    <row r="820" spans="12:17" x14ac:dyDescent="0.25">
      <c r="L820" s="123"/>
      <c r="M820" s="123"/>
      <c r="N820" s="123"/>
      <c r="O820" s="123"/>
      <c r="P820" s="123"/>
      <c r="Q820" s="123"/>
    </row>
    <row r="821" spans="12:17" x14ac:dyDescent="0.25">
      <c r="L821" s="123"/>
      <c r="M821" s="123"/>
      <c r="N821" s="123"/>
      <c r="O821" s="123"/>
      <c r="P821" s="123"/>
      <c r="Q821" s="123"/>
    </row>
    <row r="822" spans="12:17" x14ac:dyDescent="0.25">
      <c r="L822" s="123"/>
      <c r="M822" s="123"/>
      <c r="N822" s="123"/>
      <c r="O822" s="123"/>
      <c r="P822" s="123"/>
      <c r="Q822" s="123"/>
    </row>
    <row r="823" spans="12:17" x14ac:dyDescent="0.25">
      <c r="L823" s="123"/>
      <c r="M823" s="123"/>
      <c r="N823" s="123"/>
      <c r="O823" s="123"/>
      <c r="P823" s="123"/>
      <c r="Q823" s="123"/>
    </row>
    <row r="824" spans="12:17" x14ac:dyDescent="0.25">
      <c r="L824" s="123"/>
      <c r="M824" s="123"/>
      <c r="N824" s="123"/>
      <c r="O824" s="123"/>
      <c r="P824" s="123"/>
      <c r="Q824" s="123"/>
    </row>
    <row r="825" spans="12:17" x14ac:dyDescent="0.25">
      <c r="L825" s="123"/>
      <c r="M825" s="123"/>
      <c r="N825" s="123"/>
      <c r="O825" s="123"/>
      <c r="P825" s="123"/>
      <c r="Q825" s="123"/>
    </row>
    <row r="826" spans="12:17" x14ac:dyDescent="0.25">
      <c r="L826" s="123"/>
      <c r="M826" s="123"/>
      <c r="N826" s="123"/>
      <c r="O826" s="123"/>
      <c r="P826" s="123"/>
      <c r="Q826" s="123"/>
    </row>
    <row r="827" spans="12:17" x14ac:dyDescent="0.25">
      <c r="L827" s="123"/>
      <c r="M827" s="123"/>
      <c r="N827" s="123"/>
      <c r="O827" s="123"/>
      <c r="P827" s="123"/>
      <c r="Q827" s="123"/>
    </row>
    <row r="828" spans="12:17" x14ac:dyDescent="0.25">
      <c r="L828" s="123"/>
      <c r="M828" s="123"/>
      <c r="N828" s="123"/>
      <c r="O828" s="123"/>
      <c r="P828" s="123"/>
      <c r="Q828" s="123"/>
    </row>
    <row r="829" spans="12:17" x14ac:dyDescent="0.25">
      <c r="L829" s="123"/>
      <c r="M829" s="123"/>
      <c r="N829" s="123"/>
      <c r="O829" s="123"/>
      <c r="P829" s="123"/>
      <c r="Q829" s="123"/>
    </row>
    <row r="830" spans="12:17" x14ac:dyDescent="0.25">
      <c r="L830" s="123"/>
      <c r="M830" s="123"/>
      <c r="N830" s="123"/>
      <c r="O830" s="123"/>
      <c r="P830" s="123"/>
      <c r="Q830" s="123"/>
    </row>
    <row r="831" spans="12:17" x14ac:dyDescent="0.25">
      <c r="L831" s="123"/>
      <c r="M831" s="123"/>
      <c r="N831" s="123"/>
      <c r="O831" s="123"/>
      <c r="P831" s="123"/>
      <c r="Q831" s="123"/>
    </row>
    <row r="832" spans="12:17" x14ac:dyDescent="0.25">
      <c r="L832" s="123"/>
      <c r="M832" s="123"/>
      <c r="N832" s="123"/>
      <c r="O832" s="123"/>
      <c r="P832" s="123"/>
      <c r="Q832" s="123"/>
    </row>
    <row r="833" spans="12:17" x14ac:dyDescent="0.25">
      <c r="L833" s="123"/>
      <c r="M833" s="123"/>
      <c r="N833" s="123"/>
      <c r="O833" s="123"/>
      <c r="P833" s="123"/>
      <c r="Q833" s="123"/>
    </row>
    <row r="834" spans="12:17" x14ac:dyDescent="0.25">
      <c r="L834" s="123"/>
      <c r="M834" s="123"/>
      <c r="N834" s="123"/>
      <c r="O834" s="123"/>
      <c r="P834" s="123"/>
      <c r="Q834" s="123"/>
    </row>
    <row r="835" spans="12:17" x14ac:dyDescent="0.25">
      <c r="L835" s="123"/>
      <c r="M835" s="123"/>
      <c r="N835" s="123"/>
      <c r="O835" s="123"/>
      <c r="P835" s="123"/>
      <c r="Q835" s="123"/>
    </row>
    <row r="836" spans="12:17" x14ac:dyDescent="0.25">
      <c r="L836" s="123"/>
      <c r="M836" s="123"/>
      <c r="N836" s="123"/>
      <c r="O836" s="123"/>
      <c r="P836" s="123"/>
      <c r="Q836" s="123"/>
    </row>
    <row r="837" spans="12:17" x14ac:dyDescent="0.25">
      <c r="L837" s="123"/>
      <c r="M837" s="123"/>
      <c r="N837" s="123"/>
      <c r="O837" s="123"/>
      <c r="P837" s="123"/>
      <c r="Q837" s="123"/>
    </row>
    <row r="838" spans="12:17" x14ac:dyDescent="0.25">
      <c r="L838" s="123"/>
      <c r="M838" s="123"/>
      <c r="N838" s="123"/>
      <c r="O838" s="123"/>
      <c r="P838" s="123"/>
      <c r="Q838" s="123"/>
    </row>
    <row r="839" spans="12:17" x14ac:dyDescent="0.25">
      <c r="L839" s="123"/>
      <c r="M839" s="123"/>
      <c r="N839" s="123"/>
      <c r="O839" s="123"/>
      <c r="P839" s="123"/>
      <c r="Q839" s="123"/>
    </row>
    <row r="840" spans="12:17" x14ac:dyDescent="0.25">
      <c r="L840" s="123"/>
      <c r="M840" s="123"/>
      <c r="N840" s="123"/>
      <c r="O840" s="123"/>
      <c r="P840" s="123"/>
      <c r="Q840" s="123"/>
    </row>
    <row r="841" spans="12:17" x14ac:dyDescent="0.25">
      <c r="L841" s="123"/>
      <c r="M841" s="123"/>
      <c r="N841" s="123"/>
      <c r="O841" s="123"/>
      <c r="P841" s="123"/>
      <c r="Q841" s="123"/>
    </row>
    <row r="842" spans="12:17" x14ac:dyDescent="0.25">
      <c r="L842" s="123"/>
      <c r="M842" s="123"/>
      <c r="N842" s="123"/>
      <c r="O842" s="123"/>
      <c r="P842" s="123"/>
      <c r="Q842" s="123"/>
    </row>
    <row r="843" spans="12:17" x14ac:dyDescent="0.25">
      <c r="L843" s="123"/>
      <c r="M843" s="123"/>
      <c r="N843" s="123"/>
      <c r="O843" s="123"/>
      <c r="P843" s="123"/>
      <c r="Q843" s="123"/>
    </row>
    <row r="844" spans="12:17" x14ac:dyDescent="0.25">
      <c r="L844" s="123"/>
      <c r="M844" s="123"/>
      <c r="N844" s="123"/>
      <c r="O844" s="123"/>
      <c r="P844" s="123"/>
      <c r="Q844" s="123"/>
    </row>
    <row r="845" spans="12:17" x14ac:dyDescent="0.25">
      <c r="L845" s="123"/>
      <c r="M845" s="123"/>
      <c r="N845" s="123"/>
      <c r="O845" s="123"/>
      <c r="P845" s="123"/>
      <c r="Q845" s="123"/>
    </row>
    <row r="846" spans="12:17" x14ac:dyDescent="0.25">
      <c r="L846" s="123"/>
      <c r="M846" s="123"/>
      <c r="N846" s="123"/>
      <c r="O846" s="123"/>
      <c r="P846" s="123"/>
      <c r="Q846" s="123"/>
    </row>
    <row r="847" spans="12:17" x14ac:dyDescent="0.25">
      <c r="L847" s="123"/>
      <c r="M847" s="123"/>
      <c r="N847" s="123"/>
      <c r="O847" s="123"/>
      <c r="P847" s="123"/>
      <c r="Q847" s="123"/>
    </row>
    <row r="848" spans="12:17" x14ac:dyDescent="0.25">
      <c r="L848" s="123"/>
      <c r="M848" s="123"/>
      <c r="N848" s="123"/>
      <c r="O848" s="123"/>
      <c r="P848" s="123"/>
      <c r="Q848" s="123"/>
    </row>
    <row r="849" spans="12:17" x14ac:dyDescent="0.25">
      <c r="L849" s="123"/>
      <c r="M849" s="123"/>
      <c r="N849" s="123"/>
      <c r="O849" s="123"/>
      <c r="P849" s="123"/>
      <c r="Q849" s="123"/>
    </row>
    <row r="850" spans="12:17" x14ac:dyDescent="0.25">
      <c r="L850" s="123"/>
      <c r="M850" s="123"/>
      <c r="N850" s="123"/>
      <c r="O850" s="123"/>
      <c r="P850" s="123"/>
      <c r="Q850" s="123"/>
    </row>
    <row r="851" spans="12:17" x14ac:dyDescent="0.25">
      <c r="L851" s="123"/>
      <c r="M851" s="123"/>
      <c r="N851" s="123"/>
      <c r="O851" s="123"/>
      <c r="P851" s="123"/>
      <c r="Q851" s="123"/>
    </row>
    <row r="852" spans="12:17" x14ac:dyDescent="0.25">
      <c r="L852" s="123"/>
      <c r="M852" s="123"/>
      <c r="N852" s="123"/>
      <c r="O852" s="123"/>
      <c r="P852" s="123"/>
      <c r="Q852" s="123"/>
    </row>
    <row r="853" spans="12:17" x14ac:dyDescent="0.25">
      <c r="L853" s="123"/>
      <c r="M853" s="123"/>
      <c r="N853" s="123"/>
      <c r="O853" s="123"/>
      <c r="P853" s="123"/>
      <c r="Q853" s="123"/>
    </row>
    <row r="854" spans="12:17" x14ac:dyDescent="0.25">
      <c r="L854" s="123"/>
      <c r="M854" s="123"/>
      <c r="N854" s="123"/>
      <c r="O854" s="123"/>
      <c r="P854" s="123"/>
      <c r="Q854" s="123"/>
    </row>
    <row r="855" spans="12:17" x14ac:dyDescent="0.25">
      <c r="L855" s="123"/>
      <c r="M855" s="123"/>
      <c r="N855" s="123"/>
      <c r="O855" s="123"/>
      <c r="P855" s="123"/>
      <c r="Q855" s="123"/>
    </row>
    <row r="856" spans="12:17" x14ac:dyDescent="0.25">
      <c r="L856" s="123"/>
      <c r="M856" s="123"/>
      <c r="N856" s="123"/>
      <c r="O856" s="123"/>
      <c r="P856" s="123"/>
      <c r="Q856" s="123"/>
    </row>
    <row r="857" spans="12:17" x14ac:dyDescent="0.25">
      <c r="L857" s="123"/>
      <c r="M857" s="123"/>
      <c r="N857" s="123"/>
      <c r="O857" s="123"/>
      <c r="P857" s="123"/>
      <c r="Q857" s="123"/>
    </row>
    <row r="858" spans="12:17" x14ac:dyDescent="0.25">
      <c r="L858" s="123"/>
      <c r="M858" s="123"/>
      <c r="N858" s="123"/>
      <c r="O858" s="123"/>
      <c r="P858" s="123"/>
      <c r="Q858" s="123"/>
    </row>
    <row r="859" spans="12:17" x14ac:dyDescent="0.25">
      <c r="L859" s="123"/>
      <c r="M859" s="123"/>
      <c r="N859" s="123"/>
      <c r="O859" s="123"/>
      <c r="P859" s="123"/>
      <c r="Q859" s="123"/>
    </row>
    <row r="860" spans="12:17" x14ac:dyDescent="0.25">
      <c r="L860" s="123"/>
      <c r="M860" s="123"/>
      <c r="N860" s="123"/>
      <c r="O860" s="123"/>
      <c r="P860" s="123"/>
      <c r="Q860" s="123"/>
    </row>
    <row r="861" spans="12:17" x14ac:dyDescent="0.25">
      <c r="L861" s="123"/>
      <c r="M861" s="123"/>
      <c r="N861" s="123"/>
      <c r="O861" s="123"/>
      <c r="P861" s="123"/>
      <c r="Q861" s="123"/>
    </row>
    <row r="862" spans="12:17" x14ac:dyDescent="0.25">
      <c r="L862" s="123"/>
      <c r="M862" s="123"/>
      <c r="N862" s="123"/>
      <c r="O862" s="123"/>
      <c r="P862" s="123"/>
      <c r="Q862" s="123"/>
    </row>
    <row r="863" spans="12:17" x14ac:dyDescent="0.25">
      <c r="L863" s="123"/>
      <c r="M863" s="123"/>
      <c r="N863" s="123"/>
      <c r="O863" s="123"/>
      <c r="P863" s="123"/>
      <c r="Q863" s="123"/>
    </row>
    <row r="864" spans="12:17" x14ac:dyDescent="0.25">
      <c r="L864" s="123"/>
      <c r="M864" s="123"/>
      <c r="N864" s="123"/>
      <c r="O864" s="123"/>
      <c r="P864" s="123"/>
      <c r="Q864" s="123"/>
    </row>
    <row r="865" spans="12:17" x14ac:dyDescent="0.25">
      <c r="L865" s="123"/>
      <c r="M865" s="123"/>
      <c r="N865" s="123"/>
      <c r="O865" s="123"/>
      <c r="P865" s="123"/>
      <c r="Q865" s="123"/>
    </row>
    <row r="866" spans="12:17" x14ac:dyDescent="0.25">
      <c r="L866" s="123"/>
      <c r="M866" s="123"/>
      <c r="N866" s="123"/>
      <c r="O866" s="123"/>
      <c r="P866" s="123"/>
      <c r="Q866" s="123"/>
    </row>
    <row r="867" spans="12:17" x14ac:dyDescent="0.25">
      <c r="L867" s="123"/>
      <c r="M867" s="123"/>
      <c r="N867" s="123"/>
      <c r="O867" s="123"/>
      <c r="P867" s="123"/>
      <c r="Q867" s="123"/>
    </row>
    <row r="868" spans="12:17" x14ac:dyDescent="0.25">
      <c r="L868" s="123"/>
      <c r="M868" s="123"/>
      <c r="N868" s="123"/>
      <c r="O868" s="123"/>
      <c r="P868" s="123"/>
      <c r="Q868" s="123"/>
    </row>
    <row r="869" spans="12:17" x14ac:dyDescent="0.25">
      <c r="L869" s="123"/>
      <c r="M869" s="123"/>
      <c r="N869" s="123"/>
      <c r="O869" s="123"/>
      <c r="P869" s="123"/>
      <c r="Q869" s="123"/>
    </row>
    <row r="870" spans="12:17" x14ac:dyDescent="0.25">
      <c r="L870" s="123"/>
      <c r="M870" s="123"/>
      <c r="N870" s="123"/>
      <c r="O870" s="123"/>
      <c r="P870" s="123"/>
      <c r="Q870" s="123"/>
    </row>
    <row r="871" spans="12:17" x14ac:dyDescent="0.25">
      <c r="L871" s="123"/>
      <c r="M871" s="123"/>
      <c r="N871" s="123"/>
      <c r="O871" s="123"/>
      <c r="P871" s="123"/>
      <c r="Q871" s="123"/>
    </row>
    <row r="872" spans="12:17" x14ac:dyDescent="0.25">
      <c r="L872" s="123"/>
      <c r="M872" s="123"/>
      <c r="N872" s="123"/>
      <c r="O872" s="123"/>
      <c r="P872" s="123"/>
      <c r="Q872" s="123"/>
    </row>
    <row r="873" spans="12:17" x14ac:dyDescent="0.25">
      <c r="L873" s="123"/>
      <c r="M873" s="123"/>
      <c r="N873" s="123"/>
      <c r="O873" s="123"/>
      <c r="P873" s="123"/>
      <c r="Q873" s="123"/>
    </row>
    <row r="874" spans="12:17" x14ac:dyDescent="0.25">
      <c r="L874" s="123"/>
      <c r="M874" s="123"/>
      <c r="N874" s="123"/>
      <c r="O874" s="123"/>
      <c r="P874" s="123"/>
      <c r="Q874" s="123"/>
    </row>
    <row r="875" spans="12:17" x14ac:dyDescent="0.25">
      <c r="L875" s="123"/>
      <c r="M875" s="123"/>
      <c r="N875" s="123"/>
      <c r="O875" s="123"/>
      <c r="P875" s="123"/>
      <c r="Q875" s="123"/>
    </row>
    <row r="876" spans="12:17" x14ac:dyDescent="0.25">
      <c r="L876" s="123"/>
      <c r="M876" s="123"/>
      <c r="N876" s="123"/>
      <c r="O876" s="123"/>
      <c r="P876" s="123"/>
      <c r="Q876" s="123"/>
    </row>
    <row r="877" spans="12:17" x14ac:dyDescent="0.25">
      <c r="L877" s="123"/>
      <c r="M877" s="123"/>
      <c r="N877" s="123"/>
      <c r="O877" s="123"/>
      <c r="P877" s="123"/>
      <c r="Q877" s="123"/>
    </row>
    <row r="878" spans="12:17" x14ac:dyDescent="0.25">
      <c r="L878" s="123"/>
      <c r="M878" s="123"/>
      <c r="N878" s="123"/>
      <c r="O878" s="123"/>
      <c r="P878" s="123"/>
      <c r="Q878" s="123"/>
    </row>
    <row r="879" spans="12:17" x14ac:dyDescent="0.25">
      <c r="L879" s="123"/>
      <c r="M879" s="123"/>
      <c r="N879" s="123"/>
      <c r="O879" s="123"/>
      <c r="P879" s="123"/>
      <c r="Q879" s="123"/>
    </row>
    <row r="880" spans="12:17" x14ac:dyDescent="0.25">
      <c r="L880" s="123"/>
      <c r="M880" s="123"/>
      <c r="N880" s="123"/>
      <c r="O880" s="123"/>
      <c r="P880" s="123"/>
      <c r="Q880" s="123"/>
    </row>
    <row r="881" spans="12:17" x14ac:dyDescent="0.25">
      <c r="L881" s="123"/>
      <c r="M881" s="123"/>
      <c r="N881" s="123"/>
      <c r="O881" s="123"/>
      <c r="P881" s="123"/>
      <c r="Q881" s="123"/>
    </row>
    <row r="882" spans="12:17" x14ac:dyDescent="0.25">
      <c r="L882" s="123"/>
      <c r="M882" s="123"/>
      <c r="N882" s="123"/>
      <c r="O882" s="123"/>
      <c r="P882" s="123"/>
      <c r="Q882" s="123"/>
    </row>
    <row r="883" spans="12:17" x14ac:dyDescent="0.25">
      <c r="L883" s="123"/>
      <c r="M883" s="123"/>
      <c r="N883" s="123"/>
      <c r="O883" s="123"/>
      <c r="P883" s="123"/>
      <c r="Q883" s="123"/>
    </row>
    <row r="884" spans="12:17" x14ac:dyDescent="0.25">
      <c r="L884" s="123"/>
      <c r="M884" s="123"/>
      <c r="N884" s="123"/>
      <c r="O884" s="123"/>
      <c r="P884" s="123"/>
      <c r="Q884" s="123"/>
    </row>
    <row r="885" spans="12:17" x14ac:dyDescent="0.25">
      <c r="L885" s="123"/>
      <c r="M885" s="123"/>
      <c r="N885" s="123"/>
      <c r="O885" s="123"/>
      <c r="P885" s="123"/>
      <c r="Q885" s="123"/>
    </row>
    <row r="886" spans="12:17" x14ac:dyDescent="0.25">
      <c r="L886" s="123"/>
      <c r="M886" s="123"/>
      <c r="N886" s="123"/>
      <c r="O886" s="123"/>
      <c r="P886" s="123"/>
      <c r="Q886" s="123"/>
    </row>
    <row r="887" spans="12:17" x14ac:dyDescent="0.25">
      <c r="L887" s="123"/>
      <c r="M887" s="123"/>
      <c r="N887" s="123"/>
      <c r="O887" s="123"/>
      <c r="P887" s="123"/>
      <c r="Q887" s="123"/>
    </row>
    <row r="888" spans="12:17" x14ac:dyDescent="0.25">
      <c r="L888" s="123"/>
      <c r="M888" s="123"/>
      <c r="N888" s="123"/>
      <c r="O888" s="123"/>
      <c r="P888" s="123"/>
      <c r="Q888" s="123"/>
    </row>
    <row r="889" spans="12:17" x14ac:dyDescent="0.25">
      <c r="L889" s="123"/>
      <c r="M889" s="123"/>
      <c r="N889" s="123"/>
      <c r="O889" s="123"/>
      <c r="P889" s="123"/>
      <c r="Q889" s="123"/>
    </row>
    <row r="890" spans="12:17" x14ac:dyDescent="0.25">
      <c r="L890" s="123"/>
      <c r="M890" s="123"/>
      <c r="N890" s="123"/>
      <c r="O890" s="123"/>
      <c r="P890" s="123"/>
      <c r="Q890" s="123"/>
    </row>
    <row r="891" spans="12:17" x14ac:dyDescent="0.25">
      <c r="L891" s="123"/>
      <c r="M891" s="123"/>
      <c r="N891" s="123"/>
      <c r="O891" s="123"/>
      <c r="P891" s="123"/>
      <c r="Q891" s="123"/>
    </row>
    <row r="892" spans="12:17" x14ac:dyDescent="0.25">
      <c r="L892" s="123"/>
      <c r="M892" s="123"/>
      <c r="N892" s="123"/>
      <c r="O892" s="123"/>
      <c r="P892" s="123"/>
      <c r="Q892" s="123"/>
    </row>
    <row r="893" spans="12:17" x14ac:dyDescent="0.25">
      <c r="L893" s="123"/>
      <c r="M893" s="123"/>
      <c r="N893" s="123"/>
      <c r="O893" s="123"/>
      <c r="P893" s="123"/>
      <c r="Q893" s="123"/>
    </row>
    <row r="894" spans="12:17" x14ac:dyDescent="0.25">
      <c r="L894" s="123"/>
      <c r="M894" s="123"/>
      <c r="N894" s="123"/>
      <c r="O894" s="123"/>
      <c r="P894" s="123"/>
      <c r="Q894" s="123"/>
    </row>
    <row r="895" spans="12:17" x14ac:dyDescent="0.25">
      <c r="L895" s="123"/>
      <c r="M895" s="123"/>
      <c r="N895" s="123"/>
      <c r="O895" s="123"/>
      <c r="P895" s="123"/>
      <c r="Q895" s="123"/>
    </row>
    <row r="896" spans="12:17" x14ac:dyDescent="0.25">
      <c r="L896" s="123"/>
      <c r="M896" s="123"/>
      <c r="N896" s="123"/>
      <c r="O896" s="123"/>
      <c r="P896" s="123"/>
      <c r="Q896" s="123"/>
    </row>
    <row r="897" spans="12:17" x14ac:dyDescent="0.25">
      <c r="L897" s="123"/>
      <c r="M897" s="123"/>
      <c r="N897" s="123"/>
      <c r="O897" s="123"/>
      <c r="P897" s="123"/>
      <c r="Q897" s="123"/>
    </row>
    <row r="898" spans="12:17" x14ac:dyDescent="0.25">
      <c r="L898" s="123"/>
      <c r="M898" s="123"/>
      <c r="N898" s="123"/>
      <c r="O898" s="123"/>
      <c r="P898" s="123"/>
      <c r="Q898" s="123"/>
    </row>
    <row r="899" spans="12:17" x14ac:dyDescent="0.25">
      <c r="L899" s="123"/>
      <c r="M899" s="123"/>
      <c r="N899" s="123"/>
      <c r="O899" s="123"/>
      <c r="P899" s="123"/>
      <c r="Q899" s="123"/>
    </row>
    <row r="900" spans="12:17" x14ac:dyDescent="0.25">
      <c r="L900" s="123"/>
      <c r="M900" s="123"/>
      <c r="N900" s="123"/>
      <c r="O900" s="123"/>
      <c r="P900" s="123"/>
      <c r="Q900" s="123"/>
    </row>
    <row r="901" spans="12:17" x14ac:dyDescent="0.25">
      <c r="L901" s="123"/>
      <c r="M901" s="123"/>
      <c r="N901" s="123"/>
      <c r="O901" s="123"/>
      <c r="P901" s="123"/>
      <c r="Q901" s="123"/>
    </row>
    <row r="902" spans="12:17" x14ac:dyDescent="0.25">
      <c r="L902" s="123"/>
      <c r="M902" s="123"/>
      <c r="N902" s="123"/>
      <c r="O902" s="123"/>
      <c r="P902" s="123"/>
      <c r="Q902" s="123"/>
    </row>
    <row r="903" spans="12:17" x14ac:dyDescent="0.25">
      <c r="L903" s="123"/>
      <c r="M903" s="123"/>
      <c r="N903" s="123"/>
      <c r="O903" s="123"/>
      <c r="P903" s="123"/>
      <c r="Q903" s="123"/>
    </row>
    <row r="904" spans="12:17" x14ac:dyDescent="0.25">
      <c r="L904" s="123"/>
      <c r="M904" s="123"/>
      <c r="N904" s="123"/>
      <c r="O904" s="123"/>
      <c r="P904" s="123"/>
      <c r="Q904" s="123"/>
    </row>
    <row r="905" spans="12:17" x14ac:dyDescent="0.25">
      <c r="L905" s="123"/>
      <c r="M905" s="123"/>
      <c r="N905" s="123"/>
      <c r="O905" s="123"/>
      <c r="P905" s="123"/>
      <c r="Q905" s="123"/>
    </row>
    <row r="906" spans="12:17" x14ac:dyDescent="0.25">
      <c r="L906" s="123"/>
      <c r="M906" s="123"/>
      <c r="N906" s="123"/>
      <c r="O906" s="123"/>
      <c r="P906" s="123"/>
      <c r="Q906" s="123"/>
    </row>
    <row r="907" spans="12:17" x14ac:dyDescent="0.25">
      <c r="L907" s="123"/>
      <c r="M907" s="123"/>
      <c r="N907" s="123"/>
      <c r="O907" s="123"/>
      <c r="P907" s="123"/>
      <c r="Q907" s="123"/>
    </row>
    <row r="908" spans="12:17" x14ac:dyDescent="0.25">
      <c r="L908" s="123"/>
      <c r="M908" s="123"/>
      <c r="N908" s="123"/>
      <c r="O908" s="123"/>
      <c r="P908" s="123"/>
      <c r="Q908" s="123"/>
    </row>
    <row r="909" spans="12:17" x14ac:dyDescent="0.25">
      <c r="L909" s="123"/>
      <c r="M909" s="123"/>
      <c r="N909" s="123"/>
      <c r="O909" s="123"/>
      <c r="P909" s="123"/>
      <c r="Q909" s="123"/>
    </row>
    <row r="910" spans="12:17" x14ac:dyDescent="0.25">
      <c r="L910" s="123"/>
      <c r="M910" s="123"/>
      <c r="N910" s="123"/>
      <c r="O910" s="123"/>
      <c r="P910" s="123"/>
      <c r="Q910" s="123"/>
    </row>
    <row r="911" spans="12:17" x14ac:dyDescent="0.25">
      <c r="L911" s="123"/>
      <c r="M911" s="123"/>
      <c r="N911" s="123"/>
      <c r="O911" s="123"/>
      <c r="P911" s="123"/>
      <c r="Q911" s="123"/>
    </row>
    <row r="912" spans="12:17" x14ac:dyDescent="0.25">
      <c r="L912" s="123"/>
      <c r="M912" s="123"/>
      <c r="N912" s="123"/>
      <c r="O912" s="123"/>
      <c r="P912" s="123"/>
      <c r="Q912" s="123"/>
    </row>
    <row r="913" spans="12:17" x14ac:dyDescent="0.25">
      <c r="L913" s="123"/>
      <c r="M913" s="123"/>
      <c r="N913" s="123"/>
      <c r="O913" s="123"/>
      <c r="P913" s="123"/>
      <c r="Q913" s="123"/>
    </row>
    <row r="914" spans="12:17" x14ac:dyDescent="0.25">
      <c r="L914" s="123"/>
      <c r="M914" s="123"/>
      <c r="N914" s="123"/>
      <c r="O914" s="123"/>
      <c r="P914" s="123"/>
      <c r="Q914" s="123"/>
    </row>
    <row r="915" spans="12:17" x14ac:dyDescent="0.25">
      <c r="L915" s="123"/>
      <c r="M915" s="123"/>
      <c r="N915" s="123"/>
      <c r="O915" s="123"/>
      <c r="P915" s="123"/>
      <c r="Q915" s="123"/>
    </row>
    <row r="916" spans="12:17" x14ac:dyDescent="0.25">
      <c r="L916" s="123"/>
      <c r="M916" s="123"/>
      <c r="N916" s="123"/>
      <c r="O916" s="123"/>
      <c r="P916" s="123"/>
      <c r="Q916" s="123"/>
    </row>
    <row r="917" spans="12:17" x14ac:dyDescent="0.25">
      <c r="L917" s="123"/>
      <c r="M917" s="123"/>
      <c r="N917" s="123"/>
      <c r="O917" s="123"/>
      <c r="P917" s="123"/>
      <c r="Q917" s="123"/>
    </row>
    <row r="918" spans="12:17" x14ac:dyDescent="0.25">
      <c r="L918" s="123"/>
      <c r="M918" s="123"/>
      <c r="N918" s="123"/>
      <c r="O918" s="123"/>
      <c r="P918" s="123"/>
      <c r="Q918" s="123"/>
    </row>
    <row r="919" spans="12:17" x14ac:dyDescent="0.25">
      <c r="L919" s="123"/>
      <c r="M919" s="123"/>
      <c r="N919" s="123"/>
      <c r="O919" s="123"/>
      <c r="P919" s="123"/>
      <c r="Q919" s="123"/>
    </row>
    <row r="920" spans="12:17" x14ac:dyDescent="0.25">
      <c r="L920" s="123"/>
      <c r="M920" s="123"/>
      <c r="N920" s="123"/>
      <c r="O920" s="123"/>
      <c r="P920" s="123"/>
      <c r="Q920" s="123"/>
    </row>
    <row r="921" spans="12:17" x14ac:dyDescent="0.25">
      <c r="L921" s="123"/>
      <c r="M921" s="123"/>
      <c r="N921" s="123"/>
      <c r="O921" s="123"/>
      <c r="P921" s="123"/>
      <c r="Q921" s="123"/>
    </row>
    <row r="922" spans="12:17" x14ac:dyDescent="0.25">
      <c r="L922" s="123"/>
      <c r="M922" s="123"/>
      <c r="N922" s="123"/>
      <c r="O922" s="123"/>
      <c r="P922" s="123"/>
      <c r="Q922" s="123"/>
    </row>
    <row r="923" spans="12:17" x14ac:dyDescent="0.25">
      <c r="L923" s="123"/>
      <c r="M923" s="123"/>
      <c r="N923" s="123"/>
      <c r="O923" s="123"/>
      <c r="P923" s="123"/>
      <c r="Q923" s="123"/>
    </row>
    <row r="924" spans="12:17" x14ac:dyDescent="0.25">
      <c r="L924" s="123"/>
      <c r="M924" s="123"/>
      <c r="N924" s="123"/>
      <c r="O924" s="123"/>
      <c r="P924" s="123"/>
      <c r="Q924" s="123"/>
    </row>
    <row r="925" spans="12:17" x14ac:dyDescent="0.25">
      <c r="L925" s="123"/>
      <c r="M925" s="123"/>
      <c r="N925" s="123"/>
      <c r="O925" s="123"/>
      <c r="P925" s="123"/>
      <c r="Q925" s="123"/>
    </row>
    <row r="926" spans="12:17" x14ac:dyDescent="0.25">
      <c r="L926" s="123"/>
      <c r="M926" s="123"/>
      <c r="N926" s="123"/>
      <c r="O926" s="123"/>
      <c r="P926" s="123"/>
      <c r="Q926" s="123"/>
    </row>
    <row r="927" spans="12:17" x14ac:dyDescent="0.25">
      <c r="L927" s="123"/>
      <c r="M927" s="123"/>
      <c r="N927" s="123"/>
      <c r="O927" s="123"/>
      <c r="P927" s="123"/>
      <c r="Q927" s="123"/>
    </row>
    <row r="928" spans="12:17" x14ac:dyDescent="0.25">
      <c r="L928" s="123"/>
      <c r="M928" s="123"/>
      <c r="N928" s="123"/>
      <c r="O928" s="123"/>
      <c r="P928" s="123"/>
      <c r="Q928" s="123"/>
    </row>
    <row r="929" spans="12:17" x14ac:dyDescent="0.25">
      <c r="L929" s="123"/>
      <c r="M929" s="123"/>
      <c r="N929" s="123"/>
      <c r="O929" s="123"/>
      <c r="P929" s="123"/>
      <c r="Q929" s="123"/>
    </row>
    <row r="930" spans="12:17" x14ac:dyDescent="0.25">
      <c r="L930" s="123"/>
      <c r="M930" s="123"/>
      <c r="N930" s="123"/>
      <c r="O930" s="123"/>
      <c r="P930" s="123"/>
      <c r="Q930" s="123"/>
    </row>
    <row r="931" spans="12:17" x14ac:dyDescent="0.25">
      <c r="L931" s="123"/>
      <c r="M931" s="123"/>
      <c r="N931" s="123"/>
      <c r="O931" s="123"/>
      <c r="P931" s="123"/>
      <c r="Q931" s="123"/>
    </row>
    <row r="932" spans="12:17" x14ac:dyDescent="0.25">
      <c r="L932" s="123"/>
      <c r="M932" s="123"/>
      <c r="N932" s="123"/>
      <c r="O932" s="123"/>
      <c r="P932" s="123"/>
      <c r="Q932" s="123"/>
    </row>
    <row r="933" spans="12:17" x14ac:dyDescent="0.25">
      <c r="L933" s="123"/>
      <c r="M933" s="123"/>
      <c r="N933" s="123"/>
      <c r="O933" s="123"/>
      <c r="P933" s="123"/>
      <c r="Q933" s="123"/>
    </row>
    <row r="934" spans="12:17" x14ac:dyDescent="0.25">
      <c r="L934" s="123"/>
      <c r="M934" s="123"/>
      <c r="N934" s="123"/>
      <c r="O934" s="123"/>
      <c r="P934" s="123"/>
      <c r="Q934" s="123"/>
    </row>
    <row r="935" spans="12:17" x14ac:dyDescent="0.25">
      <c r="L935" s="123"/>
      <c r="M935" s="123"/>
      <c r="N935" s="123"/>
      <c r="O935" s="123"/>
      <c r="P935" s="123"/>
      <c r="Q935" s="123"/>
    </row>
    <row r="936" spans="12:17" x14ac:dyDescent="0.25">
      <c r="L936" s="123"/>
      <c r="M936" s="123"/>
      <c r="N936" s="123"/>
      <c r="O936" s="123"/>
      <c r="P936" s="123"/>
      <c r="Q936" s="123"/>
    </row>
    <row r="937" spans="12:17" x14ac:dyDescent="0.25">
      <c r="L937" s="123"/>
      <c r="M937" s="123"/>
      <c r="N937" s="123"/>
      <c r="O937" s="123"/>
      <c r="P937" s="123"/>
      <c r="Q937" s="123"/>
    </row>
    <row r="938" spans="12:17" x14ac:dyDescent="0.25">
      <c r="L938" s="123"/>
      <c r="M938" s="123"/>
      <c r="N938" s="123"/>
      <c r="O938" s="123"/>
      <c r="P938" s="123"/>
      <c r="Q938" s="123"/>
    </row>
    <row r="939" spans="12:17" x14ac:dyDescent="0.25">
      <c r="L939" s="123"/>
      <c r="M939" s="123"/>
      <c r="N939" s="123"/>
      <c r="O939" s="123"/>
      <c r="P939" s="123"/>
      <c r="Q939" s="123"/>
    </row>
    <row r="940" spans="12:17" x14ac:dyDescent="0.25">
      <c r="L940" s="123"/>
      <c r="M940" s="123"/>
      <c r="N940" s="123"/>
      <c r="O940" s="123"/>
      <c r="P940" s="123"/>
      <c r="Q940" s="123"/>
    </row>
    <row r="941" spans="12:17" x14ac:dyDescent="0.25">
      <c r="L941" s="123"/>
      <c r="M941" s="123"/>
      <c r="N941" s="123"/>
      <c r="O941" s="123"/>
      <c r="P941" s="123"/>
      <c r="Q941" s="123"/>
    </row>
    <row r="942" spans="12:17" x14ac:dyDescent="0.25">
      <c r="L942" s="123"/>
      <c r="M942" s="123"/>
      <c r="N942" s="123"/>
      <c r="O942" s="123"/>
      <c r="P942" s="123"/>
      <c r="Q942" s="123"/>
    </row>
    <row r="943" spans="12:17" x14ac:dyDescent="0.25">
      <c r="L943" s="123"/>
      <c r="M943" s="123"/>
      <c r="N943" s="123"/>
      <c r="O943" s="123"/>
      <c r="P943" s="123"/>
      <c r="Q943" s="123"/>
    </row>
    <row r="944" spans="12:17" x14ac:dyDescent="0.25">
      <c r="L944" s="123"/>
      <c r="M944" s="123"/>
      <c r="N944" s="123"/>
      <c r="O944" s="123"/>
      <c r="P944" s="123"/>
      <c r="Q944" s="123"/>
    </row>
    <row r="945" spans="12:17" x14ac:dyDescent="0.25">
      <c r="L945" s="123"/>
      <c r="M945" s="123"/>
      <c r="N945" s="123"/>
      <c r="O945" s="123"/>
      <c r="P945" s="123"/>
      <c r="Q945" s="123"/>
    </row>
    <row r="946" spans="12:17" x14ac:dyDescent="0.25">
      <c r="L946" s="123"/>
      <c r="M946" s="123"/>
      <c r="N946" s="123"/>
      <c r="O946" s="123"/>
      <c r="P946" s="123"/>
      <c r="Q946" s="123"/>
    </row>
    <row r="947" spans="12:17" x14ac:dyDescent="0.25">
      <c r="L947" s="123"/>
      <c r="M947" s="123"/>
      <c r="N947" s="123"/>
      <c r="O947" s="123"/>
      <c r="P947" s="123"/>
      <c r="Q947" s="123"/>
    </row>
    <row r="948" spans="12:17" x14ac:dyDescent="0.25">
      <c r="L948" s="123"/>
      <c r="M948" s="123"/>
      <c r="N948" s="123"/>
      <c r="O948" s="123"/>
      <c r="P948" s="123"/>
      <c r="Q948" s="123"/>
    </row>
    <row r="949" spans="12:17" x14ac:dyDescent="0.25">
      <c r="L949" s="123"/>
      <c r="M949" s="123"/>
      <c r="N949" s="123"/>
      <c r="O949" s="123"/>
      <c r="P949" s="123"/>
      <c r="Q949" s="123"/>
    </row>
    <row r="950" spans="12:17" x14ac:dyDescent="0.25">
      <c r="L950" s="123"/>
      <c r="M950" s="123"/>
      <c r="N950" s="123"/>
      <c r="O950" s="123"/>
      <c r="P950" s="123"/>
      <c r="Q950" s="123"/>
    </row>
    <row r="951" spans="12:17" x14ac:dyDescent="0.25">
      <c r="L951" s="123"/>
      <c r="M951" s="123"/>
      <c r="N951" s="123"/>
      <c r="O951" s="123"/>
      <c r="P951" s="123"/>
      <c r="Q951" s="123"/>
    </row>
    <row r="952" spans="12:17" x14ac:dyDescent="0.25">
      <c r="L952" s="123"/>
      <c r="M952" s="123"/>
      <c r="N952" s="123"/>
      <c r="O952" s="123"/>
      <c r="P952" s="123"/>
      <c r="Q952" s="123"/>
    </row>
    <row r="953" spans="12:17" x14ac:dyDescent="0.25">
      <c r="L953" s="123"/>
      <c r="M953" s="123"/>
      <c r="N953" s="123"/>
      <c r="O953" s="123"/>
      <c r="P953" s="123"/>
      <c r="Q953" s="123"/>
    </row>
    <row r="954" spans="12:17" x14ac:dyDescent="0.25">
      <c r="L954" s="123"/>
      <c r="M954" s="123"/>
      <c r="N954" s="123"/>
      <c r="O954" s="123"/>
      <c r="P954" s="123"/>
      <c r="Q954" s="123"/>
    </row>
    <row r="955" spans="12:17" x14ac:dyDescent="0.25">
      <c r="L955" s="123"/>
      <c r="M955" s="123"/>
      <c r="N955" s="123"/>
      <c r="O955" s="123"/>
      <c r="P955" s="123"/>
      <c r="Q955" s="123"/>
    </row>
    <row r="956" spans="12:17" x14ac:dyDescent="0.25">
      <c r="L956" s="123"/>
      <c r="M956" s="123"/>
      <c r="N956" s="123"/>
      <c r="O956" s="123"/>
      <c r="P956" s="123"/>
      <c r="Q956" s="123"/>
    </row>
    <row r="957" spans="12:17" x14ac:dyDescent="0.25">
      <c r="L957" s="123"/>
      <c r="M957" s="123"/>
      <c r="N957" s="123"/>
      <c r="O957" s="123"/>
      <c r="P957" s="123"/>
      <c r="Q957" s="123"/>
    </row>
    <row r="958" spans="12:17" x14ac:dyDescent="0.25">
      <c r="L958" s="123"/>
      <c r="M958" s="123"/>
      <c r="N958" s="123"/>
      <c r="O958" s="123"/>
      <c r="P958" s="123"/>
      <c r="Q958" s="123"/>
    </row>
    <row r="959" spans="12:17" x14ac:dyDescent="0.25">
      <c r="L959" s="123"/>
      <c r="M959" s="123"/>
      <c r="N959" s="123"/>
      <c r="O959" s="123"/>
      <c r="P959" s="123"/>
      <c r="Q959" s="123"/>
    </row>
    <row r="960" spans="12:17" x14ac:dyDescent="0.25">
      <c r="L960" s="123"/>
      <c r="M960" s="123"/>
      <c r="N960" s="123"/>
      <c r="O960" s="123"/>
      <c r="P960" s="123"/>
      <c r="Q960" s="123"/>
    </row>
    <row r="961" spans="12:17" x14ac:dyDescent="0.25">
      <c r="L961" s="123"/>
      <c r="M961" s="123"/>
      <c r="N961" s="123"/>
      <c r="O961" s="123"/>
      <c r="P961" s="123"/>
      <c r="Q961" s="123"/>
    </row>
    <row r="962" spans="12:17" x14ac:dyDescent="0.25">
      <c r="L962" s="123"/>
      <c r="M962" s="123"/>
      <c r="N962" s="123"/>
      <c r="O962" s="123"/>
      <c r="P962" s="123"/>
      <c r="Q962" s="123"/>
    </row>
    <row r="963" spans="12:17" x14ac:dyDescent="0.25">
      <c r="L963" s="123"/>
      <c r="M963" s="123"/>
      <c r="N963" s="123"/>
      <c r="O963" s="123"/>
      <c r="P963" s="123"/>
      <c r="Q963" s="123"/>
    </row>
    <row r="964" spans="12:17" x14ac:dyDescent="0.25">
      <c r="L964" s="123"/>
      <c r="M964" s="123"/>
      <c r="N964" s="123"/>
      <c r="O964" s="123"/>
      <c r="P964" s="123"/>
      <c r="Q964" s="123"/>
    </row>
    <row r="965" spans="12:17" x14ac:dyDescent="0.25">
      <c r="L965" s="123"/>
      <c r="M965" s="123"/>
      <c r="N965" s="123"/>
      <c r="O965" s="123"/>
      <c r="P965" s="123"/>
      <c r="Q965" s="123"/>
    </row>
    <row r="966" spans="12:17" x14ac:dyDescent="0.25">
      <c r="L966" s="123"/>
      <c r="M966" s="123"/>
      <c r="N966" s="123"/>
      <c r="O966" s="123"/>
      <c r="P966" s="123"/>
      <c r="Q966" s="123"/>
    </row>
    <row r="967" spans="12:17" x14ac:dyDescent="0.25">
      <c r="L967" s="123"/>
      <c r="M967" s="123"/>
      <c r="N967" s="123"/>
      <c r="O967" s="123"/>
      <c r="P967" s="123"/>
      <c r="Q967" s="123"/>
    </row>
    <row r="968" spans="12:17" x14ac:dyDescent="0.25">
      <c r="L968" s="123"/>
      <c r="M968" s="123"/>
      <c r="N968" s="123"/>
      <c r="O968" s="123"/>
      <c r="P968" s="123"/>
      <c r="Q968" s="123"/>
    </row>
    <row r="969" spans="12:17" x14ac:dyDescent="0.25">
      <c r="L969" s="123"/>
      <c r="M969" s="123"/>
      <c r="N969" s="123"/>
      <c r="O969" s="123"/>
      <c r="P969" s="123"/>
      <c r="Q969" s="123"/>
    </row>
    <row r="970" spans="12:17" x14ac:dyDescent="0.25">
      <c r="L970" s="123"/>
      <c r="M970" s="123"/>
      <c r="N970" s="123"/>
      <c r="O970" s="123"/>
      <c r="P970" s="123"/>
      <c r="Q970" s="123"/>
    </row>
    <row r="971" spans="12:17" x14ac:dyDescent="0.25">
      <c r="L971" s="123"/>
      <c r="M971" s="123"/>
      <c r="N971" s="123"/>
      <c r="O971" s="123"/>
      <c r="P971" s="123"/>
      <c r="Q971" s="123"/>
    </row>
    <row r="972" spans="12:17" x14ac:dyDescent="0.25">
      <c r="L972" s="123"/>
      <c r="M972" s="123"/>
      <c r="N972" s="123"/>
      <c r="O972" s="123"/>
      <c r="P972" s="123"/>
      <c r="Q972" s="123"/>
    </row>
    <row r="973" spans="12:17" x14ac:dyDescent="0.25">
      <c r="L973" s="123"/>
      <c r="M973" s="123"/>
      <c r="N973" s="123"/>
      <c r="O973" s="123"/>
      <c r="P973" s="123"/>
      <c r="Q973" s="123"/>
    </row>
    <row r="974" spans="12:17" x14ac:dyDescent="0.25">
      <c r="L974" s="123"/>
      <c r="M974" s="123"/>
      <c r="N974" s="123"/>
      <c r="O974" s="123"/>
      <c r="P974" s="123"/>
      <c r="Q974" s="123"/>
    </row>
    <row r="975" spans="12:17" x14ac:dyDescent="0.25">
      <c r="L975" s="123"/>
      <c r="M975" s="123"/>
      <c r="N975" s="123"/>
      <c r="O975" s="123"/>
      <c r="P975" s="123"/>
      <c r="Q975" s="123"/>
    </row>
    <row r="976" spans="12:17" x14ac:dyDescent="0.25">
      <c r="L976" s="123"/>
      <c r="M976" s="123"/>
      <c r="N976" s="123"/>
      <c r="O976" s="123"/>
      <c r="P976" s="123"/>
      <c r="Q976" s="123"/>
    </row>
    <row r="977" spans="12:17" x14ac:dyDescent="0.25">
      <c r="L977" s="123"/>
      <c r="M977" s="123"/>
      <c r="N977" s="123"/>
      <c r="O977" s="123"/>
      <c r="P977" s="123"/>
      <c r="Q977" s="123"/>
    </row>
    <row r="978" spans="12:17" x14ac:dyDescent="0.25">
      <c r="L978" s="123"/>
      <c r="M978" s="123"/>
      <c r="N978" s="123"/>
      <c r="O978" s="123"/>
      <c r="P978" s="123"/>
      <c r="Q978" s="123"/>
    </row>
    <row r="979" spans="12:17" x14ac:dyDescent="0.25">
      <c r="L979" s="123"/>
      <c r="M979" s="123"/>
      <c r="N979" s="123"/>
      <c r="O979" s="123"/>
      <c r="P979" s="123"/>
      <c r="Q979" s="123"/>
    </row>
    <row r="980" spans="12:17" x14ac:dyDescent="0.25">
      <c r="L980" s="123"/>
      <c r="M980" s="123"/>
      <c r="N980" s="123"/>
      <c r="O980" s="123"/>
      <c r="P980" s="123"/>
      <c r="Q980" s="123"/>
    </row>
    <row r="981" spans="12:17" x14ac:dyDescent="0.25">
      <c r="L981" s="123"/>
      <c r="M981" s="123"/>
      <c r="N981" s="123"/>
      <c r="O981" s="123"/>
      <c r="P981" s="123"/>
      <c r="Q981" s="123"/>
    </row>
    <row r="982" spans="12:17" x14ac:dyDescent="0.25">
      <c r="L982" s="123"/>
      <c r="M982" s="123"/>
      <c r="N982" s="123"/>
      <c r="O982" s="123"/>
      <c r="P982" s="123"/>
      <c r="Q982" s="123"/>
    </row>
    <row r="983" spans="12:17" x14ac:dyDescent="0.25">
      <c r="L983" s="123"/>
      <c r="M983" s="123"/>
      <c r="N983" s="123"/>
      <c r="O983" s="123"/>
      <c r="P983" s="123"/>
      <c r="Q983" s="123"/>
    </row>
    <row r="984" spans="12:17" x14ac:dyDescent="0.25">
      <c r="L984" s="123"/>
      <c r="M984" s="123"/>
      <c r="N984" s="123"/>
      <c r="O984" s="123"/>
      <c r="P984" s="123"/>
      <c r="Q984" s="123"/>
    </row>
    <row r="985" spans="12:17" x14ac:dyDescent="0.25">
      <c r="L985" s="123"/>
      <c r="M985" s="123"/>
      <c r="N985" s="123"/>
      <c r="O985" s="123"/>
      <c r="P985" s="123"/>
      <c r="Q985" s="123"/>
    </row>
    <row r="986" spans="12:17" x14ac:dyDescent="0.25">
      <c r="L986" s="123"/>
      <c r="M986" s="123"/>
      <c r="N986" s="123"/>
      <c r="O986" s="123"/>
      <c r="P986" s="123"/>
      <c r="Q986" s="123"/>
    </row>
    <row r="987" spans="12:17" x14ac:dyDescent="0.25">
      <c r="L987" s="123"/>
      <c r="M987" s="123"/>
      <c r="N987" s="123"/>
      <c r="O987" s="123"/>
      <c r="P987" s="123"/>
      <c r="Q987" s="123"/>
    </row>
    <row r="988" spans="12:17" x14ac:dyDescent="0.25">
      <c r="L988" s="123"/>
      <c r="M988" s="123"/>
      <c r="N988" s="123"/>
      <c r="O988" s="123"/>
      <c r="P988" s="123"/>
      <c r="Q988" s="123"/>
    </row>
    <row r="989" spans="12:17" x14ac:dyDescent="0.25">
      <c r="L989" s="123"/>
      <c r="M989" s="123"/>
      <c r="N989" s="123"/>
      <c r="O989" s="123"/>
      <c r="P989" s="123"/>
      <c r="Q989" s="123"/>
    </row>
    <row r="990" spans="12:17" x14ac:dyDescent="0.25">
      <c r="L990" s="123"/>
      <c r="M990" s="123"/>
      <c r="N990" s="123"/>
      <c r="O990" s="123"/>
      <c r="P990" s="123"/>
      <c r="Q990" s="123"/>
    </row>
    <row r="991" spans="12:17" x14ac:dyDescent="0.25">
      <c r="L991" s="123"/>
      <c r="M991" s="123"/>
      <c r="N991" s="123"/>
      <c r="O991" s="123"/>
      <c r="P991" s="123"/>
      <c r="Q991" s="123"/>
    </row>
    <row r="992" spans="12:17" x14ac:dyDescent="0.25">
      <c r="L992" s="123"/>
      <c r="M992" s="123"/>
      <c r="N992" s="123"/>
      <c r="O992" s="123"/>
      <c r="P992" s="123"/>
      <c r="Q992" s="123"/>
    </row>
    <row r="993" spans="12:17" x14ac:dyDescent="0.25">
      <c r="L993" s="123"/>
      <c r="M993" s="123"/>
      <c r="N993" s="123"/>
      <c r="O993" s="123"/>
      <c r="P993" s="123"/>
      <c r="Q993" s="123"/>
    </row>
    <row r="994" spans="12:17" x14ac:dyDescent="0.25">
      <c r="L994" s="123"/>
      <c r="M994" s="123"/>
      <c r="N994" s="123"/>
      <c r="O994" s="123"/>
      <c r="P994" s="123"/>
      <c r="Q994" s="123"/>
    </row>
    <row r="995" spans="12:17" x14ac:dyDescent="0.25">
      <c r="L995" s="123"/>
      <c r="M995" s="123"/>
      <c r="N995" s="123"/>
      <c r="O995" s="123"/>
      <c r="P995" s="123"/>
      <c r="Q995" s="123"/>
    </row>
    <row r="996" spans="12:17" x14ac:dyDescent="0.25">
      <c r="L996" s="123"/>
      <c r="M996" s="123"/>
      <c r="N996" s="123"/>
      <c r="O996" s="123"/>
      <c r="P996" s="123"/>
      <c r="Q996" s="123"/>
    </row>
    <row r="997" spans="12:17" x14ac:dyDescent="0.25">
      <c r="L997" s="123"/>
      <c r="M997" s="123"/>
      <c r="N997" s="123"/>
      <c r="O997" s="123"/>
      <c r="P997" s="123"/>
      <c r="Q997" s="123"/>
    </row>
    <row r="998" spans="12:17" x14ac:dyDescent="0.25">
      <c r="L998" s="123"/>
      <c r="M998" s="123"/>
      <c r="N998" s="123"/>
      <c r="O998" s="123"/>
      <c r="P998" s="123"/>
      <c r="Q998" s="123"/>
    </row>
    <row r="999" spans="12:17" x14ac:dyDescent="0.25">
      <c r="L999" s="123"/>
      <c r="M999" s="123"/>
      <c r="N999" s="123"/>
      <c r="O999" s="123"/>
      <c r="P999" s="123"/>
      <c r="Q999" s="123"/>
    </row>
    <row r="1000" spans="12:17" x14ac:dyDescent="0.25">
      <c r="L1000" s="123"/>
      <c r="M1000" s="123"/>
      <c r="N1000" s="123"/>
      <c r="O1000" s="123"/>
      <c r="P1000" s="123"/>
      <c r="Q1000" s="123"/>
    </row>
    <row r="1001" spans="12:17" x14ac:dyDescent="0.25">
      <c r="L1001" s="123"/>
      <c r="M1001" s="123"/>
      <c r="N1001" s="123"/>
      <c r="O1001" s="123"/>
      <c r="P1001" s="123"/>
      <c r="Q1001" s="123"/>
    </row>
    <row r="1002" spans="12:17" x14ac:dyDescent="0.25">
      <c r="L1002" s="123"/>
      <c r="M1002" s="123"/>
      <c r="N1002" s="123"/>
      <c r="O1002" s="123"/>
      <c r="P1002" s="123"/>
      <c r="Q1002" s="123"/>
    </row>
    <row r="1003" spans="12:17" x14ac:dyDescent="0.25">
      <c r="L1003" s="123"/>
      <c r="M1003" s="123"/>
      <c r="N1003" s="123"/>
      <c r="O1003" s="123"/>
      <c r="P1003" s="123"/>
      <c r="Q1003" s="123"/>
    </row>
    <row r="1004" spans="12:17" x14ac:dyDescent="0.25">
      <c r="L1004" s="123"/>
      <c r="M1004" s="123"/>
      <c r="N1004" s="123"/>
      <c r="O1004" s="123"/>
      <c r="P1004" s="123"/>
      <c r="Q1004" s="123"/>
    </row>
    <row r="1005" spans="12:17" x14ac:dyDescent="0.25">
      <c r="L1005" s="123"/>
      <c r="M1005" s="123"/>
      <c r="N1005" s="123"/>
      <c r="O1005" s="123"/>
      <c r="P1005" s="123"/>
      <c r="Q1005" s="123"/>
    </row>
    <row r="1006" spans="12:17" x14ac:dyDescent="0.25">
      <c r="L1006" s="123"/>
      <c r="M1006" s="123"/>
      <c r="N1006" s="123"/>
      <c r="O1006" s="123"/>
      <c r="P1006" s="123"/>
      <c r="Q1006" s="123"/>
    </row>
    <row r="1007" spans="12:17" x14ac:dyDescent="0.25">
      <c r="L1007" s="123"/>
      <c r="M1007" s="123"/>
      <c r="N1007" s="123"/>
      <c r="O1007" s="123"/>
      <c r="P1007" s="123"/>
      <c r="Q1007" s="123"/>
    </row>
    <row r="1008" spans="12:17" x14ac:dyDescent="0.25">
      <c r="L1008" s="123"/>
      <c r="M1008" s="123"/>
      <c r="N1008" s="123"/>
      <c r="O1008" s="123"/>
      <c r="P1008" s="123"/>
      <c r="Q1008" s="123"/>
    </row>
    <row r="1009" spans="12:17" x14ac:dyDescent="0.25">
      <c r="L1009" s="123"/>
      <c r="M1009" s="123"/>
      <c r="N1009" s="123"/>
      <c r="O1009" s="123"/>
      <c r="P1009" s="123"/>
      <c r="Q1009" s="123"/>
    </row>
    <row r="1010" spans="12:17" x14ac:dyDescent="0.25">
      <c r="L1010" s="123"/>
      <c r="M1010" s="123"/>
      <c r="N1010" s="123"/>
      <c r="O1010" s="123"/>
      <c r="P1010" s="123"/>
      <c r="Q1010" s="123"/>
    </row>
    <row r="1011" spans="12:17" x14ac:dyDescent="0.25">
      <c r="L1011" s="123"/>
      <c r="M1011" s="123"/>
      <c r="N1011" s="123"/>
      <c r="O1011" s="123"/>
      <c r="P1011" s="123"/>
      <c r="Q1011" s="123"/>
    </row>
    <row r="1012" spans="12:17" x14ac:dyDescent="0.25">
      <c r="L1012" s="123"/>
      <c r="M1012" s="123"/>
      <c r="N1012" s="123"/>
      <c r="O1012" s="123"/>
      <c r="P1012" s="123"/>
      <c r="Q1012" s="123"/>
    </row>
    <row r="1013" spans="12:17" x14ac:dyDescent="0.25">
      <c r="L1013" s="123"/>
      <c r="M1013" s="123"/>
      <c r="N1013" s="123"/>
      <c r="O1013" s="123"/>
      <c r="P1013" s="123"/>
      <c r="Q1013" s="123"/>
    </row>
    <row r="1014" spans="12:17" x14ac:dyDescent="0.25">
      <c r="L1014" s="123"/>
      <c r="M1014" s="123"/>
      <c r="N1014" s="123"/>
      <c r="O1014" s="123"/>
      <c r="P1014" s="123"/>
      <c r="Q1014" s="123"/>
    </row>
    <row r="1015" spans="12:17" x14ac:dyDescent="0.25">
      <c r="L1015" s="123"/>
      <c r="M1015" s="123"/>
      <c r="N1015" s="123"/>
      <c r="O1015" s="123"/>
      <c r="P1015" s="123"/>
      <c r="Q1015" s="123"/>
    </row>
    <row r="1016" spans="12:17" x14ac:dyDescent="0.25">
      <c r="L1016" s="123"/>
      <c r="M1016" s="123"/>
      <c r="N1016" s="123"/>
      <c r="O1016" s="123"/>
      <c r="P1016" s="123"/>
      <c r="Q1016" s="123"/>
    </row>
    <row r="1017" spans="12:17" x14ac:dyDescent="0.25">
      <c r="L1017" s="123"/>
      <c r="M1017" s="123"/>
      <c r="N1017" s="123"/>
      <c r="O1017" s="123"/>
      <c r="P1017" s="123"/>
      <c r="Q1017" s="123"/>
    </row>
    <row r="1018" spans="12:17" x14ac:dyDescent="0.25">
      <c r="L1018" s="123"/>
      <c r="M1018" s="123"/>
      <c r="N1018" s="123"/>
      <c r="O1018" s="123"/>
      <c r="P1018" s="123"/>
      <c r="Q1018" s="123"/>
    </row>
    <row r="1019" spans="12:17" x14ac:dyDescent="0.25">
      <c r="L1019" s="123"/>
      <c r="M1019" s="123"/>
      <c r="N1019" s="123"/>
      <c r="O1019" s="123"/>
      <c r="P1019" s="123"/>
      <c r="Q1019" s="123"/>
    </row>
    <row r="1020" spans="12:17" x14ac:dyDescent="0.25">
      <c r="L1020" s="123"/>
      <c r="M1020" s="123"/>
      <c r="N1020" s="123"/>
      <c r="O1020" s="123"/>
      <c r="P1020" s="123"/>
      <c r="Q1020" s="123"/>
    </row>
    <row r="1021" spans="12:17" x14ac:dyDescent="0.25">
      <c r="L1021" s="123"/>
      <c r="M1021" s="123"/>
      <c r="N1021" s="123"/>
      <c r="O1021" s="123"/>
      <c r="P1021" s="123"/>
      <c r="Q1021" s="123"/>
    </row>
    <row r="1022" spans="12:17" x14ac:dyDescent="0.25">
      <c r="L1022" s="123"/>
      <c r="M1022" s="123"/>
      <c r="N1022" s="123"/>
      <c r="O1022" s="123"/>
      <c r="P1022" s="123"/>
      <c r="Q1022" s="123"/>
    </row>
    <row r="1023" spans="12:17" x14ac:dyDescent="0.25">
      <c r="L1023" s="123"/>
      <c r="M1023" s="123"/>
      <c r="N1023" s="123"/>
      <c r="O1023" s="123"/>
      <c r="P1023" s="123"/>
      <c r="Q1023" s="123"/>
    </row>
    <row r="1024" spans="12:17" x14ac:dyDescent="0.25">
      <c r="L1024" s="123"/>
      <c r="M1024" s="123"/>
      <c r="N1024" s="123"/>
      <c r="O1024" s="123"/>
      <c r="P1024" s="123"/>
      <c r="Q1024" s="123"/>
    </row>
    <row r="1025" spans="12:17" x14ac:dyDescent="0.25">
      <c r="L1025" s="123"/>
      <c r="M1025" s="123"/>
      <c r="N1025" s="123"/>
      <c r="O1025" s="123"/>
      <c r="P1025" s="123"/>
      <c r="Q1025" s="123"/>
    </row>
    <row r="1026" spans="12:17" x14ac:dyDescent="0.25">
      <c r="L1026" s="123"/>
      <c r="M1026" s="123"/>
      <c r="N1026" s="123"/>
      <c r="O1026" s="123"/>
      <c r="P1026" s="123"/>
      <c r="Q1026" s="123"/>
    </row>
    <row r="1027" spans="12:17" x14ac:dyDescent="0.25">
      <c r="L1027" s="123"/>
      <c r="M1027" s="123"/>
      <c r="N1027" s="123"/>
      <c r="O1027" s="123"/>
      <c r="P1027" s="123"/>
      <c r="Q1027" s="123"/>
    </row>
    <row r="1028" spans="12:17" x14ac:dyDescent="0.25">
      <c r="L1028" s="123"/>
      <c r="M1028" s="123"/>
      <c r="N1028" s="123"/>
      <c r="O1028" s="123"/>
      <c r="P1028" s="123"/>
      <c r="Q1028" s="123"/>
    </row>
    <row r="1029" spans="12:17" x14ac:dyDescent="0.25">
      <c r="L1029" s="123"/>
      <c r="M1029" s="123"/>
      <c r="N1029" s="123"/>
      <c r="O1029" s="123"/>
      <c r="P1029" s="123"/>
      <c r="Q1029" s="123"/>
    </row>
    <row r="1030" spans="12:17" x14ac:dyDescent="0.25">
      <c r="L1030" s="123"/>
      <c r="M1030" s="123"/>
      <c r="N1030" s="123"/>
      <c r="O1030" s="123"/>
      <c r="P1030" s="123"/>
      <c r="Q1030" s="123"/>
    </row>
    <row r="1031" spans="12:17" x14ac:dyDescent="0.25">
      <c r="L1031" s="123"/>
      <c r="M1031" s="123"/>
      <c r="N1031" s="123"/>
      <c r="O1031" s="123"/>
      <c r="P1031" s="123"/>
      <c r="Q1031" s="123"/>
    </row>
    <row r="1032" spans="12:17" x14ac:dyDescent="0.25">
      <c r="L1032" s="123"/>
      <c r="M1032" s="123"/>
      <c r="N1032" s="123"/>
      <c r="O1032" s="123"/>
      <c r="P1032" s="123"/>
      <c r="Q1032" s="123"/>
    </row>
    <row r="1033" spans="12:17" x14ac:dyDescent="0.25">
      <c r="L1033" s="123"/>
      <c r="M1033" s="123"/>
      <c r="N1033" s="123"/>
      <c r="O1033" s="123"/>
      <c r="P1033" s="123"/>
      <c r="Q1033" s="123"/>
    </row>
    <row r="1034" spans="12:17" x14ac:dyDescent="0.25">
      <c r="L1034" s="123"/>
      <c r="M1034" s="123"/>
      <c r="N1034" s="123"/>
      <c r="O1034" s="123"/>
      <c r="P1034" s="123"/>
      <c r="Q1034" s="123"/>
    </row>
    <row r="1035" spans="12:17" x14ac:dyDescent="0.25">
      <c r="L1035" s="123"/>
      <c r="M1035" s="123"/>
      <c r="N1035" s="123"/>
      <c r="O1035" s="123"/>
      <c r="P1035" s="123"/>
      <c r="Q1035" s="123"/>
    </row>
    <row r="1036" spans="12:17" x14ac:dyDescent="0.25">
      <c r="L1036" s="123"/>
      <c r="M1036" s="123"/>
      <c r="N1036" s="123"/>
      <c r="O1036" s="123"/>
      <c r="P1036" s="123"/>
      <c r="Q1036" s="123"/>
    </row>
    <row r="1037" spans="12:17" x14ac:dyDescent="0.25">
      <c r="L1037" s="123"/>
      <c r="M1037" s="123"/>
      <c r="N1037" s="123"/>
      <c r="O1037" s="123"/>
      <c r="P1037" s="123"/>
      <c r="Q1037" s="123"/>
    </row>
    <row r="1038" spans="12:17" x14ac:dyDescent="0.25">
      <c r="L1038" s="123"/>
      <c r="M1038" s="123"/>
      <c r="N1038" s="123"/>
      <c r="O1038" s="123"/>
      <c r="P1038" s="123"/>
      <c r="Q1038" s="123"/>
    </row>
    <row r="1039" spans="12:17" x14ac:dyDescent="0.25">
      <c r="L1039" s="123"/>
      <c r="M1039" s="123"/>
      <c r="N1039" s="123"/>
      <c r="O1039" s="123"/>
      <c r="P1039" s="123"/>
      <c r="Q1039" s="123"/>
    </row>
    <row r="1040" spans="12:17" x14ac:dyDescent="0.25">
      <c r="L1040" s="123"/>
      <c r="M1040" s="123"/>
      <c r="N1040" s="123"/>
      <c r="O1040" s="123"/>
      <c r="P1040" s="123"/>
      <c r="Q1040" s="123"/>
    </row>
    <row r="1041" spans="12:17" x14ac:dyDescent="0.25">
      <c r="L1041" s="123"/>
      <c r="M1041" s="123"/>
      <c r="N1041" s="123"/>
      <c r="O1041" s="123"/>
      <c r="P1041" s="123"/>
      <c r="Q1041" s="123"/>
    </row>
    <row r="1042" spans="12:17" x14ac:dyDescent="0.25">
      <c r="L1042" s="123"/>
      <c r="M1042" s="123"/>
      <c r="N1042" s="123"/>
      <c r="O1042" s="123"/>
      <c r="P1042" s="123"/>
      <c r="Q1042" s="123"/>
    </row>
    <row r="1043" spans="12:17" x14ac:dyDescent="0.25">
      <c r="L1043" s="123"/>
      <c r="M1043" s="123"/>
      <c r="N1043" s="123"/>
      <c r="O1043" s="123"/>
      <c r="P1043" s="123"/>
      <c r="Q1043" s="123"/>
    </row>
    <row r="1044" spans="12:17" x14ac:dyDescent="0.25">
      <c r="L1044" s="123"/>
      <c r="M1044" s="123"/>
      <c r="N1044" s="123"/>
      <c r="O1044" s="123"/>
      <c r="P1044" s="123"/>
      <c r="Q1044" s="123"/>
    </row>
    <row r="1045" spans="12:17" x14ac:dyDescent="0.25">
      <c r="L1045" s="123"/>
      <c r="M1045" s="123"/>
      <c r="N1045" s="123"/>
      <c r="O1045" s="123"/>
      <c r="P1045" s="123"/>
      <c r="Q1045" s="123"/>
    </row>
    <row r="1046" spans="12:17" x14ac:dyDescent="0.25">
      <c r="L1046" s="123"/>
      <c r="M1046" s="123"/>
      <c r="N1046" s="123"/>
      <c r="O1046" s="123"/>
      <c r="P1046" s="123"/>
      <c r="Q1046" s="123"/>
    </row>
    <row r="1047" spans="12:17" x14ac:dyDescent="0.25">
      <c r="L1047" s="123"/>
      <c r="M1047" s="123"/>
      <c r="N1047" s="123"/>
      <c r="O1047" s="123"/>
      <c r="P1047" s="123"/>
      <c r="Q1047" s="123"/>
    </row>
    <row r="1048" spans="12:17" x14ac:dyDescent="0.25">
      <c r="L1048" s="123"/>
      <c r="M1048" s="123"/>
      <c r="N1048" s="123"/>
      <c r="O1048" s="123"/>
      <c r="P1048" s="123"/>
      <c r="Q1048" s="123"/>
    </row>
    <row r="1049" spans="12:17" x14ac:dyDescent="0.25">
      <c r="L1049" s="123"/>
      <c r="M1049" s="123"/>
      <c r="N1049" s="123"/>
      <c r="O1049" s="123"/>
      <c r="P1049" s="123"/>
      <c r="Q1049" s="123"/>
    </row>
    <row r="1050" spans="12:17" x14ac:dyDescent="0.25">
      <c r="L1050" s="123"/>
      <c r="M1050" s="123"/>
      <c r="N1050" s="123"/>
      <c r="O1050" s="123"/>
      <c r="P1050" s="123"/>
      <c r="Q1050" s="123"/>
    </row>
    <row r="1051" spans="12:17" x14ac:dyDescent="0.25">
      <c r="L1051" s="123"/>
      <c r="M1051" s="123"/>
      <c r="N1051" s="123"/>
      <c r="O1051" s="123"/>
      <c r="P1051" s="123"/>
      <c r="Q1051" s="123"/>
    </row>
    <row r="1052" spans="12:17" x14ac:dyDescent="0.25">
      <c r="L1052" s="123"/>
      <c r="M1052" s="123"/>
      <c r="N1052" s="123"/>
      <c r="O1052" s="123"/>
      <c r="P1052" s="123"/>
      <c r="Q1052" s="123"/>
    </row>
    <row r="1053" spans="12:17" x14ac:dyDescent="0.25">
      <c r="L1053" s="123"/>
      <c r="M1053" s="123"/>
      <c r="N1053" s="123"/>
      <c r="O1053" s="123"/>
      <c r="P1053" s="123"/>
      <c r="Q1053" s="123"/>
    </row>
    <row r="1054" spans="12:17" x14ac:dyDescent="0.25">
      <c r="L1054" s="123"/>
      <c r="M1054" s="123"/>
      <c r="N1054" s="123"/>
      <c r="O1054" s="123"/>
      <c r="P1054" s="123"/>
      <c r="Q1054" s="123"/>
    </row>
    <row r="1055" spans="12:17" x14ac:dyDescent="0.25">
      <c r="L1055" s="123"/>
      <c r="M1055" s="123"/>
      <c r="N1055" s="123"/>
      <c r="O1055" s="123"/>
      <c r="P1055" s="123"/>
      <c r="Q1055" s="123"/>
    </row>
    <row r="1056" spans="12:17" x14ac:dyDescent="0.25">
      <c r="L1056" s="123"/>
      <c r="M1056" s="123"/>
      <c r="N1056" s="123"/>
      <c r="O1056" s="123"/>
      <c r="P1056" s="123"/>
      <c r="Q1056" s="123"/>
    </row>
    <row r="1057" spans="12:17" x14ac:dyDescent="0.25">
      <c r="L1057" s="123"/>
      <c r="M1057" s="123"/>
      <c r="N1057" s="123"/>
      <c r="O1057" s="123"/>
      <c r="P1057" s="123"/>
      <c r="Q1057" s="123"/>
    </row>
    <row r="1058" spans="12:17" x14ac:dyDescent="0.25">
      <c r="L1058" s="123"/>
      <c r="M1058" s="123"/>
      <c r="N1058" s="123"/>
      <c r="O1058" s="123"/>
      <c r="P1058" s="123"/>
      <c r="Q1058" s="123"/>
    </row>
    <row r="1059" spans="12:17" x14ac:dyDescent="0.25">
      <c r="L1059" s="123"/>
      <c r="M1059" s="123"/>
      <c r="N1059" s="123"/>
      <c r="O1059" s="123"/>
      <c r="P1059" s="123"/>
      <c r="Q1059" s="123"/>
    </row>
    <row r="1060" spans="12:17" x14ac:dyDescent="0.25">
      <c r="L1060" s="123"/>
      <c r="M1060" s="123"/>
      <c r="N1060" s="123"/>
      <c r="O1060" s="123"/>
      <c r="P1060" s="123"/>
      <c r="Q1060" s="123"/>
    </row>
    <row r="1061" spans="12:17" x14ac:dyDescent="0.25">
      <c r="L1061" s="123"/>
      <c r="M1061" s="123"/>
      <c r="N1061" s="123"/>
      <c r="O1061" s="123"/>
      <c r="P1061" s="123"/>
      <c r="Q1061" s="123"/>
    </row>
    <row r="1062" spans="12:17" x14ac:dyDescent="0.25">
      <c r="L1062" s="123"/>
      <c r="M1062" s="123"/>
      <c r="N1062" s="123"/>
      <c r="O1062" s="123"/>
      <c r="P1062" s="123"/>
      <c r="Q1062" s="123"/>
    </row>
    <row r="1063" spans="12:17" x14ac:dyDescent="0.25">
      <c r="L1063" s="123"/>
      <c r="M1063" s="123"/>
      <c r="N1063" s="123"/>
      <c r="O1063" s="123"/>
      <c r="P1063" s="123"/>
      <c r="Q1063" s="123"/>
    </row>
    <row r="1064" spans="12:17" x14ac:dyDescent="0.25">
      <c r="L1064" s="123"/>
      <c r="M1064" s="123"/>
      <c r="N1064" s="123"/>
      <c r="O1064" s="123"/>
      <c r="P1064" s="123"/>
      <c r="Q1064" s="123"/>
    </row>
    <row r="1065" spans="12:17" x14ac:dyDescent="0.25">
      <c r="L1065" s="123"/>
      <c r="M1065" s="123"/>
      <c r="N1065" s="123"/>
      <c r="O1065" s="123"/>
      <c r="P1065" s="123"/>
      <c r="Q1065" s="123"/>
    </row>
    <row r="1066" spans="12:17" x14ac:dyDescent="0.25">
      <c r="L1066" s="123"/>
      <c r="M1066" s="123"/>
      <c r="N1066" s="123"/>
      <c r="O1066" s="123"/>
      <c r="P1066" s="123"/>
      <c r="Q1066" s="123"/>
    </row>
    <row r="1067" spans="12:17" x14ac:dyDescent="0.25">
      <c r="L1067" s="123"/>
      <c r="M1067" s="123"/>
      <c r="N1067" s="123"/>
      <c r="O1067" s="123"/>
      <c r="P1067" s="123"/>
      <c r="Q1067" s="123"/>
    </row>
    <row r="1068" spans="12:17" x14ac:dyDescent="0.25">
      <c r="L1068" s="123"/>
      <c r="M1068" s="123"/>
      <c r="N1068" s="123"/>
      <c r="O1068" s="123"/>
      <c r="P1068" s="123"/>
      <c r="Q1068" s="123"/>
    </row>
    <row r="1069" spans="12:17" x14ac:dyDescent="0.25">
      <c r="L1069" s="123"/>
      <c r="M1069" s="123"/>
      <c r="N1069" s="123"/>
      <c r="O1069" s="123"/>
      <c r="P1069" s="123"/>
      <c r="Q1069" s="123"/>
    </row>
    <row r="1070" spans="12:17" x14ac:dyDescent="0.25">
      <c r="L1070" s="123"/>
      <c r="M1070" s="123"/>
      <c r="N1070" s="123"/>
      <c r="O1070" s="123"/>
      <c r="P1070" s="123"/>
      <c r="Q1070" s="123"/>
    </row>
    <row r="1071" spans="12:17" x14ac:dyDescent="0.25">
      <c r="L1071" s="123"/>
      <c r="M1071" s="123"/>
      <c r="N1071" s="123"/>
      <c r="O1071" s="123"/>
      <c r="P1071" s="123"/>
      <c r="Q1071" s="123"/>
    </row>
    <row r="1072" spans="12:17" x14ac:dyDescent="0.25">
      <c r="L1072" s="123"/>
      <c r="M1072" s="123"/>
      <c r="N1072" s="123"/>
      <c r="O1072" s="123"/>
      <c r="P1072" s="123"/>
      <c r="Q1072" s="123"/>
    </row>
    <row r="1073" spans="12:17" x14ac:dyDescent="0.25">
      <c r="L1073" s="123"/>
      <c r="M1073" s="123"/>
      <c r="N1073" s="123"/>
      <c r="O1073" s="123"/>
      <c r="P1073" s="123"/>
      <c r="Q1073" s="123"/>
    </row>
    <row r="1074" spans="12:17" x14ac:dyDescent="0.25">
      <c r="L1074" s="123"/>
      <c r="M1074" s="123"/>
      <c r="N1074" s="123"/>
      <c r="O1074" s="123"/>
      <c r="P1074" s="123"/>
      <c r="Q1074" s="123"/>
    </row>
    <row r="1075" spans="12:17" x14ac:dyDescent="0.25">
      <c r="L1075" s="123"/>
      <c r="M1075" s="123"/>
      <c r="N1075" s="123"/>
      <c r="O1075" s="123"/>
      <c r="P1075" s="123"/>
      <c r="Q1075" s="123"/>
    </row>
    <row r="1076" spans="12:17" x14ac:dyDescent="0.25">
      <c r="L1076" s="123"/>
      <c r="M1076" s="123"/>
      <c r="N1076" s="123"/>
      <c r="O1076" s="123"/>
      <c r="P1076" s="123"/>
      <c r="Q1076" s="123"/>
    </row>
    <row r="1077" spans="12:17" x14ac:dyDescent="0.25">
      <c r="L1077" s="123"/>
      <c r="M1077" s="123"/>
      <c r="N1077" s="123"/>
      <c r="O1077" s="123"/>
      <c r="P1077" s="123"/>
      <c r="Q1077" s="123"/>
    </row>
    <row r="1078" spans="12:17" x14ac:dyDescent="0.25">
      <c r="L1078" s="123"/>
      <c r="M1078" s="123"/>
      <c r="N1078" s="123"/>
      <c r="O1078" s="123"/>
      <c r="P1078" s="123"/>
      <c r="Q1078" s="123"/>
    </row>
    <row r="1079" spans="12:17" x14ac:dyDescent="0.25">
      <c r="L1079" s="123"/>
      <c r="M1079" s="123"/>
      <c r="N1079" s="123"/>
      <c r="O1079" s="123"/>
      <c r="P1079" s="123"/>
      <c r="Q1079" s="123"/>
    </row>
    <row r="1080" spans="12:17" x14ac:dyDescent="0.25">
      <c r="L1080" s="123"/>
      <c r="M1080" s="123"/>
      <c r="N1080" s="123"/>
      <c r="O1080" s="123"/>
      <c r="P1080" s="123"/>
      <c r="Q1080" s="123"/>
    </row>
    <row r="1081" spans="12:17" x14ac:dyDescent="0.25">
      <c r="L1081" s="123"/>
      <c r="M1081" s="123"/>
      <c r="N1081" s="123"/>
      <c r="O1081" s="123"/>
      <c r="P1081" s="123"/>
      <c r="Q1081" s="123"/>
    </row>
    <row r="1082" spans="12:17" x14ac:dyDescent="0.25">
      <c r="L1082" s="123"/>
      <c r="M1082" s="123"/>
      <c r="N1082" s="123"/>
      <c r="O1082" s="123"/>
      <c r="P1082" s="123"/>
      <c r="Q1082" s="123"/>
    </row>
    <row r="1083" spans="12:17" x14ac:dyDescent="0.25">
      <c r="L1083" s="123"/>
      <c r="M1083" s="123"/>
      <c r="N1083" s="123"/>
      <c r="O1083" s="123"/>
      <c r="P1083" s="123"/>
      <c r="Q1083" s="123"/>
    </row>
    <row r="1084" spans="12:17" x14ac:dyDescent="0.25">
      <c r="L1084" s="123"/>
      <c r="M1084" s="123"/>
      <c r="N1084" s="123"/>
      <c r="O1084" s="123"/>
      <c r="P1084" s="123"/>
      <c r="Q1084" s="123"/>
    </row>
    <row r="1085" spans="12:17" x14ac:dyDescent="0.25">
      <c r="L1085" s="123"/>
      <c r="M1085" s="123"/>
      <c r="N1085" s="123"/>
      <c r="O1085" s="123"/>
      <c r="P1085" s="123"/>
      <c r="Q1085" s="123"/>
    </row>
    <row r="1086" spans="12:17" x14ac:dyDescent="0.25">
      <c r="L1086" s="123"/>
      <c r="M1086" s="123"/>
      <c r="N1086" s="123"/>
      <c r="O1086" s="123"/>
      <c r="P1086" s="123"/>
      <c r="Q1086" s="123"/>
    </row>
    <row r="1087" spans="12:17" x14ac:dyDescent="0.25">
      <c r="L1087" s="123"/>
      <c r="M1087" s="123"/>
      <c r="N1087" s="123"/>
      <c r="O1087" s="123"/>
      <c r="P1087" s="123"/>
      <c r="Q1087" s="123"/>
    </row>
    <row r="1088" spans="12:17" x14ac:dyDescent="0.25">
      <c r="L1088" s="123"/>
      <c r="M1088" s="123"/>
      <c r="N1088" s="123"/>
      <c r="O1088" s="123"/>
      <c r="P1088" s="123"/>
      <c r="Q1088" s="123"/>
    </row>
    <row r="1089" spans="12:17" x14ac:dyDescent="0.25">
      <c r="L1089" s="123"/>
      <c r="M1089" s="123"/>
      <c r="N1089" s="123"/>
      <c r="O1089" s="123"/>
      <c r="P1089" s="123"/>
      <c r="Q1089" s="123"/>
    </row>
    <row r="1090" spans="12:17" x14ac:dyDescent="0.25">
      <c r="L1090" s="123"/>
      <c r="M1090" s="123"/>
      <c r="N1090" s="123"/>
      <c r="O1090" s="123"/>
      <c r="P1090" s="123"/>
      <c r="Q1090" s="123"/>
    </row>
    <row r="1091" spans="12:17" x14ac:dyDescent="0.25">
      <c r="L1091" s="123"/>
      <c r="M1091" s="123"/>
      <c r="N1091" s="123"/>
      <c r="O1091" s="123"/>
      <c r="P1091" s="123"/>
      <c r="Q1091" s="123"/>
    </row>
    <row r="1092" spans="12:17" x14ac:dyDescent="0.25">
      <c r="L1092" s="123"/>
      <c r="M1092" s="123"/>
      <c r="N1092" s="123"/>
      <c r="O1092" s="123"/>
      <c r="P1092" s="123"/>
      <c r="Q1092" s="123"/>
    </row>
    <row r="1093" spans="12:17" x14ac:dyDescent="0.25">
      <c r="L1093" s="123"/>
      <c r="M1093" s="123"/>
      <c r="N1093" s="123"/>
      <c r="O1093" s="123"/>
      <c r="P1093" s="123"/>
      <c r="Q1093" s="123"/>
    </row>
    <row r="1094" spans="12:17" x14ac:dyDescent="0.25">
      <c r="L1094" s="123"/>
      <c r="M1094" s="123"/>
      <c r="N1094" s="123"/>
      <c r="O1094" s="123"/>
      <c r="P1094" s="123"/>
      <c r="Q1094" s="123"/>
    </row>
    <row r="1095" spans="12:17" x14ac:dyDescent="0.25">
      <c r="L1095" s="123"/>
      <c r="M1095" s="123"/>
      <c r="N1095" s="123"/>
      <c r="O1095" s="123"/>
      <c r="P1095" s="123"/>
      <c r="Q1095" s="123"/>
    </row>
    <row r="1096" spans="12:17" x14ac:dyDescent="0.25">
      <c r="L1096" s="123"/>
      <c r="M1096" s="123"/>
      <c r="N1096" s="123"/>
      <c r="O1096" s="123"/>
      <c r="P1096" s="123"/>
      <c r="Q1096" s="123"/>
    </row>
    <row r="1097" spans="12:17" x14ac:dyDescent="0.25">
      <c r="L1097" s="123"/>
      <c r="M1097" s="123"/>
      <c r="N1097" s="123"/>
      <c r="O1097" s="123"/>
      <c r="P1097" s="123"/>
      <c r="Q1097" s="123"/>
    </row>
    <row r="1098" spans="12:17" x14ac:dyDescent="0.25">
      <c r="L1098" s="123"/>
      <c r="M1098" s="123"/>
      <c r="N1098" s="123"/>
      <c r="O1098" s="123"/>
      <c r="P1098" s="123"/>
      <c r="Q1098" s="123"/>
    </row>
    <row r="1099" spans="12:17" x14ac:dyDescent="0.25">
      <c r="L1099" s="123"/>
      <c r="M1099" s="123"/>
      <c r="N1099" s="123"/>
      <c r="O1099" s="123"/>
      <c r="P1099" s="123"/>
      <c r="Q1099" s="123"/>
    </row>
    <row r="1100" spans="12:17" x14ac:dyDescent="0.25">
      <c r="L1100" s="123"/>
      <c r="M1100" s="123"/>
      <c r="N1100" s="123"/>
      <c r="O1100" s="123"/>
      <c r="P1100" s="123"/>
      <c r="Q1100" s="123"/>
    </row>
    <row r="1101" spans="12:17" x14ac:dyDescent="0.25">
      <c r="L1101" s="123"/>
      <c r="M1101" s="123"/>
      <c r="N1101" s="123"/>
      <c r="O1101" s="123"/>
      <c r="P1101" s="123"/>
      <c r="Q1101" s="123"/>
    </row>
    <row r="1102" spans="12:17" x14ac:dyDescent="0.25">
      <c r="L1102" s="123"/>
      <c r="M1102" s="123"/>
      <c r="N1102" s="123"/>
      <c r="O1102" s="123"/>
      <c r="P1102" s="123"/>
      <c r="Q1102" s="123"/>
    </row>
    <row r="1103" spans="12:17" x14ac:dyDescent="0.25">
      <c r="L1103" s="123"/>
      <c r="M1103" s="123"/>
      <c r="N1103" s="123"/>
      <c r="O1103" s="123"/>
      <c r="P1103" s="123"/>
      <c r="Q1103" s="123"/>
    </row>
    <row r="1104" spans="12:17" x14ac:dyDescent="0.25">
      <c r="L1104" s="123"/>
      <c r="M1104" s="123"/>
      <c r="N1104" s="123"/>
      <c r="O1104" s="123"/>
      <c r="P1104" s="123"/>
      <c r="Q1104" s="123"/>
    </row>
    <row r="1105" spans="12:17" x14ac:dyDescent="0.25">
      <c r="L1105" s="123"/>
      <c r="M1105" s="123"/>
      <c r="N1105" s="123"/>
      <c r="O1105" s="123"/>
      <c r="P1105" s="123"/>
      <c r="Q1105" s="123"/>
    </row>
    <row r="1106" spans="12:17" x14ac:dyDescent="0.25">
      <c r="L1106" s="123"/>
      <c r="M1106" s="123"/>
      <c r="N1106" s="123"/>
      <c r="O1106" s="123"/>
      <c r="P1106" s="123"/>
      <c r="Q1106" s="123"/>
    </row>
    <row r="1107" spans="12:17" x14ac:dyDescent="0.25">
      <c r="L1107" s="123"/>
      <c r="M1107" s="123"/>
      <c r="N1107" s="123"/>
      <c r="O1107" s="123"/>
      <c r="P1107" s="123"/>
      <c r="Q1107" s="123"/>
    </row>
    <row r="1108" spans="12:17" x14ac:dyDescent="0.25">
      <c r="L1108" s="123"/>
      <c r="M1108" s="123"/>
      <c r="N1108" s="123"/>
      <c r="O1108" s="123"/>
      <c r="P1108" s="123"/>
      <c r="Q1108" s="123"/>
    </row>
    <row r="1109" spans="12:17" x14ac:dyDescent="0.25">
      <c r="L1109" s="123"/>
      <c r="M1109" s="123"/>
      <c r="N1109" s="123"/>
      <c r="O1109" s="123"/>
      <c r="P1109" s="123"/>
      <c r="Q1109" s="123"/>
    </row>
    <row r="1110" spans="12:17" x14ac:dyDescent="0.25">
      <c r="L1110" s="123"/>
      <c r="M1110" s="123"/>
      <c r="N1110" s="123"/>
      <c r="O1110" s="123"/>
      <c r="P1110" s="123"/>
      <c r="Q1110" s="123"/>
    </row>
    <row r="1111" spans="12:17" x14ac:dyDescent="0.25">
      <c r="L1111" s="123"/>
      <c r="M1111" s="123"/>
      <c r="N1111" s="123"/>
      <c r="O1111" s="123"/>
      <c r="P1111" s="123"/>
      <c r="Q1111" s="123"/>
    </row>
    <row r="1112" spans="12:17" x14ac:dyDescent="0.25">
      <c r="L1112" s="123"/>
      <c r="M1112" s="123"/>
      <c r="N1112" s="123"/>
      <c r="O1112" s="123"/>
      <c r="P1112" s="123"/>
      <c r="Q1112" s="123"/>
    </row>
    <row r="1113" spans="12:17" x14ac:dyDescent="0.25">
      <c r="L1113" s="123"/>
      <c r="M1113" s="123"/>
      <c r="N1113" s="123"/>
      <c r="O1113" s="123"/>
      <c r="P1113" s="123"/>
      <c r="Q1113" s="123"/>
    </row>
    <row r="1114" spans="12:17" x14ac:dyDescent="0.25">
      <c r="L1114" s="123"/>
      <c r="M1114" s="123"/>
      <c r="N1114" s="123"/>
      <c r="O1114" s="123"/>
      <c r="P1114" s="123"/>
      <c r="Q1114" s="123"/>
    </row>
    <row r="1115" spans="12:17" x14ac:dyDescent="0.25">
      <c r="L1115" s="123"/>
      <c r="M1115" s="123"/>
      <c r="N1115" s="123"/>
      <c r="O1115" s="123"/>
      <c r="P1115" s="123"/>
      <c r="Q1115" s="123"/>
    </row>
    <row r="1116" spans="12:17" x14ac:dyDescent="0.25">
      <c r="L1116" s="123"/>
      <c r="M1116" s="123"/>
      <c r="N1116" s="123"/>
      <c r="O1116" s="123"/>
      <c r="P1116" s="123"/>
      <c r="Q1116" s="123"/>
    </row>
    <row r="1117" spans="12:17" x14ac:dyDescent="0.25">
      <c r="L1117" s="123"/>
      <c r="M1117" s="123"/>
      <c r="N1117" s="123"/>
      <c r="O1117" s="123"/>
      <c r="P1117" s="123"/>
      <c r="Q1117" s="123"/>
    </row>
    <row r="1118" spans="12:17" x14ac:dyDescent="0.25">
      <c r="L1118" s="123"/>
      <c r="M1118" s="123"/>
      <c r="N1118" s="123"/>
      <c r="O1118" s="123"/>
      <c r="P1118" s="123"/>
      <c r="Q1118" s="123"/>
    </row>
    <row r="1119" spans="12:17" x14ac:dyDescent="0.25">
      <c r="L1119" s="123"/>
      <c r="M1119" s="123"/>
      <c r="N1119" s="123"/>
      <c r="O1119" s="123"/>
      <c r="P1119" s="123"/>
      <c r="Q1119" s="123"/>
    </row>
    <row r="1120" spans="12:17" x14ac:dyDescent="0.25">
      <c r="L1120" s="123"/>
      <c r="M1120" s="123"/>
      <c r="N1120" s="123"/>
      <c r="O1120" s="123"/>
      <c r="P1120" s="123"/>
      <c r="Q1120" s="123"/>
    </row>
    <row r="1121" spans="12:17" x14ac:dyDescent="0.25">
      <c r="L1121" s="123"/>
      <c r="M1121" s="123"/>
      <c r="N1121" s="123"/>
      <c r="O1121" s="123"/>
      <c r="P1121" s="123"/>
      <c r="Q1121" s="123"/>
    </row>
    <row r="1122" spans="12:17" x14ac:dyDescent="0.25">
      <c r="L1122" s="123"/>
      <c r="M1122" s="123"/>
      <c r="N1122" s="123"/>
      <c r="O1122" s="123"/>
      <c r="P1122" s="123"/>
      <c r="Q1122" s="123"/>
    </row>
    <row r="1123" spans="12:17" x14ac:dyDescent="0.25">
      <c r="L1123" s="123"/>
      <c r="M1123" s="123"/>
      <c r="N1123" s="123"/>
      <c r="O1123" s="123"/>
      <c r="P1123" s="123"/>
      <c r="Q1123" s="123"/>
    </row>
    <row r="1124" spans="12:17" x14ac:dyDescent="0.25">
      <c r="L1124" s="123"/>
      <c r="M1124" s="123"/>
      <c r="N1124" s="123"/>
      <c r="O1124" s="123"/>
      <c r="P1124" s="123"/>
      <c r="Q1124" s="123"/>
    </row>
    <row r="1125" spans="12:17" x14ac:dyDescent="0.25">
      <c r="L1125" s="123"/>
      <c r="M1125" s="123"/>
      <c r="N1125" s="123"/>
      <c r="O1125" s="123"/>
      <c r="P1125" s="123"/>
      <c r="Q1125" s="123"/>
    </row>
    <row r="1126" spans="12:17" x14ac:dyDescent="0.25">
      <c r="L1126" s="123"/>
      <c r="M1126" s="123"/>
      <c r="N1126" s="123"/>
      <c r="O1126" s="123"/>
      <c r="P1126" s="123"/>
      <c r="Q1126" s="123"/>
    </row>
    <row r="1127" spans="12:17" x14ac:dyDescent="0.25">
      <c r="L1127" s="123"/>
      <c r="M1127" s="123"/>
      <c r="N1127" s="123"/>
      <c r="O1127" s="123"/>
      <c r="P1127" s="123"/>
      <c r="Q1127" s="123"/>
    </row>
    <row r="1128" spans="12:17" x14ac:dyDescent="0.25">
      <c r="L1128" s="123"/>
      <c r="M1128" s="123"/>
      <c r="N1128" s="123"/>
      <c r="O1128" s="123"/>
      <c r="P1128" s="123"/>
      <c r="Q1128" s="123"/>
    </row>
    <row r="1129" spans="12:17" x14ac:dyDescent="0.25">
      <c r="L1129" s="123"/>
      <c r="M1129" s="123"/>
      <c r="N1129" s="123"/>
      <c r="O1129" s="123"/>
      <c r="P1129" s="123"/>
      <c r="Q1129" s="123"/>
    </row>
    <row r="1130" spans="12:17" x14ac:dyDescent="0.25">
      <c r="L1130" s="123"/>
      <c r="M1130" s="123"/>
      <c r="N1130" s="123"/>
      <c r="O1130" s="123"/>
      <c r="P1130" s="123"/>
      <c r="Q1130" s="123"/>
    </row>
    <row r="1131" spans="12:17" x14ac:dyDescent="0.25">
      <c r="L1131" s="123"/>
      <c r="M1131" s="123"/>
      <c r="N1131" s="123"/>
      <c r="O1131" s="123"/>
      <c r="P1131" s="123"/>
      <c r="Q1131" s="123"/>
    </row>
    <row r="1132" spans="12:17" x14ac:dyDescent="0.25">
      <c r="L1132" s="123"/>
      <c r="M1132" s="123"/>
      <c r="N1132" s="123"/>
      <c r="O1132" s="123"/>
      <c r="P1132" s="123"/>
      <c r="Q1132" s="123"/>
    </row>
    <row r="1133" spans="12:17" x14ac:dyDescent="0.25">
      <c r="L1133" s="123"/>
      <c r="M1133" s="123"/>
      <c r="N1133" s="123"/>
      <c r="O1133" s="123"/>
      <c r="P1133" s="123"/>
      <c r="Q1133" s="123"/>
    </row>
    <row r="1134" spans="12:17" x14ac:dyDescent="0.25">
      <c r="L1134" s="123"/>
      <c r="M1134" s="123"/>
      <c r="N1134" s="123"/>
      <c r="O1134" s="123"/>
      <c r="P1134" s="123"/>
      <c r="Q1134" s="123"/>
    </row>
    <row r="1135" spans="12:17" x14ac:dyDescent="0.25">
      <c r="L1135" s="123"/>
      <c r="M1135" s="123"/>
      <c r="N1135" s="123"/>
      <c r="O1135" s="123"/>
      <c r="P1135" s="123"/>
      <c r="Q1135" s="123"/>
    </row>
    <row r="1136" spans="12:17" x14ac:dyDescent="0.25">
      <c r="L1136" s="123"/>
      <c r="M1136" s="123"/>
      <c r="N1136" s="123"/>
      <c r="O1136" s="123"/>
      <c r="P1136" s="123"/>
      <c r="Q1136" s="123"/>
    </row>
    <row r="1137" spans="12:17" x14ac:dyDescent="0.25">
      <c r="L1137" s="123"/>
      <c r="M1137" s="123"/>
      <c r="N1137" s="123"/>
      <c r="O1137" s="123"/>
      <c r="P1137" s="123"/>
      <c r="Q1137" s="123"/>
    </row>
    <row r="1138" spans="12:17" x14ac:dyDescent="0.25">
      <c r="L1138" s="123"/>
      <c r="M1138" s="123"/>
      <c r="N1138" s="123"/>
      <c r="O1138" s="123"/>
      <c r="P1138" s="123"/>
      <c r="Q1138" s="123"/>
    </row>
    <row r="1139" spans="12:17" x14ac:dyDescent="0.25">
      <c r="L1139" s="123"/>
      <c r="M1139" s="123"/>
      <c r="N1139" s="123"/>
      <c r="O1139" s="123"/>
      <c r="P1139" s="123"/>
      <c r="Q1139" s="123"/>
    </row>
    <row r="1140" spans="12:17" x14ac:dyDescent="0.25">
      <c r="L1140" s="123"/>
      <c r="M1140" s="123"/>
      <c r="N1140" s="123"/>
      <c r="O1140" s="123"/>
      <c r="P1140" s="123"/>
      <c r="Q1140" s="123"/>
    </row>
    <row r="1141" spans="12:17" x14ac:dyDescent="0.25">
      <c r="L1141" s="123"/>
      <c r="M1141" s="123"/>
      <c r="N1141" s="123"/>
      <c r="O1141" s="123"/>
      <c r="P1141" s="123"/>
      <c r="Q1141" s="123"/>
    </row>
    <row r="1142" spans="12:17" x14ac:dyDescent="0.25">
      <c r="L1142" s="123"/>
      <c r="M1142" s="123"/>
      <c r="N1142" s="123"/>
      <c r="O1142" s="123"/>
      <c r="P1142" s="123"/>
      <c r="Q1142" s="123"/>
    </row>
    <row r="1143" spans="12:17" x14ac:dyDescent="0.25">
      <c r="L1143" s="123"/>
      <c r="M1143" s="123"/>
      <c r="N1143" s="123"/>
      <c r="O1143" s="123"/>
      <c r="P1143" s="123"/>
      <c r="Q1143" s="123"/>
    </row>
    <row r="1144" spans="12:17" x14ac:dyDescent="0.25">
      <c r="L1144" s="123"/>
      <c r="M1144" s="123"/>
      <c r="N1144" s="123"/>
      <c r="O1144" s="123"/>
      <c r="P1144" s="123"/>
      <c r="Q1144" s="123"/>
    </row>
    <row r="1145" spans="12:17" x14ac:dyDescent="0.25">
      <c r="L1145" s="123"/>
      <c r="M1145" s="123"/>
      <c r="N1145" s="123"/>
      <c r="O1145" s="123"/>
      <c r="P1145" s="123"/>
      <c r="Q1145" s="123"/>
    </row>
    <row r="1146" spans="12:17" x14ac:dyDescent="0.25">
      <c r="L1146" s="123"/>
      <c r="M1146" s="123"/>
      <c r="N1146" s="123"/>
      <c r="O1146" s="123"/>
      <c r="P1146" s="123"/>
      <c r="Q1146" s="123"/>
    </row>
    <row r="1147" spans="12:17" x14ac:dyDescent="0.25">
      <c r="L1147" s="123"/>
      <c r="M1147" s="123"/>
      <c r="N1147" s="123"/>
      <c r="O1147" s="123"/>
      <c r="P1147" s="123"/>
      <c r="Q1147" s="123"/>
    </row>
    <row r="1148" spans="12:17" x14ac:dyDescent="0.25">
      <c r="L1148" s="123"/>
      <c r="M1148" s="123"/>
      <c r="N1148" s="123"/>
      <c r="O1148" s="123"/>
      <c r="P1148" s="123"/>
      <c r="Q1148" s="123"/>
    </row>
    <row r="1149" spans="12:17" x14ac:dyDescent="0.25">
      <c r="L1149" s="123"/>
      <c r="M1149" s="123"/>
      <c r="N1149" s="123"/>
      <c r="O1149" s="123"/>
      <c r="P1149" s="123"/>
      <c r="Q1149" s="123"/>
    </row>
    <row r="1150" spans="12:17" x14ac:dyDescent="0.25">
      <c r="L1150" s="123"/>
      <c r="M1150" s="123"/>
      <c r="N1150" s="123"/>
      <c r="O1150" s="123"/>
      <c r="P1150" s="123"/>
      <c r="Q1150" s="123"/>
    </row>
    <row r="1151" spans="12:17" x14ac:dyDescent="0.25">
      <c r="L1151" s="123"/>
      <c r="M1151" s="123"/>
      <c r="N1151" s="123"/>
      <c r="O1151" s="123"/>
      <c r="P1151" s="123"/>
      <c r="Q1151" s="123"/>
    </row>
    <row r="1152" spans="12:17" x14ac:dyDescent="0.25">
      <c r="L1152" s="123"/>
      <c r="M1152" s="123"/>
      <c r="N1152" s="123"/>
      <c r="O1152" s="123"/>
      <c r="P1152" s="123"/>
      <c r="Q1152" s="123"/>
    </row>
    <row r="1153" spans="12:17" x14ac:dyDescent="0.25">
      <c r="L1153" s="123"/>
      <c r="M1153" s="123"/>
      <c r="N1153" s="123"/>
      <c r="O1153" s="123"/>
      <c r="P1153" s="123"/>
      <c r="Q1153" s="123"/>
    </row>
    <row r="1154" spans="12:17" x14ac:dyDescent="0.25">
      <c r="L1154" s="123"/>
      <c r="M1154" s="123"/>
      <c r="N1154" s="123"/>
      <c r="O1154" s="123"/>
      <c r="P1154" s="123"/>
      <c r="Q1154" s="123"/>
    </row>
    <row r="1155" spans="12:17" x14ac:dyDescent="0.25">
      <c r="L1155" s="123"/>
      <c r="M1155" s="123"/>
      <c r="N1155" s="123"/>
      <c r="O1155" s="123"/>
      <c r="P1155" s="123"/>
      <c r="Q1155" s="123"/>
    </row>
    <row r="1156" spans="12:17" x14ac:dyDescent="0.25">
      <c r="L1156" s="123"/>
      <c r="M1156" s="123"/>
      <c r="N1156" s="123"/>
      <c r="O1156" s="123"/>
      <c r="P1156" s="123"/>
      <c r="Q1156" s="123"/>
    </row>
    <row r="1157" spans="12:17" x14ac:dyDescent="0.25">
      <c r="L1157" s="123"/>
      <c r="M1157" s="123"/>
      <c r="N1157" s="123"/>
      <c r="O1157" s="123"/>
      <c r="P1157" s="123"/>
      <c r="Q1157" s="123"/>
    </row>
    <row r="1158" spans="12:17" x14ac:dyDescent="0.25">
      <c r="L1158" s="123"/>
      <c r="M1158" s="123"/>
      <c r="N1158" s="123"/>
      <c r="O1158" s="123"/>
      <c r="P1158" s="123"/>
      <c r="Q1158" s="123"/>
    </row>
    <row r="1159" spans="12:17" x14ac:dyDescent="0.25">
      <c r="L1159" s="123"/>
      <c r="M1159" s="123"/>
      <c r="N1159" s="123"/>
      <c r="O1159" s="123"/>
      <c r="P1159" s="123"/>
      <c r="Q1159" s="123"/>
    </row>
    <row r="1160" spans="12:17" x14ac:dyDescent="0.25">
      <c r="L1160" s="123"/>
      <c r="M1160" s="123"/>
      <c r="N1160" s="123"/>
      <c r="O1160" s="123"/>
      <c r="P1160" s="123"/>
      <c r="Q1160" s="123"/>
    </row>
    <row r="1161" spans="12:17" x14ac:dyDescent="0.25">
      <c r="L1161" s="123"/>
      <c r="M1161" s="123"/>
      <c r="N1161" s="123"/>
      <c r="O1161" s="123"/>
      <c r="P1161" s="123"/>
      <c r="Q1161" s="123"/>
    </row>
    <row r="1162" spans="12:17" x14ac:dyDescent="0.25">
      <c r="L1162" s="123"/>
      <c r="M1162" s="123"/>
      <c r="N1162" s="123"/>
      <c r="O1162" s="123"/>
      <c r="P1162" s="123"/>
      <c r="Q1162" s="123"/>
    </row>
    <row r="1163" spans="12:17" x14ac:dyDescent="0.25">
      <c r="L1163" s="123"/>
      <c r="M1163" s="123"/>
      <c r="N1163" s="123"/>
      <c r="O1163" s="123"/>
      <c r="P1163" s="123"/>
      <c r="Q1163" s="123"/>
    </row>
    <row r="1164" spans="12:17" x14ac:dyDescent="0.25">
      <c r="L1164" s="123"/>
      <c r="M1164" s="123"/>
      <c r="N1164" s="123"/>
      <c r="O1164" s="123"/>
      <c r="P1164" s="123"/>
      <c r="Q1164" s="123"/>
    </row>
    <row r="1165" spans="12:17" x14ac:dyDescent="0.25">
      <c r="L1165" s="123"/>
      <c r="M1165" s="123"/>
      <c r="N1165" s="123"/>
      <c r="O1165" s="123"/>
      <c r="P1165" s="123"/>
      <c r="Q1165" s="123"/>
    </row>
    <row r="1166" spans="12:17" x14ac:dyDescent="0.25">
      <c r="L1166" s="123"/>
      <c r="M1166" s="123"/>
      <c r="N1166" s="123"/>
      <c r="O1166" s="123"/>
      <c r="P1166" s="123"/>
      <c r="Q1166" s="123"/>
    </row>
    <row r="1167" spans="12:17" x14ac:dyDescent="0.25">
      <c r="L1167" s="123"/>
      <c r="M1167" s="123"/>
      <c r="N1167" s="123"/>
      <c r="O1167" s="123"/>
      <c r="P1167" s="123"/>
      <c r="Q1167" s="123"/>
    </row>
    <row r="1168" spans="12:17" x14ac:dyDescent="0.25">
      <c r="L1168" s="123"/>
      <c r="M1168" s="123"/>
      <c r="N1168" s="123"/>
      <c r="O1168" s="123"/>
      <c r="P1168" s="123"/>
      <c r="Q1168" s="123"/>
    </row>
    <row r="1169" spans="12:17" x14ac:dyDescent="0.25">
      <c r="L1169" s="123"/>
      <c r="M1169" s="123"/>
      <c r="N1169" s="123"/>
      <c r="O1169" s="123"/>
      <c r="P1169" s="123"/>
      <c r="Q1169" s="123"/>
    </row>
    <row r="1170" spans="12:17" x14ac:dyDescent="0.25">
      <c r="L1170" s="123"/>
      <c r="M1170" s="123"/>
      <c r="N1170" s="123"/>
      <c r="O1170" s="123"/>
      <c r="P1170" s="123"/>
      <c r="Q1170" s="123"/>
    </row>
    <row r="1171" spans="12:17" x14ac:dyDescent="0.25">
      <c r="L1171" s="123"/>
      <c r="M1171" s="123"/>
      <c r="N1171" s="123"/>
      <c r="O1171" s="123"/>
      <c r="P1171" s="123"/>
      <c r="Q1171" s="123"/>
    </row>
    <row r="1172" spans="12:17" x14ac:dyDescent="0.25">
      <c r="L1172" s="123"/>
      <c r="M1172" s="123"/>
      <c r="N1172" s="123"/>
      <c r="O1172" s="123"/>
      <c r="P1172" s="123"/>
      <c r="Q1172" s="123"/>
    </row>
    <row r="1173" spans="12:17" x14ac:dyDescent="0.25">
      <c r="L1173" s="123"/>
      <c r="M1173" s="123"/>
      <c r="N1173" s="123"/>
      <c r="O1173" s="123"/>
      <c r="P1173" s="123"/>
      <c r="Q1173" s="123"/>
    </row>
    <row r="1174" spans="12:17" x14ac:dyDescent="0.25">
      <c r="L1174" s="123"/>
      <c r="M1174" s="123"/>
      <c r="N1174" s="123"/>
      <c r="O1174" s="123"/>
      <c r="P1174" s="123"/>
      <c r="Q1174" s="123"/>
    </row>
    <row r="1175" spans="12:17" x14ac:dyDescent="0.25">
      <c r="L1175" s="123"/>
      <c r="M1175" s="123"/>
      <c r="N1175" s="123"/>
      <c r="O1175" s="123"/>
      <c r="P1175" s="123"/>
      <c r="Q1175" s="123"/>
    </row>
    <row r="1176" spans="12:17" x14ac:dyDescent="0.25">
      <c r="L1176" s="123"/>
      <c r="M1176" s="123"/>
      <c r="N1176" s="123"/>
      <c r="O1176" s="123"/>
      <c r="P1176" s="123"/>
      <c r="Q1176" s="123"/>
    </row>
    <row r="1177" spans="12:17" x14ac:dyDescent="0.25">
      <c r="L1177" s="123"/>
      <c r="M1177" s="123"/>
      <c r="N1177" s="123"/>
      <c r="O1177" s="123"/>
      <c r="P1177" s="123"/>
      <c r="Q1177" s="123"/>
    </row>
    <row r="1178" spans="12:17" x14ac:dyDescent="0.25">
      <c r="L1178" s="123"/>
      <c r="M1178" s="123"/>
      <c r="N1178" s="123"/>
      <c r="O1178" s="123"/>
      <c r="P1178" s="123"/>
      <c r="Q1178" s="123"/>
    </row>
    <row r="1179" spans="12:17" x14ac:dyDescent="0.25">
      <c r="L1179" s="123"/>
      <c r="M1179" s="123"/>
      <c r="N1179" s="123"/>
      <c r="O1179" s="123"/>
      <c r="P1179" s="123"/>
      <c r="Q1179" s="123"/>
    </row>
    <row r="1180" spans="12:17" x14ac:dyDescent="0.25">
      <c r="L1180" s="123"/>
      <c r="M1180" s="123"/>
      <c r="N1180" s="123"/>
      <c r="O1180" s="123"/>
      <c r="P1180" s="123"/>
      <c r="Q1180" s="123"/>
    </row>
    <row r="1181" spans="12:17" x14ac:dyDescent="0.25">
      <c r="L1181" s="123"/>
      <c r="M1181" s="123"/>
      <c r="N1181" s="123"/>
      <c r="O1181" s="123"/>
      <c r="P1181" s="123"/>
      <c r="Q1181" s="123"/>
    </row>
    <row r="1182" spans="12:17" x14ac:dyDescent="0.25">
      <c r="L1182" s="123"/>
      <c r="M1182" s="123"/>
      <c r="N1182" s="123"/>
      <c r="O1182" s="123"/>
      <c r="P1182" s="123"/>
      <c r="Q1182" s="123"/>
    </row>
    <row r="1183" spans="12:17" x14ac:dyDescent="0.25">
      <c r="L1183" s="123"/>
      <c r="M1183" s="123"/>
      <c r="N1183" s="123"/>
      <c r="O1183" s="123"/>
      <c r="P1183" s="123"/>
      <c r="Q1183" s="123"/>
    </row>
    <row r="1184" spans="12:17" x14ac:dyDescent="0.25">
      <c r="L1184" s="123"/>
      <c r="M1184" s="123"/>
      <c r="N1184" s="123"/>
      <c r="O1184" s="123"/>
      <c r="P1184" s="123"/>
      <c r="Q1184" s="123"/>
    </row>
    <row r="1185" spans="12:17" x14ac:dyDescent="0.25">
      <c r="L1185" s="123"/>
      <c r="M1185" s="123"/>
      <c r="N1185" s="123"/>
      <c r="O1185" s="123"/>
      <c r="P1185" s="123"/>
      <c r="Q1185" s="123"/>
    </row>
    <row r="1186" spans="12:17" x14ac:dyDescent="0.25">
      <c r="L1186" s="123"/>
      <c r="M1186" s="123"/>
      <c r="N1186" s="123"/>
      <c r="O1186" s="123"/>
      <c r="P1186" s="123"/>
      <c r="Q1186" s="123"/>
    </row>
    <row r="1187" spans="12:17" x14ac:dyDescent="0.25">
      <c r="L1187" s="123"/>
      <c r="M1187" s="123"/>
      <c r="N1187" s="123"/>
      <c r="O1187" s="123"/>
      <c r="P1187" s="123"/>
      <c r="Q1187" s="123"/>
    </row>
    <row r="1188" spans="12:17" x14ac:dyDescent="0.25">
      <c r="L1188" s="123"/>
      <c r="M1188" s="123"/>
      <c r="N1188" s="123"/>
      <c r="O1188" s="123"/>
      <c r="P1188" s="123"/>
      <c r="Q1188" s="123"/>
    </row>
    <row r="1189" spans="12:17" x14ac:dyDescent="0.25">
      <c r="L1189" s="123"/>
      <c r="M1189" s="123"/>
      <c r="N1189" s="123"/>
      <c r="O1189" s="123"/>
      <c r="P1189" s="123"/>
      <c r="Q1189" s="123"/>
    </row>
    <row r="1190" spans="12:17" x14ac:dyDescent="0.25">
      <c r="L1190" s="123"/>
      <c r="M1190" s="123"/>
      <c r="N1190" s="123"/>
      <c r="O1190" s="123"/>
      <c r="P1190" s="123"/>
      <c r="Q1190" s="123"/>
    </row>
    <row r="1191" spans="12:17" x14ac:dyDescent="0.25">
      <c r="L1191" s="123"/>
      <c r="M1191" s="123"/>
      <c r="N1191" s="123"/>
      <c r="O1191" s="123"/>
      <c r="P1191" s="123"/>
      <c r="Q1191" s="123"/>
    </row>
    <row r="1192" spans="12:17" x14ac:dyDescent="0.25">
      <c r="L1192" s="123"/>
      <c r="M1192" s="123"/>
      <c r="N1192" s="123"/>
      <c r="O1192" s="123"/>
      <c r="P1192" s="123"/>
      <c r="Q1192" s="123"/>
    </row>
    <row r="1193" spans="12:17" x14ac:dyDescent="0.25">
      <c r="L1193" s="123"/>
      <c r="M1193" s="123"/>
      <c r="N1193" s="123"/>
      <c r="O1193" s="123"/>
      <c r="P1193" s="123"/>
      <c r="Q1193" s="123"/>
    </row>
    <row r="1194" spans="12:17" x14ac:dyDescent="0.25">
      <c r="L1194" s="123"/>
      <c r="M1194" s="123"/>
      <c r="N1194" s="123"/>
      <c r="O1194" s="123"/>
      <c r="P1194" s="123"/>
      <c r="Q1194" s="123"/>
    </row>
    <row r="1195" spans="12:17" x14ac:dyDescent="0.25">
      <c r="L1195" s="123"/>
      <c r="M1195" s="123"/>
      <c r="N1195" s="123"/>
      <c r="O1195" s="123"/>
      <c r="P1195" s="123"/>
      <c r="Q1195" s="123"/>
    </row>
    <row r="1196" spans="12:17" x14ac:dyDescent="0.25">
      <c r="L1196" s="123"/>
      <c r="M1196" s="123"/>
      <c r="N1196" s="123"/>
      <c r="O1196" s="123"/>
      <c r="P1196" s="123"/>
      <c r="Q1196" s="123"/>
    </row>
    <row r="1197" spans="12:17" x14ac:dyDescent="0.25">
      <c r="L1197" s="123"/>
      <c r="M1197" s="123"/>
      <c r="N1197" s="123"/>
      <c r="O1197" s="123"/>
      <c r="P1197" s="123"/>
      <c r="Q1197" s="123"/>
    </row>
    <row r="1198" spans="12:17" x14ac:dyDescent="0.25">
      <c r="L1198" s="123"/>
      <c r="M1198" s="123"/>
      <c r="N1198" s="123"/>
      <c r="O1198" s="123"/>
      <c r="P1198" s="123"/>
      <c r="Q1198" s="123"/>
    </row>
    <row r="1199" spans="12:17" x14ac:dyDescent="0.25">
      <c r="L1199" s="123"/>
      <c r="M1199" s="123"/>
      <c r="N1199" s="123"/>
      <c r="O1199" s="123"/>
      <c r="P1199" s="123"/>
      <c r="Q1199" s="123"/>
    </row>
    <row r="1200" spans="12:17" x14ac:dyDescent="0.25">
      <c r="L1200" s="123"/>
      <c r="M1200" s="123"/>
      <c r="N1200" s="123"/>
      <c r="O1200" s="123"/>
      <c r="P1200" s="123"/>
      <c r="Q1200" s="123"/>
    </row>
    <row r="1201" spans="12:17" x14ac:dyDescent="0.25">
      <c r="L1201" s="123"/>
      <c r="M1201" s="123"/>
      <c r="N1201" s="123"/>
      <c r="O1201" s="123"/>
      <c r="P1201" s="123"/>
      <c r="Q1201" s="123"/>
    </row>
    <row r="1202" spans="12:17" x14ac:dyDescent="0.25">
      <c r="L1202" s="123"/>
      <c r="M1202" s="123"/>
      <c r="N1202" s="123"/>
      <c r="O1202" s="123"/>
      <c r="P1202" s="123"/>
      <c r="Q1202" s="123"/>
    </row>
    <row r="1203" spans="12:17" x14ac:dyDescent="0.25">
      <c r="L1203" s="123"/>
      <c r="M1203" s="123"/>
      <c r="N1203" s="123"/>
      <c r="O1203" s="123"/>
      <c r="P1203" s="123"/>
      <c r="Q1203" s="123"/>
    </row>
    <row r="1204" spans="12:17" x14ac:dyDescent="0.25">
      <c r="L1204" s="123"/>
      <c r="M1204" s="123"/>
      <c r="N1204" s="123"/>
      <c r="O1204" s="123"/>
      <c r="P1204" s="123"/>
      <c r="Q1204" s="123"/>
    </row>
    <row r="1205" spans="12:17" x14ac:dyDescent="0.25">
      <c r="L1205" s="123"/>
      <c r="M1205" s="123"/>
      <c r="N1205" s="123"/>
      <c r="O1205" s="123"/>
      <c r="P1205" s="123"/>
      <c r="Q1205" s="123"/>
    </row>
    <row r="1206" spans="12:17" x14ac:dyDescent="0.25">
      <c r="L1206" s="123"/>
      <c r="M1206" s="123"/>
      <c r="N1206" s="123"/>
      <c r="O1206" s="123"/>
      <c r="P1206" s="123"/>
      <c r="Q1206" s="123"/>
    </row>
    <row r="1207" spans="12:17" x14ac:dyDescent="0.25">
      <c r="L1207" s="123"/>
      <c r="M1207" s="123"/>
      <c r="N1207" s="123"/>
      <c r="O1207" s="123"/>
      <c r="P1207" s="123"/>
      <c r="Q1207" s="123"/>
    </row>
    <row r="1208" spans="12:17" x14ac:dyDescent="0.25">
      <c r="L1208" s="123"/>
      <c r="M1208" s="123"/>
      <c r="N1208" s="123"/>
      <c r="O1208" s="123"/>
      <c r="P1208" s="123"/>
      <c r="Q1208" s="123"/>
    </row>
    <row r="1209" spans="12:17" x14ac:dyDescent="0.25">
      <c r="L1209" s="123"/>
      <c r="M1209" s="123"/>
      <c r="N1209" s="123"/>
      <c r="O1209" s="123"/>
      <c r="P1209" s="123"/>
      <c r="Q1209" s="123"/>
    </row>
    <row r="1210" spans="12:17" x14ac:dyDescent="0.25">
      <c r="L1210" s="123"/>
      <c r="M1210" s="123"/>
      <c r="N1210" s="123"/>
      <c r="O1210" s="123"/>
      <c r="P1210" s="123"/>
      <c r="Q1210" s="123"/>
    </row>
    <row r="1211" spans="12:17" x14ac:dyDescent="0.25">
      <c r="L1211" s="123"/>
      <c r="M1211" s="123"/>
      <c r="N1211" s="123"/>
      <c r="O1211" s="123"/>
      <c r="P1211" s="123"/>
      <c r="Q1211" s="123"/>
    </row>
    <row r="1212" spans="12:17" x14ac:dyDescent="0.25">
      <c r="L1212" s="123"/>
      <c r="M1212" s="123"/>
      <c r="N1212" s="123"/>
      <c r="O1212" s="123"/>
      <c r="P1212" s="123"/>
      <c r="Q1212" s="123"/>
    </row>
    <row r="1213" spans="12:17" x14ac:dyDescent="0.25">
      <c r="L1213" s="123"/>
      <c r="M1213" s="123"/>
      <c r="N1213" s="123"/>
      <c r="O1213" s="123"/>
      <c r="P1213" s="123"/>
      <c r="Q1213" s="123"/>
    </row>
    <row r="1214" spans="12:17" x14ac:dyDescent="0.25">
      <c r="L1214" s="123"/>
      <c r="M1214" s="123"/>
      <c r="N1214" s="123"/>
      <c r="O1214" s="123"/>
      <c r="P1214" s="123"/>
      <c r="Q1214" s="123"/>
    </row>
    <row r="1215" spans="12:17" x14ac:dyDescent="0.25">
      <c r="L1215" s="123"/>
      <c r="M1215" s="123"/>
      <c r="N1215" s="123"/>
      <c r="O1215" s="123"/>
      <c r="P1215" s="123"/>
      <c r="Q1215" s="123"/>
    </row>
    <row r="1216" spans="12:17" x14ac:dyDescent="0.25">
      <c r="L1216" s="123"/>
      <c r="M1216" s="123"/>
      <c r="N1216" s="123"/>
      <c r="O1216" s="123"/>
      <c r="P1216" s="123"/>
      <c r="Q1216" s="123"/>
    </row>
    <row r="1217" spans="12:17" x14ac:dyDescent="0.25">
      <c r="L1217" s="123"/>
      <c r="M1217" s="123"/>
      <c r="N1217" s="123"/>
      <c r="O1217" s="123"/>
      <c r="P1217" s="123"/>
      <c r="Q1217" s="123"/>
    </row>
    <row r="1218" spans="12:17" x14ac:dyDescent="0.25">
      <c r="L1218" s="123"/>
      <c r="M1218" s="123"/>
      <c r="N1218" s="123"/>
      <c r="O1218" s="123"/>
      <c r="P1218" s="123"/>
      <c r="Q1218" s="123"/>
    </row>
    <row r="1219" spans="12:17" x14ac:dyDescent="0.25">
      <c r="L1219" s="123"/>
      <c r="M1219" s="123"/>
      <c r="N1219" s="123"/>
      <c r="O1219" s="123"/>
      <c r="P1219" s="123"/>
      <c r="Q1219" s="123"/>
    </row>
    <row r="1220" spans="12:17" x14ac:dyDescent="0.25">
      <c r="L1220" s="123"/>
      <c r="M1220" s="123"/>
      <c r="N1220" s="123"/>
      <c r="O1220" s="123"/>
      <c r="P1220" s="123"/>
      <c r="Q1220" s="123"/>
    </row>
    <row r="1221" spans="12:17" x14ac:dyDescent="0.25">
      <c r="L1221" s="123"/>
      <c r="M1221" s="123"/>
      <c r="N1221" s="123"/>
      <c r="O1221" s="123"/>
      <c r="P1221" s="123"/>
      <c r="Q1221" s="123"/>
    </row>
    <row r="1222" spans="12:17" x14ac:dyDescent="0.25">
      <c r="L1222" s="123"/>
      <c r="M1222" s="123"/>
      <c r="N1222" s="123"/>
      <c r="O1222" s="123"/>
      <c r="P1222" s="123"/>
      <c r="Q1222" s="123"/>
    </row>
    <row r="1223" spans="12:17" x14ac:dyDescent="0.25">
      <c r="L1223" s="123"/>
      <c r="M1223" s="123"/>
      <c r="N1223" s="123"/>
      <c r="O1223" s="123"/>
      <c r="P1223" s="123"/>
      <c r="Q1223" s="123"/>
    </row>
    <row r="1224" spans="12:17" x14ac:dyDescent="0.25">
      <c r="L1224" s="123"/>
      <c r="M1224" s="123"/>
      <c r="N1224" s="123"/>
      <c r="O1224" s="123"/>
      <c r="P1224" s="123"/>
      <c r="Q1224" s="123"/>
    </row>
    <row r="1225" spans="12:17" x14ac:dyDescent="0.25">
      <c r="L1225" s="123"/>
      <c r="M1225" s="123"/>
      <c r="N1225" s="123"/>
      <c r="O1225" s="123"/>
      <c r="P1225" s="123"/>
      <c r="Q1225" s="123"/>
    </row>
    <row r="1226" spans="12:17" x14ac:dyDescent="0.25">
      <c r="L1226" s="123"/>
      <c r="M1226" s="123"/>
      <c r="N1226" s="123"/>
      <c r="O1226" s="123"/>
      <c r="P1226" s="123"/>
      <c r="Q1226" s="123"/>
    </row>
    <row r="1227" spans="12:17" x14ac:dyDescent="0.25">
      <c r="L1227" s="123"/>
      <c r="M1227" s="123"/>
      <c r="N1227" s="123"/>
      <c r="O1227" s="123"/>
      <c r="P1227" s="123"/>
      <c r="Q1227" s="123"/>
    </row>
    <row r="1228" spans="12:17" x14ac:dyDescent="0.25">
      <c r="L1228" s="123"/>
      <c r="M1228" s="123"/>
      <c r="N1228" s="123"/>
      <c r="O1228" s="123"/>
      <c r="P1228" s="123"/>
      <c r="Q1228" s="123"/>
    </row>
    <row r="1229" spans="12:17" x14ac:dyDescent="0.25">
      <c r="L1229" s="123"/>
      <c r="M1229" s="123"/>
      <c r="N1229" s="123"/>
      <c r="O1229" s="123"/>
      <c r="P1229" s="123"/>
      <c r="Q1229" s="123"/>
    </row>
    <row r="1230" spans="12:17" x14ac:dyDescent="0.25">
      <c r="L1230" s="123"/>
      <c r="M1230" s="123"/>
      <c r="N1230" s="123"/>
      <c r="O1230" s="123"/>
      <c r="P1230" s="123"/>
      <c r="Q1230" s="123"/>
    </row>
    <row r="1231" spans="12:17" x14ac:dyDescent="0.25">
      <c r="L1231" s="123"/>
      <c r="M1231" s="123"/>
      <c r="N1231" s="123"/>
      <c r="O1231" s="123"/>
      <c r="P1231" s="123"/>
      <c r="Q1231" s="123"/>
    </row>
    <row r="1232" spans="12:17" x14ac:dyDescent="0.25">
      <c r="L1232" s="123"/>
      <c r="M1232" s="123"/>
      <c r="N1232" s="123"/>
      <c r="O1232" s="123"/>
      <c r="P1232" s="123"/>
      <c r="Q1232" s="123"/>
    </row>
    <row r="1233" spans="12:17" x14ac:dyDescent="0.25">
      <c r="L1233" s="123"/>
      <c r="M1233" s="123"/>
      <c r="N1233" s="123"/>
      <c r="O1233" s="123"/>
      <c r="P1233" s="123"/>
      <c r="Q1233" s="123"/>
    </row>
    <row r="1234" spans="12:17" x14ac:dyDescent="0.25">
      <c r="L1234" s="123"/>
      <c r="M1234" s="123"/>
      <c r="N1234" s="123"/>
      <c r="O1234" s="123"/>
      <c r="P1234" s="123"/>
      <c r="Q1234" s="123"/>
    </row>
    <row r="1235" spans="12:17" x14ac:dyDescent="0.25">
      <c r="L1235" s="123"/>
      <c r="M1235" s="123"/>
      <c r="N1235" s="123"/>
      <c r="O1235" s="123"/>
      <c r="P1235" s="123"/>
      <c r="Q1235" s="123"/>
    </row>
    <row r="1236" spans="12:17" x14ac:dyDescent="0.25">
      <c r="L1236" s="123"/>
      <c r="M1236" s="123"/>
      <c r="N1236" s="123"/>
      <c r="O1236" s="123"/>
      <c r="P1236" s="123"/>
      <c r="Q1236" s="123"/>
    </row>
    <row r="1237" spans="12:17" x14ac:dyDescent="0.25">
      <c r="L1237" s="123"/>
      <c r="M1237" s="123"/>
      <c r="N1237" s="123"/>
      <c r="O1237" s="123"/>
      <c r="P1237" s="123"/>
      <c r="Q1237" s="123"/>
    </row>
    <row r="1238" spans="12:17" x14ac:dyDescent="0.25">
      <c r="L1238" s="123"/>
      <c r="M1238" s="123"/>
      <c r="N1238" s="123"/>
      <c r="O1238" s="123"/>
      <c r="P1238" s="123"/>
      <c r="Q1238" s="123"/>
    </row>
    <row r="1239" spans="12:17" x14ac:dyDescent="0.25">
      <c r="L1239" s="123"/>
      <c r="M1239" s="123"/>
      <c r="N1239" s="123"/>
      <c r="O1239" s="123"/>
      <c r="P1239" s="123"/>
      <c r="Q1239" s="123"/>
    </row>
    <row r="1240" spans="12:17" x14ac:dyDescent="0.25">
      <c r="L1240" s="123"/>
      <c r="M1240" s="123"/>
      <c r="N1240" s="123"/>
      <c r="O1240" s="123"/>
      <c r="P1240" s="123"/>
      <c r="Q1240" s="123"/>
    </row>
    <row r="1241" spans="12:17" x14ac:dyDescent="0.25">
      <c r="L1241" s="123"/>
      <c r="M1241" s="123"/>
      <c r="N1241" s="123"/>
      <c r="O1241" s="123"/>
      <c r="P1241" s="123"/>
      <c r="Q1241" s="123"/>
    </row>
    <row r="1242" spans="12:17" x14ac:dyDescent="0.25">
      <c r="L1242" s="123"/>
      <c r="M1242" s="123"/>
      <c r="N1242" s="123"/>
      <c r="O1242" s="123"/>
      <c r="P1242" s="123"/>
      <c r="Q1242" s="123"/>
    </row>
    <row r="1243" spans="12:17" x14ac:dyDescent="0.25">
      <c r="L1243" s="123"/>
      <c r="M1243" s="123"/>
      <c r="N1243" s="123"/>
      <c r="O1243" s="123"/>
      <c r="P1243" s="123"/>
      <c r="Q1243" s="123"/>
    </row>
    <row r="1244" spans="12:17" x14ac:dyDescent="0.25">
      <c r="L1244" s="123"/>
      <c r="M1244" s="123"/>
      <c r="N1244" s="123"/>
      <c r="O1244" s="123"/>
      <c r="P1244" s="123"/>
      <c r="Q1244" s="123"/>
    </row>
    <row r="1245" spans="12:17" x14ac:dyDescent="0.25">
      <c r="L1245" s="123"/>
      <c r="M1245" s="123"/>
      <c r="N1245" s="123"/>
      <c r="O1245" s="123"/>
      <c r="P1245" s="123"/>
      <c r="Q1245" s="123"/>
    </row>
    <row r="1246" spans="12:17" x14ac:dyDescent="0.25">
      <c r="L1246" s="123"/>
      <c r="M1246" s="123"/>
      <c r="N1246" s="123"/>
      <c r="O1246" s="123"/>
      <c r="P1246" s="123"/>
      <c r="Q1246" s="123"/>
    </row>
    <row r="1247" spans="12:17" x14ac:dyDescent="0.25">
      <c r="L1247" s="123"/>
      <c r="M1247" s="123"/>
      <c r="N1247" s="123"/>
      <c r="O1247" s="123"/>
      <c r="P1247" s="123"/>
      <c r="Q1247" s="123"/>
    </row>
    <row r="1248" spans="12:17" x14ac:dyDescent="0.25">
      <c r="L1248" s="123"/>
      <c r="M1248" s="123"/>
      <c r="N1248" s="123"/>
      <c r="O1248" s="123"/>
      <c r="P1248" s="123"/>
      <c r="Q1248" s="123"/>
    </row>
    <row r="1249" spans="12:17" x14ac:dyDescent="0.25">
      <c r="L1249" s="123"/>
      <c r="M1249" s="123"/>
      <c r="N1249" s="123"/>
      <c r="O1249" s="123"/>
      <c r="P1249" s="123"/>
      <c r="Q1249" s="123"/>
    </row>
    <row r="1250" spans="12:17" x14ac:dyDescent="0.25">
      <c r="L1250" s="123"/>
      <c r="M1250" s="123"/>
      <c r="N1250" s="123"/>
      <c r="O1250" s="123"/>
      <c r="P1250" s="123"/>
      <c r="Q1250" s="123"/>
    </row>
    <row r="1251" spans="12:17" x14ac:dyDescent="0.25">
      <c r="L1251" s="123"/>
      <c r="M1251" s="123"/>
      <c r="N1251" s="123"/>
      <c r="O1251" s="123"/>
      <c r="P1251" s="123"/>
      <c r="Q1251" s="123"/>
    </row>
    <row r="1252" spans="12:17" x14ac:dyDescent="0.25">
      <c r="L1252" s="123"/>
      <c r="M1252" s="123"/>
      <c r="N1252" s="123"/>
      <c r="O1252" s="123"/>
      <c r="P1252" s="123"/>
      <c r="Q1252" s="123"/>
    </row>
    <row r="1253" spans="12:17" x14ac:dyDescent="0.25">
      <c r="L1253" s="123"/>
      <c r="M1253" s="123"/>
      <c r="N1253" s="123"/>
      <c r="O1253" s="123"/>
      <c r="P1253" s="123"/>
      <c r="Q1253" s="123"/>
    </row>
    <row r="1254" spans="12:17" x14ac:dyDescent="0.25">
      <c r="L1254" s="123"/>
      <c r="M1254" s="123"/>
      <c r="N1254" s="123"/>
      <c r="O1254" s="123"/>
      <c r="P1254" s="123"/>
      <c r="Q1254" s="123"/>
    </row>
    <row r="1255" spans="12:17" x14ac:dyDescent="0.25">
      <c r="L1255" s="123"/>
      <c r="M1255" s="123"/>
      <c r="N1255" s="123"/>
      <c r="O1255" s="123"/>
      <c r="P1255" s="123"/>
      <c r="Q1255" s="123"/>
    </row>
    <row r="1256" spans="12:17" x14ac:dyDescent="0.25">
      <c r="L1256" s="123"/>
      <c r="M1256" s="123"/>
      <c r="N1256" s="123"/>
      <c r="O1256" s="123"/>
      <c r="P1256" s="123"/>
      <c r="Q1256" s="123"/>
    </row>
    <row r="1257" spans="12:17" x14ac:dyDescent="0.25">
      <c r="L1257" s="123"/>
      <c r="M1257" s="123"/>
      <c r="N1257" s="123"/>
      <c r="O1257" s="123"/>
      <c r="P1257" s="123"/>
      <c r="Q1257" s="123"/>
    </row>
    <row r="1258" spans="12:17" x14ac:dyDescent="0.25">
      <c r="L1258" s="123"/>
      <c r="M1258" s="123"/>
      <c r="N1258" s="123"/>
      <c r="O1258" s="123"/>
      <c r="P1258" s="123"/>
      <c r="Q1258" s="123"/>
    </row>
    <row r="1259" spans="12:17" x14ac:dyDescent="0.25">
      <c r="L1259" s="123"/>
      <c r="M1259" s="123"/>
      <c r="N1259" s="123"/>
      <c r="O1259" s="123"/>
      <c r="P1259" s="123"/>
      <c r="Q1259" s="123"/>
    </row>
    <row r="1260" spans="12:17" x14ac:dyDescent="0.25">
      <c r="L1260" s="123"/>
      <c r="M1260" s="123"/>
      <c r="N1260" s="123"/>
      <c r="O1260" s="123"/>
      <c r="P1260" s="123"/>
      <c r="Q1260" s="123"/>
    </row>
    <row r="1261" spans="12:17" x14ac:dyDescent="0.25">
      <c r="L1261" s="123"/>
      <c r="M1261" s="123"/>
      <c r="N1261" s="123"/>
      <c r="O1261" s="123"/>
      <c r="P1261" s="123"/>
      <c r="Q1261" s="123"/>
    </row>
    <row r="1262" spans="12:17" x14ac:dyDescent="0.25">
      <c r="L1262" s="123"/>
      <c r="M1262" s="123"/>
      <c r="N1262" s="123"/>
      <c r="O1262" s="123"/>
      <c r="P1262" s="123"/>
      <c r="Q1262" s="123"/>
    </row>
    <row r="1263" spans="12:17" x14ac:dyDescent="0.25">
      <c r="L1263" s="123"/>
      <c r="M1263" s="123"/>
      <c r="N1263" s="123"/>
      <c r="O1263" s="123"/>
      <c r="P1263" s="123"/>
      <c r="Q1263" s="123"/>
    </row>
    <row r="1264" spans="12:17" x14ac:dyDescent="0.25">
      <c r="L1264" s="123"/>
      <c r="M1264" s="123"/>
      <c r="N1264" s="123"/>
      <c r="O1264" s="123"/>
      <c r="P1264" s="123"/>
      <c r="Q1264" s="123"/>
    </row>
    <row r="1265" spans="12:17" x14ac:dyDescent="0.25">
      <c r="L1265" s="123"/>
      <c r="M1265" s="123"/>
      <c r="N1265" s="123"/>
      <c r="O1265" s="123"/>
      <c r="P1265" s="123"/>
      <c r="Q1265" s="123"/>
    </row>
    <row r="1266" spans="12:17" x14ac:dyDescent="0.25">
      <c r="L1266" s="123"/>
      <c r="M1266" s="123"/>
      <c r="N1266" s="123"/>
      <c r="O1266" s="123"/>
      <c r="P1266" s="123"/>
      <c r="Q1266" s="123"/>
    </row>
    <row r="1267" spans="12:17" x14ac:dyDescent="0.25">
      <c r="L1267" s="123"/>
      <c r="M1267" s="123"/>
      <c r="N1267" s="123"/>
      <c r="O1267" s="123"/>
      <c r="P1267" s="123"/>
      <c r="Q1267" s="123"/>
    </row>
    <row r="1268" spans="12:17" x14ac:dyDescent="0.25">
      <c r="L1268" s="123"/>
      <c r="M1268" s="123"/>
      <c r="N1268" s="123"/>
      <c r="O1268" s="123"/>
      <c r="P1268" s="123"/>
      <c r="Q1268" s="123"/>
    </row>
    <row r="1269" spans="12:17" x14ac:dyDescent="0.25">
      <c r="L1269" s="123"/>
      <c r="M1269" s="123"/>
      <c r="N1269" s="123"/>
      <c r="O1269" s="123"/>
      <c r="P1269" s="123"/>
      <c r="Q1269" s="123"/>
    </row>
    <row r="1270" spans="12:17" x14ac:dyDescent="0.25">
      <c r="L1270" s="123"/>
      <c r="M1270" s="123"/>
      <c r="N1270" s="123"/>
      <c r="O1270" s="123"/>
      <c r="P1270" s="123"/>
      <c r="Q1270" s="123"/>
    </row>
    <row r="1271" spans="12:17" x14ac:dyDescent="0.25">
      <c r="L1271" s="123"/>
      <c r="M1271" s="123"/>
      <c r="N1271" s="123"/>
      <c r="O1271" s="123"/>
      <c r="P1271" s="123"/>
      <c r="Q1271" s="123"/>
    </row>
    <row r="1272" spans="12:17" x14ac:dyDescent="0.25">
      <c r="L1272" s="123"/>
      <c r="M1272" s="123"/>
      <c r="N1272" s="123"/>
      <c r="O1272" s="123"/>
      <c r="P1272" s="123"/>
      <c r="Q1272" s="123"/>
    </row>
    <row r="1273" spans="12:17" x14ac:dyDescent="0.25">
      <c r="L1273" s="123"/>
      <c r="M1273" s="123"/>
      <c r="N1273" s="123"/>
      <c r="O1273" s="123"/>
      <c r="P1273" s="123"/>
      <c r="Q1273" s="123"/>
    </row>
    <row r="1274" spans="12:17" x14ac:dyDescent="0.25">
      <c r="L1274" s="123"/>
      <c r="M1274" s="123"/>
      <c r="N1274" s="123"/>
      <c r="O1274" s="123"/>
      <c r="P1274" s="123"/>
      <c r="Q1274" s="123"/>
    </row>
    <row r="1275" spans="12:17" x14ac:dyDescent="0.25">
      <c r="L1275" s="123"/>
      <c r="M1275" s="123"/>
      <c r="N1275" s="123"/>
      <c r="O1275" s="123"/>
      <c r="P1275" s="123"/>
      <c r="Q1275" s="123"/>
    </row>
    <row r="1276" spans="12:17" x14ac:dyDescent="0.25">
      <c r="L1276" s="123"/>
      <c r="M1276" s="123"/>
      <c r="N1276" s="123"/>
      <c r="O1276" s="123"/>
      <c r="P1276" s="123"/>
      <c r="Q1276" s="123"/>
    </row>
    <row r="1277" spans="12:17" x14ac:dyDescent="0.25">
      <c r="L1277" s="123"/>
      <c r="M1277" s="123"/>
      <c r="N1277" s="123"/>
      <c r="O1277" s="123"/>
      <c r="P1277" s="123"/>
      <c r="Q1277" s="123"/>
    </row>
    <row r="1278" spans="12:17" x14ac:dyDescent="0.25">
      <c r="L1278" s="123"/>
      <c r="M1278" s="123"/>
      <c r="N1278" s="123"/>
      <c r="O1278" s="123"/>
      <c r="P1278" s="123"/>
      <c r="Q1278" s="123"/>
    </row>
    <row r="1279" spans="12:17" x14ac:dyDescent="0.25">
      <c r="L1279" s="123"/>
      <c r="M1279" s="123"/>
      <c r="N1279" s="123"/>
      <c r="O1279" s="123"/>
      <c r="P1279" s="123"/>
      <c r="Q1279" s="123"/>
    </row>
    <row r="1280" spans="12:17" x14ac:dyDescent="0.25">
      <c r="L1280" s="123"/>
      <c r="M1280" s="123"/>
      <c r="N1280" s="123"/>
      <c r="O1280" s="123"/>
      <c r="P1280" s="123"/>
      <c r="Q1280" s="123"/>
    </row>
    <row r="1281" spans="12:17" x14ac:dyDescent="0.25">
      <c r="L1281" s="123"/>
      <c r="M1281" s="123"/>
      <c r="N1281" s="123"/>
      <c r="O1281" s="123"/>
      <c r="P1281" s="123"/>
      <c r="Q1281" s="123"/>
    </row>
    <row r="1282" spans="12:17" x14ac:dyDescent="0.25">
      <c r="L1282" s="123"/>
      <c r="M1282" s="123"/>
      <c r="N1282" s="123"/>
      <c r="O1282" s="123"/>
      <c r="P1282" s="123"/>
      <c r="Q1282" s="123"/>
    </row>
    <row r="1283" spans="12:17" x14ac:dyDescent="0.25">
      <c r="L1283" s="123"/>
      <c r="M1283" s="123"/>
      <c r="N1283" s="123"/>
      <c r="O1283" s="123"/>
      <c r="P1283" s="123"/>
      <c r="Q1283" s="123"/>
    </row>
    <row r="1284" spans="12:17" x14ac:dyDescent="0.25">
      <c r="L1284" s="123"/>
      <c r="M1284" s="123"/>
      <c r="N1284" s="123"/>
      <c r="O1284" s="123"/>
      <c r="P1284" s="123"/>
      <c r="Q1284" s="123"/>
    </row>
    <row r="1285" spans="12:17" x14ac:dyDescent="0.25">
      <c r="L1285" s="123"/>
      <c r="M1285" s="123"/>
      <c r="N1285" s="123"/>
      <c r="O1285" s="123"/>
      <c r="P1285" s="123"/>
      <c r="Q1285" s="123"/>
    </row>
    <row r="1286" spans="12:17" x14ac:dyDescent="0.25">
      <c r="L1286" s="123"/>
      <c r="M1286" s="123"/>
      <c r="N1286" s="123"/>
      <c r="O1286" s="123"/>
      <c r="P1286" s="123"/>
      <c r="Q1286" s="123"/>
    </row>
    <row r="1287" spans="12:17" x14ac:dyDescent="0.25">
      <c r="L1287" s="123"/>
      <c r="M1287" s="123"/>
      <c r="N1287" s="123"/>
      <c r="O1287" s="123"/>
      <c r="P1287" s="123"/>
      <c r="Q1287" s="123"/>
    </row>
    <row r="1288" spans="12:17" x14ac:dyDescent="0.25">
      <c r="L1288" s="123"/>
      <c r="M1288" s="123"/>
      <c r="N1288" s="123"/>
      <c r="O1288" s="123"/>
      <c r="P1288" s="123"/>
      <c r="Q1288" s="123"/>
    </row>
    <row r="1289" spans="12:17" x14ac:dyDescent="0.25">
      <c r="L1289" s="123"/>
      <c r="M1289" s="123"/>
      <c r="N1289" s="123"/>
      <c r="O1289" s="123"/>
      <c r="P1289" s="123"/>
      <c r="Q1289" s="123"/>
    </row>
    <row r="1290" spans="12:17" x14ac:dyDescent="0.25">
      <c r="L1290" s="123"/>
      <c r="M1290" s="123"/>
      <c r="N1290" s="123"/>
      <c r="O1290" s="123"/>
      <c r="P1290" s="123"/>
      <c r="Q1290" s="123"/>
    </row>
    <row r="1291" spans="12:17" x14ac:dyDescent="0.25">
      <c r="L1291" s="123"/>
      <c r="M1291" s="123"/>
      <c r="N1291" s="123"/>
      <c r="O1291" s="123"/>
      <c r="P1291" s="123"/>
      <c r="Q1291" s="123"/>
    </row>
    <row r="1292" spans="12:17" x14ac:dyDescent="0.25">
      <c r="L1292" s="123"/>
      <c r="M1292" s="123"/>
      <c r="N1292" s="123"/>
      <c r="O1292" s="123"/>
      <c r="P1292" s="123"/>
      <c r="Q1292" s="123"/>
    </row>
    <row r="1293" spans="12:17" x14ac:dyDescent="0.25">
      <c r="L1293" s="123"/>
      <c r="M1293" s="123"/>
      <c r="N1293" s="123"/>
      <c r="O1293" s="123"/>
      <c r="P1293" s="123"/>
      <c r="Q1293" s="123"/>
    </row>
    <row r="1294" spans="12:17" x14ac:dyDescent="0.25">
      <c r="L1294" s="123"/>
      <c r="M1294" s="123"/>
      <c r="N1294" s="123"/>
      <c r="O1294" s="123"/>
      <c r="P1294" s="123"/>
      <c r="Q1294" s="123"/>
    </row>
    <row r="1295" spans="12:17" x14ac:dyDescent="0.25">
      <c r="L1295" s="123"/>
      <c r="M1295" s="123"/>
      <c r="N1295" s="123"/>
      <c r="O1295" s="123"/>
      <c r="P1295" s="123"/>
      <c r="Q1295" s="123"/>
    </row>
    <row r="1296" spans="12:17" x14ac:dyDescent="0.25">
      <c r="L1296" s="123"/>
      <c r="M1296" s="123"/>
      <c r="N1296" s="123"/>
      <c r="O1296" s="123"/>
      <c r="P1296" s="123"/>
      <c r="Q1296" s="123"/>
    </row>
    <row r="1297" spans="12:17" x14ac:dyDescent="0.25">
      <c r="L1297" s="123"/>
      <c r="M1297" s="123"/>
      <c r="N1297" s="123"/>
      <c r="O1297" s="123"/>
      <c r="P1297" s="123"/>
      <c r="Q1297" s="123"/>
    </row>
    <row r="1298" spans="12:17" x14ac:dyDescent="0.25">
      <c r="L1298" s="123"/>
      <c r="M1298" s="123"/>
      <c r="N1298" s="123"/>
      <c r="O1298" s="123"/>
      <c r="P1298" s="123"/>
      <c r="Q1298" s="123"/>
    </row>
    <row r="1299" spans="12:17" x14ac:dyDescent="0.25">
      <c r="L1299" s="123"/>
      <c r="M1299" s="123"/>
      <c r="N1299" s="123"/>
      <c r="O1299" s="123"/>
      <c r="P1299" s="123"/>
      <c r="Q1299" s="123"/>
    </row>
    <row r="1300" spans="12:17" x14ac:dyDescent="0.25">
      <c r="L1300" s="123"/>
      <c r="M1300" s="123"/>
      <c r="N1300" s="123"/>
      <c r="O1300" s="123"/>
      <c r="P1300" s="123"/>
      <c r="Q1300" s="123"/>
    </row>
    <row r="1301" spans="12:17" x14ac:dyDescent="0.25">
      <c r="L1301" s="123"/>
      <c r="M1301" s="123"/>
      <c r="N1301" s="123"/>
      <c r="O1301" s="123"/>
      <c r="P1301" s="123"/>
      <c r="Q1301" s="123"/>
    </row>
    <row r="1302" spans="12:17" x14ac:dyDescent="0.25">
      <c r="L1302" s="123"/>
      <c r="M1302" s="123"/>
      <c r="N1302" s="123"/>
      <c r="O1302" s="123"/>
      <c r="P1302" s="123"/>
      <c r="Q1302" s="123"/>
    </row>
    <row r="1303" spans="12:17" x14ac:dyDescent="0.25">
      <c r="L1303" s="123"/>
      <c r="M1303" s="123"/>
      <c r="N1303" s="123"/>
      <c r="O1303" s="123"/>
      <c r="P1303" s="123"/>
      <c r="Q1303" s="123"/>
    </row>
    <row r="1304" spans="12:17" x14ac:dyDescent="0.25">
      <c r="L1304" s="123"/>
      <c r="M1304" s="123"/>
      <c r="N1304" s="123"/>
      <c r="O1304" s="123"/>
      <c r="P1304" s="123"/>
      <c r="Q1304" s="123"/>
    </row>
    <row r="1305" spans="12:17" x14ac:dyDescent="0.25">
      <c r="L1305" s="123"/>
      <c r="M1305" s="123"/>
      <c r="N1305" s="123"/>
      <c r="O1305" s="123"/>
      <c r="P1305" s="123"/>
      <c r="Q1305" s="123"/>
    </row>
    <row r="1306" spans="12:17" x14ac:dyDescent="0.25">
      <c r="L1306" s="123"/>
      <c r="M1306" s="123"/>
      <c r="N1306" s="123"/>
      <c r="O1306" s="123"/>
      <c r="P1306" s="123"/>
      <c r="Q1306" s="123"/>
    </row>
    <row r="1307" spans="12:17" x14ac:dyDescent="0.25">
      <c r="L1307" s="123"/>
      <c r="M1307" s="123"/>
      <c r="N1307" s="123"/>
      <c r="O1307" s="123"/>
      <c r="P1307" s="123"/>
      <c r="Q1307" s="123"/>
    </row>
    <row r="1308" spans="12:17" x14ac:dyDescent="0.25">
      <c r="L1308" s="123"/>
      <c r="M1308" s="123"/>
      <c r="N1308" s="123"/>
      <c r="O1308" s="123"/>
      <c r="P1308" s="123"/>
      <c r="Q1308" s="123"/>
    </row>
    <row r="1309" spans="12:17" x14ac:dyDescent="0.25">
      <c r="L1309" s="123"/>
      <c r="M1309" s="123"/>
      <c r="N1309" s="123"/>
      <c r="O1309" s="123"/>
      <c r="P1309" s="123"/>
      <c r="Q1309" s="123"/>
    </row>
    <row r="1310" spans="12:17" x14ac:dyDescent="0.25">
      <c r="L1310" s="123"/>
      <c r="M1310" s="123"/>
      <c r="N1310" s="123"/>
      <c r="O1310" s="123"/>
      <c r="P1310" s="123"/>
      <c r="Q1310" s="123"/>
    </row>
    <row r="1311" spans="12:17" x14ac:dyDescent="0.25">
      <c r="L1311" s="123"/>
      <c r="M1311" s="123"/>
      <c r="N1311" s="123"/>
      <c r="O1311" s="123"/>
      <c r="P1311" s="123"/>
      <c r="Q1311" s="123"/>
    </row>
    <row r="1312" spans="12:17" x14ac:dyDescent="0.25">
      <c r="L1312" s="123"/>
      <c r="M1312" s="123"/>
      <c r="N1312" s="123"/>
      <c r="O1312" s="123"/>
      <c r="P1312" s="123"/>
      <c r="Q1312" s="123"/>
    </row>
    <row r="1313" spans="12:17" x14ac:dyDescent="0.25">
      <c r="L1313" s="123"/>
      <c r="M1313" s="123"/>
      <c r="N1313" s="123"/>
      <c r="O1313" s="123"/>
      <c r="P1313" s="123"/>
      <c r="Q1313" s="123"/>
    </row>
    <row r="1314" spans="12:17" x14ac:dyDescent="0.25">
      <c r="L1314" s="123"/>
      <c r="M1314" s="123"/>
      <c r="N1314" s="123"/>
      <c r="O1314" s="123"/>
      <c r="P1314" s="123"/>
      <c r="Q1314" s="123"/>
    </row>
    <row r="1315" spans="12:17" x14ac:dyDescent="0.25">
      <c r="L1315" s="123"/>
      <c r="M1315" s="123"/>
      <c r="N1315" s="123"/>
      <c r="O1315" s="123"/>
      <c r="P1315" s="123"/>
      <c r="Q1315" s="123"/>
    </row>
    <row r="1316" spans="12:17" x14ac:dyDescent="0.25">
      <c r="L1316" s="123"/>
      <c r="M1316" s="123"/>
      <c r="N1316" s="123"/>
      <c r="O1316" s="123"/>
      <c r="P1316" s="123"/>
      <c r="Q1316" s="123"/>
    </row>
    <row r="1317" spans="12:17" x14ac:dyDescent="0.25">
      <c r="L1317" s="123"/>
      <c r="M1317" s="123"/>
      <c r="N1317" s="123"/>
      <c r="O1317" s="123"/>
      <c r="P1317" s="123"/>
      <c r="Q1317" s="123"/>
    </row>
    <row r="1318" spans="12:17" x14ac:dyDescent="0.25">
      <c r="L1318" s="123"/>
      <c r="M1318" s="123"/>
      <c r="N1318" s="123"/>
      <c r="O1318" s="123"/>
      <c r="P1318" s="123"/>
      <c r="Q1318" s="123"/>
    </row>
    <row r="1319" spans="12:17" x14ac:dyDescent="0.25">
      <c r="L1319" s="123"/>
      <c r="M1319" s="123"/>
      <c r="N1319" s="123"/>
      <c r="O1319" s="123"/>
      <c r="P1319" s="123"/>
      <c r="Q1319" s="123"/>
    </row>
    <row r="1320" spans="12:17" x14ac:dyDescent="0.25">
      <c r="L1320" s="123"/>
      <c r="M1320" s="123"/>
      <c r="N1320" s="123"/>
      <c r="O1320" s="123"/>
      <c r="P1320" s="123"/>
      <c r="Q1320" s="123"/>
    </row>
    <row r="1321" spans="12:17" x14ac:dyDescent="0.25">
      <c r="L1321" s="123"/>
      <c r="M1321" s="123"/>
      <c r="N1321" s="123"/>
      <c r="O1321" s="123"/>
      <c r="P1321" s="123"/>
      <c r="Q1321" s="123"/>
    </row>
    <row r="1322" spans="12:17" x14ac:dyDescent="0.25">
      <c r="L1322" s="123"/>
      <c r="M1322" s="123"/>
      <c r="N1322" s="123"/>
      <c r="O1322" s="123"/>
      <c r="P1322" s="123"/>
      <c r="Q1322" s="123"/>
    </row>
    <row r="1323" spans="12:17" x14ac:dyDescent="0.25">
      <c r="L1323" s="123"/>
      <c r="M1323" s="123"/>
      <c r="N1323" s="123"/>
      <c r="O1323" s="123"/>
      <c r="P1323" s="123"/>
      <c r="Q1323" s="123"/>
    </row>
    <row r="1324" spans="12:17" x14ac:dyDescent="0.25">
      <c r="L1324" s="123"/>
      <c r="M1324" s="123"/>
      <c r="N1324" s="123"/>
      <c r="O1324" s="123"/>
      <c r="P1324" s="123"/>
      <c r="Q1324" s="123"/>
    </row>
    <row r="1325" spans="12:17" x14ac:dyDescent="0.25">
      <c r="L1325" s="123"/>
      <c r="M1325" s="123"/>
      <c r="N1325" s="123"/>
      <c r="O1325" s="123"/>
      <c r="P1325" s="123"/>
      <c r="Q1325" s="123"/>
    </row>
    <row r="1326" spans="12:17" x14ac:dyDescent="0.25">
      <c r="L1326" s="123"/>
      <c r="M1326" s="123"/>
      <c r="N1326" s="123"/>
      <c r="O1326" s="123"/>
      <c r="P1326" s="123"/>
      <c r="Q1326" s="123"/>
    </row>
    <row r="1327" spans="12:17" x14ac:dyDescent="0.25">
      <c r="L1327" s="123"/>
      <c r="M1327" s="123"/>
      <c r="N1327" s="123"/>
      <c r="O1327" s="123"/>
      <c r="P1327" s="123"/>
      <c r="Q1327" s="123"/>
    </row>
    <row r="1328" spans="12:17" x14ac:dyDescent="0.25">
      <c r="L1328" s="123"/>
      <c r="M1328" s="123"/>
      <c r="N1328" s="123"/>
      <c r="O1328" s="123"/>
      <c r="P1328" s="123"/>
      <c r="Q1328" s="123"/>
    </row>
    <row r="1329" spans="12:17" x14ac:dyDescent="0.25">
      <c r="L1329" s="123"/>
      <c r="M1329" s="123"/>
      <c r="N1329" s="123"/>
      <c r="O1329" s="123"/>
      <c r="P1329" s="123"/>
      <c r="Q1329" s="123"/>
    </row>
    <row r="1330" spans="12:17" x14ac:dyDescent="0.25">
      <c r="L1330" s="123"/>
      <c r="M1330" s="123"/>
      <c r="N1330" s="123"/>
      <c r="O1330" s="123"/>
      <c r="P1330" s="123"/>
      <c r="Q1330" s="123"/>
    </row>
    <row r="1331" spans="12:17" x14ac:dyDescent="0.25">
      <c r="L1331" s="123"/>
      <c r="M1331" s="123"/>
      <c r="N1331" s="123"/>
      <c r="O1331" s="123"/>
      <c r="P1331" s="123"/>
      <c r="Q1331" s="123"/>
    </row>
    <row r="1332" spans="12:17" x14ac:dyDescent="0.25">
      <c r="L1332" s="123"/>
      <c r="M1332" s="123"/>
      <c r="N1332" s="123"/>
      <c r="O1332" s="123"/>
      <c r="P1332" s="123"/>
      <c r="Q1332" s="123"/>
    </row>
    <row r="1333" spans="12:17" x14ac:dyDescent="0.25">
      <c r="L1333" s="123"/>
      <c r="M1333" s="123"/>
      <c r="N1333" s="123"/>
      <c r="O1333" s="123"/>
      <c r="P1333" s="123"/>
      <c r="Q1333" s="123"/>
    </row>
    <row r="1334" spans="12:17" x14ac:dyDescent="0.25">
      <c r="L1334" s="123"/>
      <c r="M1334" s="123"/>
      <c r="N1334" s="123"/>
      <c r="O1334" s="123"/>
      <c r="P1334" s="123"/>
      <c r="Q1334" s="123"/>
    </row>
    <row r="1335" spans="12:17" x14ac:dyDescent="0.25">
      <c r="L1335" s="123"/>
      <c r="M1335" s="123"/>
      <c r="N1335" s="123"/>
      <c r="O1335" s="123"/>
      <c r="P1335" s="123"/>
      <c r="Q1335" s="123"/>
    </row>
    <row r="1336" spans="12:17" x14ac:dyDescent="0.25">
      <c r="L1336" s="123"/>
      <c r="M1336" s="123"/>
      <c r="N1336" s="123"/>
      <c r="O1336" s="123"/>
      <c r="P1336" s="123"/>
      <c r="Q1336" s="123"/>
    </row>
    <row r="1337" spans="12:17" x14ac:dyDescent="0.25">
      <c r="L1337" s="123"/>
      <c r="M1337" s="123"/>
      <c r="N1337" s="123"/>
      <c r="O1337" s="123"/>
      <c r="P1337" s="123"/>
      <c r="Q1337" s="123"/>
    </row>
    <row r="1338" spans="12:17" x14ac:dyDescent="0.25">
      <c r="L1338" s="123"/>
      <c r="M1338" s="123"/>
      <c r="N1338" s="123"/>
      <c r="O1338" s="123"/>
      <c r="P1338" s="123"/>
      <c r="Q1338" s="123"/>
    </row>
    <row r="1339" spans="12:17" x14ac:dyDescent="0.25">
      <c r="L1339" s="123"/>
      <c r="M1339" s="123"/>
      <c r="N1339" s="123"/>
      <c r="O1339" s="123"/>
      <c r="P1339" s="123"/>
      <c r="Q1339" s="123"/>
    </row>
    <row r="1340" spans="12:17" x14ac:dyDescent="0.25">
      <c r="L1340" s="123"/>
      <c r="M1340" s="123"/>
      <c r="N1340" s="123"/>
      <c r="O1340" s="123"/>
      <c r="P1340" s="123"/>
      <c r="Q1340" s="123"/>
    </row>
    <row r="1341" spans="12:17" x14ac:dyDescent="0.25">
      <c r="L1341" s="123"/>
      <c r="M1341" s="123"/>
      <c r="N1341" s="123"/>
      <c r="O1341" s="123"/>
      <c r="P1341" s="123"/>
      <c r="Q1341" s="123"/>
    </row>
    <row r="1342" spans="12:17" x14ac:dyDescent="0.25">
      <c r="L1342" s="123"/>
      <c r="M1342" s="123"/>
      <c r="N1342" s="123"/>
      <c r="O1342" s="123"/>
      <c r="P1342" s="123"/>
      <c r="Q1342" s="123"/>
    </row>
    <row r="1343" spans="12:17" x14ac:dyDescent="0.25">
      <c r="L1343" s="123"/>
      <c r="M1343" s="123"/>
      <c r="N1343" s="123"/>
      <c r="O1343" s="123"/>
      <c r="P1343" s="123"/>
      <c r="Q1343" s="123"/>
    </row>
    <row r="1344" spans="12:17" x14ac:dyDescent="0.25">
      <c r="L1344" s="123"/>
      <c r="M1344" s="123"/>
      <c r="N1344" s="123"/>
      <c r="O1344" s="123"/>
      <c r="P1344" s="123"/>
      <c r="Q1344" s="123"/>
    </row>
    <row r="1345" spans="12:17" x14ac:dyDescent="0.25">
      <c r="L1345" s="123"/>
      <c r="M1345" s="123"/>
      <c r="N1345" s="123"/>
      <c r="O1345" s="123"/>
      <c r="P1345" s="123"/>
      <c r="Q1345" s="123"/>
    </row>
    <row r="1346" spans="12:17" x14ac:dyDescent="0.25">
      <c r="L1346" s="123"/>
      <c r="M1346" s="123"/>
      <c r="N1346" s="123"/>
      <c r="O1346" s="123"/>
      <c r="P1346" s="123"/>
      <c r="Q1346" s="123"/>
    </row>
    <row r="1347" spans="12:17" x14ac:dyDescent="0.25">
      <c r="L1347" s="123"/>
      <c r="M1347" s="123"/>
      <c r="N1347" s="123"/>
      <c r="O1347" s="123"/>
      <c r="P1347" s="123"/>
      <c r="Q1347" s="123"/>
    </row>
    <row r="1348" spans="12:17" x14ac:dyDescent="0.25">
      <c r="L1348" s="123"/>
      <c r="M1348" s="123"/>
      <c r="N1348" s="123"/>
      <c r="O1348" s="123"/>
      <c r="P1348" s="123"/>
      <c r="Q1348" s="123"/>
    </row>
    <row r="1349" spans="12:17" x14ac:dyDescent="0.25">
      <c r="L1349" s="123"/>
      <c r="M1349" s="123"/>
      <c r="N1349" s="123"/>
      <c r="O1349" s="123"/>
      <c r="P1349" s="123"/>
      <c r="Q1349" s="123"/>
    </row>
    <row r="1350" spans="12:17" x14ac:dyDescent="0.25">
      <c r="L1350" s="123"/>
      <c r="M1350" s="123"/>
      <c r="N1350" s="123"/>
      <c r="O1350" s="123"/>
      <c r="P1350" s="123"/>
      <c r="Q1350" s="123"/>
    </row>
    <row r="1351" spans="12:17" x14ac:dyDescent="0.25">
      <c r="L1351" s="123"/>
      <c r="M1351" s="123"/>
      <c r="N1351" s="123"/>
      <c r="O1351" s="123"/>
      <c r="P1351" s="123"/>
      <c r="Q1351" s="123"/>
    </row>
    <row r="1352" spans="12:17" x14ac:dyDescent="0.25">
      <c r="L1352" s="123"/>
      <c r="M1352" s="123"/>
      <c r="N1352" s="123"/>
      <c r="O1352" s="123"/>
      <c r="P1352" s="123"/>
      <c r="Q1352" s="123"/>
    </row>
    <row r="1353" spans="12:17" x14ac:dyDescent="0.25">
      <c r="L1353" s="123"/>
      <c r="M1353" s="123"/>
      <c r="N1353" s="123"/>
      <c r="O1353" s="123"/>
      <c r="P1353" s="123"/>
      <c r="Q1353" s="123"/>
    </row>
    <row r="1354" spans="12:17" x14ac:dyDescent="0.25">
      <c r="L1354" s="123"/>
      <c r="M1354" s="123"/>
      <c r="N1354" s="123"/>
      <c r="O1354" s="123"/>
      <c r="P1354" s="123"/>
      <c r="Q1354" s="123"/>
    </row>
    <row r="1355" spans="12:17" x14ac:dyDescent="0.25">
      <c r="L1355" s="123"/>
      <c r="M1355" s="123"/>
      <c r="N1355" s="123"/>
      <c r="O1355" s="123"/>
      <c r="P1355" s="123"/>
      <c r="Q1355" s="123"/>
    </row>
    <row r="1356" spans="12:17" x14ac:dyDescent="0.25">
      <c r="L1356" s="123"/>
      <c r="M1356" s="123"/>
      <c r="N1356" s="123"/>
      <c r="O1356" s="123"/>
      <c r="P1356" s="123"/>
      <c r="Q1356" s="123"/>
    </row>
    <row r="1357" spans="12:17" x14ac:dyDescent="0.25">
      <c r="L1357" s="123"/>
      <c r="M1357" s="123"/>
      <c r="N1357" s="123"/>
      <c r="O1357" s="123"/>
      <c r="P1357" s="123"/>
      <c r="Q1357" s="123"/>
    </row>
    <row r="1358" spans="12:17" x14ac:dyDescent="0.25">
      <c r="L1358" s="123"/>
      <c r="M1358" s="123"/>
      <c r="N1358" s="123"/>
      <c r="O1358" s="123"/>
      <c r="P1358" s="123"/>
      <c r="Q1358" s="123"/>
    </row>
    <row r="1359" spans="12:17" x14ac:dyDescent="0.25">
      <c r="L1359" s="123"/>
      <c r="M1359" s="123"/>
      <c r="N1359" s="123"/>
      <c r="O1359" s="123"/>
      <c r="P1359" s="123"/>
      <c r="Q1359" s="123"/>
    </row>
    <row r="1360" spans="12:17" x14ac:dyDescent="0.25">
      <c r="L1360" s="123"/>
      <c r="M1360" s="123"/>
      <c r="N1360" s="123"/>
      <c r="O1360" s="123"/>
      <c r="P1360" s="123"/>
      <c r="Q1360" s="123"/>
    </row>
    <row r="1361" spans="12:17" x14ac:dyDescent="0.25">
      <c r="L1361" s="123"/>
      <c r="M1361" s="123"/>
      <c r="N1361" s="123"/>
      <c r="O1361" s="123"/>
      <c r="P1361" s="123"/>
      <c r="Q1361" s="123"/>
    </row>
    <row r="1362" spans="12:17" x14ac:dyDescent="0.25">
      <c r="L1362" s="123"/>
      <c r="M1362" s="123"/>
      <c r="N1362" s="123"/>
      <c r="O1362" s="123"/>
      <c r="P1362" s="123"/>
      <c r="Q1362" s="123"/>
    </row>
    <row r="1363" spans="12:17" x14ac:dyDescent="0.25">
      <c r="L1363" s="123"/>
      <c r="M1363" s="123"/>
      <c r="N1363" s="123"/>
      <c r="O1363" s="123"/>
      <c r="P1363" s="123"/>
      <c r="Q1363" s="123"/>
    </row>
  </sheetData>
  <printOptions horizontalCentered="1"/>
  <pageMargins left="0.25" right="0.25" top="0.5" bottom="0.5" header="0.5" footer="0.5"/>
  <pageSetup scale="90" fitToHeight="10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5"/>
  <sheetViews>
    <sheetView workbookViewId="0">
      <pane ySplit="2" topLeftCell="A3" activePane="bottomLeft" state="frozen"/>
      <selection pane="bottomLeft" activeCell="B15" sqref="A1:B15"/>
    </sheetView>
  </sheetViews>
  <sheetFormatPr defaultColWidth="9.109375" defaultRowHeight="13.2" x14ac:dyDescent="0.25"/>
  <cols>
    <col min="1" max="1" width="22.5546875" style="1" customWidth="1"/>
    <col min="2" max="2" width="5.5546875" style="2" customWidth="1"/>
    <col min="3" max="3" width="6.5546875" style="4" customWidth="1"/>
    <col min="4" max="4" width="8.5546875" style="3" customWidth="1"/>
    <col min="5" max="5" width="7.44140625" style="3" customWidth="1"/>
    <col min="6" max="7" width="7.33203125" style="4" customWidth="1"/>
    <col min="8" max="8" width="7.6640625" style="49" hidden="1" customWidth="1"/>
    <col min="9" max="13" width="7.6640625" style="50" hidden="1" customWidth="1"/>
    <col min="14" max="19" width="6.6640625" style="1" hidden="1" customWidth="1"/>
    <col min="20" max="20" width="8.6640625" style="68" customWidth="1"/>
    <col min="21" max="16384" width="9.109375" style="1"/>
  </cols>
  <sheetData>
    <row r="1" spans="1:20" x14ac:dyDescent="0.25">
      <c r="A1" s="87"/>
      <c r="B1" s="101"/>
      <c r="C1" s="199" t="s">
        <v>229</v>
      </c>
      <c r="D1" s="200"/>
      <c r="E1" s="200"/>
      <c r="F1" s="201"/>
      <c r="G1" s="214" t="s">
        <v>114</v>
      </c>
      <c r="H1" s="203" t="s">
        <v>230</v>
      </c>
      <c r="I1" s="203"/>
      <c r="J1" s="203"/>
      <c r="K1" s="203"/>
      <c r="L1" s="203"/>
      <c r="M1" s="204"/>
      <c r="N1" s="196" t="s">
        <v>231</v>
      </c>
      <c r="O1" s="197"/>
      <c r="P1" s="197"/>
      <c r="Q1" s="197"/>
      <c r="R1" s="197"/>
      <c r="S1" s="198"/>
      <c r="T1" s="98" t="s">
        <v>119</v>
      </c>
    </row>
    <row r="2" spans="1:20" x14ac:dyDescent="0.25">
      <c r="A2" s="122" t="s">
        <v>77</v>
      </c>
      <c r="B2" s="114" t="s">
        <v>3</v>
      </c>
      <c r="C2" s="113" t="s">
        <v>232</v>
      </c>
      <c r="D2" s="124" t="s">
        <v>122</v>
      </c>
      <c r="E2" s="124" t="s">
        <v>126</v>
      </c>
      <c r="F2" s="114" t="s">
        <v>124</v>
      </c>
      <c r="G2" s="215" t="s">
        <v>127</v>
      </c>
      <c r="H2" s="130" t="s">
        <v>128</v>
      </c>
      <c r="I2" s="130" t="s">
        <v>129</v>
      </c>
      <c r="J2" s="130" t="s">
        <v>130</v>
      </c>
      <c r="K2" s="130" t="s">
        <v>131</v>
      </c>
      <c r="L2" s="130" t="s">
        <v>132</v>
      </c>
      <c r="M2" s="131" t="s">
        <v>133</v>
      </c>
      <c r="N2" s="133" t="s">
        <v>128</v>
      </c>
      <c r="O2" s="134" t="s">
        <v>129</v>
      </c>
      <c r="P2" s="134" t="s">
        <v>130</v>
      </c>
      <c r="Q2" s="134" t="s">
        <v>131</v>
      </c>
      <c r="R2" s="134" t="s">
        <v>132</v>
      </c>
      <c r="S2" s="135" t="s">
        <v>133</v>
      </c>
      <c r="T2" s="99" t="s">
        <v>134</v>
      </c>
    </row>
    <row r="3" spans="1:20" x14ac:dyDescent="0.25">
      <c r="A3" s="87" t="s">
        <v>478</v>
      </c>
      <c r="B3" s="101" t="s">
        <v>172</v>
      </c>
      <c r="C3" s="72">
        <v>75</v>
      </c>
      <c r="D3" s="73">
        <f>10.4*C3</f>
        <v>780</v>
      </c>
      <c r="E3" s="73">
        <v>1</v>
      </c>
      <c r="F3" s="74">
        <v>9</v>
      </c>
      <c r="G3" s="216">
        <v>1</v>
      </c>
      <c r="H3" s="50">
        <v>0.49090909090909091</v>
      </c>
      <c r="I3" s="50">
        <v>0.34545454545454546</v>
      </c>
      <c r="J3" s="50">
        <v>9.0909090909090912E-2</v>
      </c>
      <c r="K3" s="50">
        <v>1.8181818181818181E-2</v>
      </c>
      <c r="L3" s="50">
        <v>1.8181818181818181E-2</v>
      </c>
      <c r="M3" s="50">
        <v>3.6363636363636362E-2</v>
      </c>
      <c r="N3" s="1">
        <f t="shared" ref="N3:S3" si="0">H3*$F3</f>
        <v>4.418181818181818</v>
      </c>
      <c r="O3" s="1">
        <f t="shared" si="0"/>
        <v>3.1090909090909093</v>
      </c>
      <c r="P3" s="1">
        <f t="shared" si="0"/>
        <v>0.81818181818181823</v>
      </c>
      <c r="Q3" s="1">
        <f t="shared" si="0"/>
        <v>0.16363636363636364</v>
      </c>
      <c r="R3" s="1">
        <f t="shared" si="0"/>
        <v>0.16363636363636364</v>
      </c>
      <c r="S3" s="1">
        <f t="shared" si="0"/>
        <v>0.32727272727272727</v>
      </c>
      <c r="T3" s="98">
        <f>Input!$F$31*TEs!C3+Input!$F$32*TEs!D3+Input!$F$33*TEs!N3+Input!$F$34*TEs!O3+Input!$F$35*TEs!P3+Input!$F$36*TEs!Q3+Input!$F$37*TEs!R3+Input!$F$38*TEs!S3+Input!$F$39*TEs!E3+Input!$F$40*TEs!G3</f>
        <v>141.85454545454544</v>
      </c>
    </row>
    <row r="4" spans="1:20" x14ac:dyDescent="0.25">
      <c r="A4" s="89" t="s">
        <v>479</v>
      </c>
      <c r="B4" s="112" t="s">
        <v>156</v>
      </c>
      <c r="C4" s="45">
        <v>55</v>
      </c>
      <c r="D4" s="37">
        <f>11.7*C4</f>
        <v>643.5</v>
      </c>
      <c r="E4" s="37">
        <v>0</v>
      </c>
      <c r="F4" s="38">
        <v>7</v>
      </c>
      <c r="G4" s="216">
        <v>1</v>
      </c>
      <c r="H4" s="50">
        <v>0.49090909090909091</v>
      </c>
      <c r="I4" s="50">
        <v>0.34545454545454546</v>
      </c>
      <c r="J4" s="50">
        <v>9.0909090909090912E-2</v>
      </c>
      <c r="K4" s="50">
        <v>1.8181818181818181E-2</v>
      </c>
      <c r="L4" s="50">
        <v>1.8181818181818181E-2</v>
      </c>
      <c r="M4" s="50">
        <v>3.6363636363636362E-2</v>
      </c>
      <c r="N4" s="1">
        <f t="shared" ref="N4:N65" si="1">H4*$F4</f>
        <v>3.4363636363636365</v>
      </c>
      <c r="O4" s="1">
        <f t="shared" ref="O4:O65" si="2">I4*$F4</f>
        <v>2.418181818181818</v>
      </c>
      <c r="P4" s="1">
        <f t="shared" ref="P4:P65" si="3">J4*$F4</f>
        <v>0.63636363636363635</v>
      </c>
      <c r="Q4" s="1">
        <f t="shared" ref="Q4:Q65" si="4">K4*$F4</f>
        <v>0.12727272727272726</v>
      </c>
      <c r="R4" s="1">
        <f t="shared" ref="R4:R65" si="5">L4*$F4</f>
        <v>0.12727272727272726</v>
      </c>
      <c r="S4" s="1">
        <f t="shared" ref="S4:S65" si="6">M4*$F4</f>
        <v>0.25454545454545452</v>
      </c>
      <c r="T4" s="121">
        <f>Input!$F$31*TEs!C4+Input!$F$32*TEs!D4+Input!$F$33*TEs!N4+Input!$F$34*TEs!O4+Input!$F$35*TEs!P4+Input!$F$36*TEs!Q4+Input!$F$37*TEs!R4+Input!$F$38*TEs!S4+Input!$F$39*TEs!E4+Input!$F$40*TEs!G4</f>
        <v>111.45909090909089</v>
      </c>
    </row>
    <row r="5" spans="1:20" x14ac:dyDescent="0.25">
      <c r="A5" s="89" t="s">
        <v>480</v>
      </c>
      <c r="B5" s="112" t="s">
        <v>142</v>
      </c>
      <c r="C5" s="45">
        <v>70</v>
      </c>
      <c r="D5" s="37">
        <f>9.5*C5</f>
        <v>665</v>
      </c>
      <c r="E5" s="37">
        <v>0</v>
      </c>
      <c r="F5" s="38">
        <v>3</v>
      </c>
      <c r="G5" s="216">
        <v>1</v>
      </c>
      <c r="H5" s="50">
        <v>0.49090909090909091</v>
      </c>
      <c r="I5" s="50">
        <v>0.34545454545454546</v>
      </c>
      <c r="J5" s="50">
        <v>9.0909090909090912E-2</v>
      </c>
      <c r="K5" s="50">
        <v>1.8181818181818181E-2</v>
      </c>
      <c r="L5" s="50">
        <v>1.8181818181818181E-2</v>
      </c>
      <c r="M5" s="50">
        <v>3.6363636363636362E-2</v>
      </c>
      <c r="N5" s="1">
        <f t="shared" si="1"/>
        <v>1.4727272727272727</v>
      </c>
      <c r="O5" s="1">
        <f t="shared" si="2"/>
        <v>1.0363636363636364</v>
      </c>
      <c r="P5" s="1">
        <f t="shared" si="3"/>
        <v>0.27272727272727271</v>
      </c>
      <c r="Q5" s="1">
        <f t="shared" si="4"/>
        <v>5.4545454545454543E-2</v>
      </c>
      <c r="R5" s="1">
        <f t="shared" si="5"/>
        <v>5.4545454545454543E-2</v>
      </c>
      <c r="S5" s="1">
        <f t="shared" si="6"/>
        <v>0.10909090909090909</v>
      </c>
      <c r="T5" s="121">
        <f>Input!$F$31*TEs!C5+Input!$F$32*TEs!D5+Input!$F$33*TEs!N5+Input!$F$34*TEs!O5+Input!$F$35*TEs!P5+Input!$F$36*TEs!Q5+Input!$F$37*TEs!R5+Input!$F$38*TEs!S5+Input!$F$39*TEs!E5+Input!$F$40*TEs!G5</f>
        <v>86.118181818181824</v>
      </c>
    </row>
    <row r="6" spans="1:20" x14ac:dyDescent="0.25">
      <c r="A6" s="89" t="s">
        <v>481</v>
      </c>
      <c r="B6" s="112" t="s">
        <v>196</v>
      </c>
      <c r="C6" s="45">
        <v>52</v>
      </c>
      <c r="D6" s="37">
        <f>11.5*C6</f>
        <v>598</v>
      </c>
      <c r="E6" s="37">
        <v>0</v>
      </c>
      <c r="F6" s="38">
        <v>4</v>
      </c>
      <c r="G6" s="216">
        <v>0</v>
      </c>
      <c r="H6" s="50">
        <v>0.49090909090909091</v>
      </c>
      <c r="I6" s="50">
        <v>0.34545454545454546</v>
      </c>
      <c r="J6" s="50">
        <v>9.0909090909090912E-2</v>
      </c>
      <c r="K6" s="50">
        <v>1.8181818181818181E-2</v>
      </c>
      <c r="L6" s="50">
        <v>1.8181818181818181E-2</v>
      </c>
      <c r="M6" s="50">
        <v>3.6363636363636362E-2</v>
      </c>
      <c r="N6" s="1">
        <f t="shared" si="1"/>
        <v>1.9636363636363636</v>
      </c>
      <c r="O6" s="1">
        <f t="shared" si="2"/>
        <v>1.3818181818181818</v>
      </c>
      <c r="P6" s="1">
        <f t="shared" si="3"/>
        <v>0.36363636363636365</v>
      </c>
      <c r="Q6" s="1">
        <f t="shared" si="4"/>
        <v>7.2727272727272724E-2</v>
      </c>
      <c r="R6" s="1">
        <f t="shared" si="5"/>
        <v>7.2727272727272724E-2</v>
      </c>
      <c r="S6" s="1">
        <f t="shared" si="6"/>
        <v>0.14545454545454545</v>
      </c>
      <c r="T6" s="121">
        <f>Input!$F$31*TEs!C6+Input!$F$32*TEs!D6+Input!$F$33*TEs!N6+Input!$F$34*TEs!O6+Input!$F$35*TEs!P6+Input!$F$36*TEs!Q6+Input!$F$37*TEs!R6+Input!$F$38*TEs!S6+Input!$F$39*TEs!E6+Input!$F$40*TEs!G6</f>
        <v>87.290909090909111</v>
      </c>
    </row>
    <row r="7" spans="1:20" x14ac:dyDescent="0.25">
      <c r="A7" s="89" t="s">
        <v>482</v>
      </c>
      <c r="B7" s="112" t="s">
        <v>184</v>
      </c>
      <c r="C7" s="45">
        <v>48</v>
      </c>
      <c r="D7" s="37">
        <f>12.7*C7</f>
        <v>609.59999999999991</v>
      </c>
      <c r="E7" s="37">
        <v>0</v>
      </c>
      <c r="F7" s="38">
        <v>4</v>
      </c>
      <c r="G7" s="216">
        <v>1</v>
      </c>
      <c r="H7" s="50">
        <v>0.49090909090909091</v>
      </c>
      <c r="I7" s="50">
        <v>0.34545454545454546</v>
      </c>
      <c r="J7" s="50">
        <v>9.0909090909090912E-2</v>
      </c>
      <c r="K7" s="50">
        <v>1.8181818181818181E-2</v>
      </c>
      <c r="L7" s="50">
        <v>1.8181818181818181E-2</v>
      </c>
      <c r="M7" s="50">
        <v>3.6363636363636362E-2</v>
      </c>
      <c r="N7" s="1">
        <f t="shared" si="1"/>
        <v>1.9636363636363636</v>
      </c>
      <c r="O7" s="1">
        <f t="shared" si="2"/>
        <v>1.3818181818181818</v>
      </c>
      <c r="P7" s="1">
        <f t="shared" si="3"/>
        <v>0.36363636363636365</v>
      </c>
      <c r="Q7" s="1">
        <f t="shared" si="4"/>
        <v>7.2727272727272724E-2</v>
      </c>
      <c r="R7" s="1">
        <f t="shared" si="5"/>
        <v>7.2727272727272724E-2</v>
      </c>
      <c r="S7" s="1">
        <f t="shared" si="6"/>
        <v>0.14545454545454545</v>
      </c>
      <c r="T7" s="121">
        <f>Input!$F$31*TEs!C7+Input!$F$32*TEs!D7+Input!$F$33*TEs!N7+Input!$F$34*TEs!O7+Input!$F$35*TEs!P7+Input!$F$36*TEs!Q7+Input!$F$37*TEs!R7+Input!$F$38*TEs!S7+Input!$F$39*TEs!E7+Input!$F$40*TEs!G7</f>
        <v>87.450909090909093</v>
      </c>
    </row>
    <row r="8" spans="1:20" x14ac:dyDescent="0.25">
      <c r="A8" s="89" t="s">
        <v>483</v>
      </c>
      <c r="B8" s="112" t="s">
        <v>176</v>
      </c>
      <c r="C8" s="45">
        <v>40</v>
      </c>
      <c r="D8" s="37">
        <f>13*C8</f>
        <v>520</v>
      </c>
      <c r="E8" s="37">
        <v>0</v>
      </c>
      <c r="F8" s="38">
        <v>5</v>
      </c>
      <c r="G8" s="216">
        <v>0</v>
      </c>
      <c r="H8" s="50">
        <v>0.49090909090909091</v>
      </c>
      <c r="I8" s="50">
        <v>0.34545454545454546</v>
      </c>
      <c r="J8" s="50">
        <v>9.0909090909090912E-2</v>
      </c>
      <c r="K8" s="50">
        <v>1.8181818181818181E-2</v>
      </c>
      <c r="L8" s="50">
        <v>1.8181818181818181E-2</v>
      </c>
      <c r="M8" s="50">
        <v>3.6363636363636362E-2</v>
      </c>
      <c r="N8" s="1">
        <f t="shared" si="1"/>
        <v>2.4545454545454546</v>
      </c>
      <c r="O8" s="1">
        <f t="shared" si="2"/>
        <v>1.7272727272727273</v>
      </c>
      <c r="P8" s="1">
        <f t="shared" si="3"/>
        <v>0.45454545454545459</v>
      </c>
      <c r="Q8" s="1">
        <f t="shared" si="4"/>
        <v>9.0909090909090912E-2</v>
      </c>
      <c r="R8" s="1">
        <f t="shared" si="5"/>
        <v>9.0909090909090912E-2</v>
      </c>
      <c r="S8" s="1">
        <f t="shared" si="6"/>
        <v>0.18181818181818182</v>
      </c>
      <c r="T8" s="121">
        <f>Input!$F$31*TEs!C8+Input!$F$32*TEs!D8+Input!$F$33*TEs!N8+Input!$F$34*TEs!O8+Input!$F$35*TEs!P8+Input!$F$36*TEs!Q8+Input!$F$37*TEs!R8+Input!$F$38*TEs!S8+Input!$F$39*TEs!E8+Input!$F$40*TEs!G8</f>
        <v>86.36363636363636</v>
      </c>
    </row>
    <row r="9" spans="1:20" x14ac:dyDescent="0.25">
      <c r="A9" s="89" t="s">
        <v>484</v>
      </c>
      <c r="B9" s="112" t="s">
        <v>146</v>
      </c>
      <c r="C9" s="45">
        <v>35</v>
      </c>
      <c r="D9" s="37">
        <f>14.5*C9</f>
        <v>507.5</v>
      </c>
      <c r="E9" s="37">
        <v>0</v>
      </c>
      <c r="F9" s="38">
        <v>5</v>
      </c>
      <c r="G9" s="216">
        <v>0</v>
      </c>
      <c r="H9" s="50">
        <v>0.49090909090909091</v>
      </c>
      <c r="I9" s="50">
        <v>0.34545454545454546</v>
      </c>
      <c r="J9" s="50">
        <v>9.0909090909090912E-2</v>
      </c>
      <c r="K9" s="50">
        <v>1.8181818181818181E-2</v>
      </c>
      <c r="L9" s="50">
        <v>1.8181818181818181E-2</v>
      </c>
      <c r="M9" s="50">
        <v>3.6363636363636362E-2</v>
      </c>
      <c r="N9" s="1">
        <f t="shared" si="1"/>
        <v>2.4545454545454546</v>
      </c>
      <c r="O9" s="1">
        <f t="shared" si="2"/>
        <v>1.7272727272727273</v>
      </c>
      <c r="P9" s="1">
        <f t="shared" si="3"/>
        <v>0.45454545454545459</v>
      </c>
      <c r="Q9" s="1">
        <f t="shared" si="4"/>
        <v>9.0909090909090912E-2</v>
      </c>
      <c r="R9" s="1">
        <f t="shared" si="5"/>
        <v>9.0909090909090912E-2</v>
      </c>
      <c r="S9" s="1">
        <f t="shared" si="6"/>
        <v>0.18181818181818182</v>
      </c>
      <c r="T9" s="121">
        <f>Input!$F$31*TEs!C9+Input!$F$32*TEs!D9+Input!$F$33*TEs!N9+Input!$F$34*TEs!O9+Input!$F$35*TEs!P9+Input!$F$36*TEs!Q9+Input!$F$37*TEs!R9+Input!$F$38*TEs!S9+Input!$F$39*TEs!E9+Input!$F$40*TEs!G9</f>
        <v>85.11363636363636</v>
      </c>
    </row>
    <row r="10" spans="1:20" x14ac:dyDescent="0.25">
      <c r="A10" s="89" t="s">
        <v>485</v>
      </c>
      <c r="B10" s="112" t="s">
        <v>166</v>
      </c>
      <c r="C10" s="45">
        <v>53</v>
      </c>
      <c r="D10" s="37">
        <f>9.5*C10</f>
        <v>503.5</v>
      </c>
      <c r="E10" s="37">
        <v>0</v>
      </c>
      <c r="F10" s="38">
        <v>4</v>
      </c>
      <c r="G10" s="216">
        <v>0</v>
      </c>
      <c r="H10" s="50">
        <v>0.49090909090909091</v>
      </c>
      <c r="I10" s="50">
        <v>0.34545454545454546</v>
      </c>
      <c r="J10" s="50">
        <v>9.0909090909090912E-2</v>
      </c>
      <c r="K10" s="50">
        <v>1.8181818181818181E-2</v>
      </c>
      <c r="L10" s="50">
        <v>1.8181818181818181E-2</v>
      </c>
      <c r="M10" s="50">
        <v>3.6363636363636362E-2</v>
      </c>
      <c r="N10" s="1">
        <f t="shared" si="1"/>
        <v>1.9636363636363636</v>
      </c>
      <c r="O10" s="1">
        <f t="shared" si="2"/>
        <v>1.3818181818181818</v>
      </c>
      <c r="P10" s="1">
        <f t="shared" si="3"/>
        <v>0.36363636363636365</v>
      </c>
      <c r="Q10" s="1">
        <f t="shared" si="4"/>
        <v>7.2727272727272724E-2</v>
      </c>
      <c r="R10" s="1">
        <f t="shared" si="5"/>
        <v>7.2727272727272724E-2</v>
      </c>
      <c r="S10" s="1">
        <f t="shared" si="6"/>
        <v>0.14545454545454545</v>
      </c>
      <c r="T10" s="121">
        <f>Input!$F$31*TEs!C10+Input!$F$32*TEs!D10+Input!$F$33*TEs!N10+Input!$F$34*TEs!O10+Input!$F$35*TEs!P10+Input!$F$36*TEs!Q10+Input!$F$37*TEs!R10+Input!$F$38*TEs!S10+Input!$F$39*TEs!E10+Input!$F$40*TEs!G10</f>
        <v>77.840909090909108</v>
      </c>
    </row>
    <row r="11" spans="1:20" x14ac:dyDescent="0.25">
      <c r="A11" s="89" t="s">
        <v>486</v>
      </c>
      <c r="B11" s="112" t="s">
        <v>140</v>
      </c>
      <c r="C11" s="45">
        <v>35</v>
      </c>
      <c r="D11" s="37">
        <f>12*C11</f>
        <v>420</v>
      </c>
      <c r="E11" s="37">
        <v>0</v>
      </c>
      <c r="F11" s="38">
        <v>4</v>
      </c>
      <c r="G11" s="216">
        <v>0</v>
      </c>
      <c r="H11" s="50">
        <v>0.49090909090909091</v>
      </c>
      <c r="I11" s="50">
        <v>0.34545454545454546</v>
      </c>
      <c r="J11" s="50">
        <v>9.0909090909090912E-2</v>
      </c>
      <c r="K11" s="50">
        <v>1.8181818181818181E-2</v>
      </c>
      <c r="L11" s="50">
        <v>1.8181818181818181E-2</v>
      </c>
      <c r="M11" s="50">
        <v>3.6363636363636362E-2</v>
      </c>
      <c r="N11" s="1">
        <f t="shared" si="1"/>
        <v>1.9636363636363636</v>
      </c>
      <c r="O11" s="1">
        <f t="shared" si="2"/>
        <v>1.3818181818181818</v>
      </c>
      <c r="P11" s="1">
        <f t="shared" si="3"/>
        <v>0.36363636363636365</v>
      </c>
      <c r="Q11" s="1">
        <f t="shared" si="4"/>
        <v>7.2727272727272724E-2</v>
      </c>
      <c r="R11" s="1">
        <f t="shared" si="5"/>
        <v>7.2727272727272724E-2</v>
      </c>
      <c r="S11" s="1">
        <f t="shared" si="6"/>
        <v>0.14545454545454545</v>
      </c>
      <c r="T11" s="121">
        <f>Input!$F$31*TEs!C11+Input!$F$32*TEs!D11+Input!$F$33*TEs!N11+Input!$F$34*TEs!O11+Input!$F$35*TEs!P11+Input!$F$36*TEs!Q11+Input!$F$37*TEs!R11+Input!$F$38*TEs!S11+Input!$F$39*TEs!E11+Input!$F$40*TEs!G11</f>
        <v>69.490909090909099</v>
      </c>
    </row>
    <row r="12" spans="1:20" x14ac:dyDescent="0.25">
      <c r="A12" s="89" t="s">
        <v>487</v>
      </c>
      <c r="B12" s="112" t="s">
        <v>138</v>
      </c>
      <c r="C12" s="45">
        <v>32</v>
      </c>
      <c r="D12" s="37">
        <f>12.2*C12</f>
        <v>390.4</v>
      </c>
      <c r="E12" s="37">
        <v>0</v>
      </c>
      <c r="F12" s="38">
        <v>2</v>
      </c>
      <c r="G12" s="216">
        <v>0</v>
      </c>
      <c r="H12" s="50">
        <v>0.49090909090909091</v>
      </c>
      <c r="I12" s="50">
        <v>0.34545454545454546</v>
      </c>
      <c r="J12" s="50">
        <v>9.0909090909090912E-2</v>
      </c>
      <c r="K12" s="50">
        <v>1.8181818181818181E-2</v>
      </c>
      <c r="L12" s="50">
        <v>1.8181818181818181E-2</v>
      </c>
      <c r="M12" s="50">
        <v>3.6363636363636362E-2</v>
      </c>
      <c r="N12" s="1">
        <f t="shared" si="1"/>
        <v>0.98181818181818181</v>
      </c>
      <c r="O12" s="1">
        <f t="shared" si="2"/>
        <v>0.69090909090909092</v>
      </c>
      <c r="P12" s="1">
        <f t="shared" si="3"/>
        <v>0.18181818181818182</v>
      </c>
      <c r="Q12" s="1">
        <f t="shared" si="4"/>
        <v>3.6363636363636362E-2</v>
      </c>
      <c r="R12" s="1">
        <f t="shared" si="5"/>
        <v>3.6363636363636362E-2</v>
      </c>
      <c r="S12" s="1">
        <f t="shared" si="6"/>
        <v>7.2727272727272724E-2</v>
      </c>
      <c r="T12" s="121">
        <f>Input!$F$31*TEs!C12+Input!$F$32*TEs!D12+Input!$F$33*TEs!N12+Input!$F$34*TEs!O12+Input!$F$35*TEs!P12+Input!$F$36*TEs!Q12+Input!$F$37*TEs!R12+Input!$F$38*TEs!S12+Input!$F$39*TEs!E12+Input!$F$40*TEs!G12</f>
        <v>52.785454545454549</v>
      </c>
    </row>
    <row r="13" spans="1:20" x14ac:dyDescent="0.25">
      <c r="A13" s="89" t="s">
        <v>488</v>
      </c>
      <c r="B13" s="112" t="s">
        <v>150</v>
      </c>
      <c r="C13" s="45">
        <v>38</v>
      </c>
      <c r="D13" s="37">
        <f>10.8*C13</f>
        <v>410.40000000000003</v>
      </c>
      <c r="E13" s="37">
        <v>0</v>
      </c>
      <c r="F13" s="38">
        <v>3</v>
      </c>
      <c r="G13" s="216">
        <v>0</v>
      </c>
      <c r="H13" s="50">
        <v>0.49090909090909091</v>
      </c>
      <c r="I13" s="50">
        <v>0.34545454545454546</v>
      </c>
      <c r="J13" s="50">
        <v>9.0909090909090912E-2</v>
      </c>
      <c r="K13" s="50">
        <v>1.8181818181818181E-2</v>
      </c>
      <c r="L13" s="50">
        <v>1.8181818181818181E-2</v>
      </c>
      <c r="M13" s="50">
        <v>3.6363636363636362E-2</v>
      </c>
      <c r="N13" s="1">
        <f t="shared" si="1"/>
        <v>1.4727272727272727</v>
      </c>
      <c r="O13" s="1">
        <f t="shared" si="2"/>
        <v>1.0363636363636364</v>
      </c>
      <c r="P13" s="1">
        <f t="shared" si="3"/>
        <v>0.27272727272727271</v>
      </c>
      <c r="Q13" s="1">
        <f t="shared" si="4"/>
        <v>5.4545454545454543E-2</v>
      </c>
      <c r="R13" s="1">
        <f t="shared" si="5"/>
        <v>5.4545454545454543E-2</v>
      </c>
      <c r="S13" s="1">
        <f t="shared" si="6"/>
        <v>0.10909090909090909</v>
      </c>
      <c r="T13" s="121">
        <f>Input!$F$31*TEs!C13+Input!$F$32*TEs!D13+Input!$F$33*TEs!N13+Input!$F$34*TEs!O13+Input!$F$35*TEs!P13+Input!$F$36*TEs!Q13+Input!$F$37*TEs!R13+Input!$F$38*TEs!S13+Input!$F$39*TEs!E13+Input!$F$40*TEs!G13</f>
        <v>61.658181818181831</v>
      </c>
    </row>
    <row r="14" spans="1:20" x14ac:dyDescent="0.25">
      <c r="A14" s="89" t="s">
        <v>489</v>
      </c>
      <c r="B14" s="112" t="s">
        <v>188</v>
      </c>
      <c r="C14" s="45">
        <v>30</v>
      </c>
      <c r="D14" s="37">
        <f>12.8*C14</f>
        <v>384</v>
      </c>
      <c r="E14" s="37">
        <v>0</v>
      </c>
      <c r="F14" s="38">
        <v>3</v>
      </c>
      <c r="G14" s="216">
        <v>0</v>
      </c>
      <c r="H14" s="50">
        <v>0.49090909090909091</v>
      </c>
      <c r="I14" s="50">
        <v>0.34545454545454546</v>
      </c>
      <c r="J14" s="50">
        <v>9.0909090909090912E-2</v>
      </c>
      <c r="K14" s="50">
        <v>1.8181818181818181E-2</v>
      </c>
      <c r="L14" s="50">
        <v>1.8181818181818181E-2</v>
      </c>
      <c r="M14" s="50">
        <v>3.6363636363636362E-2</v>
      </c>
      <c r="N14" s="1">
        <f t="shared" si="1"/>
        <v>1.4727272727272727</v>
      </c>
      <c r="O14" s="1">
        <f t="shared" si="2"/>
        <v>1.0363636363636364</v>
      </c>
      <c r="P14" s="1">
        <f t="shared" si="3"/>
        <v>0.27272727272727271</v>
      </c>
      <c r="Q14" s="1">
        <f t="shared" si="4"/>
        <v>5.4545454545454543E-2</v>
      </c>
      <c r="R14" s="1">
        <f t="shared" si="5"/>
        <v>5.4545454545454543E-2</v>
      </c>
      <c r="S14" s="1">
        <f t="shared" si="6"/>
        <v>0.10909090909090909</v>
      </c>
      <c r="T14" s="121">
        <f>Input!$F$31*TEs!C14+Input!$F$32*TEs!D14+Input!$F$33*TEs!N14+Input!$F$34*TEs!O14+Input!$F$35*TEs!P14+Input!$F$36*TEs!Q14+Input!$F$37*TEs!R14+Input!$F$38*TEs!S14+Input!$F$39*TEs!E14+Input!$F$40*TEs!G14</f>
        <v>59.01818181818183</v>
      </c>
    </row>
    <row r="15" spans="1:20" x14ac:dyDescent="0.25">
      <c r="A15" s="89" t="s">
        <v>490</v>
      </c>
      <c r="B15" s="112" t="s">
        <v>184</v>
      </c>
      <c r="C15" s="45">
        <v>35</v>
      </c>
      <c r="D15" s="37">
        <f>10.8*C15</f>
        <v>378</v>
      </c>
      <c r="E15" s="37">
        <v>0</v>
      </c>
      <c r="F15" s="38">
        <v>3</v>
      </c>
      <c r="G15" s="216">
        <v>0</v>
      </c>
      <c r="H15" s="50">
        <v>0.49090909090909091</v>
      </c>
      <c r="I15" s="50">
        <v>0.34545454545454546</v>
      </c>
      <c r="J15" s="50">
        <v>9.0909090909090912E-2</v>
      </c>
      <c r="K15" s="50">
        <v>1.8181818181818181E-2</v>
      </c>
      <c r="L15" s="50">
        <v>1.8181818181818181E-2</v>
      </c>
      <c r="M15" s="50">
        <v>3.6363636363636362E-2</v>
      </c>
      <c r="N15" s="1">
        <f t="shared" si="1"/>
        <v>1.4727272727272727</v>
      </c>
      <c r="O15" s="1">
        <f t="shared" si="2"/>
        <v>1.0363636363636364</v>
      </c>
      <c r="P15" s="1">
        <f t="shared" si="3"/>
        <v>0.27272727272727271</v>
      </c>
      <c r="Q15" s="1">
        <f t="shared" si="4"/>
        <v>5.4545454545454543E-2</v>
      </c>
      <c r="R15" s="1">
        <f t="shared" si="5"/>
        <v>5.4545454545454543E-2</v>
      </c>
      <c r="S15" s="1">
        <f t="shared" si="6"/>
        <v>0.10909090909090909</v>
      </c>
      <c r="T15" s="121">
        <f>Input!$F$31*TEs!C15+Input!$F$32*TEs!D15+Input!$F$33*TEs!N15+Input!$F$34*TEs!O15+Input!$F$35*TEs!P15+Input!$F$36*TEs!Q15+Input!$F$37*TEs!R15+Input!$F$38*TEs!S15+Input!$F$39*TEs!E15+Input!$F$40*TEs!G15</f>
        <v>58.418181818181829</v>
      </c>
    </row>
    <row r="16" spans="1:20" x14ac:dyDescent="0.25">
      <c r="A16" s="89" t="s">
        <v>491</v>
      </c>
      <c r="B16" s="112" t="s">
        <v>138</v>
      </c>
      <c r="C16" s="45">
        <v>30</v>
      </c>
      <c r="D16" s="37">
        <f>12*C16</f>
        <v>360</v>
      </c>
      <c r="E16" s="37">
        <v>0</v>
      </c>
      <c r="F16" s="38">
        <v>3</v>
      </c>
      <c r="G16" s="216">
        <v>1</v>
      </c>
      <c r="H16" s="50">
        <v>0.49090909090909091</v>
      </c>
      <c r="I16" s="50">
        <v>0.34545454545454546</v>
      </c>
      <c r="J16" s="50">
        <v>9.0909090909090912E-2</v>
      </c>
      <c r="K16" s="50">
        <v>1.8181818181818181E-2</v>
      </c>
      <c r="L16" s="50">
        <v>1.8181818181818181E-2</v>
      </c>
      <c r="M16" s="50">
        <v>3.6363636363636362E-2</v>
      </c>
      <c r="N16" s="1">
        <f t="shared" si="1"/>
        <v>1.4727272727272727</v>
      </c>
      <c r="O16" s="1">
        <f t="shared" si="2"/>
        <v>1.0363636363636364</v>
      </c>
      <c r="P16" s="1">
        <f t="shared" si="3"/>
        <v>0.27272727272727271</v>
      </c>
      <c r="Q16" s="1">
        <f t="shared" si="4"/>
        <v>5.4545454545454543E-2</v>
      </c>
      <c r="R16" s="1">
        <f t="shared" si="5"/>
        <v>5.4545454545454543E-2</v>
      </c>
      <c r="S16" s="1">
        <f t="shared" si="6"/>
        <v>0.10909090909090909</v>
      </c>
      <c r="T16" s="121">
        <f>Input!$F$31*TEs!C16+Input!$F$32*TEs!D16+Input!$F$33*TEs!N16+Input!$F$34*TEs!O16+Input!$F$35*TEs!P16+Input!$F$36*TEs!Q16+Input!$F$37*TEs!R16+Input!$F$38*TEs!S16+Input!$F$39*TEs!E16+Input!$F$40*TEs!G16</f>
        <v>55.618181818181824</v>
      </c>
    </row>
    <row r="17" spans="1:20" x14ac:dyDescent="0.25">
      <c r="A17" s="89" t="s">
        <v>492</v>
      </c>
      <c r="B17" s="112" t="s">
        <v>148</v>
      </c>
      <c r="C17" s="45">
        <v>40</v>
      </c>
      <c r="D17" s="37">
        <f>10.3*C17</f>
        <v>412</v>
      </c>
      <c r="E17" s="37">
        <v>0</v>
      </c>
      <c r="F17" s="38">
        <v>2</v>
      </c>
      <c r="G17" s="216">
        <v>0</v>
      </c>
      <c r="H17" s="50">
        <v>0.49090909090909091</v>
      </c>
      <c r="I17" s="50">
        <v>0.34545454545454546</v>
      </c>
      <c r="J17" s="50">
        <v>9.0909090909090912E-2</v>
      </c>
      <c r="K17" s="50">
        <v>1.8181818181818181E-2</v>
      </c>
      <c r="L17" s="50">
        <v>1.8181818181818181E-2</v>
      </c>
      <c r="M17" s="50">
        <v>3.6363636363636362E-2</v>
      </c>
      <c r="N17" s="1">
        <f t="shared" si="1"/>
        <v>0.98181818181818181</v>
      </c>
      <c r="O17" s="1">
        <f t="shared" si="2"/>
        <v>0.69090909090909092</v>
      </c>
      <c r="P17" s="1">
        <f t="shared" si="3"/>
        <v>0.18181818181818182</v>
      </c>
      <c r="Q17" s="1">
        <f t="shared" si="4"/>
        <v>3.6363636363636362E-2</v>
      </c>
      <c r="R17" s="1">
        <f t="shared" si="5"/>
        <v>3.6363636363636362E-2</v>
      </c>
      <c r="S17" s="1">
        <f t="shared" si="6"/>
        <v>7.2727272727272724E-2</v>
      </c>
      <c r="T17" s="121">
        <f>Input!$F$31*TEs!C17+Input!$F$32*TEs!D17+Input!$F$33*TEs!N17+Input!$F$34*TEs!O17+Input!$F$35*TEs!P17+Input!$F$36*TEs!Q17+Input!$F$37*TEs!R17+Input!$F$38*TEs!S17+Input!$F$39*TEs!E17+Input!$F$40*TEs!G17</f>
        <v>54.945454545454552</v>
      </c>
    </row>
    <row r="18" spans="1:20" x14ac:dyDescent="0.25">
      <c r="A18" s="89" t="s">
        <v>493</v>
      </c>
      <c r="B18" s="112" t="s">
        <v>164</v>
      </c>
      <c r="C18" s="45">
        <v>35</v>
      </c>
      <c r="D18" s="37">
        <f>10.8*C18</f>
        <v>378</v>
      </c>
      <c r="E18" s="37">
        <v>0</v>
      </c>
      <c r="F18" s="38">
        <v>2</v>
      </c>
      <c r="G18" s="216">
        <v>0</v>
      </c>
      <c r="H18" s="50">
        <v>0.49090909090909091</v>
      </c>
      <c r="I18" s="50">
        <v>0.34545454545454546</v>
      </c>
      <c r="J18" s="50">
        <v>9.0909090909090912E-2</v>
      </c>
      <c r="K18" s="50">
        <v>1.8181818181818181E-2</v>
      </c>
      <c r="L18" s="50">
        <v>1.8181818181818181E-2</v>
      </c>
      <c r="M18" s="50">
        <v>3.6363636363636362E-2</v>
      </c>
      <c r="N18" s="1">
        <f t="shared" si="1"/>
        <v>0.98181818181818181</v>
      </c>
      <c r="O18" s="1">
        <f t="shared" si="2"/>
        <v>0.69090909090909092</v>
      </c>
      <c r="P18" s="1">
        <f t="shared" si="3"/>
        <v>0.18181818181818182</v>
      </c>
      <c r="Q18" s="1">
        <f t="shared" si="4"/>
        <v>3.6363636363636362E-2</v>
      </c>
      <c r="R18" s="1">
        <f t="shared" si="5"/>
        <v>3.6363636363636362E-2</v>
      </c>
      <c r="S18" s="1">
        <f t="shared" si="6"/>
        <v>7.2727272727272724E-2</v>
      </c>
      <c r="T18" s="121">
        <f>Input!$F$31*TEs!C18+Input!$F$32*TEs!D18+Input!$F$33*TEs!N18+Input!$F$34*TEs!O18+Input!$F$35*TEs!P18+Input!$F$36*TEs!Q18+Input!$F$37*TEs!R18+Input!$F$38*TEs!S18+Input!$F$39*TEs!E18+Input!$F$40*TEs!G18</f>
        <v>51.545454545454554</v>
      </c>
    </row>
    <row r="19" spans="1:20" x14ac:dyDescent="0.25">
      <c r="A19" s="89" t="s">
        <v>494</v>
      </c>
      <c r="B19" s="112" t="s">
        <v>152</v>
      </c>
      <c r="C19" s="45">
        <v>0</v>
      </c>
      <c r="D19" s="37">
        <v>0</v>
      </c>
      <c r="E19" s="37">
        <v>0</v>
      </c>
      <c r="F19" s="38">
        <v>0</v>
      </c>
      <c r="G19" s="216">
        <v>0</v>
      </c>
      <c r="H19" s="50">
        <v>0.49090909090909091</v>
      </c>
      <c r="I19" s="50">
        <v>0.34545454545454546</v>
      </c>
      <c r="J19" s="50">
        <v>9.0909090909090912E-2</v>
      </c>
      <c r="K19" s="50">
        <v>1.8181818181818181E-2</v>
      </c>
      <c r="L19" s="50">
        <v>1.8181818181818181E-2</v>
      </c>
      <c r="M19" s="50">
        <v>3.6363636363636362E-2</v>
      </c>
      <c r="N19" s="1">
        <f t="shared" si="1"/>
        <v>0</v>
      </c>
      <c r="O19" s="1">
        <f t="shared" si="2"/>
        <v>0</v>
      </c>
      <c r="P19" s="1">
        <f t="shared" si="3"/>
        <v>0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21">
        <f>Input!$F$31*TEs!C19+Input!$F$32*TEs!D19+Input!$F$33*TEs!N19+Input!$F$34*TEs!O19+Input!$F$35*TEs!P19+Input!$F$36*TEs!Q19+Input!$F$37*TEs!R19+Input!$F$38*TEs!S19+Input!$F$39*TEs!E19+Input!$F$40*TEs!G19</f>
        <v>0</v>
      </c>
    </row>
    <row r="20" spans="1:20" x14ac:dyDescent="0.25">
      <c r="A20" s="89" t="s">
        <v>495</v>
      </c>
      <c r="B20" s="112" t="s">
        <v>162</v>
      </c>
      <c r="C20" s="45">
        <v>30</v>
      </c>
      <c r="D20" s="37">
        <f>12*C20</f>
        <v>360</v>
      </c>
      <c r="E20" s="37">
        <v>0</v>
      </c>
      <c r="F20" s="38">
        <v>2</v>
      </c>
      <c r="G20" s="216">
        <v>0</v>
      </c>
      <c r="H20" s="50">
        <v>0.49090909090909091</v>
      </c>
      <c r="I20" s="50">
        <v>0.34545454545454546</v>
      </c>
      <c r="J20" s="50">
        <v>9.0909090909090912E-2</v>
      </c>
      <c r="K20" s="50">
        <v>1.8181818181818181E-2</v>
      </c>
      <c r="L20" s="50">
        <v>1.8181818181818181E-2</v>
      </c>
      <c r="M20" s="50">
        <v>3.6363636363636362E-2</v>
      </c>
      <c r="N20" s="1">
        <f t="shared" si="1"/>
        <v>0.98181818181818181</v>
      </c>
      <c r="O20" s="1">
        <f t="shared" si="2"/>
        <v>0.69090909090909092</v>
      </c>
      <c r="P20" s="1">
        <f t="shared" si="3"/>
        <v>0.18181818181818182</v>
      </c>
      <c r="Q20" s="1">
        <f t="shared" si="4"/>
        <v>3.6363636363636362E-2</v>
      </c>
      <c r="R20" s="1">
        <f t="shared" si="5"/>
        <v>3.6363636363636362E-2</v>
      </c>
      <c r="S20" s="1">
        <f t="shared" si="6"/>
        <v>7.2727272727272724E-2</v>
      </c>
      <c r="T20" s="121">
        <f>Input!$F$31*TEs!C20+Input!$F$32*TEs!D20+Input!$F$33*TEs!N20+Input!$F$34*TEs!O20+Input!$F$35*TEs!P20+Input!$F$36*TEs!Q20+Input!$F$37*TEs!R20+Input!$F$38*TEs!S20+Input!$F$39*TEs!E20+Input!$F$40*TEs!G20</f>
        <v>49.74545454545455</v>
      </c>
    </row>
    <row r="21" spans="1:20" x14ac:dyDescent="0.25">
      <c r="A21" s="89" t="s">
        <v>496</v>
      </c>
      <c r="B21" s="112" t="s">
        <v>170</v>
      </c>
      <c r="C21" s="36">
        <v>25</v>
      </c>
      <c r="D21" s="40">
        <f>12*C21</f>
        <v>300</v>
      </c>
      <c r="E21" s="37">
        <v>0</v>
      </c>
      <c r="F21" s="41">
        <v>3</v>
      </c>
      <c r="G21" s="217">
        <v>0</v>
      </c>
      <c r="H21" s="50">
        <v>0.49090909090909091</v>
      </c>
      <c r="I21" s="50">
        <v>0.34545454545454546</v>
      </c>
      <c r="J21" s="50">
        <v>9.0909090909090912E-2</v>
      </c>
      <c r="K21" s="50">
        <v>1.8181818181818181E-2</v>
      </c>
      <c r="L21" s="50">
        <v>1.8181818181818181E-2</v>
      </c>
      <c r="M21" s="50">
        <v>3.6363636363636362E-2</v>
      </c>
      <c r="N21" s="1">
        <f t="shared" si="1"/>
        <v>1.4727272727272727</v>
      </c>
      <c r="O21" s="1">
        <f t="shared" si="2"/>
        <v>1.0363636363636364</v>
      </c>
      <c r="P21" s="1">
        <f t="shared" si="3"/>
        <v>0.27272727272727271</v>
      </c>
      <c r="Q21" s="1">
        <f t="shared" si="4"/>
        <v>5.4545454545454543E-2</v>
      </c>
      <c r="R21" s="1">
        <f t="shared" si="5"/>
        <v>5.4545454545454543E-2</v>
      </c>
      <c r="S21" s="1">
        <f t="shared" si="6"/>
        <v>0.10909090909090909</v>
      </c>
      <c r="T21" s="121">
        <f>Input!$F$31*TEs!C21+Input!$F$32*TEs!D21+Input!$F$33*TEs!N21+Input!$F$34*TEs!O21+Input!$F$35*TEs!P21+Input!$F$36*TEs!Q21+Input!$F$37*TEs!R21+Input!$F$38*TEs!S21+Input!$F$39*TEs!E21+Input!$F$40*TEs!G21</f>
        <v>50.618181818181824</v>
      </c>
    </row>
    <row r="22" spans="1:20" x14ac:dyDescent="0.25">
      <c r="A22" s="89" t="s">
        <v>497</v>
      </c>
      <c r="B22" s="112" t="s">
        <v>192</v>
      </c>
      <c r="C22" s="45">
        <v>30</v>
      </c>
      <c r="D22" s="37">
        <f>13.5*C22</f>
        <v>405</v>
      </c>
      <c r="E22" s="37">
        <v>0</v>
      </c>
      <c r="F22" s="38">
        <v>2</v>
      </c>
      <c r="G22" s="216">
        <v>0</v>
      </c>
      <c r="H22" s="50">
        <v>0.49090909090909091</v>
      </c>
      <c r="I22" s="50">
        <v>0.34545454545454546</v>
      </c>
      <c r="J22" s="50">
        <v>9.0909090909090912E-2</v>
      </c>
      <c r="K22" s="50">
        <v>1.8181818181818181E-2</v>
      </c>
      <c r="L22" s="50">
        <v>1.8181818181818181E-2</v>
      </c>
      <c r="M22" s="50">
        <v>3.6363636363636362E-2</v>
      </c>
      <c r="N22" s="1">
        <f t="shared" si="1"/>
        <v>0.98181818181818181</v>
      </c>
      <c r="O22" s="1">
        <f t="shared" si="2"/>
        <v>0.69090909090909092</v>
      </c>
      <c r="P22" s="1">
        <f t="shared" si="3"/>
        <v>0.18181818181818182</v>
      </c>
      <c r="Q22" s="1">
        <f t="shared" si="4"/>
        <v>3.6363636363636362E-2</v>
      </c>
      <c r="R22" s="1">
        <f t="shared" si="5"/>
        <v>3.6363636363636362E-2</v>
      </c>
      <c r="S22" s="1">
        <f t="shared" si="6"/>
        <v>7.2727272727272724E-2</v>
      </c>
      <c r="T22" s="121">
        <f>Input!$F$31*TEs!C22+Input!$F$32*TEs!D22+Input!$F$33*TEs!N22+Input!$F$34*TEs!O22+Input!$F$35*TEs!P22+Input!$F$36*TEs!Q22+Input!$F$37*TEs!R22+Input!$F$38*TEs!S22+Input!$F$39*TEs!E22+Input!$F$40*TEs!G22</f>
        <v>54.24545454545455</v>
      </c>
    </row>
    <row r="23" spans="1:20" x14ac:dyDescent="0.25">
      <c r="A23" s="89" t="s">
        <v>498</v>
      </c>
      <c r="B23" s="112" t="s">
        <v>168</v>
      </c>
      <c r="C23" s="45">
        <v>25</v>
      </c>
      <c r="D23" s="37">
        <f>9*C23</f>
        <v>225</v>
      </c>
      <c r="E23" s="37">
        <v>0</v>
      </c>
      <c r="F23" s="38">
        <v>2</v>
      </c>
      <c r="G23" s="216">
        <v>0</v>
      </c>
      <c r="H23" s="50">
        <v>0.49090909090909091</v>
      </c>
      <c r="I23" s="50">
        <v>0.34545454545454546</v>
      </c>
      <c r="J23" s="50">
        <v>9.0909090909090912E-2</v>
      </c>
      <c r="K23" s="50">
        <v>1.8181818181818181E-2</v>
      </c>
      <c r="L23" s="50">
        <v>1.8181818181818181E-2</v>
      </c>
      <c r="M23" s="50">
        <v>3.6363636363636362E-2</v>
      </c>
      <c r="N23" s="1">
        <f t="shared" si="1"/>
        <v>0.98181818181818181</v>
      </c>
      <c r="O23" s="1">
        <f t="shared" si="2"/>
        <v>0.69090909090909092</v>
      </c>
      <c r="P23" s="1">
        <f t="shared" si="3"/>
        <v>0.18181818181818182</v>
      </c>
      <c r="Q23" s="1">
        <f t="shared" si="4"/>
        <v>3.6363636363636362E-2</v>
      </c>
      <c r="R23" s="1">
        <f t="shared" si="5"/>
        <v>3.6363636363636362E-2</v>
      </c>
      <c r="S23" s="1">
        <f t="shared" si="6"/>
        <v>7.2727272727272724E-2</v>
      </c>
      <c r="T23" s="121">
        <f>Input!$F$31*TEs!C23+Input!$F$32*TEs!D23+Input!$F$33*TEs!N23+Input!$F$34*TEs!O23+Input!$F$35*TEs!P23+Input!$F$36*TEs!Q23+Input!$F$37*TEs!R23+Input!$F$38*TEs!S23+Input!$F$39*TEs!E23+Input!$F$40*TEs!G23</f>
        <v>36.24545454545455</v>
      </c>
    </row>
    <row r="24" spans="1:20" x14ac:dyDescent="0.25">
      <c r="A24" s="89" t="s">
        <v>499</v>
      </c>
      <c r="B24" s="112" t="s">
        <v>186</v>
      </c>
      <c r="C24" s="45">
        <v>25</v>
      </c>
      <c r="D24" s="37">
        <f>12.5*C24</f>
        <v>312.5</v>
      </c>
      <c r="E24" s="37">
        <v>0</v>
      </c>
      <c r="F24" s="38">
        <v>2</v>
      </c>
      <c r="G24" s="216">
        <v>0</v>
      </c>
      <c r="H24" s="50">
        <v>0.49090909090909091</v>
      </c>
      <c r="I24" s="50">
        <v>0.34545454545454546</v>
      </c>
      <c r="J24" s="50">
        <v>9.0909090909090912E-2</v>
      </c>
      <c r="K24" s="50">
        <v>1.8181818181818181E-2</v>
      </c>
      <c r="L24" s="50">
        <v>1.8181818181818181E-2</v>
      </c>
      <c r="M24" s="50">
        <v>3.6363636363636362E-2</v>
      </c>
      <c r="N24" s="1">
        <f t="shared" si="1"/>
        <v>0.98181818181818181</v>
      </c>
      <c r="O24" s="1">
        <f t="shared" si="2"/>
        <v>0.69090909090909092</v>
      </c>
      <c r="P24" s="1">
        <f t="shared" si="3"/>
        <v>0.18181818181818182</v>
      </c>
      <c r="Q24" s="1">
        <f t="shared" si="4"/>
        <v>3.6363636363636362E-2</v>
      </c>
      <c r="R24" s="1">
        <f t="shared" si="5"/>
        <v>3.6363636363636362E-2</v>
      </c>
      <c r="S24" s="1">
        <f t="shared" si="6"/>
        <v>7.2727272727272724E-2</v>
      </c>
      <c r="T24" s="121">
        <f>Input!$F$31*TEs!C24+Input!$F$32*TEs!D24+Input!$F$33*TEs!N24+Input!$F$34*TEs!O24+Input!$F$35*TEs!P24+Input!$F$36*TEs!Q24+Input!$F$37*TEs!R24+Input!$F$38*TEs!S24+Input!$F$39*TEs!E24+Input!$F$40*TEs!G24</f>
        <v>44.99545454545455</v>
      </c>
    </row>
    <row r="25" spans="1:20" x14ac:dyDescent="0.25">
      <c r="A25" s="89" t="s">
        <v>500</v>
      </c>
      <c r="B25" s="112" t="s">
        <v>136</v>
      </c>
      <c r="C25" s="45">
        <v>20</v>
      </c>
      <c r="D25" s="37">
        <f>9*C25</f>
        <v>180</v>
      </c>
      <c r="E25" s="37">
        <v>0</v>
      </c>
      <c r="F25" s="38">
        <v>3</v>
      </c>
      <c r="G25" s="216">
        <v>0</v>
      </c>
      <c r="H25" s="50">
        <v>0.49090909090909091</v>
      </c>
      <c r="I25" s="50">
        <v>0.34545454545454546</v>
      </c>
      <c r="J25" s="50">
        <v>9.0909090909090912E-2</v>
      </c>
      <c r="K25" s="50">
        <v>1.8181818181818181E-2</v>
      </c>
      <c r="L25" s="50">
        <v>1.8181818181818181E-2</v>
      </c>
      <c r="M25" s="50">
        <v>3.6363636363636362E-2</v>
      </c>
      <c r="N25" s="1">
        <f t="shared" si="1"/>
        <v>1.4727272727272727</v>
      </c>
      <c r="O25" s="1">
        <f t="shared" si="2"/>
        <v>1.0363636363636364</v>
      </c>
      <c r="P25" s="1">
        <f t="shared" si="3"/>
        <v>0.27272727272727271</v>
      </c>
      <c r="Q25" s="1">
        <f t="shared" si="4"/>
        <v>5.4545454545454543E-2</v>
      </c>
      <c r="R25" s="1">
        <f t="shared" si="5"/>
        <v>5.4545454545454543E-2</v>
      </c>
      <c r="S25" s="1">
        <f t="shared" si="6"/>
        <v>0.10909090909090909</v>
      </c>
      <c r="T25" s="121">
        <f>Input!$F$31*TEs!C25+Input!$F$32*TEs!D25+Input!$F$33*TEs!N25+Input!$F$34*TEs!O25+Input!$F$35*TEs!P25+Input!$F$36*TEs!Q25+Input!$F$37*TEs!R25+Input!$F$38*TEs!S25+Input!$F$39*TEs!E25+Input!$F$40*TEs!G25</f>
        <v>38.618181818181824</v>
      </c>
    </row>
    <row r="26" spans="1:20" x14ac:dyDescent="0.25">
      <c r="A26" s="89" t="s">
        <v>501</v>
      </c>
      <c r="B26" s="112" t="s">
        <v>162</v>
      </c>
      <c r="C26" s="45">
        <v>25</v>
      </c>
      <c r="D26" s="37">
        <f>11.8*C26</f>
        <v>295</v>
      </c>
      <c r="E26" s="37">
        <v>0</v>
      </c>
      <c r="F26" s="38">
        <v>1</v>
      </c>
      <c r="G26" s="216">
        <v>0</v>
      </c>
      <c r="H26" s="50">
        <v>0.49090909090909091</v>
      </c>
      <c r="I26" s="50">
        <v>0.34545454545454546</v>
      </c>
      <c r="J26" s="50">
        <v>9.0909090909090912E-2</v>
      </c>
      <c r="K26" s="50">
        <v>1.8181818181818181E-2</v>
      </c>
      <c r="L26" s="50">
        <v>1.8181818181818181E-2</v>
      </c>
      <c r="M26" s="50">
        <v>3.6363636363636362E-2</v>
      </c>
      <c r="N26" s="1">
        <f t="shared" si="1"/>
        <v>0.49090909090909091</v>
      </c>
      <c r="O26" s="1">
        <f t="shared" si="2"/>
        <v>0.34545454545454546</v>
      </c>
      <c r="P26" s="1">
        <f t="shared" si="3"/>
        <v>9.0909090909090912E-2</v>
      </c>
      <c r="Q26" s="1">
        <f t="shared" si="4"/>
        <v>1.8181818181818181E-2</v>
      </c>
      <c r="R26" s="1">
        <f t="shared" si="5"/>
        <v>1.8181818181818181E-2</v>
      </c>
      <c r="S26" s="1">
        <f t="shared" si="6"/>
        <v>3.6363636363636362E-2</v>
      </c>
      <c r="T26" s="121">
        <f>Input!$F$31*TEs!C26+Input!$F$32*TEs!D26+Input!$F$33*TEs!N26+Input!$F$34*TEs!O26+Input!$F$35*TEs!P26+Input!$F$36*TEs!Q26+Input!$F$37*TEs!R26+Input!$F$38*TEs!S26+Input!$F$39*TEs!E26+Input!$F$40*TEs!G26</f>
        <v>36.372727272727268</v>
      </c>
    </row>
    <row r="27" spans="1:20" x14ac:dyDescent="0.25">
      <c r="A27" s="89" t="s">
        <v>502</v>
      </c>
      <c r="B27" s="112" t="s">
        <v>178</v>
      </c>
      <c r="C27" s="45">
        <v>20</v>
      </c>
      <c r="D27" s="37">
        <f>11.6*C27</f>
        <v>232</v>
      </c>
      <c r="E27" s="37">
        <v>0</v>
      </c>
      <c r="F27" s="38">
        <v>2</v>
      </c>
      <c r="G27" s="216">
        <v>0</v>
      </c>
      <c r="H27" s="50">
        <v>0.49090909090909091</v>
      </c>
      <c r="I27" s="50">
        <v>0.34545454545454546</v>
      </c>
      <c r="J27" s="50">
        <v>9.0909090909090912E-2</v>
      </c>
      <c r="K27" s="50">
        <v>1.8181818181818181E-2</v>
      </c>
      <c r="L27" s="50">
        <v>1.8181818181818181E-2</v>
      </c>
      <c r="M27" s="50">
        <v>3.6363636363636362E-2</v>
      </c>
      <c r="N27" s="1">
        <f t="shared" si="1"/>
        <v>0.98181818181818181</v>
      </c>
      <c r="O27" s="1">
        <f t="shared" si="2"/>
        <v>0.69090909090909092</v>
      </c>
      <c r="P27" s="1">
        <f t="shared" si="3"/>
        <v>0.18181818181818182</v>
      </c>
      <c r="Q27" s="1">
        <f t="shared" si="4"/>
        <v>3.6363636363636362E-2</v>
      </c>
      <c r="R27" s="1">
        <f t="shared" si="5"/>
        <v>3.6363636363636362E-2</v>
      </c>
      <c r="S27" s="1">
        <f t="shared" si="6"/>
        <v>7.2727272727272724E-2</v>
      </c>
      <c r="T27" s="121">
        <f>Input!$F$31*TEs!C27+Input!$F$32*TEs!D27+Input!$F$33*TEs!N27+Input!$F$34*TEs!O27+Input!$F$35*TEs!P27+Input!$F$36*TEs!Q27+Input!$F$37*TEs!R27+Input!$F$38*TEs!S27+Input!$F$39*TEs!E27+Input!$F$40*TEs!G27</f>
        <v>36.945454545454552</v>
      </c>
    </row>
    <row r="28" spans="1:20" x14ac:dyDescent="0.25">
      <c r="A28" s="89" t="s">
        <v>503</v>
      </c>
      <c r="B28" s="112" t="s">
        <v>160</v>
      </c>
      <c r="C28" s="45">
        <v>22</v>
      </c>
      <c r="D28" s="37">
        <f>7*C28</f>
        <v>154</v>
      </c>
      <c r="E28" s="37">
        <v>0</v>
      </c>
      <c r="F28" s="38">
        <v>2</v>
      </c>
      <c r="G28" s="216">
        <v>1</v>
      </c>
      <c r="H28" s="50">
        <v>0.49090909090909091</v>
      </c>
      <c r="I28" s="50">
        <v>0.34545454545454546</v>
      </c>
      <c r="J28" s="50">
        <v>9.0909090909090912E-2</v>
      </c>
      <c r="K28" s="50">
        <v>1.8181818181818181E-2</v>
      </c>
      <c r="L28" s="50">
        <v>1.8181818181818181E-2</v>
      </c>
      <c r="M28" s="50">
        <v>3.6363636363636362E-2</v>
      </c>
      <c r="N28" s="1">
        <f t="shared" si="1"/>
        <v>0.98181818181818181</v>
      </c>
      <c r="O28" s="1">
        <f t="shared" si="2"/>
        <v>0.69090909090909092</v>
      </c>
      <c r="P28" s="1">
        <f t="shared" si="3"/>
        <v>0.18181818181818182</v>
      </c>
      <c r="Q28" s="1">
        <f t="shared" si="4"/>
        <v>3.6363636363636362E-2</v>
      </c>
      <c r="R28" s="1">
        <f t="shared" si="5"/>
        <v>3.6363636363636362E-2</v>
      </c>
      <c r="S28" s="1">
        <f t="shared" si="6"/>
        <v>7.2727272727272724E-2</v>
      </c>
      <c r="T28" s="121">
        <f>Input!$F$31*TEs!C28+Input!$F$32*TEs!D28+Input!$F$33*TEs!N28+Input!$F$34*TEs!O28+Input!$F$35*TEs!P28+Input!$F$36*TEs!Q28+Input!$F$37*TEs!R28+Input!$F$38*TEs!S28+Input!$F$39*TEs!E28+Input!$F$40*TEs!G28</f>
        <v>28.145454545454541</v>
      </c>
    </row>
    <row r="29" spans="1:20" x14ac:dyDescent="0.25">
      <c r="A29" s="89" t="s">
        <v>504</v>
      </c>
      <c r="B29" s="112" t="s">
        <v>154</v>
      </c>
      <c r="C29" s="45">
        <v>18</v>
      </c>
      <c r="D29" s="37">
        <f>11.8*C29</f>
        <v>212.4</v>
      </c>
      <c r="E29" s="37">
        <v>0</v>
      </c>
      <c r="F29" s="38">
        <v>2</v>
      </c>
      <c r="G29" s="216">
        <v>0</v>
      </c>
      <c r="H29" s="50">
        <v>0.49090909090909091</v>
      </c>
      <c r="I29" s="50">
        <v>0.34545454545454546</v>
      </c>
      <c r="J29" s="50">
        <v>9.0909090909090912E-2</v>
      </c>
      <c r="K29" s="50">
        <v>1.8181818181818181E-2</v>
      </c>
      <c r="L29" s="50">
        <v>1.8181818181818181E-2</v>
      </c>
      <c r="M29" s="50">
        <v>3.6363636363636362E-2</v>
      </c>
      <c r="N29" s="1">
        <f t="shared" si="1"/>
        <v>0.98181818181818181</v>
      </c>
      <c r="O29" s="1">
        <f t="shared" si="2"/>
        <v>0.69090909090909092</v>
      </c>
      <c r="P29" s="1">
        <f t="shared" si="3"/>
        <v>0.18181818181818182</v>
      </c>
      <c r="Q29" s="1">
        <f t="shared" si="4"/>
        <v>3.6363636363636362E-2</v>
      </c>
      <c r="R29" s="1">
        <f t="shared" si="5"/>
        <v>3.6363636363636362E-2</v>
      </c>
      <c r="S29" s="1">
        <f t="shared" si="6"/>
        <v>7.2727272727272724E-2</v>
      </c>
      <c r="T29" s="121">
        <f>Input!$F$31*TEs!C29+Input!$F$32*TEs!D29+Input!$F$33*TEs!N29+Input!$F$34*TEs!O29+Input!$F$35*TEs!P29+Input!$F$36*TEs!Q29+Input!$F$37*TEs!R29+Input!$F$38*TEs!S29+Input!$F$39*TEs!E29+Input!$F$40*TEs!G29</f>
        <v>34.985454545454552</v>
      </c>
    </row>
    <row r="30" spans="1:20" x14ac:dyDescent="0.25">
      <c r="A30" s="89" t="s">
        <v>505</v>
      </c>
      <c r="B30" s="112" t="s">
        <v>180</v>
      </c>
      <c r="C30" s="45">
        <v>20</v>
      </c>
      <c r="D30" s="37">
        <f>11.5*C30</f>
        <v>230</v>
      </c>
      <c r="E30" s="37">
        <v>0</v>
      </c>
      <c r="F30" s="38">
        <v>1</v>
      </c>
      <c r="G30" s="216">
        <v>0</v>
      </c>
      <c r="H30" s="50">
        <v>0.49090909090909091</v>
      </c>
      <c r="I30" s="50">
        <v>0.34545454545454546</v>
      </c>
      <c r="J30" s="50">
        <v>9.0909090909090912E-2</v>
      </c>
      <c r="K30" s="50">
        <v>1.8181818181818181E-2</v>
      </c>
      <c r="L30" s="50">
        <v>1.8181818181818181E-2</v>
      </c>
      <c r="M30" s="50">
        <v>3.6363636363636362E-2</v>
      </c>
      <c r="N30" s="1">
        <f t="shared" si="1"/>
        <v>0.49090909090909091</v>
      </c>
      <c r="O30" s="1">
        <f t="shared" si="2"/>
        <v>0.34545454545454546</v>
      </c>
      <c r="P30" s="1">
        <f t="shared" si="3"/>
        <v>9.0909090909090912E-2</v>
      </c>
      <c r="Q30" s="1">
        <f t="shared" si="4"/>
        <v>1.8181818181818181E-2</v>
      </c>
      <c r="R30" s="1">
        <f t="shared" si="5"/>
        <v>1.8181818181818181E-2</v>
      </c>
      <c r="S30" s="1">
        <f t="shared" si="6"/>
        <v>3.6363636363636362E-2</v>
      </c>
      <c r="T30" s="121">
        <f>Input!$F$31*TEs!C30+Input!$F$32*TEs!D30+Input!$F$33*TEs!N30+Input!$F$34*TEs!O30+Input!$F$35*TEs!P30+Input!$F$36*TEs!Q30+Input!$F$37*TEs!R30+Input!$F$38*TEs!S30+Input!$F$39*TEs!E30+Input!$F$40*TEs!G30</f>
        <v>29.872727272727275</v>
      </c>
    </row>
    <row r="31" spans="1:20" x14ac:dyDescent="0.25">
      <c r="A31" s="89" t="s">
        <v>506</v>
      </c>
      <c r="B31" s="112" t="s">
        <v>182</v>
      </c>
      <c r="C31" s="45">
        <v>15</v>
      </c>
      <c r="D31" s="37">
        <f>11*C31</f>
        <v>165</v>
      </c>
      <c r="E31" s="37">
        <v>0</v>
      </c>
      <c r="F31" s="38">
        <v>2</v>
      </c>
      <c r="G31" s="216">
        <v>0</v>
      </c>
      <c r="H31" s="50">
        <v>0.49090909090909091</v>
      </c>
      <c r="I31" s="50">
        <v>0.34545454545454546</v>
      </c>
      <c r="J31" s="50">
        <v>9.0909090909090912E-2</v>
      </c>
      <c r="K31" s="50">
        <v>1.8181818181818181E-2</v>
      </c>
      <c r="L31" s="50">
        <v>1.8181818181818181E-2</v>
      </c>
      <c r="M31" s="50">
        <v>3.6363636363636362E-2</v>
      </c>
      <c r="N31" s="1">
        <f t="shared" si="1"/>
        <v>0.98181818181818181</v>
      </c>
      <c r="O31" s="1">
        <f t="shared" si="2"/>
        <v>0.69090909090909092</v>
      </c>
      <c r="P31" s="1">
        <f t="shared" si="3"/>
        <v>0.18181818181818182</v>
      </c>
      <c r="Q31" s="1">
        <f t="shared" si="4"/>
        <v>3.6363636363636362E-2</v>
      </c>
      <c r="R31" s="1">
        <f t="shared" si="5"/>
        <v>3.6363636363636362E-2</v>
      </c>
      <c r="S31" s="1">
        <f t="shared" si="6"/>
        <v>7.2727272727272724E-2</v>
      </c>
      <c r="T31" s="121">
        <f>Input!$F$31*TEs!C31+Input!$F$32*TEs!D31+Input!$F$33*TEs!N31+Input!$F$34*TEs!O31+Input!$F$35*TEs!P31+Input!$F$36*TEs!Q31+Input!$F$37*TEs!R31+Input!$F$38*TEs!S31+Input!$F$39*TEs!E31+Input!$F$40*TEs!G31</f>
        <v>30.245454545454542</v>
      </c>
    </row>
    <row r="32" spans="1:20" x14ac:dyDescent="0.25">
      <c r="A32" s="89" t="s">
        <v>507</v>
      </c>
      <c r="B32" s="112" t="s">
        <v>168</v>
      </c>
      <c r="C32" s="45">
        <v>30</v>
      </c>
      <c r="D32" s="37">
        <f>10.4*C32</f>
        <v>312</v>
      </c>
      <c r="E32" s="37">
        <v>0</v>
      </c>
      <c r="F32" s="38">
        <v>2</v>
      </c>
      <c r="G32" s="216">
        <v>0</v>
      </c>
      <c r="H32" s="50">
        <v>0.49090909090909091</v>
      </c>
      <c r="I32" s="50">
        <v>0.34545454545454546</v>
      </c>
      <c r="J32" s="50">
        <v>9.0909090909090912E-2</v>
      </c>
      <c r="K32" s="50">
        <v>1.8181818181818181E-2</v>
      </c>
      <c r="L32" s="50">
        <v>1.8181818181818181E-2</v>
      </c>
      <c r="M32" s="50">
        <v>3.6363636363636362E-2</v>
      </c>
      <c r="N32" s="1">
        <f t="shared" si="1"/>
        <v>0.98181818181818181</v>
      </c>
      <c r="O32" s="1">
        <f t="shared" si="2"/>
        <v>0.69090909090909092</v>
      </c>
      <c r="P32" s="1">
        <f t="shared" si="3"/>
        <v>0.18181818181818182</v>
      </c>
      <c r="Q32" s="1">
        <f t="shared" si="4"/>
        <v>3.6363636363636362E-2</v>
      </c>
      <c r="R32" s="1">
        <f t="shared" si="5"/>
        <v>3.6363636363636362E-2</v>
      </c>
      <c r="S32" s="1">
        <f t="shared" si="6"/>
        <v>7.2727272727272724E-2</v>
      </c>
      <c r="T32" s="121">
        <f>Input!$F$31*TEs!C32+Input!$F$32*TEs!D32+Input!$F$33*TEs!N32+Input!$F$34*TEs!O32+Input!$F$35*TEs!P32+Input!$F$36*TEs!Q32+Input!$F$37*TEs!R32+Input!$F$38*TEs!S32+Input!$F$39*TEs!E32+Input!$F$40*TEs!G32</f>
        <v>44.945454545454552</v>
      </c>
    </row>
    <row r="33" spans="1:20" x14ac:dyDescent="0.25">
      <c r="A33" s="89" t="s">
        <v>508</v>
      </c>
      <c r="B33" s="112" t="s">
        <v>154</v>
      </c>
      <c r="C33" s="45">
        <v>20</v>
      </c>
      <c r="D33" s="37">
        <f>10.4*C33</f>
        <v>208</v>
      </c>
      <c r="E33" s="37">
        <v>0</v>
      </c>
      <c r="F33" s="38">
        <v>1</v>
      </c>
      <c r="G33" s="216">
        <v>0</v>
      </c>
      <c r="H33" s="50">
        <v>0.49090909090909091</v>
      </c>
      <c r="I33" s="50">
        <v>0.34545454545454546</v>
      </c>
      <c r="J33" s="50">
        <v>9.0909090909090912E-2</v>
      </c>
      <c r="K33" s="50">
        <v>1.8181818181818181E-2</v>
      </c>
      <c r="L33" s="50">
        <v>1.8181818181818181E-2</v>
      </c>
      <c r="M33" s="50">
        <v>3.6363636363636362E-2</v>
      </c>
      <c r="N33" s="1">
        <f t="shared" si="1"/>
        <v>0.49090909090909091</v>
      </c>
      <c r="O33" s="1">
        <f t="shared" si="2"/>
        <v>0.34545454545454546</v>
      </c>
      <c r="P33" s="1">
        <f t="shared" si="3"/>
        <v>9.0909090909090912E-2</v>
      </c>
      <c r="Q33" s="1">
        <f t="shared" si="4"/>
        <v>1.8181818181818181E-2</v>
      </c>
      <c r="R33" s="1">
        <f t="shared" si="5"/>
        <v>1.8181818181818181E-2</v>
      </c>
      <c r="S33" s="1">
        <f t="shared" si="6"/>
        <v>3.6363636363636362E-2</v>
      </c>
      <c r="T33" s="121">
        <f>Input!$F$31*TEs!C33+Input!$F$32*TEs!D33+Input!$F$33*TEs!N33+Input!$F$34*TEs!O33+Input!$F$35*TEs!P33+Input!$F$36*TEs!Q33+Input!$F$37*TEs!R33+Input!$F$38*TEs!S33+Input!$F$39*TEs!E33+Input!$F$40*TEs!G33</f>
        <v>27.672727272727276</v>
      </c>
    </row>
    <row r="34" spans="1:20" x14ac:dyDescent="0.25">
      <c r="A34" s="89" t="s">
        <v>509</v>
      </c>
      <c r="B34" s="112" t="s">
        <v>180</v>
      </c>
      <c r="C34" s="45">
        <v>25</v>
      </c>
      <c r="D34" s="37">
        <f>8*C34</f>
        <v>200</v>
      </c>
      <c r="E34" s="37">
        <v>0</v>
      </c>
      <c r="F34" s="38">
        <v>1</v>
      </c>
      <c r="G34" s="216">
        <v>0</v>
      </c>
      <c r="H34" s="50">
        <v>0.49090909090909091</v>
      </c>
      <c r="I34" s="50">
        <v>0.34545454545454546</v>
      </c>
      <c r="J34" s="50">
        <v>9.0909090909090912E-2</v>
      </c>
      <c r="K34" s="50">
        <v>1.8181818181818181E-2</v>
      </c>
      <c r="L34" s="50">
        <v>1.8181818181818181E-2</v>
      </c>
      <c r="M34" s="50">
        <v>3.6363636363636362E-2</v>
      </c>
      <c r="N34" s="1">
        <f t="shared" si="1"/>
        <v>0.49090909090909091</v>
      </c>
      <c r="O34" s="1">
        <f t="shared" si="2"/>
        <v>0.34545454545454546</v>
      </c>
      <c r="P34" s="1">
        <f t="shared" si="3"/>
        <v>9.0909090909090912E-2</v>
      </c>
      <c r="Q34" s="1">
        <f t="shared" si="4"/>
        <v>1.8181818181818181E-2</v>
      </c>
      <c r="R34" s="1">
        <f t="shared" si="5"/>
        <v>1.8181818181818181E-2</v>
      </c>
      <c r="S34" s="1">
        <f t="shared" si="6"/>
        <v>3.6363636363636362E-2</v>
      </c>
      <c r="T34" s="121">
        <f>Input!$F$31*TEs!C34+Input!$F$32*TEs!D34+Input!$F$33*TEs!N34+Input!$F$34*TEs!O34+Input!$F$35*TEs!P34+Input!$F$36*TEs!Q34+Input!$F$37*TEs!R34+Input!$F$38*TEs!S34+Input!$F$39*TEs!E34+Input!$F$40*TEs!G34</f>
        <v>26.872727272727275</v>
      </c>
    </row>
    <row r="35" spans="1:20" x14ac:dyDescent="0.25">
      <c r="A35" s="89" t="s">
        <v>510</v>
      </c>
      <c r="B35" s="112" t="s">
        <v>152</v>
      </c>
      <c r="C35" s="45">
        <v>25</v>
      </c>
      <c r="D35" s="37">
        <f>12.7*C35</f>
        <v>317.5</v>
      </c>
      <c r="E35" s="37">
        <v>0</v>
      </c>
      <c r="F35" s="38">
        <v>2</v>
      </c>
      <c r="G35" s="216">
        <v>0</v>
      </c>
      <c r="H35" s="50">
        <v>0.49090909090909091</v>
      </c>
      <c r="I35" s="50">
        <v>0.34545454545454546</v>
      </c>
      <c r="J35" s="50">
        <v>9.0909090909090912E-2</v>
      </c>
      <c r="K35" s="50">
        <v>1.8181818181818181E-2</v>
      </c>
      <c r="L35" s="50">
        <v>1.8181818181818181E-2</v>
      </c>
      <c r="M35" s="50">
        <v>3.6363636363636362E-2</v>
      </c>
      <c r="N35" s="1">
        <f t="shared" si="1"/>
        <v>0.98181818181818181</v>
      </c>
      <c r="O35" s="1">
        <f t="shared" si="2"/>
        <v>0.69090909090909092</v>
      </c>
      <c r="P35" s="1">
        <f t="shared" si="3"/>
        <v>0.18181818181818182</v>
      </c>
      <c r="Q35" s="1">
        <f t="shared" si="4"/>
        <v>3.6363636363636362E-2</v>
      </c>
      <c r="R35" s="1">
        <f t="shared" si="5"/>
        <v>3.6363636363636362E-2</v>
      </c>
      <c r="S35" s="1">
        <f t="shared" si="6"/>
        <v>7.2727272727272724E-2</v>
      </c>
      <c r="T35" s="121">
        <f>Input!$F$31*TEs!C35+Input!$F$32*TEs!D35+Input!$F$33*TEs!N35+Input!$F$34*TEs!O35+Input!$F$35*TEs!P35+Input!$F$36*TEs!Q35+Input!$F$37*TEs!R35+Input!$F$38*TEs!S35+Input!$F$39*TEs!E35+Input!$F$40*TEs!G35</f>
        <v>45.49545454545455</v>
      </c>
    </row>
    <row r="36" spans="1:20" x14ac:dyDescent="0.25">
      <c r="A36" s="89" t="s">
        <v>511</v>
      </c>
      <c r="B36" s="112" t="s">
        <v>158</v>
      </c>
      <c r="C36" s="45">
        <v>15</v>
      </c>
      <c r="D36" s="37">
        <f>12*C36</f>
        <v>180</v>
      </c>
      <c r="E36" s="37">
        <v>0</v>
      </c>
      <c r="F36" s="38">
        <v>1</v>
      </c>
      <c r="G36" s="216">
        <v>0</v>
      </c>
      <c r="H36" s="50">
        <v>0.49090909090909091</v>
      </c>
      <c r="I36" s="50">
        <v>0.34545454545454546</v>
      </c>
      <c r="J36" s="50">
        <v>9.0909090909090912E-2</v>
      </c>
      <c r="K36" s="50">
        <v>1.8181818181818181E-2</v>
      </c>
      <c r="L36" s="50">
        <v>1.8181818181818181E-2</v>
      </c>
      <c r="M36" s="50">
        <v>3.6363636363636362E-2</v>
      </c>
      <c r="N36" s="1">
        <f t="shared" si="1"/>
        <v>0.49090909090909091</v>
      </c>
      <c r="O36" s="1">
        <f t="shared" si="2"/>
        <v>0.34545454545454546</v>
      </c>
      <c r="P36" s="1">
        <f t="shared" si="3"/>
        <v>9.0909090909090912E-2</v>
      </c>
      <c r="Q36" s="1">
        <f t="shared" si="4"/>
        <v>1.8181818181818181E-2</v>
      </c>
      <c r="R36" s="1">
        <f t="shared" si="5"/>
        <v>1.8181818181818181E-2</v>
      </c>
      <c r="S36" s="1">
        <f t="shared" si="6"/>
        <v>3.6363636363636362E-2</v>
      </c>
      <c r="T36" s="121">
        <f>Input!$F$31*TEs!C36+Input!$F$32*TEs!D36+Input!$F$33*TEs!N36+Input!$F$34*TEs!O36+Input!$F$35*TEs!P36+Input!$F$36*TEs!Q36+Input!$F$37*TEs!R36+Input!$F$38*TEs!S36+Input!$F$39*TEs!E36+Input!$F$40*TEs!G36</f>
        <v>24.872727272727275</v>
      </c>
    </row>
    <row r="37" spans="1:20" x14ac:dyDescent="0.25">
      <c r="A37" s="89" t="s">
        <v>512</v>
      </c>
      <c r="B37" s="112" t="s">
        <v>174</v>
      </c>
      <c r="C37" s="45">
        <v>15</v>
      </c>
      <c r="D37" s="37">
        <f>12*C37</f>
        <v>180</v>
      </c>
      <c r="E37" s="37">
        <v>0</v>
      </c>
      <c r="F37" s="38">
        <v>1</v>
      </c>
      <c r="G37" s="216">
        <v>0</v>
      </c>
      <c r="H37" s="50">
        <v>0.49090909090909091</v>
      </c>
      <c r="I37" s="50">
        <v>0.34545454545454546</v>
      </c>
      <c r="J37" s="50">
        <v>9.0909090909090912E-2</v>
      </c>
      <c r="K37" s="50">
        <v>1.8181818181818181E-2</v>
      </c>
      <c r="L37" s="50">
        <v>1.8181818181818181E-2</v>
      </c>
      <c r="M37" s="50">
        <v>3.6363636363636362E-2</v>
      </c>
      <c r="N37" s="1">
        <f t="shared" si="1"/>
        <v>0.49090909090909091</v>
      </c>
      <c r="O37" s="1">
        <f t="shared" si="2"/>
        <v>0.34545454545454546</v>
      </c>
      <c r="P37" s="1">
        <f t="shared" si="3"/>
        <v>9.0909090909090912E-2</v>
      </c>
      <c r="Q37" s="1">
        <f t="shared" si="4"/>
        <v>1.8181818181818181E-2</v>
      </c>
      <c r="R37" s="1">
        <f t="shared" si="5"/>
        <v>1.8181818181818181E-2</v>
      </c>
      <c r="S37" s="1">
        <f t="shared" si="6"/>
        <v>3.6363636363636362E-2</v>
      </c>
      <c r="T37" s="121">
        <f>Input!$F$31*TEs!C37+Input!$F$32*TEs!D37+Input!$F$33*TEs!N37+Input!$F$34*TEs!O37+Input!$F$35*TEs!P37+Input!$F$36*TEs!Q37+Input!$F$37*TEs!R37+Input!$F$38*TEs!S37+Input!$F$39*TEs!E37+Input!$F$40*TEs!G37</f>
        <v>24.872727272727275</v>
      </c>
    </row>
    <row r="38" spans="1:20" x14ac:dyDescent="0.25">
      <c r="A38" s="89" t="s">
        <v>513</v>
      </c>
      <c r="B38" s="112" t="s">
        <v>190</v>
      </c>
      <c r="C38" s="45">
        <v>20</v>
      </c>
      <c r="D38" s="37">
        <f>8.7*C38</f>
        <v>174</v>
      </c>
      <c r="E38" s="37">
        <v>0</v>
      </c>
      <c r="F38" s="38">
        <v>1</v>
      </c>
      <c r="G38" s="216">
        <v>0</v>
      </c>
      <c r="H38" s="50">
        <v>0.49090909090909091</v>
      </c>
      <c r="I38" s="50">
        <v>0.34545454545454546</v>
      </c>
      <c r="J38" s="50">
        <v>9.0909090909090912E-2</v>
      </c>
      <c r="K38" s="50">
        <v>1.8181818181818181E-2</v>
      </c>
      <c r="L38" s="50">
        <v>1.8181818181818181E-2</v>
      </c>
      <c r="M38" s="50">
        <v>3.6363636363636362E-2</v>
      </c>
      <c r="N38" s="1">
        <f t="shared" si="1"/>
        <v>0.49090909090909091</v>
      </c>
      <c r="O38" s="1">
        <f t="shared" si="2"/>
        <v>0.34545454545454546</v>
      </c>
      <c r="P38" s="1">
        <f t="shared" si="3"/>
        <v>9.0909090909090912E-2</v>
      </c>
      <c r="Q38" s="1">
        <f t="shared" si="4"/>
        <v>1.8181818181818181E-2</v>
      </c>
      <c r="R38" s="1">
        <f t="shared" si="5"/>
        <v>1.8181818181818181E-2</v>
      </c>
      <c r="S38" s="1">
        <f t="shared" si="6"/>
        <v>3.6363636363636362E-2</v>
      </c>
      <c r="T38" s="121">
        <f>Input!$F$31*TEs!C38+Input!$F$32*TEs!D38+Input!$F$33*TEs!N38+Input!$F$34*TEs!O38+Input!$F$35*TEs!P38+Input!$F$36*TEs!Q38+Input!$F$37*TEs!R38+Input!$F$38*TEs!S38+Input!$F$39*TEs!E38+Input!$F$40*TEs!G38</f>
        <v>24.272727272727277</v>
      </c>
    </row>
    <row r="39" spans="1:20" x14ac:dyDescent="0.25">
      <c r="A39" s="89" t="s">
        <v>514</v>
      </c>
      <c r="B39" s="112" t="s">
        <v>186</v>
      </c>
      <c r="C39" s="45">
        <v>15</v>
      </c>
      <c r="D39" s="37">
        <f>11*C39</f>
        <v>165</v>
      </c>
      <c r="E39" s="37">
        <v>0</v>
      </c>
      <c r="F39" s="38">
        <v>1</v>
      </c>
      <c r="G39" s="216">
        <v>0</v>
      </c>
      <c r="H39" s="50">
        <v>0.49090909090909091</v>
      </c>
      <c r="I39" s="50">
        <v>0.34545454545454546</v>
      </c>
      <c r="J39" s="50">
        <v>9.0909090909090912E-2</v>
      </c>
      <c r="K39" s="50">
        <v>1.8181818181818181E-2</v>
      </c>
      <c r="L39" s="50">
        <v>1.8181818181818181E-2</v>
      </c>
      <c r="M39" s="50">
        <v>3.6363636363636362E-2</v>
      </c>
      <c r="N39" s="1">
        <f t="shared" si="1"/>
        <v>0.49090909090909091</v>
      </c>
      <c r="O39" s="1">
        <f t="shared" si="2"/>
        <v>0.34545454545454546</v>
      </c>
      <c r="P39" s="1">
        <f t="shared" si="3"/>
        <v>9.0909090909090912E-2</v>
      </c>
      <c r="Q39" s="1">
        <f t="shared" si="4"/>
        <v>1.8181818181818181E-2</v>
      </c>
      <c r="R39" s="1">
        <f t="shared" si="5"/>
        <v>1.8181818181818181E-2</v>
      </c>
      <c r="S39" s="1">
        <f t="shared" si="6"/>
        <v>3.6363636363636362E-2</v>
      </c>
      <c r="T39" s="121">
        <f>Input!$F$31*TEs!C39+Input!$F$32*TEs!D39+Input!$F$33*TEs!N39+Input!$F$34*TEs!O39+Input!$F$35*TEs!P39+Input!$F$36*TEs!Q39+Input!$F$37*TEs!R39+Input!$F$38*TEs!S39+Input!$F$39*TEs!E39+Input!$F$40*TEs!G39</f>
        <v>23.372727272727275</v>
      </c>
    </row>
    <row r="40" spans="1:20" x14ac:dyDescent="0.25">
      <c r="A40" s="89" t="s">
        <v>515</v>
      </c>
      <c r="B40" s="112" t="s">
        <v>136</v>
      </c>
      <c r="C40" s="45">
        <v>15</v>
      </c>
      <c r="D40" s="37">
        <f>11*C40</f>
        <v>165</v>
      </c>
      <c r="E40" s="37">
        <v>0</v>
      </c>
      <c r="F40" s="38">
        <v>1</v>
      </c>
      <c r="G40" s="216">
        <v>0</v>
      </c>
      <c r="H40" s="50">
        <v>0.49090909090909091</v>
      </c>
      <c r="I40" s="50">
        <v>0.34545454545454546</v>
      </c>
      <c r="J40" s="50">
        <v>9.0909090909090912E-2</v>
      </c>
      <c r="K40" s="50">
        <v>1.8181818181818181E-2</v>
      </c>
      <c r="L40" s="50">
        <v>1.8181818181818181E-2</v>
      </c>
      <c r="M40" s="50">
        <v>3.6363636363636362E-2</v>
      </c>
      <c r="N40" s="1">
        <f t="shared" si="1"/>
        <v>0.49090909090909091</v>
      </c>
      <c r="O40" s="1">
        <f t="shared" si="2"/>
        <v>0.34545454545454546</v>
      </c>
      <c r="P40" s="1">
        <f t="shared" si="3"/>
        <v>9.0909090909090912E-2</v>
      </c>
      <c r="Q40" s="1">
        <f t="shared" si="4"/>
        <v>1.8181818181818181E-2</v>
      </c>
      <c r="R40" s="1">
        <f t="shared" si="5"/>
        <v>1.8181818181818181E-2</v>
      </c>
      <c r="S40" s="1">
        <f t="shared" si="6"/>
        <v>3.6363636363636362E-2</v>
      </c>
      <c r="T40" s="121">
        <f>Input!$F$31*TEs!C40+Input!$F$32*TEs!D40+Input!$F$33*TEs!N40+Input!$F$34*TEs!O40+Input!$F$35*TEs!P40+Input!$F$36*TEs!Q40+Input!$F$37*TEs!R40+Input!$F$38*TEs!S40+Input!$F$39*TEs!E40+Input!$F$40*TEs!G40</f>
        <v>23.372727272727275</v>
      </c>
    </row>
    <row r="41" spans="1:20" x14ac:dyDescent="0.25">
      <c r="A41" s="89" t="s">
        <v>516</v>
      </c>
      <c r="B41" s="112" t="s">
        <v>144</v>
      </c>
      <c r="C41" s="45">
        <v>20</v>
      </c>
      <c r="D41" s="37">
        <f>8*C41</f>
        <v>160</v>
      </c>
      <c r="E41" s="37">
        <v>0</v>
      </c>
      <c r="F41" s="38">
        <v>1</v>
      </c>
      <c r="G41" s="216">
        <v>0</v>
      </c>
      <c r="H41" s="50">
        <v>0.49090909090909091</v>
      </c>
      <c r="I41" s="50">
        <v>0.34545454545454546</v>
      </c>
      <c r="J41" s="50">
        <v>9.0909090909090912E-2</v>
      </c>
      <c r="K41" s="50">
        <v>1.8181818181818181E-2</v>
      </c>
      <c r="L41" s="50">
        <v>1.8181818181818181E-2</v>
      </c>
      <c r="M41" s="50">
        <v>3.6363636363636362E-2</v>
      </c>
      <c r="N41" s="1">
        <f t="shared" si="1"/>
        <v>0.49090909090909091</v>
      </c>
      <c r="O41" s="1">
        <f t="shared" si="2"/>
        <v>0.34545454545454546</v>
      </c>
      <c r="P41" s="1">
        <f t="shared" si="3"/>
        <v>9.0909090909090912E-2</v>
      </c>
      <c r="Q41" s="1">
        <f t="shared" si="4"/>
        <v>1.8181818181818181E-2</v>
      </c>
      <c r="R41" s="1">
        <f t="shared" si="5"/>
        <v>1.8181818181818181E-2</v>
      </c>
      <c r="S41" s="1">
        <f t="shared" si="6"/>
        <v>3.6363636363636362E-2</v>
      </c>
      <c r="T41" s="121">
        <f>Input!$F$31*TEs!C41+Input!$F$32*TEs!D41+Input!$F$33*TEs!N41+Input!$F$34*TEs!O41+Input!$F$35*TEs!P41+Input!$F$36*TEs!Q41+Input!$F$37*TEs!R41+Input!$F$38*TEs!S41+Input!$F$39*TEs!E41+Input!$F$40*TEs!G41</f>
        <v>22.872727272727275</v>
      </c>
    </row>
    <row r="42" spans="1:20" x14ac:dyDescent="0.25">
      <c r="A42" s="89" t="s">
        <v>517</v>
      </c>
      <c r="B42" s="112" t="s">
        <v>162</v>
      </c>
      <c r="C42" s="45">
        <v>14</v>
      </c>
      <c r="D42" s="37">
        <f>10.5*C42</f>
        <v>147</v>
      </c>
      <c r="E42" s="37">
        <v>0</v>
      </c>
      <c r="F42" s="38">
        <v>1</v>
      </c>
      <c r="G42" s="216">
        <v>0</v>
      </c>
      <c r="H42" s="50">
        <v>0.49090909090909091</v>
      </c>
      <c r="I42" s="50">
        <v>0.34545454545454546</v>
      </c>
      <c r="J42" s="50">
        <v>9.0909090909090912E-2</v>
      </c>
      <c r="K42" s="50">
        <v>1.8181818181818181E-2</v>
      </c>
      <c r="L42" s="50">
        <v>1.8181818181818181E-2</v>
      </c>
      <c r="M42" s="50">
        <v>3.6363636363636362E-2</v>
      </c>
      <c r="N42" s="1">
        <f t="shared" si="1"/>
        <v>0.49090909090909091</v>
      </c>
      <c r="O42" s="1">
        <f t="shared" si="2"/>
        <v>0.34545454545454546</v>
      </c>
      <c r="P42" s="1">
        <f t="shared" si="3"/>
        <v>9.0909090909090912E-2</v>
      </c>
      <c r="Q42" s="1">
        <f t="shared" si="4"/>
        <v>1.8181818181818181E-2</v>
      </c>
      <c r="R42" s="1">
        <f t="shared" si="5"/>
        <v>1.8181818181818181E-2</v>
      </c>
      <c r="S42" s="1">
        <f t="shared" si="6"/>
        <v>3.6363636363636362E-2</v>
      </c>
      <c r="T42" s="121">
        <f>Input!$F$31*TEs!C42+Input!$F$32*TEs!D42+Input!$F$33*TEs!N42+Input!$F$34*TEs!O42+Input!$F$35*TEs!P42+Input!$F$36*TEs!Q42+Input!$F$37*TEs!R42+Input!$F$38*TEs!S42+Input!$F$39*TEs!E42+Input!$F$40*TEs!G42</f>
        <v>21.572727272727278</v>
      </c>
    </row>
    <row r="43" spans="1:20" x14ac:dyDescent="0.25">
      <c r="A43" s="89" t="s">
        <v>518</v>
      </c>
      <c r="B43" s="112" t="s">
        <v>174</v>
      </c>
      <c r="C43" s="45">
        <v>15</v>
      </c>
      <c r="D43" s="37">
        <f>9.4*C43</f>
        <v>141</v>
      </c>
      <c r="E43" s="37">
        <v>0</v>
      </c>
      <c r="F43" s="38">
        <v>1</v>
      </c>
      <c r="G43" s="216">
        <v>0</v>
      </c>
      <c r="H43" s="50">
        <v>0.49090909090909091</v>
      </c>
      <c r="I43" s="50">
        <v>0.34545454545454546</v>
      </c>
      <c r="J43" s="50">
        <v>9.0909090909090912E-2</v>
      </c>
      <c r="K43" s="50">
        <v>1.8181818181818181E-2</v>
      </c>
      <c r="L43" s="50">
        <v>1.8181818181818181E-2</v>
      </c>
      <c r="M43" s="50">
        <v>3.6363636363636362E-2</v>
      </c>
      <c r="N43" s="1">
        <f t="shared" si="1"/>
        <v>0.49090909090909091</v>
      </c>
      <c r="O43" s="1">
        <f t="shared" si="2"/>
        <v>0.34545454545454546</v>
      </c>
      <c r="P43" s="1">
        <f t="shared" si="3"/>
        <v>9.0909090909090912E-2</v>
      </c>
      <c r="Q43" s="1">
        <f t="shared" si="4"/>
        <v>1.8181818181818181E-2</v>
      </c>
      <c r="R43" s="1">
        <f t="shared" si="5"/>
        <v>1.8181818181818181E-2</v>
      </c>
      <c r="S43" s="1">
        <f t="shared" si="6"/>
        <v>3.6363636363636362E-2</v>
      </c>
      <c r="T43" s="121">
        <f>Input!$F$31*TEs!C43+Input!$F$32*TEs!D43+Input!$F$33*TEs!N43+Input!$F$34*TEs!O43+Input!$F$35*TEs!P43+Input!$F$36*TEs!Q43+Input!$F$37*TEs!R43+Input!$F$38*TEs!S43+Input!$F$39*TEs!E43+Input!$F$40*TEs!G43</f>
        <v>20.972727272727276</v>
      </c>
    </row>
    <row r="44" spans="1:20" x14ac:dyDescent="0.25">
      <c r="A44" s="89" t="s">
        <v>519</v>
      </c>
      <c r="B44" s="112" t="s">
        <v>146</v>
      </c>
      <c r="C44" s="45">
        <v>10</v>
      </c>
      <c r="D44" s="37">
        <f>12.5*C44</f>
        <v>125</v>
      </c>
      <c r="E44" s="37">
        <v>0</v>
      </c>
      <c r="F44" s="38">
        <v>0</v>
      </c>
      <c r="G44" s="216">
        <v>0</v>
      </c>
      <c r="H44" s="50">
        <v>0.49090909090909091</v>
      </c>
      <c r="I44" s="50">
        <v>0.34545454545454546</v>
      </c>
      <c r="J44" s="50">
        <v>9.0909090909090912E-2</v>
      </c>
      <c r="K44" s="50">
        <v>1.8181818181818181E-2</v>
      </c>
      <c r="L44" s="50">
        <v>1.8181818181818181E-2</v>
      </c>
      <c r="M44" s="50">
        <v>3.6363636363636362E-2</v>
      </c>
      <c r="N44" s="1">
        <f t="shared" si="1"/>
        <v>0</v>
      </c>
      <c r="O44" s="1">
        <f t="shared" si="2"/>
        <v>0</v>
      </c>
      <c r="P44" s="1">
        <f t="shared" si="3"/>
        <v>0</v>
      </c>
      <c r="Q44" s="1">
        <f t="shared" si="4"/>
        <v>0</v>
      </c>
      <c r="R44" s="1">
        <f t="shared" si="5"/>
        <v>0</v>
      </c>
      <c r="S44" s="1">
        <f t="shared" si="6"/>
        <v>0</v>
      </c>
      <c r="T44" s="121">
        <f>Input!$F$31*TEs!C44+Input!$F$32*TEs!D44+Input!$F$33*TEs!N44+Input!$F$34*TEs!O44+Input!$F$35*TEs!P44+Input!$F$36*TEs!Q44+Input!$F$37*TEs!R44+Input!$F$38*TEs!S44+Input!$F$39*TEs!E44+Input!$F$40*TEs!G44</f>
        <v>12.5</v>
      </c>
    </row>
    <row r="45" spans="1:20" x14ac:dyDescent="0.25">
      <c r="A45" s="89" t="s">
        <v>520</v>
      </c>
      <c r="B45" s="112" t="s">
        <v>182</v>
      </c>
      <c r="C45" s="45">
        <v>10</v>
      </c>
      <c r="D45" s="37">
        <f>12*C45</f>
        <v>120</v>
      </c>
      <c r="E45" s="37">
        <v>0</v>
      </c>
      <c r="F45" s="38">
        <v>1</v>
      </c>
      <c r="G45" s="216">
        <v>0</v>
      </c>
      <c r="H45" s="50">
        <v>0.49090909090909091</v>
      </c>
      <c r="I45" s="50">
        <v>0.34545454545454546</v>
      </c>
      <c r="J45" s="50">
        <v>9.0909090909090912E-2</v>
      </c>
      <c r="K45" s="50">
        <v>1.8181818181818181E-2</v>
      </c>
      <c r="L45" s="50">
        <v>1.8181818181818181E-2</v>
      </c>
      <c r="M45" s="50">
        <v>3.6363636363636362E-2</v>
      </c>
      <c r="N45" s="1">
        <f t="shared" si="1"/>
        <v>0.49090909090909091</v>
      </c>
      <c r="O45" s="1">
        <f t="shared" si="2"/>
        <v>0.34545454545454546</v>
      </c>
      <c r="P45" s="1">
        <f t="shared" si="3"/>
        <v>9.0909090909090912E-2</v>
      </c>
      <c r="Q45" s="1">
        <f t="shared" si="4"/>
        <v>1.8181818181818181E-2</v>
      </c>
      <c r="R45" s="1">
        <f t="shared" si="5"/>
        <v>1.8181818181818181E-2</v>
      </c>
      <c r="S45" s="1">
        <f t="shared" si="6"/>
        <v>3.6363636363636362E-2</v>
      </c>
      <c r="T45" s="121">
        <f>Input!$F$31*TEs!C45+Input!$F$32*TEs!D45+Input!$F$33*TEs!N45+Input!$F$34*TEs!O45+Input!$F$35*TEs!P45+Input!$F$36*TEs!Q45+Input!$F$37*TEs!R45+Input!$F$38*TEs!S45+Input!$F$39*TEs!E45+Input!$F$40*TEs!G45</f>
        <v>18.872727272727275</v>
      </c>
    </row>
    <row r="46" spans="1:20" x14ac:dyDescent="0.25">
      <c r="A46" s="89" t="s">
        <v>521</v>
      </c>
      <c r="B46" s="112" t="s">
        <v>140</v>
      </c>
      <c r="C46" s="45">
        <v>10</v>
      </c>
      <c r="D46" s="37">
        <f>11.8*C46</f>
        <v>118</v>
      </c>
      <c r="E46" s="37">
        <v>0</v>
      </c>
      <c r="F46" s="38">
        <v>1</v>
      </c>
      <c r="G46" s="216">
        <v>0</v>
      </c>
      <c r="H46" s="50">
        <v>0.49090909090909091</v>
      </c>
      <c r="I46" s="50">
        <v>0.34545454545454546</v>
      </c>
      <c r="J46" s="50">
        <v>9.0909090909090912E-2</v>
      </c>
      <c r="K46" s="50">
        <v>1.8181818181818181E-2</v>
      </c>
      <c r="L46" s="50">
        <v>1.8181818181818181E-2</v>
      </c>
      <c r="M46" s="50">
        <v>3.6363636363636362E-2</v>
      </c>
      <c r="N46" s="1">
        <f t="shared" si="1"/>
        <v>0.49090909090909091</v>
      </c>
      <c r="O46" s="1">
        <f t="shared" si="2"/>
        <v>0.34545454545454546</v>
      </c>
      <c r="P46" s="1">
        <f t="shared" si="3"/>
        <v>9.0909090909090912E-2</v>
      </c>
      <c r="Q46" s="1">
        <f t="shared" si="4"/>
        <v>1.8181818181818181E-2</v>
      </c>
      <c r="R46" s="1">
        <f t="shared" si="5"/>
        <v>1.8181818181818181E-2</v>
      </c>
      <c r="S46" s="1">
        <f t="shared" si="6"/>
        <v>3.6363636363636362E-2</v>
      </c>
      <c r="T46" s="121">
        <f>Input!$F$31*TEs!C46+Input!$F$32*TEs!D46+Input!$F$33*TEs!N46+Input!$F$34*TEs!O46+Input!$F$35*TEs!P46+Input!$F$36*TEs!Q46+Input!$F$37*TEs!R46+Input!$F$38*TEs!S46+Input!$F$39*TEs!E46+Input!$F$40*TEs!G46</f>
        <v>18.672727272727276</v>
      </c>
    </row>
    <row r="47" spans="1:20" x14ac:dyDescent="0.25">
      <c r="A47" s="89" t="s">
        <v>522</v>
      </c>
      <c r="B47" s="112" t="s">
        <v>178</v>
      </c>
      <c r="C47" s="45">
        <v>10</v>
      </c>
      <c r="D47" s="37">
        <f>11.4*C47</f>
        <v>114</v>
      </c>
      <c r="E47" s="37">
        <v>0</v>
      </c>
      <c r="F47" s="38">
        <v>1</v>
      </c>
      <c r="G47" s="216">
        <v>0</v>
      </c>
      <c r="H47" s="50">
        <v>0.49090909090909091</v>
      </c>
      <c r="I47" s="50">
        <v>0.34545454545454546</v>
      </c>
      <c r="J47" s="50">
        <v>9.0909090909090912E-2</v>
      </c>
      <c r="K47" s="50">
        <v>1.8181818181818181E-2</v>
      </c>
      <c r="L47" s="50">
        <v>1.8181818181818181E-2</v>
      </c>
      <c r="M47" s="50">
        <v>3.6363636363636362E-2</v>
      </c>
      <c r="N47" s="1">
        <f t="shared" si="1"/>
        <v>0.49090909090909091</v>
      </c>
      <c r="O47" s="1">
        <f t="shared" si="2"/>
        <v>0.34545454545454546</v>
      </c>
      <c r="P47" s="1">
        <f t="shared" si="3"/>
        <v>9.0909090909090912E-2</v>
      </c>
      <c r="Q47" s="1">
        <f t="shared" si="4"/>
        <v>1.8181818181818181E-2</v>
      </c>
      <c r="R47" s="1">
        <f t="shared" si="5"/>
        <v>1.8181818181818181E-2</v>
      </c>
      <c r="S47" s="1">
        <f t="shared" si="6"/>
        <v>3.6363636363636362E-2</v>
      </c>
      <c r="T47" s="121">
        <f>Input!$F$31*TEs!C47+Input!$F$32*TEs!D47+Input!$F$33*TEs!N47+Input!$F$34*TEs!O47+Input!$F$35*TEs!P47+Input!$F$36*TEs!Q47+Input!$F$37*TEs!R47+Input!$F$38*TEs!S47+Input!$F$39*TEs!E47+Input!$F$40*TEs!G47</f>
        <v>18.272727272727277</v>
      </c>
    </row>
    <row r="48" spans="1:20" x14ac:dyDescent="0.25">
      <c r="A48" s="89" t="s">
        <v>523</v>
      </c>
      <c r="B48" s="112" t="s">
        <v>196</v>
      </c>
      <c r="C48" s="45">
        <v>10</v>
      </c>
      <c r="D48" s="37">
        <f>11.4*C48</f>
        <v>114</v>
      </c>
      <c r="E48" s="37">
        <v>0</v>
      </c>
      <c r="F48" s="38">
        <v>1</v>
      </c>
      <c r="G48" s="216">
        <v>0</v>
      </c>
      <c r="H48" s="50">
        <v>0.49090909090909091</v>
      </c>
      <c r="I48" s="50">
        <v>0.34545454545454546</v>
      </c>
      <c r="J48" s="50">
        <v>9.0909090909090912E-2</v>
      </c>
      <c r="K48" s="50">
        <v>1.8181818181818181E-2</v>
      </c>
      <c r="L48" s="50">
        <v>1.8181818181818181E-2</v>
      </c>
      <c r="M48" s="50">
        <v>3.6363636363636362E-2</v>
      </c>
      <c r="N48" s="1">
        <f t="shared" si="1"/>
        <v>0.49090909090909091</v>
      </c>
      <c r="O48" s="1">
        <f t="shared" si="2"/>
        <v>0.34545454545454546</v>
      </c>
      <c r="P48" s="1">
        <f t="shared" si="3"/>
        <v>9.0909090909090912E-2</v>
      </c>
      <c r="Q48" s="1">
        <f t="shared" si="4"/>
        <v>1.8181818181818181E-2</v>
      </c>
      <c r="R48" s="1">
        <f t="shared" si="5"/>
        <v>1.8181818181818181E-2</v>
      </c>
      <c r="S48" s="1">
        <f t="shared" si="6"/>
        <v>3.6363636363636362E-2</v>
      </c>
      <c r="T48" s="121">
        <f>Input!$F$31*TEs!C48+Input!$F$32*TEs!D48+Input!$F$33*TEs!N48+Input!$F$34*TEs!O48+Input!$F$35*TEs!P48+Input!$F$36*TEs!Q48+Input!$F$37*TEs!R48+Input!$F$38*TEs!S48+Input!$F$39*TEs!E48+Input!$F$40*TEs!G48</f>
        <v>18.272727272727277</v>
      </c>
    </row>
    <row r="49" spans="1:20" x14ac:dyDescent="0.25">
      <c r="A49" s="89" t="s">
        <v>524</v>
      </c>
      <c r="B49" s="112" t="s">
        <v>170</v>
      </c>
      <c r="C49" s="36">
        <v>10</v>
      </c>
      <c r="D49" s="40">
        <f>11*C49</f>
        <v>110</v>
      </c>
      <c r="E49" s="37">
        <v>0</v>
      </c>
      <c r="F49" s="41">
        <v>1</v>
      </c>
      <c r="G49" s="217">
        <v>0</v>
      </c>
      <c r="H49" s="50">
        <v>0.49090909090909091</v>
      </c>
      <c r="I49" s="50">
        <v>0.34545454545454546</v>
      </c>
      <c r="J49" s="50">
        <v>9.0909090909090912E-2</v>
      </c>
      <c r="K49" s="50">
        <v>1.8181818181818181E-2</v>
      </c>
      <c r="L49" s="50">
        <v>1.8181818181818181E-2</v>
      </c>
      <c r="M49" s="50">
        <v>3.6363636363636362E-2</v>
      </c>
      <c r="N49" s="1">
        <f t="shared" si="1"/>
        <v>0.49090909090909091</v>
      </c>
      <c r="O49" s="1">
        <f t="shared" si="2"/>
        <v>0.34545454545454546</v>
      </c>
      <c r="P49" s="1">
        <f t="shared" si="3"/>
        <v>9.0909090909090912E-2</v>
      </c>
      <c r="Q49" s="1">
        <f t="shared" si="4"/>
        <v>1.8181818181818181E-2</v>
      </c>
      <c r="R49" s="1">
        <f t="shared" si="5"/>
        <v>1.8181818181818181E-2</v>
      </c>
      <c r="S49" s="1">
        <f t="shared" si="6"/>
        <v>3.6363636363636362E-2</v>
      </c>
      <c r="T49" s="121">
        <f>Input!$F$31*TEs!C49+Input!$F$32*TEs!D49+Input!$F$33*TEs!N49+Input!$F$34*TEs!O49+Input!$F$35*TEs!P49+Input!$F$36*TEs!Q49+Input!$F$37*TEs!R49+Input!$F$38*TEs!S49+Input!$F$39*TEs!E49+Input!$F$40*TEs!G49</f>
        <v>17.872727272727275</v>
      </c>
    </row>
    <row r="50" spans="1:20" x14ac:dyDescent="0.25">
      <c r="A50" s="89" t="s">
        <v>525</v>
      </c>
      <c r="B50" s="112" t="s">
        <v>172</v>
      </c>
      <c r="C50" s="45">
        <v>10</v>
      </c>
      <c r="D50" s="37">
        <f>9*C50</f>
        <v>90</v>
      </c>
      <c r="E50" s="37">
        <v>0</v>
      </c>
      <c r="F50" s="38">
        <v>1</v>
      </c>
      <c r="G50" s="216">
        <v>0</v>
      </c>
      <c r="H50" s="50">
        <v>0.49090909090909091</v>
      </c>
      <c r="I50" s="50">
        <v>0.34545454545454546</v>
      </c>
      <c r="J50" s="50">
        <v>9.0909090909090912E-2</v>
      </c>
      <c r="K50" s="50">
        <v>1.8181818181818181E-2</v>
      </c>
      <c r="L50" s="50">
        <v>1.8181818181818181E-2</v>
      </c>
      <c r="M50" s="50">
        <v>3.6363636363636362E-2</v>
      </c>
      <c r="N50" s="1">
        <f t="shared" si="1"/>
        <v>0.49090909090909091</v>
      </c>
      <c r="O50" s="1">
        <f t="shared" si="2"/>
        <v>0.34545454545454546</v>
      </c>
      <c r="P50" s="1">
        <f t="shared" si="3"/>
        <v>9.0909090909090912E-2</v>
      </c>
      <c r="Q50" s="1">
        <f t="shared" si="4"/>
        <v>1.8181818181818181E-2</v>
      </c>
      <c r="R50" s="1">
        <f t="shared" si="5"/>
        <v>1.8181818181818181E-2</v>
      </c>
      <c r="S50" s="1">
        <f t="shared" si="6"/>
        <v>3.6363636363636362E-2</v>
      </c>
      <c r="T50" s="121">
        <f>Input!$F$31*TEs!C50+Input!$F$32*TEs!D50+Input!$F$33*TEs!N50+Input!$F$34*TEs!O50+Input!$F$35*TEs!P50+Input!$F$36*TEs!Q50+Input!$F$37*TEs!R50+Input!$F$38*TEs!S50+Input!$F$39*TEs!E50+Input!$F$40*TEs!G50</f>
        <v>15.872727272727271</v>
      </c>
    </row>
    <row r="51" spans="1:20" x14ac:dyDescent="0.25">
      <c r="A51" s="89" t="s">
        <v>526</v>
      </c>
      <c r="B51" s="112" t="s">
        <v>176</v>
      </c>
      <c r="C51" s="45">
        <v>10</v>
      </c>
      <c r="D51" s="37">
        <f>12.9*C51</f>
        <v>129</v>
      </c>
      <c r="E51" s="37">
        <v>0</v>
      </c>
      <c r="F51" s="38">
        <v>0</v>
      </c>
      <c r="G51" s="216">
        <v>0</v>
      </c>
      <c r="H51" s="50">
        <v>0.49090909090909091</v>
      </c>
      <c r="I51" s="50">
        <v>0.34545454545454546</v>
      </c>
      <c r="J51" s="50">
        <v>9.0909090909090912E-2</v>
      </c>
      <c r="K51" s="50">
        <v>1.8181818181818181E-2</v>
      </c>
      <c r="L51" s="50">
        <v>1.8181818181818181E-2</v>
      </c>
      <c r="M51" s="50">
        <v>3.6363636363636362E-2</v>
      </c>
      <c r="N51" s="1">
        <f t="shared" si="1"/>
        <v>0</v>
      </c>
      <c r="O51" s="1">
        <f t="shared" si="2"/>
        <v>0</v>
      </c>
      <c r="P51" s="1">
        <f t="shared" si="3"/>
        <v>0</v>
      </c>
      <c r="Q51" s="1">
        <f t="shared" si="4"/>
        <v>0</v>
      </c>
      <c r="R51" s="1">
        <f t="shared" si="5"/>
        <v>0</v>
      </c>
      <c r="S51" s="1">
        <f t="shared" si="6"/>
        <v>0</v>
      </c>
      <c r="T51" s="121">
        <f>Input!$F$31*TEs!C51+Input!$F$32*TEs!D51+Input!$F$33*TEs!N51+Input!$F$34*TEs!O51+Input!$F$35*TEs!P51+Input!$F$36*TEs!Q51+Input!$F$37*TEs!R51+Input!$F$38*TEs!S51+Input!$F$39*TEs!E51+Input!$F$40*TEs!G51</f>
        <v>12.9</v>
      </c>
    </row>
    <row r="52" spans="1:20" x14ac:dyDescent="0.25">
      <c r="A52" s="89" t="s">
        <v>527</v>
      </c>
      <c r="B52" s="112" t="s">
        <v>144</v>
      </c>
      <c r="C52" s="45">
        <v>12</v>
      </c>
      <c r="D52" s="37">
        <f>10.3*C52</f>
        <v>123.60000000000001</v>
      </c>
      <c r="E52" s="37">
        <v>0</v>
      </c>
      <c r="F52" s="38">
        <v>0</v>
      </c>
      <c r="G52" s="216">
        <v>0</v>
      </c>
      <c r="H52" s="50">
        <v>0.49090909090909091</v>
      </c>
      <c r="I52" s="50">
        <v>0.34545454545454546</v>
      </c>
      <c r="J52" s="50">
        <v>9.0909090909090912E-2</v>
      </c>
      <c r="K52" s="50">
        <v>1.8181818181818181E-2</v>
      </c>
      <c r="L52" s="50">
        <v>1.8181818181818181E-2</v>
      </c>
      <c r="M52" s="50">
        <v>3.6363636363636362E-2</v>
      </c>
      <c r="N52" s="1">
        <f t="shared" si="1"/>
        <v>0</v>
      </c>
      <c r="O52" s="1">
        <f t="shared" si="2"/>
        <v>0</v>
      </c>
      <c r="P52" s="1">
        <f t="shared" si="3"/>
        <v>0</v>
      </c>
      <c r="Q52" s="1">
        <f t="shared" si="4"/>
        <v>0</v>
      </c>
      <c r="R52" s="1">
        <f t="shared" si="5"/>
        <v>0</v>
      </c>
      <c r="S52" s="1">
        <f t="shared" si="6"/>
        <v>0</v>
      </c>
      <c r="T52" s="121">
        <f>Input!$F$31*TEs!C52+Input!$F$32*TEs!D52+Input!$F$33*TEs!N52+Input!$F$34*TEs!O52+Input!$F$35*TEs!P52+Input!$F$36*TEs!Q52+Input!$F$37*TEs!R52+Input!$F$38*TEs!S52+Input!$F$39*TEs!E52+Input!$F$40*TEs!G52</f>
        <v>12.360000000000001</v>
      </c>
    </row>
    <row r="53" spans="1:20" x14ac:dyDescent="0.25">
      <c r="A53" s="89" t="s">
        <v>528</v>
      </c>
      <c r="B53" s="112" t="s">
        <v>194</v>
      </c>
      <c r="C53" s="45">
        <v>15</v>
      </c>
      <c r="D53" s="37">
        <f>8*C53</f>
        <v>120</v>
      </c>
      <c r="E53" s="37">
        <v>0</v>
      </c>
      <c r="F53" s="38">
        <v>0</v>
      </c>
      <c r="G53" s="216">
        <v>0</v>
      </c>
      <c r="H53" s="50">
        <v>0.49090909090909091</v>
      </c>
      <c r="I53" s="50">
        <v>0.34545454545454546</v>
      </c>
      <c r="J53" s="50">
        <v>9.0909090909090912E-2</v>
      </c>
      <c r="K53" s="50">
        <v>1.8181818181818181E-2</v>
      </c>
      <c r="L53" s="50">
        <v>1.8181818181818181E-2</v>
      </c>
      <c r="M53" s="50">
        <v>3.6363636363636362E-2</v>
      </c>
      <c r="N53" s="1">
        <f t="shared" si="1"/>
        <v>0</v>
      </c>
      <c r="O53" s="1">
        <f t="shared" si="2"/>
        <v>0</v>
      </c>
      <c r="P53" s="1">
        <f t="shared" si="3"/>
        <v>0</v>
      </c>
      <c r="Q53" s="1">
        <f t="shared" si="4"/>
        <v>0</v>
      </c>
      <c r="R53" s="1">
        <f t="shared" si="5"/>
        <v>0</v>
      </c>
      <c r="S53" s="1">
        <f t="shared" si="6"/>
        <v>0</v>
      </c>
      <c r="T53" s="121">
        <f>Input!$F$31*TEs!C53+Input!$F$32*TEs!D53+Input!$F$33*TEs!N53+Input!$F$34*TEs!O53+Input!$F$35*TEs!P53+Input!$F$36*TEs!Q53+Input!$F$37*TEs!R53+Input!$F$38*TEs!S53+Input!$F$39*TEs!E53+Input!$F$40*TEs!G53</f>
        <v>12</v>
      </c>
    </row>
    <row r="54" spans="1:20" x14ac:dyDescent="0.25">
      <c r="A54" s="89" t="s">
        <v>529</v>
      </c>
      <c r="B54" s="112" t="s">
        <v>190</v>
      </c>
      <c r="C54" s="45">
        <v>10</v>
      </c>
      <c r="D54" s="37">
        <f>12*C54</f>
        <v>120</v>
      </c>
      <c r="E54" s="37">
        <v>0</v>
      </c>
      <c r="F54" s="38">
        <v>0</v>
      </c>
      <c r="G54" s="216">
        <v>0</v>
      </c>
      <c r="H54" s="50">
        <v>0.49090909090909091</v>
      </c>
      <c r="I54" s="50">
        <v>0.34545454545454546</v>
      </c>
      <c r="J54" s="50">
        <v>9.0909090909090912E-2</v>
      </c>
      <c r="K54" s="50">
        <v>1.8181818181818181E-2</v>
      </c>
      <c r="L54" s="50">
        <v>1.8181818181818181E-2</v>
      </c>
      <c r="M54" s="50">
        <v>3.6363636363636362E-2</v>
      </c>
      <c r="N54" s="1">
        <f t="shared" si="1"/>
        <v>0</v>
      </c>
      <c r="O54" s="1">
        <f t="shared" si="2"/>
        <v>0</v>
      </c>
      <c r="P54" s="1">
        <f t="shared" si="3"/>
        <v>0</v>
      </c>
      <c r="Q54" s="1">
        <f t="shared" si="4"/>
        <v>0</v>
      </c>
      <c r="R54" s="1">
        <f t="shared" si="5"/>
        <v>0</v>
      </c>
      <c r="S54" s="1">
        <f t="shared" si="6"/>
        <v>0</v>
      </c>
      <c r="T54" s="121">
        <f>Input!$F$31*TEs!C54+Input!$F$32*TEs!D54+Input!$F$33*TEs!N54+Input!$F$34*TEs!O54+Input!$F$35*TEs!P54+Input!$F$36*TEs!Q54+Input!$F$37*TEs!R54+Input!$F$38*TEs!S54+Input!$F$39*TEs!E54+Input!$F$40*TEs!G54</f>
        <v>12</v>
      </c>
    </row>
    <row r="55" spans="1:20" x14ac:dyDescent="0.25">
      <c r="A55" s="89" t="s">
        <v>530</v>
      </c>
      <c r="B55" s="112" t="s">
        <v>192</v>
      </c>
      <c r="C55" s="45">
        <v>20</v>
      </c>
      <c r="D55" s="37">
        <f>9.7*C55</f>
        <v>194</v>
      </c>
      <c r="E55" s="37">
        <v>0</v>
      </c>
      <c r="F55" s="38">
        <v>1</v>
      </c>
      <c r="G55" s="216">
        <v>0</v>
      </c>
      <c r="H55" s="50">
        <v>0.49090909090909091</v>
      </c>
      <c r="I55" s="50">
        <v>0.34545454545454546</v>
      </c>
      <c r="J55" s="50">
        <v>9.0909090909090912E-2</v>
      </c>
      <c r="K55" s="50">
        <v>1.8181818181818181E-2</v>
      </c>
      <c r="L55" s="50">
        <v>1.8181818181818181E-2</v>
      </c>
      <c r="M55" s="50">
        <v>3.6363636363636362E-2</v>
      </c>
      <c r="N55" s="1">
        <f t="shared" si="1"/>
        <v>0.49090909090909091</v>
      </c>
      <c r="O55" s="1">
        <f t="shared" si="2"/>
        <v>0.34545454545454546</v>
      </c>
      <c r="P55" s="1">
        <f t="shared" si="3"/>
        <v>9.0909090909090912E-2</v>
      </c>
      <c r="Q55" s="1">
        <f t="shared" si="4"/>
        <v>1.8181818181818181E-2</v>
      </c>
      <c r="R55" s="1">
        <f t="shared" si="5"/>
        <v>1.8181818181818181E-2</v>
      </c>
      <c r="S55" s="1">
        <f t="shared" si="6"/>
        <v>3.6363636363636362E-2</v>
      </c>
      <c r="T55" s="121">
        <f>Input!$F$31*TEs!C55+Input!$F$32*TEs!D55+Input!$F$33*TEs!N55+Input!$F$34*TEs!O55+Input!$F$35*TEs!P55+Input!$F$36*TEs!Q55+Input!$F$37*TEs!R55+Input!$F$38*TEs!S55+Input!$F$39*TEs!E55+Input!$F$40*TEs!G55</f>
        <v>26.272727272727277</v>
      </c>
    </row>
    <row r="56" spans="1:20" x14ac:dyDescent="0.25">
      <c r="A56" s="89" t="s">
        <v>531</v>
      </c>
      <c r="B56" s="112" t="s">
        <v>142</v>
      </c>
      <c r="C56" s="45">
        <v>10</v>
      </c>
      <c r="D56" s="37">
        <f>11*C56</f>
        <v>110</v>
      </c>
      <c r="E56" s="37">
        <v>0</v>
      </c>
      <c r="F56" s="38">
        <v>0</v>
      </c>
      <c r="G56" s="216">
        <v>0</v>
      </c>
      <c r="H56" s="50">
        <v>0.49090909090909091</v>
      </c>
      <c r="I56" s="50">
        <v>0.34545454545454546</v>
      </c>
      <c r="J56" s="50">
        <v>9.0909090909090912E-2</v>
      </c>
      <c r="K56" s="50">
        <v>1.8181818181818181E-2</v>
      </c>
      <c r="L56" s="50">
        <v>1.8181818181818181E-2</v>
      </c>
      <c r="M56" s="50">
        <v>3.6363636363636362E-2</v>
      </c>
      <c r="N56" s="1">
        <f t="shared" si="1"/>
        <v>0</v>
      </c>
      <c r="O56" s="1">
        <f t="shared" si="2"/>
        <v>0</v>
      </c>
      <c r="P56" s="1">
        <f t="shared" si="3"/>
        <v>0</v>
      </c>
      <c r="Q56" s="1">
        <f t="shared" si="4"/>
        <v>0</v>
      </c>
      <c r="R56" s="1">
        <f t="shared" si="5"/>
        <v>0</v>
      </c>
      <c r="S56" s="1">
        <f t="shared" si="6"/>
        <v>0</v>
      </c>
      <c r="T56" s="121">
        <f>Input!$F$31*TEs!C56+Input!$F$32*TEs!D56+Input!$F$33*TEs!N56+Input!$F$34*TEs!O56+Input!$F$35*TEs!P56+Input!$F$36*TEs!Q56+Input!$F$37*TEs!R56+Input!$F$38*TEs!S56+Input!$F$39*TEs!E56+Input!$F$40*TEs!G56</f>
        <v>11</v>
      </c>
    </row>
    <row r="57" spans="1:20" x14ac:dyDescent="0.25">
      <c r="A57" s="89" t="s">
        <v>532</v>
      </c>
      <c r="B57" s="112" t="s">
        <v>150</v>
      </c>
      <c r="C57" s="45">
        <v>10</v>
      </c>
      <c r="D57" s="37">
        <f>11*C57</f>
        <v>110</v>
      </c>
      <c r="E57" s="37">
        <v>0</v>
      </c>
      <c r="F57" s="38">
        <v>0</v>
      </c>
      <c r="G57" s="216">
        <v>0</v>
      </c>
      <c r="H57" s="50">
        <v>0.49090909090909091</v>
      </c>
      <c r="I57" s="50">
        <v>0.34545454545454546</v>
      </c>
      <c r="J57" s="50">
        <v>9.0909090909090912E-2</v>
      </c>
      <c r="K57" s="50">
        <v>1.8181818181818181E-2</v>
      </c>
      <c r="L57" s="50">
        <v>1.8181818181818181E-2</v>
      </c>
      <c r="M57" s="50">
        <v>3.6363636363636362E-2</v>
      </c>
      <c r="N57" s="1">
        <f t="shared" si="1"/>
        <v>0</v>
      </c>
      <c r="O57" s="1">
        <f t="shared" si="2"/>
        <v>0</v>
      </c>
      <c r="P57" s="1">
        <f t="shared" si="3"/>
        <v>0</v>
      </c>
      <c r="Q57" s="1">
        <f t="shared" si="4"/>
        <v>0</v>
      </c>
      <c r="R57" s="1">
        <f t="shared" si="5"/>
        <v>0</v>
      </c>
      <c r="S57" s="1">
        <f t="shared" si="6"/>
        <v>0</v>
      </c>
      <c r="T57" s="121">
        <f>Input!$F$31*TEs!C57+Input!$F$32*TEs!D57+Input!$F$33*TEs!N57+Input!$F$34*TEs!O57+Input!$F$35*TEs!P57+Input!$F$36*TEs!Q57+Input!$F$37*TEs!R57+Input!$F$38*TEs!S57+Input!$F$39*TEs!E57+Input!$F$40*TEs!G57</f>
        <v>11</v>
      </c>
    </row>
    <row r="58" spans="1:20" x14ac:dyDescent="0.25">
      <c r="A58" s="89" t="s">
        <v>533</v>
      </c>
      <c r="B58" s="112" t="s">
        <v>160</v>
      </c>
      <c r="C58" s="45">
        <v>10</v>
      </c>
      <c r="D58" s="37">
        <f>10.9*C58</f>
        <v>109</v>
      </c>
      <c r="E58" s="37">
        <v>0</v>
      </c>
      <c r="F58" s="38">
        <v>0</v>
      </c>
      <c r="G58" s="216">
        <v>0</v>
      </c>
      <c r="H58" s="50">
        <v>0.49090909090909091</v>
      </c>
      <c r="I58" s="50">
        <v>0.34545454545454546</v>
      </c>
      <c r="J58" s="50">
        <v>9.0909090909090912E-2</v>
      </c>
      <c r="K58" s="50">
        <v>1.8181818181818181E-2</v>
      </c>
      <c r="L58" s="50">
        <v>1.8181818181818181E-2</v>
      </c>
      <c r="M58" s="50">
        <v>3.6363636363636362E-2</v>
      </c>
      <c r="N58" s="1">
        <f t="shared" si="1"/>
        <v>0</v>
      </c>
      <c r="O58" s="1">
        <f t="shared" si="2"/>
        <v>0</v>
      </c>
      <c r="P58" s="1">
        <f t="shared" si="3"/>
        <v>0</v>
      </c>
      <c r="Q58" s="1">
        <f t="shared" si="4"/>
        <v>0</v>
      </c>
      <c r="R58" s="1">
        <f t="shared" si="5"/>
        <v>0</v>
      </c>
      <c r="S58" s="1">
        <f t="shared" si="6"/>
        <v>0</v>
      </c>
      <c r="T58" s="121">
        <f>Input!$F$31*TEs!C58+Input!$F$32*TEs!D58+Input!$F$33*TEs!N58+Input!$F$34*TEs!O58+Input!$F$35*TEs!P58+Input!$F$36*TEs!Q58+Input!$F$37*TEs!R58+Input!$F$38*TEs!S58+Input!$F$39*TEs!E58+Input!$F$40*TEs!G58</f>
        <v>10.9</v>
      </c>
    </row>
    <row r="59" spans="1:20" x14ac:dyDescent="0.25">
      <c r="A59" s="89" t="s">
        <v>534</v>
      </c>
      <c r="B59" s="112" t="s">
        <v>158</v>
      </c>
      <c r="C59" s="45">
        <v>8</v>
      </c>
      <c r="D59" s="37">
        <f>11*C59</f>
        <v>88</v>
      </c>
      <c r="E59" s="37">
        <v>0</v>
      </c>
      <c r="F59" s="38">
        <v>0</v>
      </c>
      <c r="G59" s="216">
        <v>0</v>
      </c>
      <c r="H59" s="50">
        <v>0.49090909090909091</v>
      </c>
      <c r="I59" s="50">
        <v>0.34545454545454546</v>
      </c>
      <c r="J59" s="50">
        <v>9.0909090909090912E-2</v>
      </c>
      <c r="K59" s="50">
        <v>1.8181818181818181E-2</v>
      </c>
      <c r="L59" s="50">
        <v>1.8181818181818181E-2</v>
      </c>
      <c r="M59" s="50">
        <v>3.6363636363636362E-2</v>
      </c>
      <c r="N59" s="1">
        <f t="shared" si="1"/>
        <v>0</v>
      </c>
      <c r="O59" s="1">
        <f t="shared" si="2"/>
        <v>0</v>
      </c>
      <c r="P59" s="1">
        <f t="shared" si="3"/>
        <v>0</v>
      </c>
      <c r="Q59" s="1">
        <f t="shared" si="4"/>
        <v>0</v>
      </c>
      <c r="R59" s="1">
        <f t="shared" si="5"/>
        <v>0</v>
      </c>
      <c r="S59" s="1">
        <f t="shared" si="6"/>
        <v>0</v>
      </c>
      <c r="T59" s="121">
        <f>Input!$F$31*TEs!C59+Input!$F$32*TEs!D59+Input!$F$33*TEs!N59+Input!$F$34*TEs!O59+Input!$F$35*TEs!P59+Input!$F$36*TEs!Q59+Input!$F$37*TEs!R59+Input!$F$38*TEs!S59+Input!$F$39*TEs!E59+Input!$F$40*TEs!G59</f>
        <v>8.8000000000000007</v>
      </c>
    </row>
    <row r="60" spans="1:20" x14ac:dyDescent="0.25">
      <c r="A60" s="89" t="s">
        <v>535</v>
      </c>
      <c r="B60" s="112" t="s">
        <v>164</v>
      </c>
      <c r="C60" s="45">
        <v>10</v>
      </c>
      <c r="D60" s="37">
        <f>8*C60</f>
        <v>80</v>
      </c>
      <c r="E60" s="37">
        <v>0</v>
      </c>
      <c r="F60" s="38">
        <v>0</v>
      </c>
      <c r="G60" s="216">
        <v>0</v>
      </c>
      <c r="H60" s="50">
        <v>0.49090909090909091</v>
      </c>
      <c r="I60" s="50">
        <v>0.34545454545454546</v>
      </c>
      <c r="J60" s="50">
        <v>9.0909090909090912E-2</v>
      </c>
      <c r="K60" s="50">
        <v>1.8181818181818181E-2</v>
      </c>
      <c r="L60" s="50">
        <v>1.8181818181818181E-2</v>
      </c>
      <c r="M60" s="50">
        <v>3.6363636363636362E-2</v>
      </c>
      <c r="N60" s="1">
        <f t="shared" si="1"/>
        <v>0</v>
      </c>
      <c r="O60" s="1">
        <f t="shared" si="2"/>
        <v>0</v>
      </c>
      <c r="P60" s="1">
        <f t="shared" si="3"/>
        <v>0</v>
      </c>
      <c r="Q60" s="1">
        <f t="shared" si="4"/>
        <v>0</v>
      </c>
      <c r="R60" s="1">
        <f t="shared" si="5"/>
        <v>0</v>
      </c>
      <c r="S60" s="1">
        <f t="shared" si="6"/>
        <v>0</v>
      </c>
      <c r="T60" s="121">
        <f>Input!$F$31*TEs!C60+Input!$F$32*TEs!D60+Input!$F$33*TEs!N60+Input!$F$34*TEs!O60+Input!$F$35*TEs!P60+Input!$F$36*TEs!Q60+Input!$F$37*TEs!R60+Input!$F$38*TEs!S60+Input!$F$39*TEs!E60+Input!$F$40*TEs!G60</f>
        <v>8</v>
      </c>
    </row>
    <row r="61" spans="1:20" x14ac:dyDescent="0.25">
      <c r="A61" s="89" t="s">
        <v>536</v>
      </c>
      <c r="B61" s="112" t="s">
        <v>194</v>
      </c>
      <c r="C61" s="45">
        <v>10</v>
      </c>
      <c r="D61" s="37">
        <f>7.9*C61</f>
        <v>79</v>
      </c>
      <c r="E61" s="37">
        <v>0</v>
      </c>
      <c r="F61" s="38">
        <v>0</v>
      </c>
      <c r="G61" s="216">
        <v>0</v>
      </c>
      <c r="H61" s="50">
        <v>0.49090909090909091</v>
      </c>
      <c r="I61" s="50">
        <v>0.34545454545454546</v>
      </c>
      <c r="J61" s="50">
        <v>9.0909090909090912E-2</v>
      </c>
      <c r="K61" s="50">
        <v>1.8181818181818181E-2</v>
      </c>
      <c r="L61" s="50">
        <v>1.8181818181818181E-2</v>
      </c>
      <c r="M61" s="50">
        <v>3.6363636363636362E-2</v>
      </c>
      <c r="N61" s="1">
        <f t="shared" si="1"/>
        <v>0</v>
      </c>
      <c r="O61" s="1">
        <f t="shared" si="2"/>
        <v>0</v>
      </c>
      <c r="P61" s="1">
        <f t="shared" si="3"/>
        <v>0</v>
      </c>
      <c r="Q61" s="1">
        <f t="shared" si="4"/>
        <v>0</v>
      </c>
      <c r="R61" s="1">
        <f t="shared" si="5"/>
        <v>0</v>
      </c>
      <c r="S61" s="1">
        <f t="shared" si="6"/>
        <v>0</v>
      </c>
      <c r="T61" s="121">
        <f>Input!$F$31*TEs!C61+Input!$F$32*TEs!D61+Input!$F$33*TEs!N61+Input!$F$34*TEs!O61+Input!$F$35*TEs!P61+Input!$F$36*TEs!Q61+Input!$F$37*TEs!R61+Input!$F$38*TEs!S61+Input!$F$39*TEs!E61+Input!$F$40*TEs!G61</f>
        <v>7.9</v>
      </c>
    </row>
    <row r="62" spans="1:20" x14ac:dyDescent="0.25">
      <c r="A62" s="89" t="s">
        <v>537</v>
      </c>
      <c r="B62" s="112" t="s">
        <v>156</v>
      </c>
      <c r="C62" s="45">
        <v>8</v>
      </c>
      <c r="D62" s="37">
        <f>9*C62</f>
        <v>72</v>
      </c>
      <c r="E62" s="37">
        <v>0</v>
      </c>
      <c r="F62" s="38">
        <v>0</v>
      </c>
      <c r="G62" s="216">
        <v>0</v>
      </c>
      <c r="H62" s="50">
        <v>0.49090909090909091</v>
      </c>
      <c r="I62" s="50">
        <v>0.34545454545454546</v>
      </c>
      <c r="J62" s="50">
        <v>9.0909090909090912E-2</v>
      </c>
      <c r="K62" s="50">
        <v>1.8181818181818181E-2</v>
      </c>
      <c r="L62" s="50">
        <v>1.8181818181818181E-2</v>
      </c>
      <c r="M62" s="50">
        <v>3.6363636363636362E-2</v>
      </c>
      <c r="N62" s="1">
        <f t="shared" si="1"/>
        <v>0</v>
      </c>
      <c r="O62" s="1">
        <f t="shared" si="2"/>
        <v>0</v>
      </c>
      <c r="P62" s="1">
        <f t="shared" si="3"/>
        <v>0</v>
      </c>
      <c r="Q62" s="1">
        <f t="shared" si="4"/>
        <v>0</v>
      </c>
      <c r="R62" s="1">
        <f t="shared" si="5"/>
        <v>0</v>
      </c>
      <c r="S62" s="1">
        <f t="shared" si="6"/>
        <v>0</v>
      </c>
      <c r="T62" s="121">
        <f>Input!$F$31*TEs!C62+Input!$F$32*TEs!D62+Input!$F$33*TEs!N62+Input!$F$34*TEs!O62+Input!$F$35*TEs!P62+Input!$F$36*TEs!Q62+Input!$F$37*TEs!R62+Input!$F$38*TEs!S62+Input!$F$39*TEs!E62+Input!$F$40*TEs!G62</f>
        <v>7.2</v>
      </c>
    </row>
    <row r="63" spans="1:20" x14ac:dyDescent="0.25">
      <c r="A63" s="89" t="s">
        <v>538</v>
      </c>
      <c r="B63" s="112" t="s">
        <v>166</v>
      </c>
      <c r="C63" s="45">
        <v>10</v>
      </c>
      <c r="D63" s="37">
        <f>6.7*C63</f>
        <v>67</v>
      </c>
      <c r="E63" s="37">
        <v>0</v>
      </c>
      <c r="F63" s="38">
        <v>0</v>
      </c>
      <c r="G63" s="216">
        <v>0</v>
      </c>
      <c r="H63" s="50">
        <v>0.49090909090909091</v>
      </c>
      <c r="I63" s="50">
        <v>0.34545454545454546</v>
      </c>
      <c r="J63" s="50">
        <v>9.0909090909090912E-2</v>
      </c>
      <c r="K63" s="50">
        <v>1.8181818181818181E-2</v>
      </c>
      <c r="L63" s="50">
        <v>1.8181818181818181E-2</v>
      </c>
      <c r="M63" s="50">
        <v>3.6363636363636362E-2</v>
      </c>
      <c r="N63" s="1">
        <f t="shared" si="1"/>
        <v>0</v>
      </c>
      <c r="O63" s="1">
        <f t="shared" si="2"/>
        <v>0</v>
      </c>
      <c r="P63" s="1">
        <f t="shared" si="3"/>
        <v>0</v>
      </c>
      <c r="Q63" s="1">
        <f t="shared" si="4"/>
        <v>0</v>
      </c>
      <c r="R63" s="1">
        <f t="shared" si="5"/>
        <v>0</v>
      </c>
      <c r="S63" s="1">
        <f t="shared" si="6"/>
        <v>0</v>
      </c>
      <c r="T63" s="121">
        <f>Input!$F$31*TEs!C63+Input!$F$32*TEs!D63+Input!$F$33*TEs!N63+Input!$F$34*TEs!O63+Input!$F$35*TEs!P63+Input!$F$36*TEs!Q63+Input!$F$37*TEs!R63+Input!$F$38*TEs!S63+Input!$F$39*TEs!E63+Input!$F$40*TEs!G63</f>
        <v>6.7</v>
      </c>
    </row>
    <row r="64" spans="1:20" x14ac:dyDescent="0.25">
      <c r="A64" s="89" t="s">
        <v>539</v>
      </c>
      <c r="B64" s="112" t="s">
        <v>148</v>
      </c>
      <c r="C64" s="45">
        <v>5</v>
      </c>
      <c r="D64" s="37">
        <f>11*C64</f>
        <v>55</v>
      </c>
      <c r="E64" s="37">
        <v>0</v>
      </c>
      <c r="F64" s="38">
        <v>0</v>
      </c>
      <c r="G64" s="216">
        <v>0</v>
      </c>
      <c r="H64" s="50">
        <v>0.49090909090909091</v>
      </c>
      <c r="I64" s="50">
        <v>0.34545454545454546</v>
      </c>
      <c r="J64" s="50">
        <v>9.0909090909090912E-2</v>
      </c>
      <c r="K64" s="50">
        <v>1.8181818181818181E-2</v>
      </c>
      <c r="L64" s="50">
        <v>1.8181818181818181E-2</v>
      </c>
      <c r="M64" s="50">
        <v>3.6363636363636362E-2</v>
      </c>
      <c r="N64" s="1">
        <f t="shared" si="1"/>
        <v>0</v>
      </c>
      <c r="O64" s="1">
        <f t="shared" si="2"/>
        <v>0</v>
      </c>
      <c r="P64" s="1">
        <f t="shared" si="3"/>
        <v>0</v>
      </c>
      <c r="Q64" s="1">
        <f t="shared" si="4"/>
        <v>0</v>
      </c>
      <c r="R64" s="1">
        <f t="shared" si="5"/>
        <v>0</v>
      </c>
      <c r="S64" s="1">
        <f t="shared" si="6"/>
        <v>0</v>
      </c>
      <c r="T64" s="121">
        <f>Input!$F$31*TEs!C64+Input!$F$32*TEs!D64+Input!$F$33*TEs!N64+Input!$F$34*TEs!O64+Input!$F$35*TEs!P64+Input!$F$36*TEs!Q64+Input!$F$37*TEs!R64+Input!$F$38*TEs!S64+Input!$F$39*TEs!E64+Input!$F$40*TEs!G64</f>
        <v>5.5</v>
      </c>
    </row>
    <row r="65" spans="1:20" x14ac:dyDescent="0.25">
      <c r="A65" s="91" t="s">
        <v>540</v>
      </c>
      <c r="B65" s="114" t="s">
        <v>188</v>
      </c>
      <c r="C65" s="46">
        <v>6</v>
      </c>
      <c r="D65" s="43">
        <f>7.5*C65</f>
        <v>45</v>
      </c>
      <c r="E65" s="43">
        <v>0</v>
      </c>
      <c r="F65" s="44">
        <v>0</v>
      </c>
      <c r="G65" s="218">
        <v>0</v>
      </c>
      <c r="H65" s="50">
        <v>0.49090909090909091</v>
      </c>
      <c r="I65" s="50">
        <v>0.34545454545454546</v>
      </c>
      <c r="J65" s="50">
        <v>9.0909090909090912E-2</v>
      </c>
      <c r="K65" s="50">
        <v>1.8181818181818181E-2</v>
      </c>
      <c r="L65" s="50">
        <v>1.8181818181818181E-2</v>
      </c>
      <c r="M65" s="50">
        <v>3.6363636363636362E-2</v>
      </c>
      <c r="N65" s="1">
        <f t="shared" si="1"/>
        <v>0</v>
      </c>
      <c r="O65" s="1">
        <f t="shared" si="2"/>
        <v>0</v>
      </c>
      <c r="P65" s="1">
        <f t="shared" si="3"/>
        <v>0</v>
      </c>
      <c r="Q65" s="1">
        <f t="shared" si="4"/>
        <v>0</v>
      </c>
      <c r="R65" s="1">
        <f t="shared" si="5"/>
        <v>0</v>
      </c>
      <c r="S65" s="1">
        <f t="shared" si="6"/>
        <v>0</v>
      </c>
      <c r="T65" s="99">
        <f>Input!$F$31*TEs!C65+Input!$F$32*TEs!D65+Input!$F$33*TEs!N65+Input!$F$34*TEs!O65+Input!$F$35*TEs!P65+Input!$F$36*TEs!Q65+Input!$F$37*TEs!R65+Input!$F$38*TEs!S65+Input!$F$39*TEs!E65+Input!$F$40*TEs!G65</f>
        <v>4.5</v>
      </c>
    </row>
  </sheetData>
  <printOptions horizontalCentered="1"/>
  <pageMargins left="0.25" right="0.25" top="0.5" bottom="0.5" header="0.5" footer="0.5"/>
  <pageSetup scale="90" fitToHeight="10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C54" sqref="C54"/>
    </sheetView>
  </sheetViews>
  <sheetFormatPr defaultRowHeight="13.2" x14ac:dyDescent="0.25"/>
  <cols>
    <col min="1" max="1" width="22.5546875" customWidth="1"/>
    <col min="2" max="2" width="6.109375" style="6" customWidth="1"/>
    <col min="3" max="3" width="7" style="6" customWidth="1"/>
    <col min="4" max="4" width="6.44140625" style="6" customWidth="1"/>
    <col min="5" max="5" width="7.5546875" style="6" customWidth="1"/>
    <col min="6" max="6" width="7" style="6" customWidth="1"/>
    <col min="7" max="7" width="9.109375" style="155" hidden="1" customWidth="1"/>
    <col min="8" max="8" width="2.44140625" style="155" hidden="1" customWidth="1"/>
    <col min="9" max="14" width="9.109375" style="155" hidden="1" customWidth="1"/>
    <col min="15" max="22" width="9.109375" style="6" hidden="1" customWidth="1"/>
    <col min="23" max="23" width="9.109375" style="161" customWidth="1"/>
  </cols>
  <sheetData>
    <row r="1" spans="1:23" x14ac:dyDescent="0.25">
      <c r="A1" s="140"/>
      <c r="B1" s="141"/>
      <c r="C1" s="205" t="s">
        <v>541</v>
      </c>
      <c r="D1" s="207"/>
      <c r="E1" s="205" t="s">
        <v>542</v>
      </c>
      <c r="F1" s="207"/>
      <c r="G1" s="205" t="s">
        <v>543</v>
      </c>
      <c r="H1" s="206"/>
      <c r="I1" s="206"/>
      <c r="J1" s="207"/>
      <c r="K1" s="205" t="s">
        <v>544</v>
      </c>
      <c r="L1" s="206"/>
      <c r="M1" s="206"/>
      <c r="N1" s="207"/>
      <c r="O1" s="205" t="s">
        <v>545</v>
      </c>
      <c r="P1" s="206"/>
      <c r="Q1" s="206"/>
      <c r="R1" s="207"/>
      <c r="S1" s="205" t="s">
        <v>546</v>
      </c>
      <c r="T1" s="206"/>
      <c r="U1" s="206"/>
      <c r="V1" s="207"/>
      <c r="W1" s="162" t="s">
        <v>119</v>
      </c>
    </row>
    <row r="2" spans="1:23" x14ac:dyDescent="0.25">
      <c r="A2" s="143" t="s">
        <v>79</v>
      </c>
      <c r="B2" s="144" t="s">
        <v>3</v>
      </c>
      <c r="C2" s="145" t="s">
        <v>547</v>
      </c>
      <c r="D2" s="144" t="s">
        <v>548</v>
      </c>
      <c r="E2" s="145" t="s">
        <v>547</v>
      </c>
      <c r="F2" s="144" t="s">
        <v>548</v>
      </c>
      <c r="G2" s="145" t="s">
        <v>549</v>
      </c>
      <c r="H2" s="157" t="s">
        <v>131</v>
      </c>
      <c r="I2" s="157" t="s">
        <v>132</v>
      </c>
      <c r="J2" s="144" t="s">
        <v>133</v>
      </c>
      <c r="K2" s="145" t="s">
        <v>549</v>
      </c>
      <c r="L2" s="157" t="s">
        <v>131</v>
      </c>
      <c r="M2" s="157" t="s">
        <v>132</v>
      </c>
      <c r="N2" s="144" t="s">
        <v>133</v>
      </c>
      <c r="O2" s="145" t="s">
        <v>549</v>
      </c>
      <c r="P2" s="157" t="s">
        <v>131</v>
      </c>
      <c r="Q2" s="157" t="s">
        <v>132</v>
      </c>
      <c r="R2" s="144" t="s">
        <v>133</v>
      </c>
      <c r="S2" s="145" t="s">
        <v>549</v>
      </c>
      <c r="T2" s="157" t="s">
        <v>131</v>
      </c>
      <c r="U2" s="157" t="s">
        <v>132</v>
      </c>
      <c r="V2" s="144" t="s">
        <v>133</v>
      </c>
      <c r="W2" s="163" t="s">
        <v>134</v>
      </c>
    </row>
    <row r="3" spans="1:23" x14ac:dyDescent="0.25">
      <c r="A3" s="140" t="s">
        <v>550</v>
      </c>
      <c r="B3" s="141" t="s">
        <v>138</v>
      </c>
      <c r="C3" s="148">
        <v>32</v>
      </c>
      <c r="D3" s="149">
        <v>5</v>
      </c>
      <c r="E3" s="148">
        <v>41</v>
      </c>
      <c r="F3" s="149">
        <v>1</v>
      </c>
      <c r="G3" s="102">
        <v>0.36071428571428571</v>
      </c>
      <c r="H3" s="103">
        <v>0.29285714285714287</v>
      </c>
      <c r="I3" s="103">
        <v>0.30714285714285716</v>
      </c>
      <c r="J3" s="104">
        <v>3.9285714285714285E-2</v>
      </c>
      <c r="K3" s="102">
        <v>8.771929824561403E-2</v>
      </c>
      <c r="L3" s="103">
        <v>0.24561403508771928</v>
      </c>
      <c r="M3" s="103">
        <v>0.52631578947368418</v>
      </c>
      <c r="N3" s="104">
        <v>0.14035087719298245</v>
      </c>
      <c r="O3" s="102">
        <f>G3*$C3</f>
        <v>11.542857142857143</v>
      </c>
      <c r="P3" s="103">
        <f>H3*$C3</f>
        <v>9.3714285714285719</v>
      </c>
      <c r="Q3" s="103">
        <f>I3*$C3</f>
        <v>9.8285714285714292</v>
      </c>
      <c r="R3" s="104">
        <f>J3*$C3</f>
        <v>1.2571428571428571</v>
      </c>
      <c r="S3" s="102">
        <f>K3*$D3</f>
        <v>0.43859649122807015</v>
      </c>
      <c r="T3" s="103">
        <f>L3*$D3</f>
        <v>1.2280701754385963</v>
      </c>
      <c r="U3" s="103">
        <f>M3*$D3</f>
        <v>2.6315789473684208</v>
      </c>
      <c r="V3" s="104">
        <f>N3*$D3</f>
        <v>0.70175438596491224</v>
      </c>
      <c r="W3" s="162">
        <f>Input!$I$13*PKs!O3+Input!$I$14*PKs!L3+Input!$I$15*PKs!Q3+Input!$I$16*PKs!R3+Input!$I$17*PKs!S3+Input!$I$18*PKs!T3+Input!$I$19*PKs!U3+Input!$I$20*PKs!V3+Input!$I$21*PKs!E3+Input!$I$22*PKs!F3</f>
        <v>133.29674185463659</v>
      </c>
    </row>
    <row r="4" spans="1:23" x14ac:dyDescent="0.25">
      <c r="A4" s="146" t="s">
        <v>551</v>
      </c>
      <c r="B4" s="147" t="s">
        <v>154</v>
      </c>
      <c r="C4" s="150">
        <v>29</v>
      </c>
      <c r="D4" s="151">
        <v>6</v>
      </c>
      <c r="E4" s="150">
        <v>40</v>
      </c>
      <c r="F4" s="151">
        <v>0</v>
      </c>
      <c r="G4" s="105">
        <v>0.36071428571428571</v>
      </c>
      <c r="H4" s="106">
        <v>0.29285714285714287</v>
      </c>
      <c r="I4" s="106">
        <v>0.30714285714285716</v>
      </c>
      <c r="J4" s="107">
        <v>3.9285714285714285E-2</v>
      </c>
      <c r="K4" s="105">
        <v>8.771929824561403E-2</v>
      </c>
      <c r="L4" s="106">
        <v>0.24561403508771928</v>
      </c>
      <c r="M4" s="106">
        <v>0.52631578947368418</v>
      </c>
      <c r="N4" s="107">
        <v>0.14035087719298245</v>
      </c>
      <c r="O4" s="105">
        <f t="shared" ref="O4:O33" si="0">G4*$C4</f>
        <v>10.460714285714285</v>
      </c>
      <c r="P4" s="106">
        <f t="shared" ref="P4:P33" si="1">H4*$C4</f>
        <v>8.4928571428571438</v>
      </c>
      <c r="Q4" s="106">
        <f t="shared" ref="Q4:Q33" si="2">I4*$C4</f>
        <v>8.9071428571428584</v>
      </c>
      <c r="R4" s="107">
        <f t="shared" ref="R4:R33" si="3">J4*$C4</f>
        <v>1.1392857142857142</v>
      </c>
      <c r="S4" s="105">
        <f t="shared" ref="S4:S33" si="4">K4*$D4</f>
        <v>0.52631578947368418</v>
      </c>
      <c r="T4" s="106">
        <f t="shared" ref="T4:T33" si="5">L4*$D4</f>
        <v>1.4736842105263157</v>
      </c>
      <c r="U4" s="106">
        <f t="shared" ref="U4:U33" si="6">M4*$D4</f>
        <v>3.1578947368421053</v>
      </c>
      <c r="V4" s="107">
        <f t="shared" ref="V4:V33" si="7">N4*$D4</f>
        <v>0.84210526315789469</v>
      </c>
      <c r="W4" s="164">
        <f>Input!$I$13*PKs!O4+Input!$I$14*PKs!L4+Input!$I$15*PKs!Q4+Input!$I$16*PKs!R4+Input!$I$17*PKs!S4+Input!$I$18*PKs!T4+Input!$I$19*PKs!U4+Input!$I$20*PKs!V4+Input!$I$21*PKs!E4+Input!$I$22*PKs!F4</f>
        <v>123.73602756892231</v>
      </c>
    </row>
    <row r="5" spans="1:23" x14ac:dyDescent="0.25">
      <c r="A5" s="146" t="s">
        <v>552</v>
      </c>
      <c r="B5" s="147" t="s">
        <v>150</v>
      </c>
      <c r="C5" s="150">
        <v>27</v>
      </c>
      <c r="D5" s="151">
        <v>8</v>
      </c>
      <c r="E5" s="150">
        <v>43</v>
      </c>
      <c r="F5" s="151">
        <v>1</v>
      </c>
      <c r="G5" s="105">
        <v>0.30396475770925108</v>
      </c>
      <c r="H5" s="106">
        <v>0.29515418502202645</v>
      </c>
      <c r="I5" s="106">
        <v>0.29955947136563876</v>
      </c>
      <c r="J5" s="107">
        <v>0.1013215859030837</v>
      </c>
      <c r="K5" s="105">
        <v>3.9215686274509803E-2</v>
      </c>
      <c r="L5" s="106">
        <v>0.15686274509803921</v>
      </c>
      <c r="M5" s="106">
        <v>0.39215686274509803</v>
      </c>
      <c r="N5" s="107">
        <v>0.41176470588235292</v>
      </c>
      <c r="O5" s="105">
        <f t="shared" si="0"/>
        <v>8.2070484581497798</v>
      </c>
      <c r="P5" s="106">
        <f t="shared" si="1"/>
        <v>7.9691629955947141</v>
      </c>
      <c r="Q5" s="106">
        <f t="shared" si="2"/>
        <v>8.0881057268722465</v>
      </c>
      <c r="R5" s="107">
        <f t="shared" si="3"/>
        <v>2.7356828193832596</v>
      </c>
      <c r="S5" s="105">
        <f t="shared" si="4"/>
        <v>0.31372549019607843</v>
      </c>
      <c r="T5" s="106">
        <f t="shared" si="5"/>
        <v>1.2549019607843137</v>
      </c>
      <c r="U5" s="106">
        <f t="shared" si="6"/>
        <v>3.1372549019607843</v>
      </c>
      <c r="V5" s="107">
        <f t="shared" si="7"/>
        <v>3.2941176470588234</v>
      </c>
      <c r="W5" s="164">
        <f>Input!$I$13*PKs!O5+Input!$I$14*PKs!L5+Input!$I$15*PKs!Q5+Input!$I$16*PKs!R5+Input!$I$17*PKs!S5+Input!$I$18*PKs!T5+Input!$I$19*PKs!U5+Input!$I$20*PKs!V5+Input!$I$21*PKs!E5+Input!$I$22*PKs!F5</f>
        <v>125.10322190550228</v>
      </c>
    </row>
    <row r="6" spans="1:23" x14ac:dyDescent="0.25">
      <c r="A6" s="146" t="s">
        <v>553</v>
      </c>
      <c r="B6" s="147" t="s">
        <v>162</v>
      </c>
      <c r="C6" s="150">
        <v>28</v>
      </c>
      <c r="D6" s="151">
        <v>7</v>
      </c>
      <c r="E6" s="150">
        <v>39</v>
      </c>
      <c r="F6" s="151">
        <v>0</v>
      </c>
      <c r="G6" s="105">
        <v>0.30396475770925108</v>
      </c>
      <c r="H6" s="106">
        <v>0.29515418502202645</v>
      </c>
      <c r="I6" s="106">
        <v>0.29955947136563876</v>
      </c>
      <c r="J6" s="107">
        <v>0.1013215859030837</v>
      </c>
      <c r="K6" s="105">
        <v>3.9215686274509803E-2</v>
      </c>
      <c r="L6" s="106">
        <v>0.15686274509803921</v>
      </c>
      <c r="M6" s="106">
        <v>0.39215686274509803</v>
      </c>
      <c r="N6" s="107">
        <v>0.41176470588235292</v>
      </c>
      <c r="O6" s="105">
        <f t="shared" si="0"/>
        <v>8.5110132158590304</v>
      </c>
      <c r="P6" s="106">
        <f t="shared" si="1"/>
        <v>8.2643171806167413</v>
      </c>
      <c r="Q6" s="106">
        <f t="shared" si="2"/>
        <v>8.3876651982378849</v>
      </c>
      <c r="R6" s="107">
        <f t="shared" si="3"/>
        <v>2.8370044052863435</v>
      </c>
      <c r="S6" s="105">
        <f t="shared" si="4"/>
        <v>0.27450980392156865</v>
      </c>
      <c r="T6" s="106">
        <f t="shared" si="5"/>
        <v>1.0980392156862746</v>
      </c>
      <c r="U6" s="106">
        <f t="shared" si="6"/>
        <v>2.7450980392156863</v>
      </c>
      <c r="V6" s="107">
        <f t="shared" si="7"/>
        <v>2.8823529411764706</v>
      </c>
      <c r="W6" s="164">
        <f>Input!$I$13*PKs!O6+Input!$I$14*PKs!L6+Input!$I$15*PKs!Q6+Input!$I$16*PKs!R6+Input!$I$17*PKs!S6+Input!$I$18*PKs!T6+Input!$I$19*PKs!U6+Input!$I$20*PKs!V6+Input!$I$21*PKs!E6+Input!$I$22*PKs!F6</f>
        <v>124.12084305087673</v>
      </c>
    </row>
    <row r="7" spans="1:23" x14ac:dyDescent="0.25">
      <c r="A7" s="146" t="s">
        <v>554</v>
      </c>
      <c r="B7" s="147" t="s">
        <v>136</v>
      </c>
      <c r="C7" s="150">
        <v>25</v>
      </c>
      <c r="D7" s="151">
        <v>7</v>
      </c>
      <c r="E7" s="150">
        <v>48</v>
      </c>
      <c r="F7" s="151">
        <v>2</v>
      </c>
      <c r="G7" s="105">
        <v>0.36071428571428571</v>
      </c>
      <c r="H7" s="106">
        <v>0.29285714285714287</v>
      </c>
      <c r="I7" s="106">
        <v>0.30714285714285716</v>
      </c>
      <c r="J7" s="107">
        <v>3.9285714285714285E-2</v>
      </c>
      <c r="K7" s="105">
        <v>8.771929824561403E-2</v>
      </c>
      <c r="L7" s="106">
        <v>0.24561403508771928</v>
      </c>
      <c r="M7" s="106">
        <v>0.52631578947368418</v>
      </c>
      <c r="N7" s="107">
        <v>0.14035087719298245</v>
      </c>
      <c r="O7" s="105">
        <f t="shared" si="0"/>
        <v>9.0178571428571423</v>
      </c>
      <c r="P7" s="106">
        <f t="shared" si="1"/>
        <v>7.3214285714285721</v>
      </c>
      <c r="Q7" s="106">
        <f t="shared" si="2"/>
        <v>7.6785714285714288</v>
      </c>
      <c r="R7" s="107">
        <f t="shared" si="3"/>
        <v>0.9821428571428571</v>
      </c>
      <c r="S7" s="105">
        <f t="shared" si="4"/>
        <v>0.61403508771929816</v>
      </c>
      <c r="T7" s="106">
        <f t="shared" si="5"/>
        <v>1.7192982456140351</v>
      </c>
      <c r="U7" s="106">
        <f t="shared" si="6"/>
        <v>3.6842105263157894</v>
      </c>
      <c r="V7" s="107">
        <f t="shared" si="7"/>
        <v>0.98245614035087714</v>
      </c>
      <c r="W7" s="164">
        <f>Input!$I$13*PKs!O7+Input!$I$14*PKs!L7+Input!$I$15*PKs!Q7+Input!$I$16*PKs!R7+Input!$I$17*PKs!S7+Input!$I$18*PKs!T7+Input!$I$19*PKs!U7+Input!$I$20*PKs!V7+Input!$I$21*PKs!E7+Input!$I$22*PKs!F7</f>
        <v>120.32174185463658</v>
      </c>
    </row>
    <row r="8" spans="1:23" x14ac:dyDescent="0.25">
      <c r="A8" s="146" t="s">
        <v>555</v>
      </c>
      <c r="B8" s="147" t="s">
        <v>164</v>
      </c>
      <c r="C8" s="150">
        <v>29</v>
      </c>
      <c r="D8" s="151">
        <v>6</v>
      </c>
      <c r="E8" s="150">
        <v>33</v>
      </c>
      <c r="F8" s="151">
        <v>0</v>
      </c>
      <c r="G8" s="105">
        <v>0.30396475770925108</v>
      </c>
      <c r="H8" s="106">
        <v>0.29515418502202645</v>
      </c>
      <c r="I8" s="106">
        <v>0.29955947136563876</v>
      </c>
      <c r="J8" s="107">
        <v>0.1013215859030837</v>
      </c>
      <c r="K8" s="105">
        <v>3.9215686274509803E-2</v>
      </c>
      <c r="L8" s="106">
        <v>0.15686274509803921</v>
      </c>
      <c r="M8" s="106">
        <v>0.39215686274509803</v>
      </c>
      <c r="N8" s="107">
        <v>0.41176470588235292</v>
      </c>
      <c r="O8" s="105">
        <f t="shared" si="0"/>
        <v>8.8149779735682809</v>
      </c>
      <c r="P8" s="106">
        <f t="shared" si="1"/>
        <v>8.5594713656387675</v>
      </c>
      <c r="Q8" s="106">
        <f t="shared" si="2"/>
        <v>8.6872246696035234</v>
      </c>
      <c r="R8" s="107">
        <f t="shared" si="3"/>
        <v>2.9383259911894273</v>
      </c>
      <c r="S8" s="105">
        <f t="shared" si="4"/>
        <v>0.23529411764705882</v>
      </c>
      <c r="T8" s="106">
        <f t="shared" si="5"/>
        <v>0.94117647058823528</v>
      </c>
      <c r="U8" s="106">
        <f t="shared" si="6"/>
        <v>2.3529411764705883</v>
      </c>
      <c r="V8" s="107">
        <f t="shared" si="7"/>
        <v>2.4705882352941178</v>
      </c>
      <c r="W8" s="164">
        <f>Input!$I$13*PKs!O8+Input!$I$14*PKs!L8+Input!$I$15*PKs!Q8+Input!$I$16*PKs!R8+Input!$I$17*PKs!S8+Input!$I$18*PKs!T8+Input!$I$19*PKs!U8+Input!$I$20*PKs!V8+Input!$I$21*PKs!E8+Input!$I$22*PKs!F8</f>
        <v>121.13846419625118</v>
      </c>
    </row>
    <row r="9" spans="1:23" x14ac:dyDescent="0.25">
      <c r="A9" s="146" t="s">
        <v>556</v>
      </c>
      <c r="B9" s="147" t="s">
        <v>176</v>
      </c>
      <c r="C9" s="150">
        <v>28</v>
      </c>
      <c r="D9" s="151">
        <v>8</v>
      </c>
      <c r="E9" s="150">
        <v>35</v>
      </c>
      <c r="F9" s="151">
        <v>0</v>
      </c>
      <c r="G9" s="105">
        <v>0.4453125</v>
      </c>
      <c r="H9" s="106">
        <v>0.328125</v>
      </c>
      <c r="I9" s="106">
        <v>0.1875</v>
      </c>
      <c r="J9" s="107">
        <v>3.90625E-2</v>
      </c>
      <c r="K9" s="105">
        <v>4.4444444444444446E-2</v>
      </c>
      <c r="L9" s="106">
        <v>0.33333333333333331</v>
      </c>
      <c r="M9" s="106">
        <v>0.53333333333333333</v>
      </c>
      <c r="N9" s="107">
        <v>8.8888888888888892E-2</v>
      </c>
      <c r="O9" s="105">
        <f t="shared" si="0"/>
        <v>12.46875</v>
      </c>
      <c r="P9" s="106">
        <f t="shared" si="1"/>
        <v>9.1875</v>
      </c>
      <c r="Q9" s="106">
        <f t="shared" si="2"/>
        <v>5.25</v>
      </c>
      <c r="R9" s="107">
        <f t="shared" si="3"/>
        <v>1.09375</v>
      </c>
      <c r="S9" s="105">
        <f t="shared" si="4"/>
        <v>0.35555555555555557</v>
      </c>
      <c r="T9" s="106">
        <f t="shared" si="5"/>
        <v>2.6666666666666665</v>
      </c>
      <c r="U9" s="106">
        <f t="shared" si="6"/>
        <v>4.2666666666666666</v>
      </c>
      <c r="V9" s="107">
        <f t="shared" si="7"/>
        <v>0.71111111111111114</v>
      </c>
      <c r="W9" s="164">
        <f>Input!$I$13*PKs!O9+Input!$I$14*PKs!L9+Input!$I$15*PKs!Q9+Input!$I$16*PKs!R9+Input!$I$17*PKs!S9+Input!$I$18*PKs!T9+Input!$I$19*PKs!U9+Input!$I$20*PKs!V9+Input!$I$21*PKs!E9+Input!$I$22*PKs!F9</f>
        <v>106.55208333333334</v>
      </c>
    </row>
    <row r="10" spans="1:23" x14ac:dyDescent="0.25">
      <c r="A10" s="146" t="s">
        <v>557</v>
      </c>
      <c r="B10" s="147" t="s">
        <v>182</v>
      </c>
      <c r="C10" s="150">
        <v>28</v>
      </c>
      <c r="D10" s="151">
        <v>5</v>
      </c>
      <c r="E10" s="150">
        <v>35</v>
      </c>
      <c r="F10" s="151">
        <v>0</v>
      </c>
      <c r="G10" s="105">
        <v>0.30396475770925108</v>
      </c>
      <c r="H10" s="106">
        <v>0.29515418502202645</v>
      </c>
      <c r="I10" s="106">
        <v>0.29955947136563876</v>
      </c>
      <c r="J10" s="107">
        <v>0.1013215859030837</v>
      </c>
      <c r="K10" s="105">
        <v>3.9215686274509803E-2</v>
      </c>
      <c r="L10" s="106">
        <v>0.15686274509803921</v>
      </c>
      <c r="M10" s="106">
        <v>0.39215686274509803</v>
      </c>
      <c r="N10" s="107">
        <v>0.41176470588235292</v>
      </c>
      <c r="O10" s="105">
        <f t="shared" si="0"/>
        <v>8.5110132158590304</v>
      </c>
      <c r="P10" s="106">
        <f t="shared" si="1"/>
        <v>8.2643171806167413</v>
      </c>
      <c r="Q10" s="106">
        <f t="shared" si="2"/>
        <v>8.3876651982378849</v>
      </c>
      <c r="R10" s="107">
        <f t="shared" si="3"/>
        <v>2.8370044052863435</v>
      </c>
      <c r="S10" s="105">
        <f t="shared" si="4"/>
        <v>0.19607843137254902</v>
      </c>
      <c r="T10" s="106">
        <f t="shared" si="5"/>
        <v>0.78431372549019607</v>
      </c>
      <c r="U10" s="106">
        <f t="shared" si="6"/>
        <v>1.9607843137254901</v>
      </c>
      <c r="V10" s="107">
        <f t="shared" si="7"/>
        <v>2.0588235294117645</v>
      </c>
      <c r="W10" s="164">
        <f>Input!$I$13*PKs!O10+Input!$I$14*PKs!L10+Input!$I$15*PKs!Q10+Input!$I$16*PKs!R10+Input!$I$17*PKs!S10+Input!$I$18*PKs!T10+Input!$I$19*PKs!U10+Input!$I$20*PKs!V10+Input!$I$21*PKs!E10+Input!$I$22*PKs!F10</f>
        <v>120.12084305087673</v>
      </c>
    </row>
    <row r="11" spans="1:23" x14ac:dyDescent="0.25">
      <c r="A11" s="146" t="s">
        <v>558</v>
      </c>
      <c r="B11" s="147" t="s">
        <v>146</v>
      </c>
      <c r="C11" s="150">
        <v>29</v>
      </c>
      <c r="D11" s="151">
        <v>8</v>
      </c>
      <c r="E11" s="150">
        <v>32</v>
      </c>
      <c r="F11" s="151">
        <v>1</v>
      </c>
      <c r="G11" s="105">
        <v>0.30396475770925108</v>
      </c>
      <c r="H11" s="106">
        <v>0.29515418502202645</v>
      </c>
      <c r="I11" s="106">
        <v>0.29955947136563876</v>
      </c>
      <c r="J11" s="107">
        <v>0.1013215859030837</v>
      </c>
      <c r="K11" s="105">
        <v>3.9215686274509803E-2</v>
      </c>
      <c r="L11" s="106">
        <v>0.15686274509803921</v>
      </c>
      <c r="M11" s="106">
        <v>0.39215686274509803</v>
      </c>
      <c r="N11" s="107">
        <v>0.41176470588235292</v>
      </c>
      <c r="O11" s="105">
        <f t="shared" si="0"/>
        <v>8.8149779735682809</v>
      </c>
      <c r="P11" s="106">
        <f t="shared" si="1"/>
        <v>8.5594713656387675</v>
      </c>
      <c r="Q11" s="106">
        <f t="shared" si="2"/>
        <v>8.6872246696035234</v>
      </c>
      <c r="R11" s="107">
        <f t="shared" si="3"/>
        <v>2.9383259911894273</v>
      </c>
      <c r="S11" s="105">
        <f t="shared" si="4"/>
        <v>0.31372549019607843</v>
      </c>
      <c r="T11" s="106">
        <f t="shared" si="5"/>
        <v>1.2549019607843137</v>
      </c>
      <c r="U11" s="106">
        <f t="shared" si="6"/>
        <v>3.1372549019607843</v>
      </c>
      <c r="V11" s="107">
        <f t="shared" si="7"/>
        <v>3.2941176470588234</v>
      </c>
      <c r="W11" s="164">
        <f>Input!$I$13*PKs!O11+Input!$I$14*PKs!L11+Input!$I$15*PKs!Q11+Input!$I$16*PKs!R11+Input!$I$17*PKs!S11+Input!$I$18*PKs!T11+Input!$I$19*PKs!U11+Input!$I$20*PKs!V11+Input!$I$21*PKs!E11+Input!$I$22*PKs!F11</f>
        <v>120.13846419625118</v>
      </c>
    </row>
    <row r="12" spans="1:23" x14ac:dyDescent="0.25">
      <c r="A12" s="146" t="s">
        <v>559</v>
      </c>
      <c r="B12" s="147" t="s">
        <v>140</v>
      </c>
      <c r="C12" s="150">
        <v>27</v>
      </c>
      <c r="D12" s="151">
        <v>5</v>
      </c>
      <c r="E12" s="150">
        <v>37</v>
      </c>
      <c r="F12" s="151">
        <v>1</v>
      </c>
      <c r="G12" s="105">
        <v>0.36071428571428571</v>
      </c>
      <c r="H12" s="106">
        <v>0.29285714285714287</v>
      </c>
      <c r="I12" s="106">
        <v>0.30714285714285716</v>
      </c>
      <c r="J12" s="107">
        <v>3.9285714285714285E-2</v>
      </c>
      <c r="K12" s="105">
        <v>8.771929824561403E-2</v>
      </c>
      <c r="L12" s="106">
        <v>0.24561403508771928</v>
      </c>
      <c r="M12" s="106">
        <v>0.52631578947368418</v>
      </c>
      <c r="N12" s="107">
        <v>0.14035087719298245</v>
      </c>
      <c r="O12" s="105">
        <f t="shared" si="0"/>
        <v>9.7392857142857139</v>
      </c>
      <c r="P12" s="106">
        <f t="shared" si="1"/>
        <v>7.9071428571428575</v>
      </c>
      <c r="Q12" s="106">
        <f t="shared" si="2"/>
        <v>8.2928571428571427</v>
      </c>
      <c r="R12" s="107">
        <f t="shared" si="3"/>
        <v>1.0607142857142857</v>
      </c>
      <c r="S12" s="105">
        <f t="shared" si="4"/>
        <v>0.43859649122807015</v>
      </c>
      <c r="T12" s="106">
        <f t="shared" si="5"/>
        <v>1.2280701754385963</v>
      </c>
      <c r="U12" s="106">
        <f t="shared" si="6"/>
        <v>2.6315789473684208</v>
      </c>
      <c r="V12" s="107">
        <f t="shared" si="7"/>
        <v>0.70175438596491224</v>
      </c>
      <c r="W12" s="164">
        <f>Input!$I$13*PKs!O12+Input!$I$14*PKs!L12+Input!$I$15*PKs!Q12+Input!$I$16*PKs!R12+Input!$I$17*PKs!S12+Input!$I$18*PKs!T12+Input!$I$19*PKs!U12+Input!$I$20*PKs!V12+Input!$I$21*PKs!E12+Input!$I$22*PKs!F12</f>
        <v>115.02888471177944</v>
      </c>
    </row>
    <row r="13" spans="1:23" x14ac:dyDescent="0.25">
      <c r="A13" s="146" t="s">
        <v>560</v>
      </c>
      <c r="B13" s="147" t="s">
        <v>142</v>
      </c>
      <c r="C13" s="150">
        <v>27</v>
      </c>
      <c r="D13" s="151">
        <v>6</v>
      </c>
      <c r="E13" s="150">
        <v>36</v>
      </c>
      <c r="F13" s="151">
        <v>0</v>
      </c>
      <c r="G13" s="105">
        <v>0.4453125</v>
      </c>
      <c r="H13" s="106">
        <v>0.328125</v>
      </c>
      <c r="I13" s="106">
        <v>0.1875</v>
      </c>
      <c r="J13" s="107">
        <v>3.90625E-2</v>
      </c>
      <c r="K13" s="105">
        <v>4.4444444444444446E-2</v>
      </c>
      <c r="L13" s="106">
        <v>0.33333333333333331</v>
      </c>
      <c r="M13" s="106">
        <v>0.53333333333333333</v>
      </c>
      <c r="N13" s="107">
        <v>8.8888888888888892E-2</v>
      </c>
      <c r="O13" s="105">
        <f t="shared" si="0"/>
        <v>12.0234375</v>
      </c>
      <c r="P13" s="106">
        <f t="shared" si="1"/>
        <v>8.859375</v>
      </c>
      <c r="Q13" s="106">
        <f t="shared" si="2"/>
        <v>5.0625</v>
      </c>
      <c r="R13" s="107">
        <f t="shared" si="3"/>
        <v>1.0546875</v>
      </c>
      <c r="S13" s="105">
        <f t="shared" si="4"/>
        <v>0.26666666666666666</v>
      </c>
      <c r="T13" s="106">
        <f t="shared" si="5"/>
        <v>2</v>
      </c>
      <c r="U13" s="106">
        <f t="shared" si="6"/>
        <v>3.2</v>
      </c>
      <c r="V13" s="107">
        <f t="shared" si="7"/>
        <v>0.53333333333333333</v>
      </c>
      <c r="W13" s="164">
        <f>Input!$I$13*PKs!O13+Input!$I$14*PKs!L13+Input!$I$15*PKs!Q13+Input!$I$16*PKs!R13+Input!$I$17*PKs!S13+Input!$I$18*PKs!T13+Input!$I$19*PKs!U13+Input!$I$20*PKs!V13+Input!$I$21*PKs!E13+Input!$I$22*PKs!F13</f>
        <v>105.04427083333334</v>
      </c>
    </row>
    <row r="14" spans="1:23" x14ac:dyDescent="0.25">
      <c r="A14" s="146" t="s">
        <v>561</v>
      </c>
      <c r="B14" s="147" t="s">
        <v>194</v>
      </c>
      <c r="C14" s="150">
        <v>28</v>
      </c>
      <c r="D14" s="151">
        <v>6</v>
      </c>
      <c r="E14" s="150">
        <v>31</v>
      </c>
      <c r="F14" s="151">
        <v>0</v>
      </c>
      <c r="G14" s="105">
        <v>0.30396475770925108</v>
      </c>
      <c r="H14" s="106">
        <v>0.29515418502202645</v>
      </c>
      <c r="I14" s="106">
        <v>0.29955947136563876</v>
      </c>
      <c r="J14" s="107">
        <v>0.1013215859030837</v>
      </c>
      <c r="K14" s="105">
        <v>3.9215686274509803E-2</v>
      </c>
      <c r="L14" s="106">
        <v>0.15686274509803921</v>
      </c>
      <c r="M14" s="106">
        <v>0.39215686274509803</v>
      </c>
      <c r="N14" s="107">
        <v>0.41176470588235292</v>
      </c>
      <c r="O14" s="105">
        <f t="shared" si="0"/>
        <v>8.5110132158590304</v>
      </c>
      <c r="P14" s="106">
        <f t="shared" si="1"/>
        <v>8.2643171806167413</v>
      </c>
      <c r="Q14" s="106">
        <f t="shared" si="2"/>
        <v>8.3876651982378849</v>
      </c>
      <c r="R14" s="107">
        <f t="shared" si="3"/>
        <v>2.8370044052863435</v>
      </c>
      <c r="S14" s="105">
        <f t="shared" si="4"/>
        <v>0.23529411764705882</v>
      </c>
      <c r="T14" s="106">
        <f t="shared" si="5"/>
        <v>0.94117647058823528</v>
      </c>
      <c r="U14" s="106">
        <f t="shared" si="6"/>
        <v>2.3529411764705883</v>
      </c>
      <c r="V14" s="107">
        <f t="shared" si="7"/>
        <v>2.4705882352941178</v>
      </c>
      <c r="W14" s="164">
        <f>Input!$I$13*PKs!O14+Input!$I$14*PKs!L14+Input!$I$15*PKs!Q14+Input!$I$16*PKs!R14+Input!$I$17*PKs!S14+Input!$I$18*PKs!T14+Input!$I$19*PKs!U14+Input!$I$20*PKs!V14+Input!$I$21*PKs!E14+Input!$I$22*PKs!F14</f>
        <v>116.12084305087673</v>
      </c>
    </row>
    <row r="15" spans="1:23" x14ac:dyDescent="0.25">
      <c r="A15" s="146" t="s">
        <v>562</v>
      </c>
      <c r="B15" s="147" t="s">
        <v>178</v>
      </c>
      <c r="C15" s="150">
        <v>27</v>
      </c>
      <c r="D15" s="151">
        <v>7</v>
      </c>
      <c r="E15" s="150">
        <v>31</v>
      </c>
      <c r="F15" s="151">
        <v>1</v>
      </c>
      <c r="G15" s="105">
        <v>0.36071428571428571</v>
      </c>
      <c r="H15" s="106">
        <v>0.29285714285714287</v>
      </c>
      <c r="I15" s="106">
        <v>0.30714285714285716</v>
      </c>
      <c r="J15" s="107">
        <v>3.9285714285714285E-2</v>
      </c>
      <c r="K15" s="105">
        <v>8.771929824561403E-2</v>
      </c>
      <c r="L15" s="106">
        <v>0.24561403508771928</v>
      </c>
      <c r="M15" s="106">
        <v>0.52631578947368418</v>
      </c>
      <c r="N15" s="107">
        <v>0.14035087719298245</v>
      </c>
      <c r="O15" s="105">
        <f t="shared" si="0"/>
        <v>9.7392857142857139</v>
      </c>
      <c r="P15" s="106">
        <f t="shared" si="1"/>
        <v>7.9071428571428575</v>
      </c>
      <c r="Q15" s="106">
        <f t="shared" si="2"/>
        <v>8.2928571428571427</v>
      </c>
      <c r="R15" s="107">
        <f t="shared" si="3"/>
        <v>1.0607142857142857</v>
      </c>
      <c r="S15" s="105">
        <f t="shared" si="4"/>
        <v>0.61403508771929816</v>
      </c>
      <c r="T15" s="106">
        <f t="shared" si="5"/>
        <v>1.7192982456140351</v>
      </c>
      <c r="U15" s="106">
        <f t="shared" si="6"/>
        <v>3.6842105263157894</v>
      </c>
      <c r="V15" s="107">
        <f t="shared" si="7"/>
        <v>0.98245614035087714</v>
      </c>
      <c r="W15" s="164">
        <f>Input!$I$13*PKs!O15+Input!$I$14*PKs!L15+Input!$I$15*PKs!Q15+Input!$I$16*PKs!R15+Input!$I$17*PKs!S15+Input!$I$18*PKs!T15+Input!$I$19*PKs!U15+Input!$I$20*PKs!V15+Input!$I$21*PKs!E15+Input!$I$22*PKs!F15</f>
        <v>109.02888471177944</v>
      </c>
    </row>
    <row r="16" spans="1:23" x14ac:dyDescent="0.25">
      <c r="A16" s="146" t="s">
        <v>563</v>
      </c>
      <c r="B16" s="147" t="s">
        <v>188</v>
      </c>
      <c r="C16" s="150">
        <v>27</v>
      </c>
      <c r="D16" s="151">
        <v>5</v>
      </c>
      <c r="E16" s="150">
        <v>31</v>
      </c>
      <c r="F16" s="151">
        <v>1</v>
      </c>
      <c r="G16" s="105">
        <v>0.30396475770925108</v>
      </c>
      <c r="H16" s="106">
        <v>0.29515418502202645</v>
      </c>
      <c r="I16" s="106">
        <v>0.29955947136563876</v>
      </c>
      <c r="J16" s="107">
        <v>0.1013215859030837</v>
      </c>
      <c r="K16" s="105">
        <v>3.9215686274509803E-2</v>
      </c>
      <c r="L16" s="106">
        <v>0.15686274509803921</v>
      </c>
      <c r="M16" s="106">
        <v>0.39215686274509803</v>
      </c>
      <c r="N16" s="107">
        <v>0.41176470588235292</v>
      </c>
      <c r="O16" s="105">
        <f t="shared" si="0"/>
        <v>8.2070484581497798</v>
      </c>
      <c r="P16" s="106">
        <f t="shared" si="1"/>
        <v>7.9691629955947141</v>
      </c>
      <c r="Q16" s="106">
        <f t="shared" si="2"/>
        <v>8.0881057268722465</v>
      </c>
      <c r="R16" s="107">
        <f t="shared" si="3"/>
        <v>2.7356828193832596</v>
      </c>
      <c r="S16" s="105">
        <f t="shared" si="4"/>
        <v>0.19607843137254902</v>
      </c>
      <c r="T16" s="106">
        <f t="shared" si="5"/>
        <v>0.78431372549019607</v>
      </c>
      <c r="U16" s="106">
        <f t="shared" si="6"/>
        <v>1.9607843137254901</v>
      </c>
      <c r="V16" s="107">
        <f t="shared" si="7"/>
        <v>2.0588235294117645</v>
      </c>
      <c r="W16" s="164">
        <f>Input!$I$13*PKs!O16+Input!$I$14*PKs!L16+Input!$I$15*PKs!Q16+Input!$I$16*PKs!R16+Input!$I$17*PKs!S16+Input!$I$18*PKs!T16+Input!$I$19*PKs!U16+Input!$I$20*PKs!V16+Input!$I$21*PKs!E16+Input!$I$22*PKs!F16</f>
        <v>113.10322190550228</v>
      </c>
    </row>
    <row r="17" spans="1:23" x14ac:dyDescent="0.25">
      <c r="A17" s="146" t="s">
        <v>564</v>
      </c>
      <c r="B17" s="147" t="s">
        <v>144</v>
      </c>
      <c r="C17" s="150">
        <v>18</v>
      </c>
      <c r="D17" s="151">
        <v>3</v>
      </c>
      <c r="E17" s="150">
        <v>24</v>
      </c>
      <c r="F17" s="151">
        <v>1</v>
      </c>
      <c r="G17" s="105">
        <v>0.4453125</v>
      </c>
      <c r="H17" s="106">
        <v>0.328125</v>
      </c>
      <c r="I17" s="106">
        <v>0.1875</v>
      </c>
      <c r="J17" s="107">
        <v>3.90625E-2</v>
      </c>
      <c r="K17" s="105">
        <v>4.4444444444444446E-2</v>
      </c>
      <c r="L17" s="106">
        <v>0.33333333333333331</v>
      </c>
      <c r="M17" s="106">
        <v>0.53333333333333333</v>
      </c>
      <c r="N17" s="107">
        <v>8.8888888888888892E-2</v>
      </c>
      <c r="O17" s="105">
        <f t="shared" si="0"/>
        <v>8.015625</v>
      </c>
      <c r="P17" s="106">
        <f t="shared" si="1"/>
        <v>5.90625</v>
      </c>
      <c r="Q17" s="106">
        <f t="shared" si="2"/>
        <v>3.375</v>
      </c>
      <c r="R17" s="107">
        <f t="shared" si="3"/>
        <v>0.703125</v>
      </c>
      <c r="S17" s="105">
        <f t="shared" si="4"/>
        <v>0.13333333333333333</v>
      </c>
      <c r="T17" s="106">
        <f t="shared" si="5"/>
        <v>1</v>
      </c>
      <c r="U17" s="106">
        <f t="shared" si="6"/>
        <v>1.6</v>
      </c>
      <c r="V17" s="107">
        <f t="shared" si="7"/>
        <v>0.26666666666666666</v>
      </c>
      <c r="W17" s="164">
        <f>Input!$I$13*PKs!O17+Input!$I$14*PKs!L17+Input!$I$15*PKs!Q17+Input!$I$16*PKs!R17+Input!$I$17*PKs!S17+Input!$I$18*PKs!T17+Input!$I$19*PKs!U17+Input!$I$20*PKs!V17+Input!$I$21*PKs!E17+Input!$I$22*PKs!F17</f>
        <v>70.473958333333329</v>
      </c>
    </row>
    <row r="18" spans="1:23" x14ac:dyDescent="0.25">
      <c r="A18" s="146" t="s">
        <v>565</v>
      </c>
      <c r="B18" s="147" t="s">
        <v>160</v>
      </c>
      <c r="C18" s="150">
        <v>24</v>
      </c>
      <c r="D18" s="151">
        <v>6</v>
      </c>
      <c r="E18" s="150">
        <v>36</v>
      </c>
      <c r="F18" s="151">
        <v>0</v>
      </c>
      <c r="G18" s="105">
        <v>0.4453125</v>
      </c>
      <c r="H18" s="106">
        <v>0.328125</v>
      </c>
      <c r="I18" s="106">
        <v>0.1875</v>
      </c>
      <c r="J18" s="107">
        <v>3.90625E-2</v>
      </c>
      <c r="K18" s="105">
        <v>4.4444444444444446E-2</v>
      </c>
      <c r="L18" s="106">
        <v>0.33333333333333331</v>
      </c>
      <c r="M18" s="106">
        <v>0.53333333333333333</v>
      </c>
      <c r="N18" s="107">
        <v>8.8888888888888892E-2</v>
      </c>
      <c r="O18" s="105">
        <f t="shared" si="0"/>
        <v>10.6875</v>
      </c>
      <c r="P18" s="106">
        <f t="shared" si="1"/>
        <v>7.875</v>
      </c>
      <c r="Q18" s="106">
        <f t="shared" si="2"/>
        <v>4.5</v>
      </c>
      <c r="R18" s="107">
        <f t="shared" si="3"/>
        <v>0.9375</v>
      </c>
      <c r="S18" s="105">
        <f t="shared" si="4"/>
        <v>0.26666666666666666</v>
      </c>
      <c r="T18" s="106">
        <f t="shared" si="5"/>
        <v>2</v>
      </c>
      <c r="U18" s="106">
        <f t="shared" si="6"/>
        <v>3.2</v>
      </c>
      <c r="V18" s="107">
        <f t="shared" si="7"/>
        <v>0.53333333333333333</v>
      </c>
      <c r="W18" s="164">
        <f>Input!$I$13*PKs!O18+Input!$I$14*PKs!L18+Input!$I$15*PKs!Q18+Input!$I$16*PKs!R18+Input!$I$17*PKs!S18+Input!$I$18*PKs!T18+Input!$I$19*PKs!U18+Input!$I$20*PKs!V18+Input!$I$21*PKs!E18+Input!$I$22*PKs!F18</f>
        <v>97.520833333333343</v>
      </c>
    </row>
    <row r="19" spans="1:23" x14ac:dyDescent="0.25">
      <c r="A19" s="146" t="s">
        <v>566</v>
      </c>
      <c r="B19" s="147" t="s">
        <v>196</v>
      </c>
      <c r="C19" s="150">
        <v>27</v>
      </c>
      <c r="D19" s="151">
        <v>5</v>
      </c>
      <c r="E19" s="150">
        <v>27</v>
      </c>
      <c r="F19" s="151">
        <v>0</v>
      </c>
      <c r="G19" s="105">
        <v>0.36071428571428571</v>
      </c>
      <c r="H19" s="106">
        <v>0.29285714285714287</v>
      </c>
      <c r="I19" s="106">
        <v>0.30714285714285716</v>
      </c>
      <c r="J19" s="107">
        <v>3.9285714285714285E-2</v>
      </c>
      <c r="K19" s="105">
        <v>8.771929824561403E-2</v>
      </c>
      <c r="L19" s="106">
        <v>0.24561403508771928</v>
      </c>
      <c r="M19" s="106">
        <v>0.52631578947368418</v>
      </c>
      <c r="N19" s="107">
        <v>0.14035087719298245</v>
      </c>
      <c r="O19" s="105">
        <f t="shared" si="0"/>
        <v>9.7392857142857139</v>
      </c>
      <c r="P19" s="106">
        <f t="shared" si="1"/>
        <v>7.9071428571428575</v>
      </c>
      <c r="Q19" s="106">
        <f t="shared" si="2"/>
        <v>8.2928571428571427</v>
      </c>
      <c r="R19" s="107">
        <f t="shared" si="3"/>
        <v>1.0607142857142857</v>
      </c>
      <c r="S19" s="105">
        <f t="shared" si="4"/>
        <v>0.43859649122807015</v>
      </c>
      <c r="T19" s="106">
        <f t="shared" si="5"/>
        <v>1.2280701754385963</v>
      </c>
      <c r="U19" s="106">
        <f t="shared" si="6"/>
        <v>2.6315789473684208</v>
      </c>
      <c r="V19" s="107">
        <f t="shared" si="7"/>
        <v>0.70175438596491224</v>
      </c>
      <c r="W19" s="164">
        <f>Input!$I$13*PKs!O19+Input!$I$14*PKs!L19+Input!$I$15*PKs!Q19+Input!$I$16*PKs!R19+Input!$I$17*PKs!S19+Input!$I$18*PKs!T19+Input!$I$19*PKs!U19+Input!$I$20*PKs!V19+Input!$I$21*PKs!E19+Input!$I$22*PKs!F19</f>
        <v>105.02888471177944</v>
      </c>
    </row>
    <row r="20" spans="1:23" x14ac:dyDescent="0.25">
      <c r="A20" s="146" t="s">
        <v>567</v>
      </c>
      <c r="B20" s="147" t="s">
        <v>184</v>
      </c>
      <c r="C20" s="150">
        <v>25</v>
      </c>
      <c r="D20" s="151">
        <v>6</v>
      </c>
      <c r="E20" s="150">
        <v>36</v>
      </c>
      <c r="F20" s="151">
        <v>0</v>
      </c>
      <c r="G20" s="105">
        <v>0.36071428571428571</v>
      </c>
      <c r="H20" s="106">
        <v>0.29285714285714287</v>
      </c>
      <c r="I20" s="106">
        <v>0.30714285714285716</v>
      </c>
      <c r="J20" s="107">
        <v>3.9285714285714285E-2</v>
      </c>
      <c r="K20" s="105">
        <v>8.771929824561403E-2</v>
      </c>
      <c r="L20" s="106">
        <v>0.24561403508771928</v>
      </c>
      <c r="M20" s="106">
        <v>0.52631578947368418</v>
      </c>
      <c r="N20" s="107">
        <v>0.14035087719298245</v>
      </c>
      <c r="O20" s="105">
        <f t="shared" si="0"/>
        <v>9.0178571428571423</v>
      </c>
      <c r="P20" s="106">
        <f t="shared" si="1"/>
        <v>7.3214285714285721</v>
      </c>
      <c r="Q20" s="106">
        <f t="shared" si="2"/>
        <v>7.6785714285714288</v>
      </c>
      <c r="R20" s="107">
        <f t="shared" si="3"/>
        <v>0.9821428571428571</v>
      </c>
      <c r="S20" s="105">
        <f t="shared" si="4"/>
        <v>0.52631578947368418</v>
      </c>
      <c r="T20" s="106">
        <f t="shared" si="5"/>
        <v>1.4736842105263157</v>
      </c>
      <c r="U20" s="106">
        <f t="shared" si="6"/>
        <v>3.1578947368421053</v>
      </c>
      <c r="V20" s="107">
        <f t="shared" si="7"/>
        <v>0.84210526315789469</v>
      </c>
      <c r="W20" s="164">
        <f>Input!$I$13*PKs!O20+Input!$I$14*PKs!L20+Input!$I$15*PKs!Q20+Input!$I$16*PKs!R20+Input!$I$17*PKs!S20+Input!$I$18*PKs!T20+Input!$I$19*PKs!U20+Input!$I$20*PKs!V20+Input!$I$21*PKs!E20+Input!$I$22*PKs!F20</f>
        <v>108.32174185463658</v>
      </c>
    </row>
    <row r="21" spans="1:23" x14ac:dyDescent="0.25">
      <c r="A21" s="146" t="s">
        <v>568</v>
      </c>
      <c r="B21" s="147" t="s">
        <v>174</v>
      </c>
      <c r="C21" s="150">
        <v>24</v>
      </c>
      <c r="D21" s="151">
        <v>5</v>
      </c>
      <c r="E21" s="150">
        <v>30</v>
      </c>
      <c r="F21" s="151">
        <v>1</v>
      </c>
      <c r="G21" s="105">
        <v>0.4453125</v>
      </c>
      <c r="H21" s="106">
        <v>0.328125</v>
      </c>
      <c r="I21" s="106">
        <v>0.1875</v>
      </c>
      <c r="J21" s="107">
        <v>3.90625E-2</v>
      </c>
      <c r="K21" s="105">
        <v>4.4444444444444446E-2</v>
      </c>
      <c r="L21" s="106">
        <v>0.33333333333333331</v>
      </c>
      <c r="M21" s="106">
        <v>0.53333333333333333</v>
      </c>
      <c r="N21" s="107">
        <v>8.8888888888888892E-2</v>
      </c>
      <c r="O21" s="105">
        <f t="shared" si="0"/>
        <v>10.6875</v>
      </c>
      <c r="P21" s="106">
        <f t="shared" si="1"/>
        <v>7.875</v>
      </c>
      <c r="Q21" s="106">
        <f t="shared" si="2"/>
        <v>4.5</v>
      </c>
      <c r="R21" s="107">
        <f t="shared" si="3"/>
        <v>0.9375</v>
      </c>
      <c r="S21" s="105">
        <f t="shared" si="4"/>
        <v>0.22222222222222224</v>
      </c>
      <c r="T21" s="106">
        <f t="shared" si="5"/>
        <v>1.6666666666666665</v>
      </c>
      <c r="U21" s="106">
        <f t="shared" si="6"/>
        <v>2.6666666666666665</v>
      </c>
      <c r="V21" s="107">
        <f t="shared" si="7"/>
        <v>0.44444444444444448</v>
      </c>
      <c r="W21" s="164">
        <f>Input!$I$13*PKs!O21+Input!$I$14*PKs!L21+Input!$I$15*PKs!Q21+Input!$I$16*PKs!R21+Input!$I$17*PKs!S21+Input!$I$18*PKs!T21+Input!$I$19*PKs!U21+Input!$I$20*PKs!V21+Input!$I$21*PKs!E21+Input!$I$22*PKs!F21</f>
        <v>91.520833333333343</v>
      </c>
    </row>
    <row r="22" spans="1:23" x14ac:dyDescent="0.25">
      <c r="A22" s="146" t="s">
        <v>569</v>
      </c>
      <c r="B22" s="147" t="s">
        <v>172</v>
      </c>
      <c r="C22" s="150">
        <v>24</v>
      </c>
      <c r="D22" s="151">
        <v>6</v>
      </c>
      <c r="E22" s="150">
        <v>35</v>
      </c>
      <c r="F22" s="151">
        <v>0</v>
      </c>
      <c r="G22" s="105">
        <v>0.36071428571428571</v>
      </c>
      <c r="H22" s="106">
        <v>0.29285714285714287</v>
      </c>
      <c r="I22" s="106">
        <v>0.30714285714285716</v>
      </c>
      <c r="J22" s="107">
        <v>3.9285714285714285E-2</v>
      </c>
      <c r="K22" s="105">
        <v>8.771929824561403E-2</v>
      </c>
      <c r="L22" s="106">
        <v>0.24561403508771928</v>
      </c>
      <c r="M22" s="106">
        <v>0.52631578947368418</v>
      </c>
      <c r="N22" s="107">
        <v>0.14035087719298245</v>
      </c>
      <c r="O22" s="105">
        <f t="shared" si="0"/>
        <v>8.6571428571428566</v>
      </c>
      <c r="P22" s="106">
        <f t="shared" si="1"/>
        <v>7.0285714285714285</v>
      </c>
      <c r="Q22" s="106">
        <f t="shared" si="2"/>
        <v>7.3714285714285719</v>
      </c>
      <c r="R22" s="107">
        <f t="shared" si="3"/>
        <v>0.94285714285714284</v>
      </c>
      <c r="S22" s="105">
        <f t="shared" si="4"/>
        <v>0.52631578947368418</v>
      </c>
      <c r="T22" s="106">
        <f t="shared" si="5"/>
        <v>1.4736842105263157</v>
      </c>
      <c r="U22" s="106">
        <f t="shared" si="6"/>
        <v>3.1578947368421053</v>
      </c>
      <c r="V22" s="107">
        <f t="shared" si="7"/>
        <v>0.84210526315789469</v>
      </c>
      <c r="W22" s="164">
        <f>Input!$I$13*PKs!O22+Input!$I$14*PKs!L22+Input!$I$15*PKs!Q22+Input!$I$16*PKs!R22+Input!$I$17*PKs!S22+Input!$I$18*PKs!T22+Input!$I$19*PKs!U22+Input!$I$20*PKs!V22+Input!$I$21*PKs!E22+Input!$I$22*PKs!F22</f>
        <v>104.46817042606516</v>
      </c>
    </row>
    <row r="23" spans="1:23" x14ac:dyDescent="0.25">
      <c r="A23" s="146" t="s">
        <v>570</v>
      </c>
      <c r="B23" s="147" t="s">
        <v>190</v>
      </c>
      <c r="C23" s="150">
        <v>25</v>
      </c>
      <c r="D23" s="151">
        <v>5</v>
      </c>
      <c r="E23" s="150">
        <v>30</v>
      </c>
      <c r="F23" s="151">
        <v>1</v>
      </c>
      <c r="G23" s="105">
        <v>0.30396475770925108</v>
      </c>
      <c r="H23" s="106">
        <v>0.29515418502202645</v>
      </c>
      <c r="I23" s="106">
        <v>0.29955947136563876</v>
      </c>
      <c r="J23" s="107">
        <v>0.1013215859030837</v>
      </c>
      <c r="K23" s="105">
        <v>3.9215686274509803E-2</v>
      </c>
      <c r="L23" s="106">
        <v>0.15686274509803921</v>
      </c>
      <c r="M23" s="106">
        <v>0.39215686274509803</v>
      </c>
      <c r="N23" s="107">
        <v>0.41176470588235292</v>
      </c>
      <c r="O23" s="105">
        <f t="shared" si="0"/>
        <v>7.5991189427312769</v>
      </c>
      <c r="P23" s="106">
        <f t="shared" si="1"/>
        <v>7.3788546255506615</v>
      </c>
      <c r="Q23" s="106">
        <f t="shared" si="2"/>
        <v>7.4889867841409687</v>
      </c>
      <c r="R23" s="107">
        <f t="shared" si="3"/>
        <v>2.5330396475770924</v>
      </c>
      <c r="S23" s="105">
        <f t="shared" si="4"/>
        <v>0.19607843137254902</v>
      </c>
      <c r="T23" s="106">
        <f t="shared" si="5"/>
        <v>0.78431372549019607</v>
      </c>
      <c r="U23" s="106">
        <f t="shared" si="6"/>
        <v>1.9607843137254901</v>
      </c>
      <c r="V23" s="107">
        <f t="shared" si="7"/>
        <v>2.0588235294117645</v>
      </c>
      <c r="W23" s="164">
        <f>Input!$I$13*PKs!O23+Input!$I$14*PKs!L23+Input!$I$15*PKs!Q23+Input!$I$16*PKs!R23+Input!$I$17*PKs!S23+Input!$I$18*PKs!T23+Input!$I$19*PKs!U23+Input!$I$20*PKs!V23+Input!$I$21*PKs!E23+Input!$I$22*PKs!F23</f>
        <v>106.06797961475338</v>
      </c>
    </row>
    <row r="24" spans="1:23" x14ac:dyDescent="0.25">
      <c r="A24" s="146" t="s">
        <v>571</v>
      </c>
      <c r="B24" s="147" t="s">
        <v>168</v>
      </c>
      <c r="C24" s="150">
        <v>22</v>
      </c>
      <c r="D24" s="151">
        <v>6</v>
      </c>
      <c r="E24" s="150">
        <v>38</v>
      </c>
      <c r="F24" s="151">
        <v>1</v>
      </c>
      <c r="G24" s="105">
        <v>0.4453125</v>
      </c>
      <c r="H24" s="106">
        <v>0.328125</v>
      </c>
      <c r="I24" s="106">
        <v>0.1875</v>
      </c>
      <c r="J24" s="107">
        <v>3.90625E-2</v>
      </c>
      <c r="K24" s="105">
        <v>4.4444444444444446E-2</v>
      </c>
      <c r="L24" s="106">
        <v>0.33333333333333331</v>
      </c>
      <c r="M24" s="106">
        <v>0.53333333333333333</v>
      </c>
      <c r="N24" s="107">
        <v>8.8888888888888892E-2</v>
      </c>
      <c r="O24" s="105">
        <f t="shared" si="0"/>
        <v>9.796875</v>
      </c>
      <c r="P24" s="106">
        <f t="shared" si="1"/>
        <v>7.21875</v>
      </c>
      <c r="Q24" s="106">
        <f t="shared" si="2"/>
        <v>4.125</v>
      </c>
      <c r="R24" s="107">
        <f t="shared" si="3"/>
        <v>0.859375</v>
      </c>
      <c r="S24" s="105">
        <f t="shared" si="4"/>
        <v>0.26666666666666666</v>
      </c>
      <c r="T24" s="106">
        <f t="shared" si="5"/>
        <v>2</v>
      </c>
      <c r="U24" s="106">
        <f t="shared" si="6"/>
        <v>3.2</v>
      </c>
      <c r="V24" s="107">
        <f t="shared" si="7"/>
        <v>0.53333333333333333</v>
      </c>
      <c r="W24" s="164">
        <f>Input!$I$13*PKs!O24+Input!$I$14*PKs!L24+Input!$I$15*PKs!Q24+Input!$I$16*PKs!R24+Input!$I$17*PKs!S24+Input!$I$18*PKs!T24+Input!$I$19*PKs!U24+Input!$I$20*PKs!V24+Input!$I$21*PKs!E24+Input!$I$22*PKs!F24</f>
        <v>94.505208333333329</v>
      </c>
    </row>
    <row r="25" spans="1:23" x14ac:dyDescent="0.25">
      <c r="A25" s="146" t="s">
        <v>572</v>
      </c>
      <c r="B25" s="147" t="s">
        <v>148</v>
      </c>
      <c r="C25" s="150">
        <v>24</v>
      </c>
      <c r="D25" s="151">
        <v>5</v>
      </c>
      <c r="E25" s="150">
        <v>32</v>
      </c>
      <c r="F25" s="151">
        <v>1</v>
      </c>
      <c r="G25" s="105">
        <v>0.36071428571428571</v>
      </c>
      <c r="H25" s="106">
        <v>0.29285714285714287</v>
      </c>
      <c r="I25" s="106">
        <v>0.30714285714285716</v>
      </c>
      <c r="J25" s="107">
        <v>3.9285714285714285E-2</v>
      </c>
      <c r="K25" s="105">
        <v>8.771929824561403E-2</v>
      </c>
      <c r="L25" s="106">
        <v>0.24561403508771928</v>
      </c>
      <c r="M25" s="106">
        <v>0.52631578947368418</v>
      </c>
      <c r="N25" s="107">
        <v>0.14035087719298245</v>
      </c>
      <c r="O25" s="105">
        <f t="shared" si="0"/>
        <v>8.6571428571428566</v>
      </c>
      <c r="P25" s="106">
        <f t="shared" si="1"/>
        <v>7.0285714285714285</v>
      </c>
      <c r="Q25" s="106">
        <f t="shared" si="2"/>
        <v>7.3714285714285719</v>
      </c>
      <c r="R25" s="107">
        <f t="shared" si="3"/>
        <v>0.94285714285714284</v>
      </c>
      <c r="S25" s="105">
        <f t="shared" si="4"/>
        <v>0.43859649122807015</v>
      </c>
      <c r="T25" s="106">
        <f t="shared" si="5"/>
        <v>1.2280701754385963</v>
      </c>
      <c r="U25" s="106">
        <f t="shared" si="6"/>
        <v>2.6315789473684208</v>
      </c>
      <c r="V25" s="107">
        <f t="shared" si="7"/>
        <v>0.70175438596491224</v>
      </c>
      <c r="W25" s="164">
        <f>Input!$I$13*PKs!O25+Input!$I$14*PKs!L25+Input!$I$15*PKs!Q25+Input!$I$16*PKs!R25+Input!$I$17*PKs!S25+Input!$I$18*PKs!T25+Input!$I$19*PKs!U25+Input!$I$20*PKs!V25+Input!$I$21*PKs!E25+Input!$I$22*PKs!F25</f>
        <v>101.46817042606516</v>
      </c>
    </row>
    <row r="26" spans="1:23" x14ac:dyDescent="0.25">
      <c r="A26" s="146" t="s">
        <v>573</v>
      </c>
      <c r="B26" s="147" t="s">
        <v>156</v>
      </c>
      <c r="C26" s="150">
        <v>23</v>
      </c>
      <c r="D26" s="151">
        <v>5</v>
      </c>
      <c r="E26" s="150">
        <v>39</v>
      </c>
      <c r="F26" s="151">
        <v>1</v>
      </c>
      <c r="G26" s="105">
        <v>0.30396475770925108</v>
      </c>
      <c r="H26" s="106">
        <v>0.29515418502202645</v>
      </c>
      <c r="I26" s="106">
        <v>0.29955947136563876</v>
      </c>
      <c r="J26" s="107">
        <v>0.1013215859030837</v>
      </c>
      <c r="K26" s="105">
        <v>3.9215686274509803E-2</v>
      </c>
      <c r="L26" s="106">
        <v>0.15686274509803921</v>
      </c>
      <c r="M26" s="106">
        <v>0.39215686274509803</v>
      </c>
      <c r="N26" s="107">
        <v>0.41176470588235292</v>
      </c>
      <c r="O26" s="105">
        <f t="shared" si="0"/>
        <v>6.9911894273127748</v>
      </c>
      <c r="P26" s="106">
        <f t="shared" si="1"/>
        <v>6.7885462555066081</v>
      </c>
      <c r="Q26" s="106">
        <f t="shared" si="2"/>
        <v>6.8898678414096919</v>
      </c>
      <c r="R26" s="107">
        <f t="shared" si="3"/>
        <v>2.3303964757709252</v>
      </c>
      <c r="S26" s="105">
        <f t="shared" si="4"/>
        <v>0.19607843137254902</v>
      </c>
      <c r="T26" s="106">
        <f t="shared" si="5"/>
        <v>0.78431372549019607</v>
      </c>
      <c r="U26" s="106">
        <f t="shared" si="6"/>
        <v>1.9607843137254901</v>
      </c>
      <c r="V26" s="107">
        <f t="shared" si="7"/>
        <v>2.0588235294117645</v>
      </c>
      <c r="W26" s="164">
        <f>Input!$I$13*PKs!O26+Input!$I$14*PKs!L26+Input!$I$15*PKs!Q26+Input!$I$16*PKs!R26+Input!$I$17*PKs!S26+Input!$I$18*PKs!T26+Input!$I$19*PKs!U26+Input!$I$20*PKs!V26+Input!$I$21*PKs!E26+Input!$I$22*PKs!F26</f>
        <v>109.0327373240045</v>
      </c>
    </row>
    <row r="27" spans="1:23" x14ac:dyDescent="0.25">
      <c r="A27" s="146" t="s">
        <v>574</v>
      </c>
      <c r="B27" s="147" t="s">
        <v>152</v>
      </c>
      <c r="C27" s="150">
        <v>23</v>
      </c>
      <c r="D27" s="151">
        <v>4</v>
      </c>
      <c r="E27" s="150">
        <v>31</v>
      </c>
      <c r="F27" s="151">
        <v>1</v>
      </c>
      <c r="G27" s="105">
        <v>0.36071428571428571</v>
      </c>
      <c r="H27" s="106">
        <v>0.29285714285714287</v>
      </c>
      <c r="I27" s="106">
        <v>0.30714285714285716</v>
      </c>
      <c r="J27" s="107">
        <v>3.9285714285714285E-2</v>
      </c>
      <c r="K27" s="105">
        <v>8.771929824561403E-2</v>
      </c>
      <c r="L27" s="106">
        <v>0.24561403508771928</v>
      </c>
      <c r="M27" s="106">
        <v>0.52631578947368418</v>
      </c>
      <c r="N27" s="107">
        <v>0.14035087719298245</v>
      </c>
      <c r="O27" s="105">
        <f t="shared" si="0"/>
        <v>8.2964285714285708</v>
      </c>
      <c r="P27" s="106">
        <f t="shared" si="1"/>
        <v>6.7357142857142858</v>
      </c>
      <c r="Q27" s="106">
        <f t="shared" si="2"/>
        <v>7.0642857142857149</v>
      </c>
      <c r="R27" s="107">
        <f t="shared" si="3"/>
        <v>0.90357142857142858</v>
      </c>
      <c r="S27" s="105">
        <f t="shared" si="4"/>
        <v>0.35087719298245612</v>
      </c>
      <c r="T27" s="106">
        <f t="shared" si="5"/>
        <v>0.98245614035087714</v>
      </c>
      <c r="U27" s="106">
        <f t="shared" si="6"/>
        <v>2.1052631578947367</v>
      </c>
      <c r="V27" s="107">
        <f t="shared" si="7"/>
        <v>0.56140350877192979</v>
      </c>
      <c r="W27" s="164">
        <f>Input!$I$13*PKs!O27+Input!$I$14*PKs!L27+Input!$I$15*PKs!Q27+Input!$I$16*PKs!R27+Input!$I$17*PKs!S27+Input!$I$18*PKs!T27+Input!$I$19*PKs!U27+Input!$I$20*PKs!V27+Input!$I$21*PKs!E27+Input!$I$22*PKs!F27</f>
        <v>97.614598997493744</v>
      </c>
    </row>
    <row r="28" spans="1:23" x14ac:dyDescent="0.25">
      <c r="A28" s="146" t="s">
        <v>575</v>
      </c>
      <c r="B28" s="147" t="s">
        <v>180</v>
      </c>
      <c r="C28" s="150">
        <v>23</v>
      </c>
      <c r="D28" s="151">
        <v>6</v>
      </c>
      <c r="E28" s="150">
        <v>30</v>
      </c>
      <c r="F28" s="151">
        <v>0</v>
      </c>
      <c r="G28" s="105">
        <v>0.36071428571428571</v>
      </c>
      <c r="H28" s="106">
        <v>0.29285714285714287</v>
      </c>
      <c r="I28" s="106">
        <v>0.30714285714285716</v>
      </c>
      <c r="J28" s="107">
        <v>3.9285714285714285E-2</v>
      </c>
      <c r="K28" s="105">
        <v>8.771929824561403E-2</v>
      </c>
      <c r="L28" s="106">
        <v>0.24561403508771928</v>
      </c>
      <c r="M28" s="106">
        <v>0.52631578947368418</v>
      </c>
      <c r="N28" s="107">
        <v>0.14035087719298245</v>
      </c>
      <c r="O28" s="105">
        <f t="shared" si="0"/>
        <v>8.2964285714285708</v>
      </c>
      <c r="P28" s="106">
        <f t="shared" si="1"/>
        <v>6.7357142857142858</v>
      </c>
      <c r="Q28" s="106">
        <f t="shared" si="2"/>
        <v>7.0642857142857149</v>
      </c>
      <c r="R28" s="107">
        <f t="shared" si="3"/>
        <v>0.90357142857142858</v>
      </c>
      <c r="S28" s="105">
        <f t="shared" si="4"/>
        <v>0.52631578947368418</v>
      </c>
      <c r="T28" s="106">
        <f t="shared" si="5"/>
        <v>1.4736842105263157</v>
      </c>
      <c r="U28" s="106">
        <f t="shared" si="6"/>
        <v>3.1578947368421053</v>
      </c>
      <c r="V28" s="107">
        <f t="shared" si="7"/>
        <v>0.84210526315789469</v>
      </c>
      <c r="W28" s="164">
        <f>Input!$I$13*PKs!O28+Input!$I$14*PKs!L28+Input!$I$15*PKs!Q28+Input!$I$16*PKs!R28+Input!$I$17*PKs!S28+Input!$I$18*PKs!T28+Input!$I$19*PKs!U28+Input!$I$20*PKs!V28+Input!$I$21*PKs!E28+Input!$I$22*PKs!F28</f>
        <v>96.614598997493744</v>
      </c>
    </row>
    <row r="29" spans="1:23" x14ac:dyDescent="0.25">
      <c r="A29" s="146" t="s">
        <v>576</v>
      </c>
      <c r="B29" s="147" t="s">
        <v>166</v>
      </c>
      <c r="C29" s="150">
        <v>22</v>
      </c>
      <c r="D29" s="151">
        <v>6</v>
      </c>
      <c r="E29" s="150">
        <v>31</v>
      </c>
      <c r="F29" s="151">
        <v>1</v>
      </c>
      <c r="G29" s="105">
        <v>0.4453125</v>
      </c>
      <c r="H29" s="106">
        <v>0.328125</v>
      </c>
      <c r="I29" s="106">
        <v>0.1875</v>
      </c>
      <c r="J29" s="107">
        <v>3.90625E-2</v>
      </c>
      <c r="K29" s="105">
        <v>4.4444444444444446E-2</v>
      </c>
      <c r="L29" s="106">
        <v>0.33333333333333331</v>
      </c>
      <c r="M29" s="106">
        <v>0.53333333333333333</v>
      </c>
      <c r="N29" s="107">
        <v>8.8888888888888892E-2</v>
      </c>
      <c r="O29" s="105">
        <f t="shared" si="0"/>
        <v>9.796875</v>
      </c>
      <c r="P29" s="106">
        <f t="shared" si="1"/>
        <v>7.21875</v>
      </c>
      <c r="Q29" s="106">
        <f t="shared" si="2"/>
        <v>4.125</v>
      </c>
      <c r="R29" s="107">
        <f t="shared" si="3"/>
        <v>0.859375</v>
      </c>
      <c r="S29" s="105">
        <f t="shared" si="4"/>
        <v>0.26666666666666666</v>
      </c>
      <c r="T29" s="106">
        <f t="shared" si="5"/>
        <v>2</v>
      </c>
      <c r="U29" s="106">
        <f t="shared" si="6"/>
        <v>3.2</v>
      </c>
      <c r="V29" s="107">
        <f t="shared" si="7"/>
        <v>0.53333333333333333</v>
      </c>
      <c r="W29" s="164">
        <f>Input!$I$13*PKs!O29+Input!$I$14*PKs!L29+Input!$I$15*PKs!Q29+Input!$I$16*PKs!R29+Input!$I$17*PKs!S29+Input!$I$18*PKs!T29+Input!$I$19*PKs!U29+Input!$I$20*PKs!V29+Input!$I$21*PKs!E29+Input!$I$22*PKs!F29</f>
        <v>87.505208333333329</v>
      </c>
    </row>
    <row r="30" spans="1:23" x14ac:dyDescent="0.25">
      <c r="A30" s="146" t="s">
        <v>577</v>
      </c>
      <c r="B30" s="147" t="s">
        <v>186</v>
      </c>
      <c r="C30" s="150">
        <v>19</v>
      </c>
      <c r="D30" s="151">
        <v>5</v>
      </c>
      <c r="E30" s="150">
        <v>36</v>
      </c>
      <c r="F30" s="151">
        <v>1</v>
      </c>
      <c r="G30" s="105">
        <v>0.4453125</v>
      </c>
      <c r="H30" s="106">
        <v>0.328125</v>
      </c>
      <c r="I30" s="106">
        <v>0.1875</v>
      </c>
      <c r="J30" s="107">
        <v>3.90625E-2</v>
      </c>
      <c r="K30" s="105">
        <v>4.4444444444444446E-2</v>
      </c>
      <c r="L30" s="106">
        <v>0.33333333333333331</v>
      </c>
      <c r="M30" s="106">
        <v>0.53333333333333333</v>
      </c>
      <c r="N30" s="107">
        <v>8.8888888888888892E-2</v>
      </c>
      <c r="O30" s="105">
        <f t="shared" si="0"/>
        <v>8.4609375</v>
      </c>
      <c r="P30" s="106">
        <f t="shared" si="1"/>
        <v>6.234375</v>
      </c>
      <c r="Q30" s="106">
        <f t="shared" si="2"/>
        <v>3.5625</v>
      </c>
      <c r="R30" s="107">
        <f t="shared" si="3"/>
        <v>0.7421875</v>
      </c>
      <c r="S30" s="105">
        <f t="shared" si="4"/>
        <v>0.22222222222222224</v>
      </c>
      <c r="T30" s="106">
        <f t="shared" si="5"/>
        <v>1.6666666666666665</v>
      </c>
      <c r="U30" s="106">
        <f t="shared" si="6"/>
        <v>2.6666666666666665</v>
      </c>
      <c r="V30" s="107">
        <f t="shared" si="7"/>
        <v>0.44444444444444448</v>
      </c>
      <c r="W30" s="164">
        <f>Input!$I$13*PKs!O30+Input!$I$14*PKs!L30+Input!$I$15*PKs!Q30+Input!$I$16*PKs!R30+Input!$I$17*PKs!S30+Input!$I$18*PKs!T30+Input!$I$19*PKs!U30+Input!$I$20*PKs!V30+Input!$I$21*PKs!E30+Input!$I$22*PKs!F30</f>
        <v>84.981770833333329</v>
      </c>
    </row>
    <row r="31" spans="1:23" x14ac:dyDescent="0.25">
      <c r="A31" s="146" t="s">
        <v>578</v>
      </c>
      <c r="B31" s="147" t="s">
        <v>170</v>
      </c>
      <c r="C31" s="150">
        <v>21</v>
      </c>
      <c r="D31" s="151">
        <v>5</v>
      </c>
      <c r="E31" s="150">
        <v>28</v>
      </c>
      <c r="F31" s="151">
        <v>1</v>
      </c>
      <c r="G31" s="105">
        <v>0.30396475770925108</v>
      </c>
      <c r="H31" s="106">
        <v>0.29515418502202645</v>
      </c>
      <c r="I31" s="106">
        <v>0.29955947136563876</v>
      </c>
      <c r="J31" s="107">
        <v>0.1013215859030837</v>
      </c>
      <c r="K31" s="105">
        <v>3.9215686274509803E-2</v>
      </c>
      <c r="L31" s="106">
        <v>0.15686274509803921</v>
      </c>
      <c r="M31" s="106">
        <v>0.39215686274509803</v>
      </c>
      <c r="N31" s="107">
        <v>0.41176470588235292</v>
      </c>
      <c r="O31" s="105">
        <f t="shared" si="0"/>
        <v>6.3832599118942728</v>
      </c>
      <c r="P31" s="106">
        <f t="shared" si="1"/>
        <v>6.1982378854625555</v>
      </c>
      <c r="Q31" s="106">
        <f t="shared" si="2"/>
        <v>6.2907488986784141</v>
      </c>
      <c r="R31" s="107">
        <f t="shared" si="3"/>
        <v>2.1277533039647576</v>
      </c>
      <c r="S31" s="105">
        <f t="shared" si="4"/>
        <v>0.19607843137254902</v>
      </c>
      <c r="T31" s="106">
        <f t="shared" si="5"/>
        <v>0.78431372549019607</v>
      </c>
      <c r="U31" s="106">
        <f t="shared" si="6"/>
        <v>1.9607843137254901</v>
      </c>
      <c r="V31" s="107">
        <f t="shared" si="7"/>
        <v>2.0588235294117645</v>
      </c>
      <c r="W31" s="164">
        <f>Input!$I$13*PKs!O31+Input!$I$14*PKs!L31+Input!$I$15*PKs!Q31+Input!$I$16*PKs!R31+Input!$I$17*PKs!S31+Input!$I$18*PKs!T31+Input!$I$19*PKs!U31+Input!$I$20*PKs!V31+Input!$I$21*PKs!E31+Input!$I$22*PKs!F31</f>
        <v>91.997495033255589</v>
      </c>
    </row>
    <row r="32" spans="1:23" x14ac:dyDescent="0.25">
      <c r="A32" s="146" t="s">
        <v>579</v>
      </c>
      <c r="B32" s="147" t="s">
        <v>192</v>
      </c>
      <c r="C32" s="150">
        <v>21</v>
      </c>
      <c r="D32" s="151">
        <v>8</v>
      </c>
      <c r="E32" s="150">
        <v>26</v>
      </c>
      <c r="F32" s="151">
        <v>1</v>
      </c>
      <c r="G32" s="105">
        <v>0.4453125</v>
      </c>
      <c r="H32" s="106">
        <v>0.328125</v>
      </c>
      <c r="I32" s="106">
        <v>0.1875</v>
      </c>
      <c r="J32" s="107">
        <v>3.90625E-2</v>
      </c>
      <c r="K32" s="105">
        <v>4.4444444444444446E-2</v>
      </c>
      <c r="L32" s="106">
        <v>0.33333333333333331</v>
      </c>
      <c r="M32" s="106">
        <v>0.53333333333333333</v>
      </c>
      <c r="N32" s="107">
        <v>8.8888888888888892E-2</v>
      </c>
      <c r="O32" s="105">
        <f t="shared" si="0"/>
        <v>9.3515625</v>
      </c>
      <c r="P32" s="106">
        <f t="shared" si="1"/>
        <v>6.890625</v>
      </c>
      <c r="Q32" s="106">
        <f t="shared" si="2"/>
        <v>3.9375</v>
      </c>
      <c r="R32" s="107">
        <f t="shared" si="3"/>
        <v>0.8203125</v>
      </c>
      <c r="S32" s="105">
        <f t="shared" si="4"/>
        <v>0.35555555555555557</v>
      </c>
      <c r="T32" s="106">
        <f t="shared" si="5"/>
        <v>2.6666666666666665</v>
      </c>
      <c r="U32" s="106">
        <f t="shared" si="6"/>
        <v>4.2666666666666666</v>
      </c>
      <c r="V32" s="107">
        <f t="shared" si="7"/>
        <v>0.71111111111111114</v>
      </c>
      <c r="W32" s="164">
        <f>Input!$I$13*PKs!O32+Input!$I$14*PKs!L32+Input!$I$15*PKs!Q32+Input!$I$16*PKs!R32+Input!$I$17*PKs!S32+Input!$I$18*PKs!T32+Input!$I$19*PKs!U32+Input!$I$20*PKs!V32+Input!$I$21*PKs!E32+Input!$I$22*PKs!F32</f>
        <v>79.997395833333329</v>
      </c>
    </row>
    <row r="33" spans="1:23" x14ac:dyDescent="0.25">
      <c r="A33" s="143" t="s">
        <v>580</v>
      </c>
      <c r="B33" s="144" t="s">
        <v>158</v>
      </c>
      <c r="C33" s="152">
        <v>16</v>
      </c>
      <c r="D33" s="153">
        <v>6</v>
      </c>
      <c r="E33" s="152">
        <v>28</v>
      </c>
      <c r="F33" s="153">
        <v>1</v>
      </c>
      <c r="G33" s="108">
        <v>0.4453125</v>
      </c>
      <c r="H33" s="109">
        <v>0.328125</v>
      </c>
      <c r="I33" s="109">
        <v>0.1875</v>
      </c>
      <c r="J33" s="110">
        <v>3.90625E-2</v>
      </c>
      <c r="K33" s="108">
        <v>4.4444444444444446E-2</v>
      </c>
      <c r="L33" s="109">
        <v>0.33333333333333331</v>
      </c>
      <c r="M33" s="109">
        <v>0.53333333333333333</v>
      </c>
      <c r="N33" s="110">
        <v>8.8888888888888892E-2</v>
      </c>
      <c r="O33" s="108">
        <f t="shared" si="0"/>
        <v>7.125</v>
      </c>
      <c r="P33" s="109">
        <f t="shared" si="1"/>
        <v>5.25</v>
      </c>
      <c r="Q33" s="109">
        <f t="shared" si="2"/>
        <v>3</v>
      </c>
      <c r="R33" s="110">
        <f t="shared" si="3"/>
        <v>0.625</v>
      </c>
      <c r="S33" s="108">
        <f t="shared" si="4"/>
        <v>0.26666666666666666</v>
      </c>
      <c r="T33" s="109">
        <f t="shared" si="5"/>
        <v>2</v>
      </c>
      <c r="U33" s="109">
        <f t="shared" si="6"/>
        <v>3.2</v>
      </c>
      <c r="V33" s="110">
        <f t="shared" si="7"/>
        <v>0.53333333333333333</v>
      </c>
      <c r="W33" s="163">
        <f>Input!$I$13*PKs!O33+Input!$I$14*PKs!L33+Input!$I$15*PKs!Q33+Input!$I$16*PKs!R33+Input!$I$17*PKs!S33+Input!$I$18*PKs!T33+Input!$I$19*PKs!U33+Input!$I$20*PKs!V33+Input!$I$21*PKs!E33+Input!$I$22*PKs!F33</f>
        <v>69.458333333333329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B20" sqref="B20"/>
    </sheetView>
  </sheetViews>
  <sheetFormatPr defaultRowHeight="13.2" x14ac:dyDescent="0.25"/>
  <cols>
    <col min="1" max="1" width="20.88671875" style="165" customWidth="1"/>
    <col min="2" max="2" width="4.33203125" style="6" customWidth="1"/>
    <col min="3" max="3" width="9.5546875" style="6" customWidth="1"/>
    <col min="4" max="4" width="11.5546875" style="6" customWidth="1"/>
    <col min="5" max="5" width="6.33203125" style="6" customWidth="1"/>
    <col min="6" max="6" width="7.6640625" style="6" customWidth="1"/>
    <col min="7" max="7" width="12.88671875" style="166" customWidth="1"/>
    <col min="8" max="8" width="13.33203125" style="6" customWidth="1"/>
    <col min="9" max="9" width="7.6640625" style="6" customWidth="1"/>
  </cols>
  <sheetData>
    <row r="1" spans="1:9" x14ac:dyDescent="0.25">
      <c r="A1" s="176"/>
      <c r="B1" s="142"/>
      <c r="C1" s="156" t="s">
        <v>581</v>
      </c>
      <c r="D1" s="156"/>
      <c r="E1" s="156"/>
      <c r="F1" s="156"/>
      <c r="G1" s="174" t="s">
        <v>122</v>
      </c>
      <c r="H1" s="141" t="s">
        <v>582</v>
      </c>
      <c r="I1" s="158" t="s">
        <v>119</v>
      </c>
    </row>
    <row r="2" spans="1:9" x14ac:dyDescent="0.25">
      <c r="A2" s="168" t="s">
        <v>3</v>
      </c>
      <c r="B2" s="145" t="s">
        <v>124</v>
      </c>
      <c r="C2" s="157" t="s">
        <v>583</v>
      </c>
      <c r="D2" s="157" t="s">
        <v>12</v>
      </c>
      <c r="E2" s="157" t="s">
        <v>14</v>
      </c>
      <c r="F2" s="157" t="s">
        <v>15</v>
      </c>
      <c r="G2" s="175" t="s">
        <v>584</v>
      </c>
      <c r="H2" s="144" t="s">
        <v>584</v>
      </c>
      <c r="I2" s="159" t="s">
        <v>582</v>
      </c>
    </row>
    <row r="3" spans="1:9" x14ac:dyDescent="0.25">
      <c r="A3" s="167" t="s">
        <v>108</v>
      </c>
      <c r="B3" s="150">
        <v>8</v>
      </c>
      <c r="C3" s="154">
        <v>8</v>
      </c>
      <c r="D3" s="154">
        <v>24</v>
      </c>
      <c r="E3" s="154">
        <v>52</v>
      </c>
      <c r="F3" s="154">
        <v>1</v>
      </c>
      <c r="G3" s="169">
        <v>5060</v>
      </c>
      <c r="H3" s="170">
        <v>280.8</v>
      </c>
      <c r="I3" s="160">
        <f>Input!$I$4*Defs!B3+Input!$I$5*Defs!C3+Input!$I$6*Defs!D3+Input!$I$7*Defs!E3+Input!$I$8*Defs!F3+Input!$I$9*Defs!G3+Input!$I$10*Defs!H3</f>
        <v>87.320000000000007</v>
      </c>
    </row>
    <row r="4" spans="1:9" x14ac:dyDescent="0.25">
      <c r="A4" s="167" t="s">
        <v>111</v>
      </c>
      <c r="B4" s="150">
        <v>6</v>
      </c>
      <c r="C4" s="154">
        <v>16</v>
      </c>
      <c r="D4" s="154">
        <v>28</v>
      </c>
      <c r="E4" s="154">
        <v>45</v>
      </c>
      <c r="F4" s="154">
        <v>1</v>
      </c>
      <c r="G4" s="169">
        <v>5200</v>
      </c>
      <c r="H4" s="170">
        <v>340.2</v>
      </c>
      <c r="I4" s="160">
        <f>Input!$I$4*Defs!B4+Input!$I$5*Defs!C4+Input!$I$6*Defs!D4+Input!$I$7*Defs!E4+Input!$I$8*Defs!F4+Input!$I$9*Defs!G4+Input!$I$10*Defs!H4</f>
        <v>84.97999999999999</v>
      </c>
    </row>
    <row r="5" spans="1:9" x14ac:dyDescent="0.25">
      <c r="A5" s="167" t="s">
        <v>83</v>
      </c>
      <c r="B5" s="150">
        <v>6</v>
      </c>
      <c r="C5" s="154">
        <v>12</v>
      </c>
      <c r="D5" s="154">
        <v>24</v>
      </c>
      <c r="E5" s="154">
        <v>47</v>
      </c>
      <c r="F5" s="154">
        <v>1</v>
      </c>
      <c r="G5" s="169">
        <v>4600</v>
      </c>
      <c r="H5" s="170">
        <v>270</v>
      </c>
      <c r="I5" s="160">
        <f>Input!$I$4*Defs!B5+Input!$I$5*Defs!C5+Input!$I$6*Defs!D5+Input!$I$7*Defs!E5+Input!$I$8*Defs!F5+Input!$I$9*Defs!G5+Input!$I$10*Defs!H5</f>
        <v>84</v>
      </c>
    </row>
    <row r="6" spans="1:9" x14ac:dyDescent="0.25">
      <c r="A6" s="167" t="s">
        <v>110</v>
      </c>
      <c r="B6" s="150">
        <v>6</v>
      </c>
      <c r="C6" s="154">
        <v>20</v>
      </c>
      <c r="D6" s="154">
        <v>14</v>
      </c>
      <c r="E6" s="154">
        <v>45</v>
      </c>
      <c r="F6" s="154">
        <v>2</v>
      </c>
      <c r="G6" s="169">
        <v>5540</v>
      </c>
      <c r="H6" s="170">
        <v>313.2</v>
      </c>
      <c r="I6" s="160">
        <f>Input!$I$4*Defs!B6+Input!$I$5*Defs!C6+Input!$I$6*Defs!D6+Input!$I$7*Defs!E6+Input!$I$8*Defs!F6+Input!$I$9*Defs!G6+Input!$I$10*Defs!H6</f>
        <v>66.28</v>
      </c>
    </row>
    <row r="7" spans="1:9" x14ac:dyDescent="0.25">
      <c r="A7" s="167" t="s">
        <v>94</v>
      </c>
      <c r="B7" s="150">
        <v>6</v>
      </c>
      <c r="C7" s="154">
        <v>14</v>
      </c>
      <c r="D7" s="154">
        <v>16</v>
      </c>
      <c r="E7" s="154">
        <v>48</v>
      </c>
      <c r="F7" s="154">
        <v>1</v>
      </c>
      <c r="G7" s="169">
        <v>4800</v>
      </c>
      <c r="H7" s="170">
        <v>264.60000000000002</v>
      </c>
      <c r="I7" s="160">
        <f>Input!$I$4*Defs!B7+Input!$I$5*Defs!C7+Input!$I$6*Defs!D7+Input!$I$7*Defs!E7+Input!$I$8*Defs!F7+Input!$I$9*Defs!G7+Input!$I$10*Defs!H7</f>
        <v>71.539999999999992</v>
      </c>
    </row>
    <row r="8" spans="1:9" x14ac:dyDescent="0.25">
      <c r="A8" s="167" t="s">
        <v>107</v>
      </c>
      <c r="B8" s="150">
        <v>5</v>
      </c>
      <c r="C8" s="154">
        <v>12</v>
      </c>
      <c r="D8" s="154">
        <v>27</v>
      </c>
      <c r="E8" s="154">
        <v>45</v>
      </c>
      <c r="F8" s="154">
        <v>0</v>
      </c>
      <c r="G8" s="169">
        <v>5700</v>
      </c>
      <c r="H8" s="170">
        <v>307.8</v>
      </c>
      <c r="I8" s="160">
        <f>Input!$I$4*Defs!B8+Input!$I$5*Defs!C8+Input!$I$6*Defs!D8+Input!$I$7*Defs!E8+Input!$I$8*Defs!F8+Input!$I$9*Defs!G8+Input!$I$10*Defs!H8</f>
        <v>65.22</v>
      </c>
    </row>
    <row r="9" spans="1:9" x14ac:dyDescent="0.25">
      <c r="A9" s="167" t="s">
        <v>109</v>
      </c>
      <c r="B9" s="150">
        <v>7</v>
      </c>
      <c r="C9" s="154">
        <v>12</v>
      </c>
      <c r="D9" s="154">
        <v>18</v>
      </c>
      <c r="E9" s="154">
        <v>40</v>
      </c>
      <c r="F9" s="154">
        <v>1</v>
      </c>
      <c r="G9" s="169">
        <v>4700</v>
      </c>
      <c r="H9" s="170">
        <v>248.4</v>
      </c>
      <c r="I9" s="160">
        <f>Input!$I$4*Defs!B9+Input!$I$5*Defs!C9+Input!$I$6*Defs!D9+Input!$I$7*Defs!E9+Input!$I$8*Defs!F9+Input!$I$9*Defs!G9+Input!$I$10*Defs!H9</f>
        <v>72.16</v>
      </c>
    </row>
    <row r="10" spans="1:9" x14ac:dyDescent="0.25">
      <c r="A10" s="167" t="s">
        <v>102</v>
      </c>
      <c r="B10" s="150">
        <v>5</v>
      </c>
      <c r="C10" s="154">
        <v>14</v>
      </c>
      <c r="D10" s="154">
        <v>21</v>
      </c>
      <c r="E10" s="154">
        <v>43</v>
      </c>
      <c r="F10" s="154">
        <v>0</v>
      </c>
      <c r="G10" s="169">
        <v>5200</v>
      </c>
      <c r="H10" s="170">
        <v>324</v>
      </c>
      <c r="I10" s="160">
        <f>Input!$I$4*Defs!B10+Input!$I$5*Defs!C10+Input!$I$6*Defs!D10+Input!$I$7*Defs!E10+Input!$I$8*Defs!F10+Input!$I$9*Defs!G10+Input!$I$10*Defs!H10</f>
        <v>58.6</v>
      </c>
    </row>
    <row r="11" spans="1:9" x14ac:dyDescent="0.25">
      <c r="A11" s="167" t="s">
        <v>96</v>
      </c>
      <c r="B11" s="150">
        <v>5</v>
      </c>
      <c r="C11" s="154">
        <v>10</v>
      </c>
      <c r="D11" s="154">
        <v>22</v>
      </c>
      <c r="E11" s="154">
        <v>41</v>
      </c>
      <c r="F11" s="154">
        <v>1</v>
      </c>
      <c r="G11" s="169">
        <v>4900</v>
      </c>
      <c r="H11" s="170">
        <v>286.2</v>
      </c>
      <c r="I11" s="160">
        <f>Input!$I$4*Defs!B11+Input!$I$5*Defs!C11+Input!$I$6*Defs!D11+Input!$I$7*Defs!E11+Input!$I$8*Defs!F11+Input!$I$9*Defs!G11+Input!$I$10*Defs!H11</f>
        <v>59.379999999999995</v>
      </c>
    </row>
    <row r="12" spans="1:9" x14ac:dyDescent="0.25">
      <c r="A12" s="167" t="s">
        <v>103</v>
      </c>
      <c r="B12" s="150">
        <v>4</v>
      </c>
      <c r="C12" s="154">
        <v>15</v>
      </c>
      <c r="D12" s="154">
        <v>24</v>
      </c>
      <c r="E12" s="154">
        <v>40</v>
      </c>
      <c r="F12" s="154">
        <v>1</v>
      </c>
      <c r="G12" s="169">
        <v>5600</v>
      </c>
      <c r="H12" s="170">
        <v>356.4</v>
      </c>
      <c r="I12" s="160">
        <f>Input!$I$4*Defs!B12+Input!$I$5*Defs!C12+Input!$I$6*Defs!D12+Input!$I$7*Defs!E12+Input!$I$8*Defs!F12+Input!$I$9*Defs!G12+Input!$I$10*Defs!H12</f>
        <v>52.36</v>
      </c>
    </row>
    <row r="13" spans="1:9" x14ac:dyDescent="0.25">
      <c r="A13" s="167" t="s">
        <v>90</v>
      </c>
      <c r="B13" s="150">
        <v>4</v>
      </c>
      <c r="C13" s="154">
        <v>11</v>
      </c>
      <c r="D13" s="154">
        <v>17</v>
      </c>
      <c r="E13" s="154">
        <v>48</v>
      </c>
      <c r="F13" s="154">
        <v>1</v>
      </c>
      <c r="G13" s="169">
        <v>5050</v>
      </c>
      <c r="H13" s="170">
        <v>318.60000000000002</v>
      </c>
      <c r="I13" s="160">
        <f>Input!$I$4*Defs!B13+Input!$I$5*Defs!C13+Input!$I$6*Defs!D13+Input!$I$7*Defs!E13+Input!$I$8*Defs!F13+Input!$I$9*Defs!G13+Input!$I$10*Defs!H13</f>
        <v>47.64</v>
      </c>
    </row>
    <row r="14" spans="1:9" x14ac:dyDescent="0.25">
      <c r="A14" s="167" t="s">
        <v>95</v>
      </c>
      <c r="B14" s="150">
        <v>5</v>
      </c>
      <c r="C14" s="154">
        <v>17</v>
      </c>
      <c r="D14" s="154">
        <v>18</v>
      </c>
      <c r="E14" s="154">
        <v>35</v>
      </c>
      <c r="F14" s="154">
        <v>1</v>
      </c>
      <c r="G14" s="169">
        <v>5330</v>
      </c>
      <c r="H14" s="170">
        <v>334.8</v>
      </c>
      <c r="I14" s="160">
        <f>Input!$I$4*Defs!B14+Input!$I$5*Defs!C14+Input!$I$6*Defs!D14+Input!$I$7*Defs!E14+Input!$I$8*Defs!F14+Input!$I$9*Defs!G14+Input!$I$10*Defs!H14</f>
        <v>50.219999999999985</v>
      </c>
    </row>
    <row r="15" spans="1:9" x14ac:dyDescent="0.25">
      <c r="A15" s="167" t="s">
        <v>99</v>
      </c>
      <c r="B15" s="150">
        <v>3</v>
      </c>
      <c r="C15" s="154">
        <v>14</v>
      </c>
      <c r="D15" s="154">
        <v>20</v>
      </c>
      <c r="E15" s="154">
        <v>46</v>
      </c>
      <c r="F15" s="154">
        <v>1</v>
      </c>
      <c r="G15" s="169">
        <v>5600</v>
      </c>
      <c r="H15" s="170">
        <v>388.8</v>
      </c>
      <c r="I15" s="160">
        <f>Input!$I$4*Defs!B15+Input!$I$5*Defs!C15+Input!$I$6*Defs!D15+Input!$I$7*Defs!E15+Input!$I$8*Defs!F15+Input!$I$9*Defs!G15+Input!$I$10*Defs!H15</f>
        <v>39.119999999999997</v>
      </c>
    </row>
    <row r="16" spans="1:9" x14ac:dyDescent="0.25">
      <c r="A16" s="167" t="s">
        <v>92</v>
      </c>
      <c r="B16" s="150">
        <v>4</v>
      </c>
      <c r="C16" s="154">
        <v>12</v>
      </c>
      <c r="D16" s="154">
        <v>23</v>
      </c>
      <c r="E16" s="154">
        <v>35</v>
      </c>
      <c r="F16" s="154">
        <v>1</v>
      </c>
      <c r="G16" s="169">
        <v>5400</v>
      </c>
      <c r="H16" s="170">
        <v>324</v>
      </c>
      <c r="I16" s="160">
        <f>Input!$I$4*Defs!B16+Input!$I$5*Defs!C16+Input!$I$6*Defs!D16+Input!$I$7*Defs!E16+Input!$I$8*Defs!F16+Input!$I$9*Defs!G16+Input!$I$10*Defs!H16</f>
        <v>44.6</v>
      </c>
    </row>
    <row r="17" spans="1:9" x14ac:dyDescent="0.25">
      <c r="A17" s="167" t="s">
        <v>86</v>
      </c>
      <c r="B17" s="150">
        <v>3</v>
      </c>
      <c r="C17" s="154">
        <v>22</v>
      </c>
      <c r="D17" s="154">
        <v>18</v>
      </c>
      <c r="E17" s="154">
        <v>38</v>
      </c>
      <c r="F17" s="154">
        <v>0</v>
      </c>
      <c r="G17" s="169">
        <v>5330</v>
      </c>
      <c r="H17" s="170">
        <v>324</v>
      </c>
      <c r="I17" s="160">
        <f>Input!$I$4*Defs!B17+Input!$I$5*Defs!C17+Input!$I$6*Defs!D17+Input!$I$7*Defs!E17+Input!$I$8*Defs!F17+Input!$I$9*Defs!G17+Input!$I$10*Defs!H17</f>
        <v>50.29999999999999</v>
      </c>
    </row>
    <row r="18" spans="1:9" x14ac:dyDescent="0.25">
      <c r="A18" s="167" t="s">
        <v>98</v>
      </c>
      <c r="B18" s="150">
        <v>4</v>
      </c>
      <c r="C18" s="154">
        <v>13</v>
      </c>
      <c r="D18" s="154">
        <v>18</v>
      </c>
      <c r="E18" s="154">
        <v>40</v>
      </c>
      <c r="F18" s="154">
        <v>0</v>
      </c>
      <c r="G18" s="169">
        <v>5100</v>
      </c>
      <c r="H18" s="170">
        <v>307.8</v>
      </c>
      <c r="I18" s="160">
        <f>Input!$I$4*Defs!B18+Input!$I$5*Defs!C18+Input!$I$6*Defs!D18+Input!$I$7*Defs!E18+Input!$I$8*Defs!F18+Input!$I$9*Defs!G18+Input!$I$10*Defs!H18</f>
        <v>44.22</v>
      </c>
    </row>
    <row r="19" spans="1:9" x14ac:dyDescent="0.25">
      <c r="A19" s="167" t="s">
        <v>91</v>
      </c>
      <c r="B19" s="150">
        <v>3</v>
      </c>
      <c r="C19" s="154">
        <v>13</v>
      </c>
      <c r="D19" s="154">
        <v>15</v>
      </c>
      <c r="E19" s="154">
        <v>46</v>
      </c>
      <c r="F19" s="154">
        <v>1</v>
      </c>
      <c r="G19" s="169">
        <v>5540</v>
      </c>
      <c r="H19" s="170">
        <v>340.2</v>
      </c>
      <c r="I19" s="160">
        <f>Input!$I$4*Defs!B19+Input!$I$5*Defs!C19+Input!$I$6*Defs!D19+Input!$I$7*Defs!E19+Input!$I$8*Defs!F19+Input!$I$9*Defs!G19+Input!$I$10*Defs!H19</f>
        <v>32.579999999999991</v>
      </c>
    </row>
    <row r="20" spans="1:9" x14ac:dyDescent="0.25">
      <c r="A20" s="167" t="s">
        <v>85</v>
      </c>
      <c r="B20" s="150">
        <v>5</v>
      </c>
      <c r="C20" s="154">
        <v>16</v>
      </c>
      <c r="D20" s="154">
        <v>19</v>
      </c>
      <c r="E20" s="154">
        <v>45</v>
      </c>
      <c r="F20" s="154">
        <v>0</v>
      </c>
      <c r="G20" s="169">
        <v>5300</v>
      </c>
      <c r="H20" s="170">
        <v>340</v>
      </c>
      <c r="I20" s="160">
        <f>Input!$I$4*Defs!B20+Input!$I$5*Defs!C20+Input!$I$6*Defs!D20+Input!$I$7*Defs!E20+Input!$I$8*Defs!F20+Input!$I$9*Defs!G20+Input!$I$10*Defs!H20</f>
        <v>58</v>
      </c>
    </row>
    <row r="21" spans="1:9" x14ac:dyDescent="0.25">
      <c r="A21" s="167" t="s">
        <v>100</v>
      </c>
      <c r="B21" s="150">
        <v>4</v>
      </c>
      <c r="C21" s="154">
        <v>7</v>
      </c>
      <c r="D21" s="154">
        <v>18</v>
      </c>
      <c r="E21" s="154">
        <v>41</v>
      </c>
      <c r="F21" s="154">
        <v>0</v>
      </c>
      <c r="G21" s="169">
        <v>5300</v>
      </c>
      <c r="H21" s="170">
        <v>313.2</v>
      </c>
      <c r="I21" s="160">
        <f>Input!$I$4*Defs!B21+Input!$I$5*Defs!C21+Input!$I$6*Defs!D21+Input!$I$7*Defs!E21+Input!$I$8*Defs!F21+Input!$I$9*Defs!G21+Input!$I$10*Defs!H21</f>
        <v>30.68</v>
      </c>
    </row>
    <row r="22" spans="1:9" x14ac:dyDescent="0.25">
      <c r="A22" s="167" t="s">
        <v>105</v>
      </c>
      <c r="B22" s="150">
        <v>3</v>
      </c>
      <c r="C22" s="154">
        <v>11</v>
      </c>
      <c r="D22" s="154">
        <v>18</v>
      </c>
      <c r="E22" s="154">
        <v>40</v>
      </c>
      <c r="F22" s="154">
        <v>1</v>
      </c>
      <c r="G22" s="169">
        <v>5200</v>
      </c>
      <c r="H22" s="170">
        <v>307.8</v>
      </c>
      <c r="I22" s="160">
        <f>Input!$I$4*Defs!B22+Input!$I$5*Defs!C22+Input!$I$6*Defs!D22+Input!$I$7*Defs!E22+Input!$I$8*Defs!F22+Input!$I$9*Defs!G22+Input!$I$10*Defs!H22</f>
        <v>35.22</v>
      </c>
    </row>
    <row r="23" spans="1:9" x14ac:dyDescent="0.25">
      <c r="A23" s="167" t="s">
        <v>104</v>
      </c>
      <c r="B23" s="150">
        <v>3</v>
      </c>
      <c r="C23" s="154">
        <v>14</v>
      </c>
      <c r="D23" s="154">
        <v>15</v>
      </c>
      <c r="E23" s="154">
        <v>41</v>
      </c>
      <c r="F23" s="154">
        <v>0</v>
      </c>
      <c r="G23" s="169">
        <v>5330</v>
      </c>
      <c r="H23" s="170">
        <v>291.60000000000002</v>
      </c>
      <c r="I23" s="160">
        <f>Input!$I$4*Defs!B23+Input!$I$5*Defs!C23+Input!$I$6*Defs!D23+Input!$I$7*Defs!E23+Input!$I$8*Defs!F23+Input!$I$9*Defs!G23+Input!$I$10*Defs!H23</f>
        <v>34.539999999999992</v>
      </c>
    </row>
    <row r="24" spans="1:9" x14ac:dyDescent="0.25">
      <c r="A24" s="167" t="s">
        <v>89</v>
      </c>
      <c r="B24" s="150">
        <v>4</v>
      </c>
      <c r="C24" s="154">
        <v>10</v>
      </c>
      <c r="D24" s="154">
        <v>17</v>
      </c>
      <c r="E24" s="154">
        <v>34</v>
      </c>
      <c r="F24" s="154">
        <v>1</v>
      </c>
      <c r="G24" s="169">
        <v>5400</v>
      </c>
      <c r="H24" s="170">
        <v>334.8</v>
      </c>
      <c r="I24" s="160">
        <f>Input!$I$4*Defs!B24+Input!$I$5*Defs!C24+Input!$I$6*Defs!D24+Input!$I$7*Defs!E24+Input!$I$8*Defs!F24+Input!$I$9*Defs!G24+Input!$I$10*Defs!H24</f>
        <v>26.519999999999996</v>
      </c>
    </row>
    <row r="25" spans="1:9" x14ac:dyDescent="0.25">
      <c r="A25" s="167" t="s">
        <v>106</v>
      </c>
      <c r="B25" s="150">
        <v>3</v>
      </c>
      <c r="C25" s="154">
        <v>10</v>
      </c>
      <c r="D25" s="154">
        <v>16</v>
      </c>
      <c r="E25" s="154">
        <v>40</v>
      </c>
      <c r="F25" s="154">
        <v>1</v>
      </c>
      <c r="G25" s="169">
        <v>5920</v>
      </c>
      <c r="H25" s="170">
        <v>410.4</v>
      </c>
      <c r="I25" s="160">
        <f>Input!$I$4*Defs!B25+Input!$I$5*Defs!C25+Input!$I$6*Defs!D25+Input!$I$7*Defs!E25+Input!$I$8*Defs!F25+Input!$I$9*Defs!G25+Input!$I$10*Defs!H25</f>
        <v>11.759999999999998</v>
      </c>
    </row>
    <row r="26" spans="1:9" x14ac:dyDescent="0.25">
      <c r="A26" s="167" t="s">
        <v>93</v>
      </c>
      <c r="B26" s="150">
        <v>4</v>
      </c>
      <c r="C26" s="154">
        <v>11</v>
      </c>
      <c r="D26" s="154">
        <v>10</v>
      </c>
      <c r="E26" s="154">
        <v>40</v>
      </c>
      <c r="F26" s="154">
        <v>0</v>
      </c>
      <c r="G26" s="169">
        <v>5600</v>
      </c>
      <c r="H26" s="170">
        <v>345.6</v>
      </c>
      <c r="I26" s="160">
        <f>Input!$I$4*Defs!B26+Input!$I$5*Defs!C26+Input!$I$6*Defs!D26+Input!$I$7*Defs!E26+Input!$I$8*Defs!F26+Input!$I$9*Defs!G26+Input!$I$10*Defs!H26</f>
        <v>15.439999999999998</v>
      </c>
    </row>
    <row r="27" spans="1:9" x14ac:dyDescent="0.25">
      <c r="A27" s="167" t="s">
        <v>101</v>
      </c>
      <c r="B27" s="150">
        <v>3</v>
      </c>
      <c r="C27" s="154">
        <v>10</v>
      </c>
      <c r="D27" s="154">
        <v>23</v>
      </c>
      <c r="E27" s="154">
        <v>31</v>
      </c>
      <c r="F27" s="154">
        <v>1</v>
      </c>
      <c r="G27" s="169">
        <v>5440</v>
      </c>
      <c r="H27" s="170">
        <v>307.8</v>
      </c>
      <c r="I27" s="160">
        <f>Input!$I$4*Defs!B27+Input!$I$5*Defs!C27+Input!$I$6*Defs!D27+Input!$I$7*Defs!E27+Input!$I$8*Defs!F27+Input!$I$9*Defs!G27+Input!$I$10*Defs!H27</f>
        <v>31.82</v>
      </c>
    </row>
    <row r="28" spans="1:9" x14ac:dyDescent="0.25">
      <c r="A28" s="167" t="s">
        <v>97</v>
      </c>
      <c r="B28" s="150">
        <v>2</v>
      </c>
      <c r="C28" s="154">
        <v>16</v>
      </c>
      <c r="D28" s="154">
        <v>15</v>
      </c>
      <c r="E28" s="154">
        <v>41</v>
      </c>
      <c r="F28" s="154">
        <v>0</v>
      </c>
      <c r="G28" s="169">
        <v>5800</v>
      </c>
      <c r="H28" s="170">
        <v>313.2</v>
      </c>
      <c r="I28" s="160">
        <f>Input!$I$4*Defs!B28+Input!$I$5*Defs!C28+Input!$I$6*Defs!D28+Input!$I$7*Defs!E28+Input!$I$8*Defs!F28+Input!$I$9*Defs!G28+Input!$I$10*Defs!H28</f>
        <v>25.68</v>
      </c>
    </row>
    <row r="29" spans="1:9" x14ac:dyDescent="0.25">
      <c r="A29" s="167" t="s">
        <v>81</v>
      </c>
      <c r="B29" s="150">
        <v>2</v>
      </c>
      <c r="C29" s="154">
        <v>14</v>
      </c>
      <c r="D29" s="154">
        <v>18</v>
      </c>
      <c r="E29" s="154">
        <v>34</v>
      </c>
      <c r="F29" s="154">
        <v>1</v>
      </c>
      <c r="G29" s="169">
        <v>5700</v>
      </c>
      <c r="H29" s="170">
        <v>367.2</v>
      </c>
      <c r="I29" s="160">
        <f>Input!$I$4*Defs!B29+Input!$I$5*Defs!C29+Input!$I$6*Defs!D29+Input!$I$7*Defs!E29+Input!$I$8*Defs!F29+Input!$I$9*Defs!G29+Input!$I$10*Defs!H29</f>
        <v>18.28</v>
      </c>
    </row>
    <row r="30" spans="1:9" x14ac:dyDescent="0.25">
      <c r="A30" s="167" t="s">
        <v>84</v>
      </c>
      <c r="B30" s="150">
        <v>4</v>
      </c>
      <c r="C30" s="154">
        <v>9</v>
      </c>
      <c r="D30" s="154">
        <v>12</v>
      </c>
      <c r="E30" s="154">
        <v>34</v>
      </c>
      <c r="F30" s="154">
        <v>0</v>
      </c>
      <c r="G30" s="169">
        <v>4900</v>
      </c>
      <c r="H30" s="170">
        <v>307.8</v>
      </c>
      <c r="I30" s="160">
        <f>Input!$I$4*Defs!B30+Input!$I$5*Defs!C30+Input!$I$6*Defs!D30+Input!$I$7*Defs!E30+Input!$I$8*Defs!F30+Input!$I$9*Defs!G30+Input!$I$10*Defs!H30</f>
        <v>20.22</v>
      </c>
    </row>
    <row r="31" spans="1:9" x14ac:dyDescent="0.25">
      <c r="A31" s="167" t="s">
        <v>82</v>
      </c>
      <c r="B31" s="150">
        <v>2</v>
      </c>
      <c r="C31" s="154">
        <v>10</v>
      </c>
      <c r="D31" s="154">
        <v>13</v>
      </c>
      <c r="E31" s="154">
        <v>34</v>
      </c>
      <c r="F31" s="154">
        <v>1</v>
      </c>
      <c r="G31" s="169">
        <v>5540</v>
      </c>
      <c r="H31" s="170">
        <v>367.2</v>
      </c>
      <c r="I31" s="160">
        <f>Input!$I$4*Defs!B31+Input!$I$5*Defs!C31+Input!$I$6*Defs!D31+Input!$I$7*Defs!E31+Input!$I$8*Defs!F31+Input!$I$9*Defs!G31+Input!$I$10*Defs!H31</f>
        <v>1.8800000000000026</v>
      </c>
    </row>
    <row r="32" spans="1:9" x14ac:dyDescent="0.25">
      <c r="A32" s="167" t="s">
        <v>87</v>
      </c>
      <c r="B32" s="150">
        <v>2</v>
      </c>
      <c r="C32" s="154">
        <v>12</v>
      </c>
      <c r="D32" s="154">
        <v>12</v>
      </c>
      <c r="E32" s="154">
        <v>30</v>
      </c>
      <c r="F32" s="154">
        <v>0</v>
      </c>
      <c r="G32" s="169">
        <v>5760</v>
      </c>
      <c r="H32" s="170">
        <v>432</v>
      </c>
      <c r="I32" s="160">
        <f>Input!$I$4*Defs!B32+Input!$I$5*Defs!C32+Input!$I$6*Defs!D32+Input!$I$7*Defs!E32+Input!$I$8*Defs!F32+Input!$I$9*Defs!G32+Input!$I$10*Defs!H32</f>
        <v>-10.800000000000004</v>
      </c>
    </row>
    <row r="33" spans="1:9" x14ac:dyDescent="0.25">
      <c r="A33" s="168" t="s">
        <v>88</v>
      </c>
      <c r="B33" s="152">
        <v>2</v>
      </c>
      <c r="C33" s="171">
        <v>15</v>
      </c>
      <c r="D33" s="171">
        <v>10</v>
      </c>
      <c r="E33" s="171">
        <v>29</v>
      </c>
      <c r="F33" s="171">
        <v>0</v>
      </c>
      <c r="G33" s="172">
        <v>5960</v>
      </c>
      <c r="H33" s="173">
        <v>453.6</v>
      </c>
      <c r="I33" s="159">
        <f>Input!$I$4*Defs!B33+Input!$I$5*Defs!C33+Input!$I$6*Defs!D33+Input!$I$7*Defs!E33+Input!$I$8*Defs!F33+Input!$I$9*Defs!G33+Input!$I$10*Defs!H33</f>
        <v>-13.960000000000008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tabSelected="1" workbookViewId="0">
      <selection activeCell="A22" sqref="A22"/>
    </sheetView>
  </sheetViews>
  <sheetFormatPr defaultRowHeight="13.2" x14ac:dyDescent="0.25"/>
  <cols>
    <col min="1" max="1" width="73.33203125" customWidth="1"/>
  </cols>
  <sheetData>
    <row r="1" spans="1:1" x14ac:dyDescent="0.25">
      <c r="A1" s="177" t="s">
        <v>585</v>
      </c>
    </row>
    <row r="2" spans="1:1" x14ac:dyDescent="0.25">
      <c r="A2" t="s">
        <v>586</v>
      </c>
    </row>
    <row r="3" spans="1:1" x14ac:dyDescent="0.25">
      <c r="A3" t="s">
        <v>587</v>
      </c>
    </row>
    <row r="4" spans="1:1" x14ac:dyDescent="0.25">
      <c r="A4" t="s">
        <v>588</v>
      </c>
    </row>
    <row r="6" spans="1:1" x14ac:dyDescent="0.25">
      <c r="A6" s="177" t="s">
        <v>589</v>
      </c>
    </row>
    <row r="7" spans="1:1" x14ac:dyDescent="0.25">
      <c r="A7" t="s">
        <v>590</v>
      </c>
    </row>
    <row r="8" spans="1:1" x14ac:dyDescent="0.25">
      <c r="A8" t="s">
        <v>591</v>
      </c>
    </row>
    <row r="9" spans="1:1" x14ac:dyDescent="0.25">
      <c r="A9" t="s">
        <v>592</v>
      </c>
    </row>
    <row r="11" spans="1:1" x14ac:dyDescent="0.25">
      <c r="A11" s="177" t="s">
        <v>593</v>
      </c>
    </row>
    <row r="12" spans="1:1" x14ac:dyDescent="0.25">
      <c r="A12" t="s">
        <v>594</v>
      </c>
    </row>
    <row r="13" spans="1:1" x14ac:dyDescent="0.25">
      <c r="A13" t="s">
        <v>595</v>
      </c>
    </row>
    <row r="14" spans="1:1" x14ac:dyDescent="0.25">
      <c r="A14" t="s">
        <v>596</v>
      </c>
    </row>
    <row r="15" spans="1:1" x14ac:dyDescent="0.25">
      <c r="A15" t="s">
        <v>597</v>
      </c>
    </row>
    <row r="16" spans="1:1" x14ac:dyDescent="0.25">
      <c r="A16" t="s">
        <v>598</v>
      </c>
    </row>
    <row r="17" spans="1:1" x14ac:dyDescent="0.25">
      <c r="A17" t="s">
        <v>599</v>
      </c>
    </row>
    <row r="19" spans="1:1" x14ac:dyDescent="0.25">
      <c r="A19" s="177" t="s">
        <v>600</v>
      </c>
    </row>
    <row r="20" spans="1:1" x14ac:dyDescent="0.25">
      <c r="A20" s="1" t="s">
        <v>601</v>
      </c>
    </row>
    <row r="21" spans="1:1" x14ac:dyDescent="0.25">
      <c r="A21" t="s">
        <v>616</v>
      </c>
    </row>
    <row r="23" spans="1:1" x14ac:dyDescent="0.25">
      <c r="A23" s="17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Input</vt:lpstr>
      <vt:lpstr>Cheat</vt:lpstr>
      <vt:lpstr>QBs</vt:lpstr>
      <vt:lpstr>RBs</vt:lpstr>
      <vt:lpstr>WRs</vt:lpstr>
      <vt:lpstr>TEs</vt:lpstr>
      <vt:lpstr>PKs</vt:lpstr>
      <vt:lpstr>Defs</vt:lpstr>
      <vt:lpstr>Read Me First</vt:lpstr>
      <vt:lpstr>calcs</vt:lpstr>
      <vt:lpstr>Cheat!Print_Area</vt:lpstr>
      <vt:lpstr>Defs!Print_Area</vt:lpstr>
      <vt:lpstr>QBs!Print_Area</vt:lpstr>
      <vt:lpstr>RBs!Print_Area</vt:lpstr>
      <vt:lpstr>TEs!Print_Area</vt:lpstr>
      <vt:lpstr>WRs!Print_Area</vt:lpstr>
    </vt:vector>
  </TitlesOfParts>
  <Company>Cheatsheets.net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VBD Cheatsheet</dc:title>
  <dc:creator>Joe Bryant</dc:creator>
  <cp:lastModifiedBy>Havlíček Jan</cp:lastModifiedBy>
  <cp:lastPrinted>2000-07-30T18:54:33Z</cp:lastPrinted>
  <dcterms:created xsi:type="dcterms:W3CDTF">1999-05-15T23:04:35Z</dcterms:created>
  <dcterms:modified xsi:type="dcterms:W3CDTF">2023-09-10T11:01:54Z</dcterms:modified>
</cp:coreProperties>
</file>