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56" windowHeight="9156" activeTab="1"/>
  </bookViews>
  <sheets>
    <sheet name="Grandfathered Deal Worksheet" sheetId="3" r:id="rId1"/>
    <sheet name="Market Matrix Results" sheetId="1" r:id="rId2"/>
    <sheet name="Curves" sheetId="2" r:id="rId3"/>
  </sheets>
  <definedNames>
    <definedName name="_xlnm._FilterDatabase" localSheetId="1" hidden="1">'Market Matrix Results'!$A$1:$AB$41</definedName>
    <definedName name="_xlnm.Print_Titles" localSheetId="1">'Market Matrix Results'!$1:$1</definedName>
  </definedNames>
  <calcPr calcId="0" fullCalcOnLoad="1"/>
</workbook>
</file>

<file path=xl/calcChain.xml><?xml version="1.0" encoding="utf-8"?>
<calcChain xmlns="http://schemas.openxmlformats.org/spreadsheetml/2006/main">
  <c r="D3" i="2" l="1"/>
  <c r="I3" i="2"/>
  <c r="O3" i="2"/>
  <c r="D4" i="2"/>
  <c r="I4" i="2"/>
  <c r="O4" i="2"/>
  <c r="D5" i="2"/>
  <c r="I5" i="2"/>
  <c r="O5" i="2"/>
  <c r="D6" i="2"/>
  <c r="I6" i="2"/>
  <c r="O6" i="2"/>
  <c r="D7" i="2"/>
  <c r="I7" i="2"/>
  <c r="O7" i="2"/>
  <c r="D8" i="2"/>
  <c r="I8" i="2"/>
  <c r="O8" i="2"/>
  <c r="D9" i="2"/>
  <c r="I9" i="2"/>
  <c r="O9" i="2"/>
  <c r="D10" i="2"/>
  <c r="I10" i="2"/>
  <c r="O10" i="2"/>
  <c r="D11" i="2"/>
  <c r="I11" i="2"/>
  <c r="O11" i="2"/>
  <c r="D12" i="2"/>
  <c r="I12" i="2"/>
  <c r="O12" i="2"/>
  <c r="D13" i="2"/>
  <c r="I13" i="2"/>
  <c r="O13" i="2"/>
  <c r="O14" i="2"/>
  <c r="O15" i="2"/>
  <c r="O16" i="2"/>
  <c r="D17" i="2"/>
  <c r="O17" i="2"/>
  <c r="D18" i="2"/>
  <c r="O18" i="2"/>
  <c r="D19" i="2"/>
  <c r="O19" i="2"/>
  <c r="D20" i="2"/>
  <c r="O20" i="2"/>
  <c r="D21" i="2"/>
  <c r="O21" i="2"/>
  <c r="D22" i="2"/>
  <c r="O22" i="2"/>
  <c r="D23" i="2"/>
  <c r="O23" i="2"/>
  <c r="D24" i="2"/>
  <c r="O24" i="2"/>
  <c r="D25" i="2"/>
  <c r="O25" i="2"/>
  <c r="D26" i="2"/>
  <c r="D27" i="2"/>
  <c r="J2" i="1"/>
  <c r="L2" i="1"/>
  <c r="O2" i="1"/>
  <c r="R2" i="1"/>
  <c r="U2" i="1"/>
  <c r="X2" i="1"/>
  <c r="J3" i="1"/>
  <c r="L3" i="1"/>
  <c r="O3" i="1"/>
  <c r="P3" i="1"/>
  <c r="R3" i="1"/>
  <c r="S3" i="1"/>
  <c r="U3" i="1"/>
  <c r="V3" i="1"/>
  <c r="X3" i="1"/>
  <c r="J4" i="1"/>
  <c r="L4" i="1"/>
  <c r="O4" i="1"/>
  <c r="P4" i="1"/>
  <c r="R4" i="1"/>
  <c r="S4" i="1"/>
  <c r="U4" i="1"/>
  <c r="V4" i="1"/>
  <c r="X4" i="1"/>
  <c r="J5" i="1"/>
  <c r="L5" i="1"/>
  <c r="O5" i="1"/>
  <c r="P5" i="1"/>
  <c r="R5" i="1"/>
  <c r="S5" i="1"/>
  <c r="U5" i="1"/>
  <c r="V5" i="1"/>
  <c r="X5" i="1"/>
  <c r="J6" i="1"/>
  <c r="L6" i="1"/>
  <c r="O6" i="1"/>
  <c r="P6" i="1"/>
  <c r="R6" i="1"/>
  <c r="S6" i="1"/>
  <c r="U6" i="1"/>
  <c r="V6" i="1"/>
  <c r="W6" i="1"/>
  <c r="X6" i="1"/>
  <c r="J7" i="1"/>
  <c r="L7" i="1"/>
  <c r="O7" i="1"/>
  <c r="R7" i="1"/>
  <c r="U7" i="1"/>
  <c r="X7" i="1"/>
  <c r="J8" i="1"/>
  <c r="L8" i="1"/>
  <c r="O8" i="1"/>
  <c r="P8" i="1"/>
  <c r="R8" i="1"/>
  <c r="S8" i="1"/>
  <c r="U8" i="1"/>
  <c r="V8" i="1"/>
  <c r="X8" i="1"/>
  <c r="J9" i="1"/>
  <c r="L9" i="1"/>
  <c r="O9" i="1"/>
  <c r="P9" i="1"/>
  <c r="R9" i="1"/>
  <c r="S9" i="1"/>
  <c r="U9" i="1"/>
  <c r="V9" i="1"/>
  <c r="W9" i="1"/>
  <c r="X9" i="1"/>
  <c r="J10" i="1"/>
  <c r="L10" i="1"/>
  <c r="O10" i="1"/>
  <c r="P10" i="1"/>
  <c r="R10" i="1"/>
  <c r="S10" i="1"/>
  <c r="U10" i="1"/>
  <c r="V10" i="1"/>
  <c r="X10" i="1"/>
  <c r="J11" i="1"/>
  <c r="L11" i="1"/>
  <c r="O11" i="1"/>
  <c r="P11" i="1"/>
  <c r="R11" i="1"/>
  <c r="S11" i="1"/>
  <c r="U11" i="1"/>
  <c r="V11" i="1"/>
  <c r="X11" i="1"/>
  <c r="J12" i="1"/>
  <c r="L12" i="1"/>
  <c r="O12" i="1"/>
  <c r="P12" i="1"/>
  <c r="R12" i="1"/>
  <c r="S12" i="1"/>
  <c r="U12" i="1"/>
  <c r="V12" i="1"/>
  <c r="X12" i="1"/>
  <c r="J13" i="1"/>
  <c r="L13" i="1"/>
  <c r="O13" i="1"/>
  <c r="P13" i="1"/>
  <c r="R13" i="1"/>
  <c r="S13" i="1"/>
  <c r="U13" i="1"/>
  <c r="V13" i="1"/>
  <c r="X13" i="1"/>
  <c r="J14" i="1"/>
  <c r="L14" i="1"/>
  <c r="O14" i="1"/>
  <c r="P14" i="1"/>
  <c r="R14" i="1"/>
  <c r="S14" i="1"/>
  <c r="U14" i="1"/>
  <c r="V14" i="1"/>
  <c r="X14" i="1"/>
  <c r="J15" i="1"/>
  <c r="L15" i="1"/>
  <c r="O15" i="1"/>
  <c r="P15" i="1"/>
  <c r="R15" i="1"/>
  <c r="S15" i="1"/>
  <c r="U15" i="1"/>
  <c r="V15" i="1"/>
  <c r="X15" i="1"/>
  <c r="J16" i="1"/>
  <c r="L16" i="1"/>
  <c r="O16" i="1"/>
  <c r="P16" i="1"/>
  <c r="R16" i="1"/>
  <c r="S16" i="1"/>
  <c r="U16" i="1"/>
  <c r="V16" i="1"/>
  <c r="X16" i="1"/>
  <c r="J17" i="1"/>
  <c r="L17" i="1"/>
  <c r="O17" i="1"/>
  <c r="P17" i="1"/>
  <c r="R17" i="1"/>
  <c r="S17" i="1"/>
  <c r="U17" i="1"/>
  <c r="V17" i="1"/>
  <c r="X17" i="1"/>
  <c r="J18" i="1"/>
  <c r="L18" i="1"/>
  <c r="O18" i="1"/>
  <c r="R18" i="1"/>
  <c r="U18" i="1"/>
  <c r="X18" i="1"/>
  <c r="J19" i="1"/>
  <c r="L19" i="1"/>
  <c r="O19" i="1"/>
  <c r="P19" i="1"/>
  <c r="R19" i="1"/>
  <c r="S19" i="1"/>
  <c r="U19" i="1"/>
  <c r="V19" i="1"/>
  <c r="X19" i="1"/>
  <c r="J20" i="1"/>
  <c r="L20" i="1"/>
  <c r="O20" i="1"/>
  <c r="P20" i="1"/>
  <c r="R20" i="1"/>
  <c r="S20" i="1"/>
  <c r="U20" i="1"/>
  <c r="V20" i="1"/>
  <c r="W20" i="1"/>
  <c r="X20" i="1"/>
  <c r="J21" i="1"/>
  <c r="L21" i="1"/>
  <c r="O21" i="1"/>
  <c r="P21" i="1"/>
  <c r="R21" i="1"/>
  <c r="S21" i="1"/>
  <c r="U21" i="1"/>
  <c r="V21" i="1"/>
  <c r="W21" i="1"/>
  <c r="X21" i="1"/>
  <c r="J22" i="1"/>
  <c r="L22" i="1"/>
  <c r="O22" i="1"/>
  <c r="P22" i="1"/>
  <c r="R22" i="1"/>
  <c r="S22" i="1"/>
  <c r="U22" i="1"/>
  <c r="V22" i="1"/>
  <c r="X22" i="1"/>
  <c r="J23" i="1"/>
  <c r="L23" i="1"/>
  <c r="O23" i="1"/>
  <c r="R23" i="1"/>
  <c r="U23" i="1"/>
  <c r="X23" i="1"/>
  <c r="J24" i="1"/>
  <c r="L24" i="1"/>
  <c r="O24" i="1"/>
  <c r="P24" i="1"/>
  <c r="R24" i="1"/>
  <c r="S24" i="1"/>
  <c r="U24" i="1"/>
  <c r="V24" i="1"/>
  <c r="X24" i="1"/>
  <c r="J25" i="1"/>
  <c r="L25" i="1"/>
  <c r="O25" i="1"/>
  <c r="R25" i="1"/>
  <c r="U25" i="1"/>
  <c r="X25" i="1"/>
  <c r="J26" i="1"/>
  <c r="L26" i="1"/>
  <c r="O26" i="1"/>
  <c r="P26" i="1"/>
  <c r="R26" i="1"/>
  <c r="S26" i="1"/>
  <c r="U26" i="1"/>
  <c r="V26" i="1"/>
  <c r="X26" i="1"/>
  <c r="J27" i="1"/>
  <c r="L27" i="1"/>
  <c r="O27" i="1"/>
  <c r="P27" i="1"/>
  <c r="R27" i="1"/>
  <c r="S27" i="1"/>
  <c r="U27" i="1"/>
  <c r="V27" i="1"/>
  <c r="X27" i="1"/>
  <c r="J28" i="1"/>
  <c r="L28" i="1"/>
  <c r="O28" i="1"/>
  <c r="P28" i="1"/>
  <c r="R28" i="1"/>
  <c r="S28" i="1"/>
  <c r="U28" i="1"/>
  <c r="V28" i="1"/>
  <c r="X28" i="1"/>
  <c r="J29" i="1"/>
  <c r="L29" i="1"/>
  <c r="O29" i="1"/>
  <c r="R29" i="1"/>
  <c r="U29" i="1"/>
  <c r="X29" i="1"/>
  <c r="J30" i="1"/>
  <c r="L30" i="1"/>
  <c r="O30" i="1"/>
  <c r="P30" i="1"/>
  <c r="R30" i="1"/>
  <c r="S30" i="1"/>
  <c r="U30" i="1"/>
  <c r="V30" i="1"/>
  <c r="X30" i="1"/>
  <c r="J31" i="1"/>
  <c r="L31" i="1"/>
  <c r="O31" i="1"/>
  <c r="P31" i="1"/>
  <c r="R31" i="1"/>
  <c r="S31" i="1"/>
  <c r="U31" i="1"/>
  <c r="V31" i="1"/>
  <c r="W31" i="1"/>
  <c r="X31" i="1"/>
  <c r="J32" i="1"/>
  <c r="L32" i="1"/>
  <c r="O32" i="1"/>
  <c r="P32" i="1"/>
  <c r="R32" i="1"/>
  <c r="S32" i="1"/>
  <c r="U32" i="1"/>
  <c r="V32" i="1"/>
  <c r="W32" i="1"/>
  <c r="X32" i="1"/>
  <c r="J33" i="1"/>
  <c r="L33" i="1"/>
  <c r="O33" i="1"/>
  <c r="P33" i="1"/>
  <c r="R33" i="1"/>
  <c r="S33" i="1"/>
  <c r="U33" i="1"/>
  <c r="V33" i="1"/>
  <c r="W33" i="1"/>
  <c r="X33" i="1"/>
  <c r="J34" i="1"/>
  <c r="L34" i="1"/>
  <c r="O34" i="1"/>
  <c r="R34" i="1"/>
  <c r="U34" i="1"/>
  <c r="X34" i="1"/>
  <c r="J35" i="1"/>
  <c r="L35" i="1"/>
  <c r="O35" i="1"/>
  <c r="P35" i="1"/>
  <c r="R35" i="1"/>
  <c r="S35" i="1"/>
  <c r="U35" i="1"/>
  <c r="V35" i="1"/>
  <c r="X35" i="1"/>
  <c r="J36" i="1"/>
  <c r="L36" i="1"/>
  <c r="O36" i="1"/>
  <c r="R36" i="1"/>
  <c r="U36" i="1"/>
  <c r="X36" i="1"/>
  <c r="J37" i="1"/>
  <c r="L37" i="1"/>
  <c r="O37" i="1"/>
  <c r="P37" i="1"/>
  <c r="R37" i="1"/>
  <c r="S37" i="1"/>
  <c r="U37" i="1"/>
  <c r="V37" i="1"/>
  <c r="X37" i="1"/>
  <c r="J38" i="1"/>
  <c r="L38" i="1"/>
  <c r="O38" i="1"/>
  <c r="P38" i="1"/>
  <c r="R38" i="1"/>
  <c r="S38" i="1"/>
  <c r="U38" i="1"/>
  <c r="V38" i="1"/>
  <c r="X38" i="1"/>
  <c r="J39" i="1"/>
  <c r="L39" i="1"/>
  <c r="O39" i="1"/>
  <c r="P39" i="1"/>
  <c r="R39" i="1"/>
  <c r="S39" i="1"/>
  <c r="U39" i="1"/>
  <c r="V39" i="1"/>
  <c r="X39" i="1"/>
  <c r="J40" i="1"/>
  <c r="L40" i="1"/>
  <c r="O40" i="1"/>
  <c r="P40" i="1"/>
  <c r="R40" i="1"/>
  <c r="S40" i="1"/>
  <c r="U40" i="1"/>
  <c r="V40" i="1"/>
  <c r="X40" i="1"/>
  <c r="J41" i="1"/>
  <c r="L41" i="1"/>
  <c r="O41" i="1"/>
  <c r="P41" i="1"/>
  <c r="R41" i="1"/>
  <c r="S41" i="1"/>
  <c r="U41" i="1"/>
  <c r="V41" i="1"/>
  <c r="X41" i="1"/>
  <c r="X43" i="1"/>
</calcChain>
</file>

<file path=xl/comments1.xml><?xml version="1.0" encoding="utf-8"?>
<comments xmlns="http://schemas.openxmlformats.org/spreadsheetml/2006/main">
  <authors>
    <author>hwither</author>
  </authors>
  <commentList>
    <comment ref="M2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For all deals with 0 rate on deal ticket, the originator did not enter a transport rate on deal ticket.  As a result, transport rate = matrix rate for that meter and marketing desk pays all transport.</t>
        </r>
      </text>
    </comment>
  </commentList>
</comments>
</file>

<file path=xl/sharedStrings.xml><?xml version="1.0" encoding="utf-8"?>
<sst xmlns="http://schemas.openxmlformats.org/spreadsheetml/2006/main" count="317" uniqueCount="155">
  <si>
    <t>sitara deal no.</t>
  </si>
  <si>
    <t>start date</t>
  </si>
  <si>
    <t>end date</t>
  </si>
  <si>
    <t>operating zone name</t>
  </si>
  <si>
    <t>meter no.</t>
  </si>
  <si>
    <t>trading zone name</t>
  </si>
  <si>
    <t>curve zone</t>
  </si>
  <si>
    <t>total sales rate-HSC</t>
  </si>
  <si>
    <t>greg rate dec 99</t>
  </si>
  <si>
    <t>greg rate jan 00</t>
  </si>
  <si>
    <t>greg rate feb 00</t>
  </si>
  <si>
    <t>greg rate mar 00</t>
  </si>
  <si>
    <t>greg apr 00</t>
  </si>
  <si>
    <t>cg</t>
  </si>
  <si>
    <t>Premium jan 00</t>
  </si>
  <si>
    <t>Premium feb 00</t>
  </si>
  <si>
    <t>Premium mar 00</t>
  </si>
  <si>
    <t>Premium apr 00</t>
  </si>
  <si>
    <t>in</t>
  </si>
  <si>
    <t>it</t>
  </si>
  <si>
    <t>op</t>
  </si>
  <si>
    <t xml:space="preserve">As of </t>
  </si>
  <si>
    <t>Curves</t>
  </si>
  <si>
    <t>HSC</t>
  </si>
  <si>
    <t>Agua</t>
  </si>
  <si>
    <t>KR</t>
  </si>
  <si>
    <t>Texoma</t>
  </si>
  <si>
    <t>Tville</t>
  </si>
  <si>
    <t>A/S</t>
  </si>
  <si>
    <t>Katy</t>
  </si>
  <si>
    <t>Valley</t>
  </si>
  <si>
    <t>TX City</t>
  </si>
  <si>
    <t>Freeport</t>
  </si>
  <si>
    <t>Corpus</t>
  </si>
  <si>
    <t>trade zone</t>
  </si>
  <si>
    <t>trade name</t>
  </si>
  <si>
    <t xml:space="preserve"> </t>
  </si>
  <si>
    <t>Diff HSC -Curve zone</t>
  </si>
  <si>
    <t>thompsonville</t>
  </si>
  <si>
    <t>robstown</t>
  </si>
  <si>
    <t>king ranch</t>
  </si>
  <si>
    <t>a/s south</t>
  </si>
  <si>
    <t>a/s central</t>
  </si>
  <si>
    <t>a/s east</t>
  </si>
  <si>
    <t>edna</t>
  </si>
  <si>
    <t>texas city</t>
  </si>
  <si>
    <t>east texas</t>
  </si>
  <si>
    <t>freeport</t>
  </si>
  <si>
    <t>ship channel</t>
  </si>
  <si>
    <t>corpus</t>
  </si>
  <si>
    <t>valley</t>
  </si>
  <si>
    <t>mid texas</t>
  </si>
  <si>
    <t>south texas</t>
  </si>
  <si>
    <t>katy</t>
  </si>
  <si>
    <t>west loop</t>
  </si>
  <si>
    <t>east loop</t>
  </si>
  <si>
    <t>three rivers</t>
  </si>
  <si>
    <t>hardin</t>
  </si>
  <si>
    <t>big cowboy</t>
  </si>
  <si>
    <t>nueces</t>
  </si>
  <si>
    <t xml:space="preserve"> bammel</t>
  </si>
  <si>
    <t>Diff btw HSC and Market Dec 99</t>
  </si>
  <si>
    <t>Dec 99 Volume</t>
  </si>
  <si>
    <t>Feb 00 Volume</t>
  </si>
  <si>
    <t>HSC - Market</t>
  </si>
  <si>
    <t>Jan 00 Volume</t>
  </si>
  <si>
    <t>Total Greg Expense / Addl Rev</t>
  </si>
  <si>
    <t>type</t>
  </si>
  <si>
    <t>G/F Rate</t>
  </si>
  <si>
    <t>trading zone Id - input here</t>
  </si>
  <si>
    <t>Originator</t>
  </si>
  <si>
    <t>94059, 70103, 11688</t>
  </si>
  <si>
    <t>17832, 94058</t>
  </si>
  <si>
    <t>70171, 16270</t>
  </si>
  <si>
    <t>15765, 34825</t>
  </si>
  <si>
    <t>Lamphier</t>
  </si>
  <si>
    <t>109472, 11068</t>
  </si>
  <si>
    <t>92930, 70181, 10653</t>
  </si>
  <si>
    <t>150325, 142503</t>
  </si>
  <si>
    <t>92660, 69379, 11343</t>
  </si>
  <si>
    <t>72047, 56345</t>
  </si>
  <si>
    <t>???</t>
  </si>
  <si>
    <t>93784, 72775, 72706</t>
  </si>
  <si>
    <t>93340, 69869, 52224</t>
  </si>
  <si>
    <t>93175, 69677, 11295</t>
  </si>
  <si>
    <t>92794, 10670</t>
  </si>
  <si>
    <t>93345, 70151, 12974</t>
  </si>
  <si>
    <t>93049, 69702</t>
  </si>
  <si>
    <t>93192, 69387</t>
  </si>
  <si>
    <t>117413, 87512</t>
  </si>
  <si>
    <t>70495, 70549, 70550</t>
  </si>
  <si>
    <t>ENTEX</t>
  </si>
  <si>
    <t>92866, 69501, 11063</t>
  </si>
  <si>
    <t>D2D</t>
  </si>
  <si>
    <t>92924, 73506</t>
  </si>
  <si>
    <t>72349, 65117, 17872</t>
  </si>
  <si>
    <t>TAGG number</t>
  </si>
  <si>
    <t>N08922.1/2</t>
  </si>
  <si>
    <t>N60729, NB6465</t>
  </si>
  <si>
    <t>NA0815</t>
  </si>
  <si>
    <t>N37321.1/2</t>
  </si>
  <si>
    <t>N37345.1/2</t>
  </si>
  <si>
    <t>E50361.1/2</t>
  </si>
  <si>
    <t>E20669</t>
  </si>
  <si>
    <t>94058, 84113, 72527, 14023</t>
  </si>
  <si>
    <t>EX0804</t>
  </si>
  <si>
    <t>N69426</t>
  </si>
  <si>
    <t>EM3202</t>
  </si>
  <si>
    <t>E09762.1</t>
  </si>
  <si>
    <t>E26357.1</t>
  </si>
  <si>
    <t>E25079.2/3</t>
  </si>
  <si>
    <t>N74182.1</t>
  </si>
  <si>
    <t>E24346.1</t>
  </si>
  <si>
    <t>ET3872.1</t>
  </si>
  <si>
    <t>ET9399.1/2</t>
  </si>
  <si>
    <t>EC4312.1</t>
  </si>
  <si>
    <t>92886, 69508, 11144</t>
  </si>
  <si>
    <t>EE5906.1</t>
  </si>
  <si>
    <t>E29502.3/4</t>
  </si>
  <si>
    <t>EK0431.1/2</t>
  </si>
  <si>
    <t>EU7883.1</t>
  </si>
  <si>
    <t>E09882.6</t>
  </si>
  <si>
    <t>E24155.1/2</t>
  </si>
  <si>
    <t>EV6555.1</t>
  </si>
  <si>
    <t>E09757.5/6</t>
  </si>
  <si>
    <t>rate on deal ticket</t>
  </si>
  <si>
    <t>Papayoti</t>
  </si>
  <si>
    <t>Tom or Greg</t>
  </si>
  <si>
    <t>G</t>
  </si>
  <si>
    <t>Weller</t>
  </si>
  <si>
    <t>Wallis</t>
  </si>
  <si>
    <t>Elkins</t>
  </si>
  <si>
    <t>Bilberry</t>
  </si>
  <si>
    <t>Rector</t>
  </si>
  <si>
    <t>Falbaum</t>
  </si>
  <si>
    <t>McClendon</t>
  </si>
  <si>
    <t>Ducote</t>
  </si>
  <si>
    <t>Riley</t>
  </si>
  <si>
    <t>T</t>
  </si>
  <si>
    <t>n/a</t>
  </si>
  <si>
    <t>E09757</t>
  </si>
  <si>
    <t>N37355.1/2</t>
  </si>
  <si>
    <t>70422, 14689</t>
  </si>
  <si>
    <t>no TAGG</t>
  </si>
  <si>
    <t>Premium Dec 99</t>
  </si>
  <si>
    <t>Premium Jan 00</t>
  </si>
  <si>
    <t>Premium Feb 00</t>
  </si>
  <si>
    <t>Premium Mar 00</t>
  </si>
  <si>
    <t>Premium Apr 00</t>
  </si>
  <si>
    <t>109216, 69520, 61168, 15308</t>
  </si>
  <si>
    <t>Expense Dec 99</t>
  </si>
  <si>
    <t>Expense Jan 00</t>
  </si>
  <si>
    <t>Expense Feb 00</t>
  </si>
  <si>
    <t>Expense Mar 00</t>
  </si>
  <si>
    <t>Expense Apr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</si>
</sst>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000_);\(&quot;$&quot;#,##0.00000\)"/>
    <numFmt numFmtId="165" formatCode="&quot;$&quot;#,##0.0000"/>
    <numFmt numFmtId="166" formatCode="&quot;$&quot;#,##0"/>
    <numFmt numFmtId="168" formatCode="m/d/yy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7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7" fontId="1" fillId="0" borderId="0" xfId="0" applyNumberFormat="1" applyFont="1" applyAlignment="1">
      <alignment horizontal="center" wrapText="1"/>
    </xf>
    <xf numFmtId="17" fontId="2" fillId="0" borderId="0" xfId="0" applyNumberFormat="1" applyFont="1" applyAlignment="1">
      <alignment horizontal="center" wrapText="1"/>
    </xf>
    <xf numFmtId="165" fontId="0" fillId="0" borderId="0" xfId="0" applyNumberFormat="1" applyAlignment="1">
      <alignment wrapText="1"/>
    </xf>
    <xf numFmtId="166" fontId="0" fillId="0" borderId="0" xfId="0" applyNumberFormat="1"/>
    <xf numFmtId="17" fontId="0" fillId="0" borderId="0" xfId="0" applyNumberFormat="1"/>
    <xf numFmtId="1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15"/>
  <sheetViews>
    <sheetView workbookViewId="0">
      <selection sqref="A1:H15"/>
    </sheetView>
  </sheetViews>
  <sheetFormatPr defaultRowHeight="13.2" x14ac:dyDescent="0.25"/>
  <cols>
    <col min="6" max="6" width="4.5546875" bestFit="1" customWidth="1"/>
    <col min="8" max="8" width="7" bestFit="1" customWidth="1"/>
    <col min="9" max="9" width="8.5546875" bestFit="1" customWidth="1"/>
    <col min="19" max="19" width="10.88671875" customWidth="1"/>
  </cols>
  <sheetData>
    <row r="1" spans="1:23" s="1" customFormat="1" ht="52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67</v>
      </c>
      <c r="G1" s="1" t="s">
        <v>5</v>
      </c>
      <c r="H1" s="1" t="s">
        <v>69</v>
      </c>
      <c r="I1" s="1" t="s">
        <v>68</v>
      </c>
      <c r="J1" s="6" t="s">
        <v>61</v>
      </c>
      <c r="K1" s="1" t="s">
        <v>8</v>
      </c>
      <c r="L1" s="1" t="s">
        <v>62</v>
      </c>
      <c r="M1" s="1" t="s">
        <v>14</v>
      </c>
      <c r="N1" s="1" t="s">
        <v>9</v>
      </c>
      <c r="O1" s="1" t="s">
        <v>65</v>
      </c>
      <c r="P1" s="1" t="s">
        <v>15</v>
      </c>
      <c r="Q1" s="1" t="s">
        <v>10</v>
      </c>
      <c r="R1" s="1" t="s">
        <v>63</v>
      </c>
      <c r="S1" s="1" t="s">
        <v>66</v>
      </c>
      <c r="T1" s="1" t="s">
        <v>16</v>
      </c>
      <c r="U1" s="1" t="s">
        <v>11</v>
      </c>
      <c r="V1" s="1" t="s">
        <v>17</v>
      </c>
      <c r="W1" s="1" t="s">
        <v>12</v>
      </c>
    </row>
    <row r="2" spans="1:23" x14ac:dyDescent="0.25">
      <c r="E2">
        <v>1005</v>
      </c>
      <c r="F2" t="s">
        <v>18</v>
      </c>
    </row>
    <row r="3" spans="1:23" x14ac:dyDescent="0.25">
      <c r="E3">
        <v>8000</v>
      </c>
      <c r="F3" t="s">
        <v>18</v>
      </c>
    </row>
    <row r="4" spans="1:23" x14ac:dyDescent="0.25">
      <c r="E4">
        <v>1424</v>
      </c>
      <c r="F4" t="s">
        <v>18</v>
      </c>
    </row>
    <row r="5" spans="1:23" x14ac:dyDescent="0.25">
      <c r="E5">
        <v>1388</v>
      </c>
      <c r="F5" t="s">
        <v>18</v>
      </c>
    </row>
    <row r="6" spans="1:23" x14ac:dyDescent="0.25">
      <c r="E6">
        <v>1367</v>
      </c>
      <c r="F6" t="s">
        <v>18</v>
      </c>
    </row>
    <row r="7" spans="1:23" x14ac:dyDescent="0.25">
      <c r="E7">
        <v>1428</v>
      </c>
      <c r="F7" t="s">
        <v>18</v>
      </c>
    </row>
    <row r="8" spans="1:23" x14ac:dyDescent="0.25">
      <c r="E8">
        <v>1576</v>
      </c>
      <c r="F8" t="s">
        <v>18</v>
      </c>
    </row>
    <row r="9" spans="1:23" x14ac:dyDescent="0.25">
      <c r="E9">
        <v>1020</v>
      </c>
      <c r="F9" t="s">
        <v>18</v>
      </c>
    </row>
    <row r="10" spans="1:23" x14ac:dyDescent="0.25">
      <c r="E10">
        <v>1281</v>
      </c>
      <c r="F10" t="s">
        <v>18</v>
      </c>
    </row>
    <row r="11" spans="1:23" x14ac:dyDescent="0.25">
      <c r="E11">
        <v>1554</v>
      </c>
      <c r="F11" t="s">
        <v>18</v>
      </c>
    </row>
    <row r="12" spans="1:23" x14ac:dyDescent="0.25">
      <c r="E12">
        <v>1019</v>
      </c>
      <c r="F12" t="s">
        <v>18</v>
      </c>
    </row>
    <row r="13" spans="1:23" x14ac:dyDescent="0.25">
      <c r="E13">
        <v>1060</v>
      </c>
      <c r="F13" t="s">
        <v>18</v>
      </c>
    </row>
    <row r="14" spans="1:23" x14ac:dyDescent="0.25">
      <c r="E14">
        <v>1225</v>
      </c>
      <c r="F14" t="s">
        <v>18</v>
      </c>
    </row>
    <row r="15" spans="1:23" x14ac:dyDescent="0.25">
      <c r="E15">
        <v>1353</v>
      </c>
      <c r="F15" t="s">
        <v>18</v>
      </c>
    </row>
  </sheetData>
  <pageMargins left="0.75" right="0.75" top="1" bottom="1" header="0.5" footer="0.5"/>
  <pageSetup scale="6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filterMode="1">
    <pageSetUpPr fitToPage="1"/>
  </sheetPr>
  <dimension ref="A1:AB81"/>
  <sheetViews>
    <sheetView tabSelected="1" workbookViewId="0">
      <selection activeCell="A2" sqref="A2"/>
    </sheetView>
  </sheetViews>
  <sheetFormatPr defaultRowHeight="13.2" x14ac:dyDescent="0.25"/>
  <cols>
    <col min="1" max="1" width="25.44140625" bestFit="1" customWidth="1"/>
    <col min="2" max="3" width="10.44140625" customWidth="1"/>
    <col min="4" max="4" width="11" customWidth="1"/>
    <col min="5" max="5" width="10.33203125" customWidth="1"/>
    <col min="6" max="6" width="9" customWidth="1"/>
    <col min="7" max="7" width="10.6640625" customWidth="1"/>
    <col min="9" max="9" width="3" customWidth="1"/>
    <col min="10" max="10" width="11.6640625" customWidth="1"/>
    <col min="11" max="11" width="10.6640625" customWidth="1"/>
    <col min="12" max="12" width="9.109375" customWidth="1"/>
    <col min="14" max="14" width="0" hidden="1" customWidth="1"/>
    <col min="18" max="18" width="8.44140625" bestFit="1" customWidth="1"/>
    <col min="21" max="21" width="8.44140625" bestFit="1" customWidth="1"/>
    <col min="24" max="24" width="9.44140625" customWidth="1"/>
    <col min="25" max="25" width="8.6640625" customWidth="1"/>
    <col min="27" max="27" width="8.44140625" bestFit="1" customWidth="1"/>
  </cols>
  <sheetData>
    <row r="1" spans="1:28" s="1" customFormat="1" ht="39.6" x14ac:dyDescent="0.25">
      <c r="A1" s="1" t="s">
        <v>0</v>
      </c>
      <c r="B1" s="1" t="s">
        <v>96</v>
      </c>
      <c r="C1" s="1" t="s">
        <v>1</v>
      </c>
      <c r="D1" s="1" t="s">
        <v>2</v>
      </c>
      <c r="E1" s="1" t="s">
        <v>70</v>
      </c>
      <c r="F1" s="1" t="s">
        <v>127</v>
      </c>
      <c r="G1" s="1" t="s">
        <v>3</v>
      </c>
      <c r="H1" s="1" t="s">
        <v>4</v>
      </c>
      <c r="I1" s="1" t="s">
        <v>67</v>
      </c>
      <c r="J1" s="1" t="s">
        <v>5</v>
      </c>
      <c r="K1" s="1" t="s">
        <v>69</v>
      </c>
      <c r="L1" s="1" t="s">
        <v>6</v>
      </c>
      <c r="M1" s="1" t="s">
        <v>125</v>
      </c>
      <c r="N1" s="7" t="s">
        <v>7</v>
      </c>
      <c r="O1" s="1" t="s">
        <v>144</v>
      </c>
      <c r="P1" s="1" t="s">
        <v>150</v>
      </c>
      <c r="Q1" s="1" t="s">
        <v>62</v>
      </c>
      <c r="R1" s="1" t="s">
        <v>145</v>
      </c>
      <c r="S1" s="1" t="s">
        <v>151</v>
      </c>
      <c r="T1" s="1" t="s">
        <v>65</v>
      </c>
      <c r="U1" s="1" t="s">
        <v>146</v>
      </c>
      <c r="V1" s="1" t="s">
        <v>152</v>
      </c>
      <c r="W1" s="1" t="s">
        <v>63</v>
      </c>
      <c r="X1" s="1" t="s">
        <v>66</v>
      </c>
      <c r="Y1" s="1" t="s">
        <v>147</v>
      </c>
      <c r="Z1" s="1" t="s">
        <v>153</v>
      </c>
      <c r="AA1" s="1" t="s">
        <v>148</v>
      </c>
      <c r="AB1" s="1" t="s">
        <v>154</v>
      </c>
    </row>
    <row r="2" spans="1:28" hidden="1" x14ac:dyDescent="0.25">
      <c r="A2">
        <v>70120</v>
      </c>
      <c r="B2" t="s">
        <v>102</v>
      </c>
      <c r="C2" s="9">
        <v>35855</v>
      </c>
      <c r="D2" s="9">
        <v>36982</v>
      </c>
      <c r="E2" s="10" t="s">
        <v>130</v>
      </c>
      <c r="F2" s="10" t="s">
        <v>138</v>
      </c>
      <c r="H2">
        <v>428</v>
      </c>
      <c r="I2" t="s">
        <v>13</v>
      </c>
      <c r="J2" t="str">
        <f>VLOOKUP(K$2:K$41,Curves!$K$1:$O$25,2)</f>
        <v>a/s east</v>
      </c>
      <c r="K2">
        <v>7</v>
      </c>
      <c r="L2">
        <f>VLOOKUP(K$2:K$41,Curves!$K$1:$O$25,3)</f>
        <v>6</v>
      </c>
      <c r="M2" s="4">
        <v>0</v>
      </c>
      <c r="N2" s="4">
        <v>0.44</v>
      </c>
      <c r="O2" s="4">
        <f>VLOOKUP($L2,Curves!A$3:D$13,4)</f>
        <v>0.01</v>
      </c>
      <c r="P2" s="4">
        <v>0</v>
      </c>
      <c r="R2" s="4">
        <f>VLOOKUP($L2,Curves!F$3:I$13,4)</f>
        <v>0.01</v>
      </c>
      <c r="S2" s="4">
        <v>0</v>
      </c>
      <c r="U2" s="4">
        <f>VLOOKUP($L2,Curves!A$17:D$27,4)</f>
        <v>0.01</v>
      </c>
      <c r="V2" s="4">
        <v>0</v>
      </c>
      <c r="W2">
        <v>1392</v>
      </c>
      <c r="X2" s="8">
        <f t="shared" ref="X2:X41" si="0">+V2*W2</f>
        <v>0</v>
      </c>
    </row>
    <row r="3" spans="1:28" hidden="1" x14ac:dyDescent="0.25">
      <c r="A3">
        <v>93218</v>
      </c>
      <c r="B3" t="s">
        <v>103</v>
      </c>
      <c r="C3" s="9">
        <v>35886</v>
      </c>
      <c r="D3" s="9">
        <v>36892</v>
      </c>
      <c r="E3" t="s">
        <v>137</v>
      </c>
      <c r="F3" t="s">
        <v>138</v>
      </c>
      <c r="H3">
        <v>1020</v>
      </c>
      <c r="I3" t="s">
        <v>18</v>
      </c>
      <c r="J3" t="str">
        <f>VLOOKUP(K$2:K$41,Curves!$K$1:$O$25,2)</f>
        <v>east texas</v>
      </c>
      <c r="K3">
        <v>8</v>
      </c>
      <c r="L3">
        <f>VLOOKUP(K$2:K$41,Curves!$K$1:$O$25,3)</f>
        <v>4</v>
      </c>
      <c r="M3" s="4">
        <v>0.02</v>
      </c>
      <c r="N3" s="4">
        <v>0.06</v>
      </c>
      <c r="O3" s="4">
        <f>VLOOKUP($L3,Curves!A$3:D$13,4)</f>
        <v>0.01</v>
      </c>
      <c r="P3" s="4">
        <f t="shared" ref="P3:P41" si="1">+$N3-O3</f>
        <v>4.9999999999999996E-2</v>
      </c>
      <c r="R3" s="4">
        <f>VLOOKUP($L3,Curves!F$3:I$13,4)</f>
        <v>0.01</v>
      </c>
      <c r="S3" s="4">
        <f t="shared" ref="S3:S41" si="2">+$N3-R3</f>
        <v>4.9999999999999996E-2</v>
      </c>
      <c r="U3" s="4">
        <f>VLOOKUP($L3,Curves!A$17:D$27,4)</f>
        <v>0.01</v>
      </c>
      <c r="V3" s="4">
        <f t="shared" ref="V3:V41" si="3">+$N3-U3</f>
        <v>4.9999999999999996E-2</v>
      </c>
      <c r="W3">
        <v>483737</v>
      </c>
      <c r="X3" s="8">
        <f t="shared" si="0"/>
        <v>24186.85</v>
      </c>
    </row>
    <row r="4" spans="1:28" hidden="1" x14ac:dyDescent="0.25">
      <c r="A4" t="s">
        <v>142</v>
      </c>
      <c r="B4" t="s">
        <v>143</v>
      </c>
      <c r="C4" s="9">
        <v>35916</v>
      </c>
      <c r="D4" s="9">
        <v>36617</v>
      </c>
      <c r="H4">
        <v>1038</v>
      </c>
      <c r="I4" t="s">
        <v>13</v>
      </c>
      <c r="J4" t="str">
        <f>VLOOKUP(K$2:K$41,Curves!$K$1:$O$25,2)</f>
        <v>a/s south</v>
      </c>
      <c r="K4">
        <v>3</v>
      </c>
      <c r="L4">
        <f>VLOOKUP(K$2:K$41,Curves!$K$1:$O$25,3)</f>
        <v>2</v>
      </c>
      <c r="M4" s="4"/>
      <c r="N4" s="4">
        <v>7.0000000000000007E-2</v>
      </c>
      <c r="O4" s="4">
        <f>VLOOKUP($L4,Curves!A$3:D$13,4)</f>
        <v>-2.5000000000000001E-2</v>
      </c>
      <c r="P4" s="4">
        <f t="shared" si="1"/>
        <v>9.5000000000000001E-2</v>
      </c>
      <c r="R4" s="4">
        <f>VLOOKUP($L4,Curves!F$3:I$13,4)</f>
        <v>-2.5000000000000001E-2</v>
      </c>
      <c r="S4" s="4">
        <f t="shared" si="2"/>
        <v>9.5000000000000001E-2</v>
      </c>
      <c r="U4" s="4">
        <f>VLOOKUP($L4,Curves!A$17:D$27,4)</f>
        <v>-2.5000000000000001E-2</v>
      </c>
      <c r="V4" s="4">
        <f t="shared" si="3"/>
        <v>9.5000000000000001E-2</v>
      </c>
      <c r="W4">
        <v>1392</v>
      </c>
      <c r="X4" s="8">
        <f t="shared" si="0"/>
        <v>132.24</v>
      </c>
    </row>
    <row r="5" spans="1:28" hidden="1" x14ac:dyDescent="0.25">
      <c r="A5" t="s">
        <v>104</v>
      </c>
      <c r="B5" t="s">
        <v>105</v>
      </c>
      <c r="C5" s="9">
        <v>35916</v>
      </c>
      <c r="D5" s="9">
        <v>36617</v>
      </c>
      <c r="E5" t="s">
        <v>75</v>
      </c>
      <c r="F5" t="s">
        <v>138</v>
      </c>
      <c r="H5">
        <v>1065</v>
      </c>
      <c r="I5" t="s">
        <v>13</v>
      </c>
      <c r="J5" t="str">
        <f>VLOOKUP(K$2:K$41,Curves!$K$1:$O$25,2)</f>
        <v>texas city</v>
      </c>
      <c r="K5">
        <v>6</v>
      </c>
      <c r="L5">
        <f>VLOOKUP(K$2:K$41,Curves!$K$1:$O$25,3)</f>
        <v>9</v>
      </c>
      <c r="M5" s="4">
        <v>0.06</v>
      </c>
      <c r="N5" s="4">
        <v>0.08</v>
      </c>
      <c r="O5" s="4">
        <f>VLOOKUP($L5,Curves!A$3:D$13,4)</f>
        <v>0.01</v>
      </c>
      <c r="P5" s="4">
        <f t="shared" si="1"/>
        <v>7.0000000000000007E-2</v>
      </c>
      <c r="R5" s="4">
        <f>VLOOKUP($L5,Curves!F$3:I$13,4)</f>
        <v>0.01</v>
      </c>
      <c r="S5" s="4">
        <f t="shared" si="2"/>
        <v>7.0000000000000007E-2</v>
      </c>
      <c r="U5" s="4">
        <f>VLOOKUP($L5,Curves!A$17:D$27,4)</f>
        <v>0.01</v>
      </c>
      <c r="V5" s="4">
        <f t="shared" si="3"/>
        <v>7.0000000000000007E-2</v>
      </c>
      <c r="W5">
        <v>7250</v>
      </c>
      <c r="X5" s="8">
        <f t="shared" si="0"/>
        <v>507.50000000000006</v>
      </c>
    </row>
    <row r="6" spans="1:28" hidden="1" x14ac:dyDescent="0.25">
      <c r="A6" t="s">
        <v>72</v>
      </c>
      <c r="B6" t="s">
        <v>105</v>
      </c>
      <c r="C6" s="9">
        <v>35916</v>
      </c>
      <c r="D6" s="9">
        <v>36617</v>
      </c>
      <c r="E6" t="s">
        <v>75</v>
      </c>
      <c r="F6" t="s">
        <v>138</v>
      </c>
      <c r="H6">
        <v>1066</v>
      </c>
      <c r="I6" t="s">
        <v>13</v>
      </c>
      <c r="J6" t="str">
        <f>VLOOKUP(K$2:K$41,Curves!$K$1:$O$25,2)</f>
        <v>texas city</v>
      </c>
      <c r="K6">
        <v>6</v>
      </c>
      <c r="L6">
        <f>VLOOKUP(K$2:K$41,Curves!$K$1:$O$25,3)</f>
        <v>9</v>
      </c>
      <c r="M6" s="4">
        <v>0.06</v>
      </c>
      <c r="N6" s="4">
        <v>9.6799999999999997E-2</v>
      </c>
      <c r="O6" s="4">
        <f>VLOOKUP($L6,Curves!A$3:D$13,4)</f>
        <v>0.01</v>
      </c>
      <c r="P6" s="4">
        <f t="shared" si="1"/>
        <v>8.6800000000000002E-2</v>
      </c>
      <c r="R6" s="4">
        <f>VLOOKUP($L6,Curves!F$3:I$13,4)</f>
        <v>0.01</v>
      </c>
      <c r="S6" s="4">
        <f t="shared" si="2"/>
        <v>8.6800000000000002E-2</v>
      </c>
      <c r="U6" s="4">
        <f>VLOOKUP($L6,Curves!A$17:D$27,4)</f>
        <v>0.01</v>
      </c>
      <c r="V6" s="4">
        <f t="shared" si="3"/>
        <v>8.6800000000000002E-2</v>
      </c>
      <c r="W6">
        <f>68120+17045</f>
        <v>85165</v>
      </c>
      <c r="X6" s="8">
        <f t="shared" si="0"/>
        <v>7392.3220000000001</v>
      </c>
    </row>
    <row r="7" spans="1:28" hidden="1" x14ac:dyDescent="0.25">
      <c r="A7" t="s">
        <v>71</v>
      </c>
      <c r="B7" t="s">
        <v>106</v>
      </c>
      <c r="C7" s="9">
        <v>35796</v>
      </c>
      <c r="D7" s="9">
        <v>36617</v>
      </c>
      <c r="F7" t="s">
        <v>138</v>
      </c>
      <c r="H7">
        <v>1179</v>
      </c>
      <c r="I7" t="s">
        <v>18</v>
      </c>
      <c r="J7" t="str">
        <f>VLOOKUP(K$2:K$41,Curves!$K$1:$O$25,2)</f>
        <v>a/s central</v>
      </c>
      <c r="K7">
        <v>4</v>
      </c>
      <c r="L7">
        <f>VLOOKUP(K$2:K$41,Curves!$K$1:$O$25,3)</f>
        <v>6</v>
      </c>
      <c r="M7" s="4">
        <v>0</v>
      </c>
      <c r="N7" s="4">
        <v>0.216</v>
      </c>
      <c r="O7" s="4">
        <f>VLOOKUP($L7,Curves!A$3:D$13,4)</f>
        <v>0.01</v>
      </c>
      <c r="P7" s="4">
        <v>0</v>
      </c>
      <c r="R7" s="4">
        <f>VLOOKUP($L7,Curves!F$3:I$13,4)</f>
        <v>0.01</v>
      </c>
      <c r="S7" s="4">
        <v>0</v>
      </c>
      <c r="U7" s="4">
        <f>VLOOKUP($L7,Curves!A$17:D$27,4)</f>
        <v>0.01</v>
      </c>
      <c r="V7" s="4">
        <v>0</v>
      </c>
      <c r="W7">
        <v>39653</v>
      </c>
      <c r="X7" s="8">
        <f t="shared" si="0"/>
        <v>0</v>
      </c>
    </row>
    <row r="8" spans="1:28" hidden="1" x14ac:dyDescent="0.25">
      <c r="A8" t="s">
        <v>73</v>
      </c>
      <c r="B8" t="s">
        <v>107</v>
      </c>
      <c r="C8" s="9">
        <v>35977</v>
      </c>
      <c r="D8" s="9">
        <v>37773</v>
      </c>
      <c r="E8" t="s">
        <v>126</v>
      </c>
      <c r="F8" t="s">
        <v>138</v>
      </c>
      <c r="H8">
        <v>1288</v>
      </c>
      <c r="I8" t="s">
        <v>13</v>
      </c>
      <c r="J8" t="str">
        <f>VLOOKUP(K$2:K$41,Curves!$K$1:$O$25,2)</f>
        <v>ship channel</v>
      </c>
      <c r="K8">
        <v>10</v>
      </c>
      <c r="L8">
        <f>VLOOKUP(K$2:K$41,Curves!$K$1:$O$25,3)</f>
        <v>1</v>
      </c>
      <c r="M8" s="4">
        <v>0</v>
      </c>
      <c r="N8" s="4">
        <v>0.19</v>
      </c>
      <c r="O8" s="4">
        <f>VLOOKUP($L8,Curves!A$3:D$13,4)</f>
        <v>0</v>
      </c>
      <c r="P8" s="4">
        <f>+$M8-O8</f>
        <v>0</v>
      </c>
      <c r="R8" s="4">
        <f>VLOOKUP($L8,Curves!F$3:I$13,4)</f>
        <v>0</v>
      </c>
      <c r="S8" s="4">
        <f>+$M8-R8</f>
        <v>0</v>
      </c>
      <c r="U8" s="4">
        <f>VLOOKUP($L8,Curves!A$17:D$27,4)</f>
        <v>0</v>
      </c>
      <c r="V8" s="4">
        <f>+$M8-U8</f>
        <v>0</v>
      </c>
      <c r="W8">
        <v>11600</v>
      </c>
      <c r="X8" s="8">
        <f t="shared" si="0"/>
        <v>0</v>
      </c>
    </row>
    <row r="9" spans="1:28" hidden="1" x14ac:dyDescent="0.25">
      <c r="A9" t="s">
        <v>74</v>
      </c>
      <c r="B9" t="s">
        <v>108</v>
      </c>
      <c r="C9" s="9">
        <v>35916</v>
      </c>
      <c r="D9" s="9">
        <v>37226</v>
      </c>
      <c r="E9" t="s">
        <v>132</v>
      </c>
      <c r="F9" t="s">
        <v>138</v>
      </c>
      <c r="H9">
        <v>1308</v>
      </c>
      <c r="I9" t="s">
        <v>18</v>
      </c>
      <c r="J9" t="str">
        <f>VLOOKUP(K$2:K$41,Curves!$K$1:$O$25,2)</f>
        <v>texas city</v>
      </c>
      <c r="K9">
        <v>6</v>
      </c>
      <c r="L9">
        <f>VLOOKUP(K$2:K$41,Curves!$K$1:$O$25,3)</f>
        <v>9</v>
      </c>
      <c r="M9" s="4">
        <v>0</v>
      </c>
      <c r="N9" s="4">
        <v>0</v>
      </c>
      <c r="O9" s="4">
        <f>VLOOKUP($L9,Curves!A$3:D$13,4)</f>
        <v>0.01</v>
      </c>
      <c r="P9" s="4">
        <f t="shared" si="1"/>
        <v>-0.01</v>
      </c>
      <c r="R9" s="4">
        <f>VLOOKUP($L9,Curves!F$3:I$13,4)</f>
        <v>0.01</v>
      </c>
      <c r="S9" s="4">
        <f t="shared" si="2"/>
        <v>-0.01</v>
      </c>
      <c r="U9" s="4">
        <f>VLOOKUP($L9,Curves!A$17:D$27,4)</f>
        <v>0.01</v>
      </c>
      <c r="V9" s="4">
        <f t="shared" si="3"/>
        <v>-0.01</v>
      </c>
      <c r="W9">
        <f>288784+10868</f>
        <v>299652</v>
      </c>
      <c r="X9" s="8">
        <f t="shared" si="0"/>
        <v>-2996.52</v>
      </c>
    </row>
    <row r="10" spans="1:28" x14ac:dyDescent="0.25">
      <c r="A10">
        <v>108610</v>
      </c>
      <c r="B10" t="s">
        <v>97</v>
      </c>
      <c r="C10" s="9">
        <v>36404</v>
      </c>
      <c r="D10" s="9">
        <v>38565</v>
      </c>
      <c r="E10" t="s">
        <v>75</v>
      </c>
      <c r="F10" t="s">
        <v>128</v>
      </c>
      <c r="H10">
        <v>1328</v>
      </c>
      <c r="I10" t="s">
        <v>18</v>
      </c>
      <c r="J10" t="str">
        <f>VLOOKUP(K$2:K$41,Curves!$K$1:$O$25,2)</f>
        <v>katy</v>
      </c>
      <c r="K10">
        <v>15</v>
      </c>
      <c r="L10">
        <f>VLOOKUP(K$2:K$41,Curves!$K$1:$O$25,3)</f>
        <v>7</v>
      </c>
      <c r="M10" s="4">
        <v>0.05</v>
      </c>
      <c r="N10" s="4">
        <v>0.17</v>
      </c>
      <c r="O10" s="4">
        <f>VLOOKUP($L10,Curves!A$3:D$13,4)</f>
        <v>-5.0000000000000001E-3</v>
      </c>
      <c r="P10" s="4">
        <f t="shared" si="1"/>
        <v>0.17500000000000002</v>
      </c>
      <c r="R10" s="4">
        <f>VLOOKUP($L10,Curves!F$3:I$13,4)</f>
        <v>-5.0000000000000001E-3</v>
      </c>
      <c r="S10" s="4">
        <f t="shared" si="2"/>
        <v>0.17500000000000002</v>
      </c>
      <c r="U10" s="4">
        <f>VLOOKUP($L10,Curves!A$17:D$27,4)</f>
        <v>-5.0000000000000001E-3</v>
      </c>
      <c r="V10" s="4">
        <f t="shared" si="3"/>
        <v>0.17500000000000002</v>
      </c>
      <c r="W10">
        <v>14500</v>
      </c>
      <c r="X10" s="8">
        <f t="shared" si="0"/>
        <v>2537.5000000000005</v>
      </c>
    </row>
    <row r="11" spans="1:28" hidden="1" x14ac:dyDescent="0.25">
      <c r="A11">
        <v>142562</v>
      </c>
      <c r="B11" t="s">
        <v>143</v>
      </c>
      <c r="C11" s="9"/>
      <c r="D11" s="9"/>
      <c r="H11">
        <v>1338</v>
      </c>
      <c r="I11" t="s">
        <v>18</v>
      </c>
      <c r="J11" t="str">
        <f>VLOOKUP(K$2:K$41,Curves!$K$1:$O$25,2)</f>
        <v>ship channel</v>
      </c>
      <c r="K11">
        <v>10</v>
      </c>
      <c r="L11">
        <f>VLOOKUP(K$2:K$41,Curves!$K$1:$O$25,3)</f>
        <v>1</v>
      </c>
      <c r="M11" s="4"/>
      <c r="N11" s="4">
        <v>7.0000000000000007E-2</v>
      </c>
      <c r="O11" s="4">
        <f>VLOOKUP($L11,Curves!A$3:D$13,4)</f>
        <v>0</v>
      </c>
      <c r="P11" s="4">
        <f t="shared" si="1"/>
        <v>7.0000000000000007E-2</v>
      </c>
      <c r="R11" s="4">
        <f>VLOOKUP($L11,Curves!F$3:I$13,4)</f>
        <v>0</v>
      </c>
      <c r="S11" s="4">
        <f t="shared" si="2"/>
        <v>7.0000000000000007E-2</v>
      </c>
      <c r="U11" s="4">
        <f>VLOOKUP($L11,Curves!A$17:D$27,4)</f>
        <v>0</v>
      </c>
      <c r="V11" s="4">
        <f t="shared" si="3"/>
        <v>7.0000000000000007E-2</v>
      </c>
      <c r="W11">
        <v>34000</v>
      </c>
      <c r="X11" s="8">
        <f t="shared" si="0"/>
        <v>2380</v>
      </c>
    </row>
    <row r="12" spans="1:28" hidden="1" x14ac:dyDescent="0.25">
      <c r="A12" t="s">
        <v>76</v>
      </c>
      <c r="B12" t="s">
        <v>109</v>
      </c>
      <c r="C12" s="9">
        <v>35704</v>
      </c>
      <c r="D12" s="9">
        <v>37530</v>
      </c>
      <c r="E12" t="s">
        <v>81</v>
      </c>
      <c r="F12" t="s">
        <v>138</v>
      </c>
      <c r="H12">
        <v>1343</v>
      </c>
      <c r="I12" t="s">
        <v>18</v>
      </c>
      <c r="J12" t="str">
        <f>VLOOKUP(K$2:K$41,Curves!$K$1:$O$25,2)</f>
        <v>freeport</v>
      </c>
      <c r="K12">
        <v>9</v>
      </c>
      <c r="L12">
        <f>VLOOKUP(K$2:K$41,Curves!$K$1:$O$25,3)</f>
        <v>10</v>
      </c>
      <c r="M12" s="4" t="s">
        <v>81</v>
      </c>
      <c r="N12" s="4">
        <v>0.21</v>
      </c>
      <c r="O12" s="4">
        <f>VLOOKUP($L12,Curves!A$3:D$13,4)</f>
        <v>-1.4999999999999999E-2</v>
      </c>
      <c r="P12" s="4">
        <f t="shared" si="1"/>
        <v>0.22499999999999998</v>
      </c>
      <c r="R12" s="4">
        <f>VLOOKUP($L12,Curves!F$3:I$13,4)</f>
        <v>-1.4999999999999999E-2</v>
      </c>
      <c r="S12" s="4">
        <f t="shared" si="2"/>
        <v>0.22499999999999998</v>
      </c>
      <c r="U12" s="4">
        <f>VLOOKUP($L12,Curves!A$17:D$27,4)</f>
        <v>-1.4999999999999999E-2</v>
      </c>
      <c r="V12" s="4">
        <f t="shared" si="3"/>
        <v>0.22499999999999998</v>
      </c>
      <c r="W12">
        <v>69600</v>
      </c>
      <c r="X12" s="8">
        <f t="shared" si="0"/>
        <v>15659.999999999998</v>
      </c>
    </row>
    <row r="13" spans="1:28" x14ac:dyDescent="0.25">
      <c r="A13">
        <v>125038</v>
      </c>
      <c r="B13" t="s">
        <v>141</v>
      </c>
      <c r="C13" s="9">
        <v>36465</v>
      </c>
      <c r="D13" s="9">
        <v>36617</v>
      </c>
      <c r="E13" t="s">
        <v>75</v>
      </c>
      <c r="F13" t="s">
        <v>128</v>
      </c>
      <c r="H13">
        <v>1351</v>
      </c>
      <c r="I13" t="s">
        <v>18</v>
      </c>
      <c r="J13" t="str">
        <f>VLOOKUP(K$2:K$41,Curves!$K$1:$O$25,2)</f>
        <v>corpus</v>
      </c>
      <c r="K13">
        <v>11</v>
      </c>
      <c r="L13">
        <f>VLOOKUP(K$2:K$41,Curves!$K$1:$O$25,3)</f>
        <v>11</v>
      </c>
      <c r="M13" s="4"/>
      <c r="N13" s="4">
        <v>0.57499999999999996</v>
      </c>
      <c r="O13" s="4">
        <f>VLOOKUP($L13,Curves!A$3:D$13,4)</f>
        <v>-2.5000000000000001E-2</v>
      </c>
      <c r="P13" s="4">
        <f t="shared" si="1"/>
        <v>0.6</v>
      </c>
      <c r="R13" s="4">
        <f>VLOOKUP($L13,Curves!F$3:I$13,4)</f>
        <v>-2.5000000000000001E-2</v>
      </c>
      <c r="S13" s="4">
        <f t="shared" si="2"/>
        <v>0.6</v>
      </c>
      <c r="U13" s="4">
        <f>VLOOKUP($L13,Curves!A$17:D$27,4)</f>
        <v>-2.5000000000000001E-2</v>
      </c>
      <c r="V13" s="4">
        <f t="shared" si="3"/>
        <v>0.6</v>
      </c>
      <c r="W13">
        <v>1247</v>
      </c>
      <c r="X13" s="8">
        <f t="shared" si="0"/>
        <v>748.19999999999993</v>
      </c>
    </row>
    <row r="14" spans="1:28" hidden="1" x14ac:dyDescent="0.25">
      <c r="A14" t="s">
        <v>77</v>
      </c>
      <c r="B14" t="s">
        <v>110</v>
      </c>
      <c r="C14" s="9">
        <v>35490</v>
      </c>
      <c r="D14" s="9">
        <v>36923</v>
      </c>
      <c r="E14" t="s">
        <v>131</v>
      </c>
      <c r="F14" t="s">
        <v>138</v>
      </c>
      <c r="H14">
        <v>1354</v>
      </c>
      <c r="I14" t="s">
        <v>18</v>
      </c>
      <c r="J14" t="str">
        <f>VLOOKUP(K$2:K$41,Curves!$K$1:$O$25,2)</f>
        <v>freeport</v>
      </c>
      <c r="K14">
        <v>9</v>
      </c>
      <c r="L14">
        <f>VLOOKUP(K$2:K$41,Curves!$K$1:$O$25,3)</f>
        <v>10</v>
      </c>
      <c r="M14" s="4">
        <v>0.02</v>
      </c>
      <c r="N14" s="4">
        <v>0.16</v>
      </c>
      <c r="O14" s="4">
        <f>VLOOKUP($L14,Curves!A$3:D$13,4)</f>
        <v>-1.4999999999999999E-2</v>
      </c>
      <c r="P14" s="4">
        <f t="shared" si="1"/>
        <v>0.17499999999999999</v>
      </c>
      <c r="R14" s="4">
        <f>VLOOKUP($L14,Curves!F$3:I$13,4)</f>
        <v>-1.4999999999999999E-2</v>
      </c>
      <c r="S14" s="4">
        <f t="shared" si="2"/>
        <v>0.17499999999999999</v>
      </c>
      <c r="U14" s="4">
        <f>VLOOKUP($L14,Curves!A$17:D$27,4)</f>
        <v>-1.4999999999999999E-2</v>
      </c>
      <c r="V14" s="4">
        <f t="shared" si="3"/>
        <v>0.17499999999999999</v>
      </c>
      <c r="W14">
        <v>13050</v>
      </c>
      <c r="X14" s="8">
        <f t="shared" si="0"/>
        <v>2283.75</v>
      </c>
    </row>
    <row r="15" spans="1:28" x14ac:dyDescent="0.25">
      <c r="A15" t="s">
        <v>78</v>
      </c>
      <c r="B15" t="s">
        <v>111</v>
      </c>
      <c r="C15" s="9">
        <v>36526</v>
      </c>
      <c r="D15" s="9">
        <v>36678</v>
      </c>
      <c r="E15" t="s">
        <v>126</v>
      </c>
      <c r="F15" t="s">
        <v>128</v>
      </c>
      <c r="H15">
        <v>1386</v>
      </c>
      <c r="I15" t="s">
        <v>18</v>
      </c>
      <c r="J15" t="str">
        <f>VLOOKUP(K$2:K$41,Curves!$K$1:$O$25,2)</f>
        <v>ship channel</v>
      </c>
      <c r="K15">
        <v>10</v>
      </c>
      <c r="L15">
        <f>VLOOKUP(K$2:K$41,Curves!$K$1:$O$25,3)</f>
        <v>1</v>
      </c>
      <c r="M15" s="4">
        <v>0.14000000000000001</v>
      </c>
      <c r="N15" s="4">
        <v>0.02</v>
      </c>
      <c r="O15" s="4">
        <f>VLOOKUP($L15,Curves!A$3:D$13,4)</f>
        <v>0</v>
      </c>
      <c r="P15" s="4">
        <f t="shared" si="1"/>
        <v>0.02</v>
      </c>
      <c r="R15" s="4">
        <f>VLOOKUP($L15,Curves!F$3:I$13,4)</f>
        <v>0</v>
      </c>
      <c r="S15" s="4">
        <f t="shared" si="2"/>
        <v>0.02</v>
      </c>
      <c r="U15" s="4">
        <f>VLOOKUP($L15,Curves!A$17:D$27,4)</f>
        <v>0</v>
      </c>
      <c r="V15" s="4">
        <f t="shared" si="3"/>
        <v>0.02</v>
      </c>
      <c r="W15">
        <v>23200</v>
      </c>
      <c r="X15" s="8">
        <f t="shared" si="0"/>
        <v>464</v>
      </c>
    </row>
    <row r="16" spans="1:28" hidden="1" x14ac:dyDescent="0.25">
      <c r="A16" t="s">
        <v>79</v>
      </c>
      <c r="B16" t="s">
        <v>112</v>
      </c>
      <c r="C16" s="9">
        <v>34790</v>
      </c>
      <c r="D16" s="9">
        <v>36586</v>
      </c>
      <c r="E16" t="s">
        <v>133</v>
      </c>
      <c r="F16" t="s">
        <v>138</v>
      </c>
      <c r="H16">
        <v>1388</v>
      </c>
      <c r="I16" t="s">
        <v>18</v>
      </c>
      <c r="J16" t="str">
        <f>VLOOKUP(K$2:K$41,Curves!$K$1:$O$25,2)</f>
        <v>edna</v>
      </c>
      <c r="K16">
        <v>5</v>
      </c>
      <c r="L16">
        <f>VLOOKUP(K$2:K$41,Curves!$K$1:$O$25,3)</f>
        <v>2</v>
      </c>
      <c r="M16" s="4">
        <v>0.01</v>
      </c>
      <c r="N16" s="4">
        <v>0.19</v>
      </c>
      <c r="O16" s="4">
        <f>VLOOKUP($L16,Curves!A$3:D$13,4)</f>
        <v>-2.5000000000000001E-2</v>
      </c>
      <c r="P16" s="4">
        <f t="shared" si="1"/>
        <v>0.215</v>
      </c>
      <c r="R16" s="4">
        <f>VLOOKUP($L16,Curves!F$3:I$13,4)</f>
        <v>-2.5000000000000001E-2</v>
      </c>
      <c r="S16" s="4">
        <f t="shared" si="2"/>
        <v>0.215</v>
      </c>
      <c r="U16" s="4">
        <f>VLOOKUP($L16,Curves!A$17:D$27,4)</f>
        <v>-2.5000000000000001E-2</v>
      </c>
      <c r="V16" s="4">
        <f t="shared" si="3"/>
        <v>0.215</v>
      </c>
      <c r="W16">
        <v>1439</v>
      </c>
      <c r="X16" s="8">
        <f t="shared" si="0"/>
        <v>309.38499999999999</v>
      </c>
    </row>
    <row r="17" spans="1:24" hidden="1" x14ac:dyDescent="0.25">
      <c r="A17" t="s">
        <v>73</v>
      </c>
      <c r="B17" t="s">
        <v>107</v>
      </c>
      <c r="C17" s="9">
        <v>35977</v>
      </c>
      <c r="D17" s="9">
        <v>37773</v>
      </c>
      <c r="E17" t="s">
        <v>126</v>
      </c>
      <c r="F17" t="s">
        <v>138</v>
      </c>
      <c r="H17">
        <v>1390</v>
      </c>
      <c r="I17" t="s">
        <v>18</v>
      </c>
      <c r="J17" t="str">
        <f>VLOOKUP(K$2:K$41,Curves!$K$1:$O$25,2)</f>
        <v>ship channel</v>
      </c>
      <c r="K17">
        <v>10</v>
      </c>
      <c r="L17">
        <f>VLOOKUP(K$2:K$41,Curves!$K$1:$O$25,3)</f>
        <v>1</v>
      </c>
      <c r="M17" s="4">
        <v>0</v>
      </c>
      <c r="N17" s="4">
        <v>0.19</v>
      </c>
      <c r="O17" s="4">
        <f>VLOOKUP($L17,Curves!A$3:D$13,4)</f>
        <v>0</v>
      </c>
      <c r="P17" s="4">
        <f>+$M17-O17</f>
        <v>0</v>
      </c>
      <c r="R17" s="4">
        <f>VLOOKUP($L17,Curves!F$3:I$13,4)</f>
        <v>0</v>
      </c>
      <c r="S17" s="4">
        <f>+$M17-R17</f>
        <v>0</v>
      </c>
      <c r="U17" s="4">
        <f>VLOOKUP($L17,Curves!A$17:D$27,4)</f>
        <v>0</v>
      </c>
      <c r="V17" s="4">
        <f>+$M17-U17</f>
        <v>0</v>
      </c>
      <c r="W17">
        <v>2900</v>
      </c>
      <c r="X17" s="8">
        <f t="shared" si="0"/>
        <v>0</v>
      </c>
    </row>
    <row r="18" spans="1:24" hidden="1" x14ac:dyDescent="0.25">
      <c r="A18" t="s">
        <v>80</v>
      </c>
      <c r="B18" t="s">
        <v>113</v>
      </c>
      <c r="C18" s="9">
        <v>36192</v>
      </c>
      <c r="D18" s="9">
        <v>36557</v>
      </c>
      <c r="E18" t="s">
        <v>129</v>
      </c>
      <c r="F18" t="s">
        <v>138</v>
      </c>
      <c r="H18">
        <v>1482</v>
      </c>
      <c r="I18" t="s">
        <v>18</v>
      </c>
      <c r="J18" t="str">
        <f>VLOOKUP(K$2:K$41,Curves!$K$1:$O$25,2)</f>
        <v>katy</v>
      </c>
      <c r="K18">
        <v>15</v>
      </c>
      <c r="L18">
        <f>VLOOKUP(K$2:K$41,Curves!$K$1:$O$25,3)</f>
        <v>7</v>
      </c>
      <c r="M18" s="4">
        <v>0</v>
      </c>
      <c r="N18" s="4">
        <v>0.11</v>
      </c>
      <c r="O18" s="4">
        <f>VLOOKUP($L18,Curves!A$3:D$13,4)</f>
        <v>-5.0000000000000001E-3</v>
      </c>
      <c r="P18" s="4">
        <v>0</v>
      </c>
      <c r="R18" s="4">
        <f>VLOOKUP($L18,Curves!F$3:I$13,4)</f>
        <v>-5.0000000000000001E-3</v>
      </c>
      <c r="S18" s="4">
        <v>0</v>
      </c>
      <c r="U18" s="4">
        <f>VLOOKUP($L18,Curves!A$17:D$27,4)</f>
        <v>-5.0000000000000001E-3</v>
      </c>
      <c r="V18" s="4">
        <v>0</v>
      </c>
      <c r="W18">
        <v>500</v>
      </c>
      <c r="X18" s="8">
        <f t="shared" si="0"/>
        <v>0</v>
      </c>
    </row>
    <row r="19" spans="1:24" hidden="1" x14ac:dyDescent="0.25">
      <c r="A19" t="s">
        <v>149</v>
      </c>
      <c r="B19" t="s">
        <v>140</v>
      </c>
      <c r="C19" s="9">
        <v>35916</v>
      </c>
      <c r="D19" s="9">
        <v>37469</v>
      </c>
      <c r="E19" t="s">
        <v>136</v>
      </c>
      <c r="F19" t="s">
        <v>138</v>
      </c>
      <c r="H19">
        <v>1487</v>
      </c>
      <c r="I19" t="s">
        <v>13</v>
      </c>
      <c r="J19" t="str">
        <f>VLOOKUP(K$2:K$41,Curves!$K$1:$O$25,2)</f>
        <v>east texas</v>
      </c>
      <c r="K19">
        <v>8</v>
      </c>
      <c r="L19">
        <f>VLOOKUP(K$2:K$41,Curves!$K$1:$O$25,3)</f>
        <v>4</v>
      </c>
      <c r="M19" s="4"/>
      <c r="N19" s="4">
        <v>0.14000000000000001</v>
      </c>
      <c r="O19" s="4">
        <f>VLOOKUP($L19,Curves!A$3:D$13,4)</f>
        <v>0.01</v>
      </c>
      <c r="P19" s="4">
        <f t="shared" si="1"/>
        <v>0.13</v>
      </c>
      <c r="R19" s="4">
        <f>VLOOKUP($L19,Curves!F$3:I$13,4)</f>
        <v>0.01</v>
      </c>
      <c r="S19" s="4">
        <f t="shared" si="2"/>
        <v>0.13</v>
      </c>
      <c r="U19" s="4">
        <f>VLOOKUP($L19,Curves!A$17:D$27,4)</f>
        <v>0.01</v>
      </c>
      <c r="V19" s="4">
        <f t="shared" si="3"/>
        <v>0.13</v>
      </c>
      <c r="W19">
        <v>66620</v>
      </c>
      <c r="X19" s="8">
        <f t="shared" si="0"/>
        <v>8660.6</v>
      </c>
    </row>
    <row r="20" spans="1:24" hidden="1" x14ac:dyDescent="0.25">
      <c r="A20" t="s">
        <v>82</v>
      </c>
      <c r="B20" t="s">
        <v>81</v>
      </c>
      <c r="C20" s="9">
        <v>36220</v>
      </c>
      <c r="D20" s="9">
        <v>36617</v>
      </c>
      <c r="F20" t="s">
        <v>138</v>
      </c>
      <c r="H20">
        <v>1512</v>
      </c>
      <c r="I20" t="s">
        <v>18</v>
      </c>
      <c r="J20" t="str">
        <f>VLOOKUP(K$2:K$41,Curves!$K$1:$O$25,2)</f>
        <v>a/s central</v>
      </c>
      <c r="K20">
        <v>4</v>
      </c>
      <c r="L20">
        <f>VLOOKUP(K$2:K$41,Curves!$K$1:$O$25,3)</f>
        <v>6</v>
      </c>
      <c r="M20" s="4"/>
      <c r="N20" s="4">
        <v>0.187</v>
      </c>
      <c r="O20" s="4">
        <f>VLOOKUP($L20,Curves!A$3:D$13,4)</f>
        <v>0.01</v>
      </c>
      <c r="P20" s="4">
        <f t="shared" si="1"/>
        <v>0.17699999999999999</v>
      </c>
      <c r="R20" s="4">
        <f>VLOOKUP($L20,Curves!F$3:I$13,4)</f>
        <v>0.01</v>
      </c>
      <c r="S20" s="4">
        <f t="shared" si="2"/>
        <v>0.17699999999999999</v>
      </c>
      <c r="U20" s="4">
        <f>VLOOKUP($L20,Curves!A$17:D$27,4)</f>
        <v>0.01</v>
      </c>
      <c r="V20" s="4">
        <f t="shared" si="3"/>
        <v>0.17699999999999999</v>
      </c>
      <c r="W20">
        <f>13534+5237</f>
        <v>18771</v>
      </c>
      <c r="X20" s="8">
        <f t="shared" si="0"/>
        <v>3322.4669999999996</v>
      </c>
    </row>
    <row r="21" spans="1:24" x14ac:dyDescent="0.25">
      <c r="A21">
        <v>125066</v>
      </c>
      <c r="B21" t="s">
        <v>101</v>
      </c>
      <c r="C21" s="9">
        <v>36465</v>
      </c>
      <c r="D21" s="9">
        <v>38261</v>
      </c>
      <c r="E21" t="s">
        <v>75</v>
      </c>
      <c r="F21" t="s">
        <v>128</v>
      </c>
      <c r="H21">
        <v>1512</v>
      </c>
      <c r="I21" t="s">
        <v>18</v>
      </c>
      <c r="J21" t="str">
        <f>VLOOKUP(K$2:K$41,Curves!$K$1:$O$25,2)</f>
        <v>a/s central</v>
      </c>
      <c r="K21">
        <v>4</v>
      </c>
      <c r="L21">
        <f>VLOOKUP(K$2:K$41,Curves!$K$1:$O$25,3)</f>
        <v>6</v>
      </c>
      <c r="M21" s="4">
        <v>0.19</v>
      </c>
      <c r="N21" s="4">
        <v>0.187</v>
      </c>
      <c r="O21" s="4">
        <f>VLOOKUP($L21,Curves!A$3:D$13,4)</f>
        <v>0.01</v>
      </c>
      <c r="P21" s="4">
        <f t="shared" si="1"/>
        <v>0.17699999999999999</v>
      </c>
      <c r="R21" s="4">
        <f>VLOOKUP($L21,Curves!F$3:I$13,4)</f>
        <v>0.01</v>
      </c>
      <c r="S21" s="4">
        <f t="shared" si="2"/>
        <v>0.17699999999999999</v>
      </c>
      <c r="U21" s="4">
        <f>VLOOKUP($L21,Curves!A$17:D$27,4)</f>
        <v>0.01</v>
      </c>
      <c r="V21" s="4">
        <f t="shared" si="3"/>
        <v>0.17699999999999999</v>
      </c>
      <c r="W21">
        <f>13534+5237</f>
        <v>18771</v>
      </c>
      <c r="X21" s="8">
        <f>+V21*W21</f>
        <v>3322.4669999999996</v>
      </c>
    </row>
    <row r="22" spans="1:24" hidden="1" x14ac:dyDescent="0.25">
      <c r="A22" t="s">
        <v>83</v>
      </c>
      <c r="B22" t="s">
        <v>114</v>
      </c>
      <c r="C22" s="9">
        <v>36130</v>
      </c>
      <c r="D22" s="9">
        <v>37926</v>
      </c>
      <c r="E22" t="s">
        <v>126</v>
      </c>
      <c r="F22" t="s">
        <v>138</v>
      </c>
      <c r="H22">
        <v>1513</v>
      </c>
      <c r="I22" t="s">
        <v>18</v>
      </c>
      <c r="J22" t="str">
        <f>VLOOKUP(K$2:K$41,Curves!$K$1:$O$25,2)</f>
        <v>a/s central</v>
      </c>
      <c r="K22">
        <v>4</v>
      </c>
      <c r="L22">
        <f>VLOOKUP(K$2:K$41,Curves!$K$1:$O$25,3)</f>
        <v>6</v>
      </c>
      <c r="M22" s="4">
        <v>0.38</v>
      </c>
      <c r="N22" s="4">
        <v>0.31</v>
      </c>
      <c r="O22" s="4">
        <f>VLOOKUP($L22,Curves!A$3:D$13,4)</f>
        <v>0.01</v>
      </c>
      <c r="P22" s="4">
        <f t="shared" si="1"/>
        <v>0.3</v>
      </c>
      <c r="R22" s="4">
        <f>VLOOKUP($L22,Curves!F$3:I$13,4)</f>
        <v>0.01</v>
      </c>
      <c r="S22" s="4">
        <f t="shared" si="2"/>
        <v>0.3</v>
      </c>
      <c r="U22" s="4">
        <f>VLOOKUP($L22,Curves!A$17:D$27,4)</f>
        <v>0.01</v>
      </c>
      <c r="V22" s="4">
        <f t="shared" si="3"/>
        <v>0.3</v>
      </c>
      <c r="W22">
        <v>2900</v>
      </c>
      <c r="X22" s="8">
        <f t="shared" si="0"/>
        <v>870</v>
      </c>
    </row>
    <row r="23" spans="1:24" hidden="1" x14ac:dyDescent="0.25">
      <c r="A23" t="s">
        <v>84</v>
      </c>
      <c r="B23" t="s">
        <v>115</v>
      </c>
      <c r="C23" s="9">
        <v>35827</v>
      </c>
      <c r="D23" s="9">
        <v>36892</v>
      </c>
      <c r="E23" t="s">
        <v>136</v>
      </c>
      <c r="F23" t="s">
        <v>138</v>
      </c>
      <c r="H23">
        <v>1514</v>
      </c>
      <c r="I23" t="s">
        <v>18</v>
      </c>
      <c r="J23" t="str">
        <f>VLOOKUP(K$2:K$41,Curves!$K$1:$O$25,2)</f>
        <v>katy</v>
      </c>
      <c r="K23">
        <v>15</v>
      </c>
      <c r="L23">
        <f>VLOOKUP(K$2:K$41,Curves!$K$1:$O$25,3)</f>
        <v>7</v>
      </c>
      <c r="M23" s="4">
        <v>0</v>
      </c>
      <c r="N23" s="4">
        <v>0.01</v>
      </c>
      <c r="O23" s="4">
        <f>VLOOKUP($L23,Curves!A$3:D$13,4)</f>
        <v>-5.0000000000000001E-3</v>
      </c>
      <c r="P23" s="4">
        <v>0</v>
      </c>
      <c r="R23" s="4">
        <f>VLOOKUP($L23,Curves!F$3:I$13,4)</f>
        <v>-5.0000000000000001E-3</v>
      </c>
      <c r="S23" s="4">
        <v>0</v>
      </c>
      <c r="U23" s="4">
        <f>VLOOKUP($L23,Curves!A$17:D$27,4)</f>
        <v>-5.0000000000000001E-3</v>
      </c>
      <c r="V23" s="4">
        <v>0</v>
      </c>
      <c r="W23">
        <v>43500</v>
      </c>
      <c r="X23" s="8">
        <f t="shared" si="0"/>
        <v>0</v>
      </c>
    </row>
    <row r="24" spans="1:24" hidden="1" x14ac:dyDescent="0.25">
      <c r="A24" t="s">
        <v>116</v>
      </c>
      <c r="B24" t="s">
        <v>117</v>
      </c>
      <c r="C24" s="9">
        <v>36251</v>
      </c>
      <c r="D24" s="9">
        <v>36739</v>
      </c>
      <c r="E24" t="s">
        <v>126</v>
      </c>
      <c r="F24" t="s">
        <v>138</v>
      </c>
      <c r="H24">
        <v>1528</v>
      </c>
      <c r="I24" t="s">
        <v>18</v>
      </c>
      <c r="J24" t="str">
        <f>VLOOKUP(K$2:K$41,Curves!$K$1:$O$25,2)</f>
        <v>ship channel</v>
      </c>
      <c r="K24">
        <v>10</v>
      </c>
      <c r="L24">
        <f>VLOOKUP(K$2:K$41,Curves!$K$1:$O$25,3)</f>
        <v>1</v>
      </c>
      <c r="M24" s="4">
        <v>0</v>
      </c>
      <c r="N24" s="4">
        <v>0.04</v>
      </c>
      <c r="O24" s="4">
        <f>VLOOKUP($L24,Curves!A$3:D$13,4)</f>
        <v>0</v>
      </c>
      <c r="P24" s="4">
        <f t="shared" si="1"/>
        <v>0.04</v>
      </c>
      <c r="R24" s="4">
        <f>VLOOKUP($L24,Curves!F$3:I$13,4)</f>
        <v>0</v>
      </c>
      <c r="S24" s="4">
        <f t="shared" si="2"/>
        <v>0.04</v>
      </c>
      <c r="U24" s="4">
        <f>VLOOKUP($L24,Curves!A$17:D$27,4)</f>
        <v>0</v>
      </c>
      <c r="V24" s="4">
        <f t="shared" si="3"/>
        <v>0.04</v>
      </c>
      <c r="W24">
        <v>146639</v>
      </c>
      <c r="X24" s="8">
        <f t="shared" si="0"/>
        <v>5865.56</v>
      </c>
    </row>
    <row r="25" spans="1:24" hidden="1" x14ac:dyDescent="0.25">
      <c r="A25" t="s">
        <v>85</v>
      </c>
      <c r="B25" t="s">
        <v>118</v>
      </c>
      <c r="C25" s="9">
        <v>35370</v>
      </c>
      <c r="D25" s="9">
        <v>38626</v>
      </c>
      <c r="E25" t="s">
        <v>135</v>
      </c>
      <c r="F25" t="s">
        <v>138</v>
      </c>
      <c r="H25">
        <v>1531</v>
      </c>
      <c r="I25" t="s">
        <v>18</v>
      </c>
      <c r="J25" t="str">
        <f>VLOOKUP(K$2:K$41,Curves!$K$1:$O$25,2)</f>
        <v>ship channel</v>
      </c>
      <c r="K25">
        <v>10</v>
      </c>
      <c r="L25">
        <f>VLOOKUP(K$2:K$41,Curves!$K$1:$O$25,3)</f>
        <v>1</v>
      </c>
      <c r="M25" s="4">
        <v>0</v>
      </c>
      <c r="N25" s="4">
        <v>5.5E-2</v>
      </c>
      <c r="O25" s="4">
        <f>VLOOKUP($L25,Curves!A$3:D$13,4)</f>
        <v>0</v>
      </c>
      <c r="P25" s="4">
        <v>0</v>
      </c>
      <c r="R25" s="4">
        <f>VLOOKUP($L25,Curves!F$3:I$13,4)</f>
        <v>0</v>
      </c>
      <c r="S25" s="4">
        <v>0</v>
      </c>
      <c r="U25" s="4">
        <f>VLOOKUP($L25,Curves!A$17:D$27,4)</f>
        <v>0</v>
      </c>
      <c r="V25" s="4">
        <v>0</v>
      </c>
      <c r="W25">
        <v>69857</v>
      </c>
      <c r="X25" s="8">
        <f t="shared" si="0"/>
        <v>0</v>
      </c>
    </row>
    <row r="26" spans="1:24" hidden="1" x14ac:dyDescent="0.25">
      <c r="A26">
        <v>151694</v>
      </c>
      <c r="B26" t="s">
        <v>143</v>
      </c>
      <c r="C26" s="9"/>
      <c r="D26" s="9"/>
      <c r="H26">
        <v>1534</v>
      </c>
      <c r="I26" t="s">
        <v>20</v>
      </c>
      <c r="J26" t="str">
        <f>VLOOKUP(K$2:K$41,Curves!$K$1:$O$25,2)</f>
        <v>a/s south</v>
      </c>
      <c r="K26">
        <v>3</v>
      </c>
      <c r="L26">
        <f>VLOOKUP(K$2:K$41,Curves!$K$1:$O$25,3)</f>
        <v>2</v>
      </c>
      <c r="M26" s="4"/>
      <c r="N26" s="4">
        <v>0.04</v>
      </c>
      <c r="O26" s="4">
        <f>VLOOKUP($L26,Curves!A$3:D$13,4)</f>
        <v>-2.5000000000000001E-2</v>
      </c>
      <c r="P26" s="4">
        <f t="shared" si="1"/>
        <v>6.5000000000000002E-2</v>
      </c>
      <c r="R26" s="4">
        <f>VLOOKUP($L26,Curves!F$3:I$13,4)</f>
        <v>-2.5000000000000001E-2</v>
      </c>
      <c r="S26" s="4">
        <f t="shared" si="2"/>
        <v>6.5000000000000002E-2</v>
      </c>
      <c r="U26" s="4">
        <f>VLOOKUP($L26,Curves!A$17:D$27,4)</f>
        <v>-2.5000000000000001E-2</v>
      </c>
      <c r="V26" s="4">
        <f t="shared" si="3"/>
        <v>6.5000000000000002E-2</v>
      </c>
      <c r="W26">
        <v>52</v>
      </c>
      <c r="X26" s="8">
        <f t="shared" si="0"/>
        <v>3.38</v>
      </c>
    </row>
    <row r="27" spans="1:24" hidden="1" x14ac:dyDescent="0.25">
      <c r="A27" t="s">
        <v>86</v>
      </c>
      <c r="B27" t="s">
        <v>119</v>
      </c>
      <c r="C27" s="9">
        <v>35916</v>
      </c>
      <c r="D27" s="9">
        <v>37469</v>
      </c>
      <c r="E27" t="s">
        <v>137</v>
      </c>
      <c r="F27" t="s">
        <v>138</v>
      </c>
      <c r="H27">
        <v>1580</v>
      </c>
      <c r="I27" t="s">
        <v>18</v>
      </c>
      <c r="J27" t="str">
        <f>VLOOKUP(K$2:K$41,Curves!$K$1:$O$25,2)</f>
        <v>corpus</v>
      </c>
      <c r="K27">
        <v>11</v>
      </c>
      <c r="L27">
        <f>VLOOKUP(K$2:K$41,Curves!$K$1:$O$25,3)</f>
        <v>11</v>
      </c>
      <c r="M27" s="4">
        <v>0.01</v>
      </c>
      <c r="N27" s="4">
        <v>7.0000000000000007E-2</v>
      </c>
      <c r="O27" s="4">
        <f>VLOOKUP($L27,Curves!A$3:D$13,4)</f>
        <v>-2.5000000000000001E-2</v>
      </c>
      <c r="P27" s="4">
        <f t="shared" si="1"/>
        <v>9.5000000000000001E-2</v>
      </c>
      <c r="R27" s="4">
        <f>VLOOKUP($L27,Curves!F$3:I$13,4)</f>
        <v>-2.5000000000000001E-2</v>
      </c>
      <c r="S27" s="4">
        <f t="shared" si="2"/>
        <v>9.5000000000000001E-2</v>
      </c>
      <c r="U27" s="4">
        <f>VLOOKUP($L27,Curves!A$17:D$27,4)</f>
        <v>-2.5000000000000001E-2</v>
      </c>
      <c r="V27" s="4">
        <f t="shared" si="3"/>
        <v>9.5000000000000001E-2</v>
      </c>
      <c r="W27">
        <v>657</v>
      </c>
      <c r="X27" s="8">
        <f t="shared" si="0"/>
        <v>62.414999999999999</v>
      </c>
    </row>
    <row r="28" spans="1:24" hidden="1" x14ac:dyDescent="0.25">
      <c r="A28" t="s">
        <v>87</v>
      </c>
      <c r="B28" t="s">
        <v>120</v>
      </c>
      <c r="C28" s="9">
        <v>36251</v>
      </c>
      <c r="D28" s="9">
        <v>37956</v>
      </c>
      <c r="E28" t="s">
        <v>129</v>
      </c>
      <c r="F28" t="s">
        <v>138</v>
      </c>
      <c r="H28">
        <v>1592</v>
      </c>
      <c r="I28" t="s">
        <v>18</v>
      </c>
      <c r="J28" t="str">
        <f>VLOOKUP(K$2:K$41,Curves!$K$1:$O$25,2)</f>
        <v>edna</v>
      </c>
      <c r="K28">
        <v>5</v>
      </c>
      <c r="L28">
        <f>VLOOKUP(K$2:K$41,Curves!$K$1:$O$25,3)</f>
        <v>2</v>
      </c>
      <c r="M28" s="4">
        <v>0.3</v>
      </c>
      <c r="N28" s="4">
        <v>0.24</v>
      </c>
      <c r="O28" s="4">
        <f>VLOOKUP($L28,Curves!A$3:D$13,4)</f>
        <v>-2.5000000000000001E-2</v>
      </c>
      <c r="P28" s="4">
        <f t="shared" si="1"/>
        <v>0.26500000000000001</v>
      </c>
      <c r="R28" s="4">
        <f>VLOOKUP($L28,Curves!F$3:I$13,4)</f>
        <v>-2.5000000000000001E-2</v>
      </c>
      <c r="S28" s="4">
        <f t="shared" si="2"/>
        <v>0.26500000000000001</v>
      </c>
      <c r="U28" s="4">
        <f>VLOOKUP($L28,Curves!A$17:D$27,4)</f>
        <v>-2.5000000000000001E-2</v>
      </c>
      <c r="V28" s="4">
        <f t="shared" si="3"/>
        <v>0.26500000000000001</v>
      </c>
      <c r="W28">
        <v>5638</v>
      </c>
      <c r="X28" s="8">
        <f t="shared" si="0"/>
        <v>1494.0700000000002</v>
      </c>
    </row>
    <row r="29" spans="1:24" hidden="1" x14ac:dyDescent="0.25">
      <c r="A29" t="s">
        <v>88</v>
      </c>
      <c r="B29" t="s">
        <v>121</v>
      </c>
      <c r="C29" s="9">
        <v>36251</v>
      </c>
      <c r="D29" s="9">
        <v>36708</v>
      </c>
      <c r="E29" t="s">
        <v>129</v>
      </c>
      <c r="F29" t="s">
        <v>138</v>
      </c>
      <c r="H29">
        <v>3409</v>
      </c>
      <c r="I29" t="s">
        <v>18</v>
      </c>
      <c r="J29" t="str">
        <f>VLOOKUP(K$2:K$41,Curves!$K$1:$O$25,2)</f>
        <v>ship channel</v>
      </c>
      <c r="K29">
        <v>10</v>
      </c>
      <c r="L29">
        <f>VLOOKUP(K$2:K$41,Curves!$K$1:$O$25,3)</f>
        <v>1</v>
      </c>
      <c r="M29" s="4">
        <v>0</v>
      </c>
      <c r="N29" s="4">
        <v>0.02</v>
      </c>
      <c r="O29" s="4">
        <f>VLOOKUP($L29,Curves!A$3:D$13,4)</f>
        <v>0</v>
      </c>
      <c r="P29" s="4">
        <v>0</v>
      </c>
      <c r="R29" s="4">
        <f>VLOOKUP($L29,Curves!F$3:I$13,4)</f>
        <v>0</v>
      </c>
      <c r="S29" s="4">
        <v>0</v>
      </c>
      <c r="U29" s="4">
        <f>VLOOKUP($L29,Curves!A$17:D$27,4)</f>
        <v>0</v>
      </c>
      <c r="V29" s="4">
        <v>0</v>
      </c>
      <c r="W29">
        <v>116000</v>
      </c>
      <c r="X29" s="8">
        <f t="shared" si="0"/>
        <v>0</v>
      </c>
    </row>
    <row r="30" spans="1:24" hidden="1" x14ac:dyDescent="0.25">
      <c r="A30" t="s">
        <v>89</v>
      </c>
      <c r="C30" s="9">
        <v>36434</v>
      </c>
      <c r="D30" s="9">
        <v>38777</v>
      </c>
      <c r="E30" t="s">
        <v>91</v>
      </c>
      <c r="F30" t="s">
        <v>138</v>
      </c>
      <c r="H30">
        <v>4486</v>
      </c>
      <c r="I30" t="s">
        <v>19</v>
      </c>
      <c r="J30" t="str">
        <f>VLOOKUP(K$2:K$41,Curves!$K$1:$O$25,2)</f>
        <v>freeport</v>
      </c>
      <c r="K30">
        <v>9</v>
      </c>
      <c r="L30">
        <f>VLOOKUP(K$2:K$41,Curves!$K$1:$O$25,3)</f>
        <v>10</v>
      </c>
      <c r="M30" s="4" t="s">
        <v>81</v>
      </c>
      <c r="N30" s="4">
        <v>0.09</v>
      </c>
      <c r="O30" s="4">
        <f>VLOOKUP($L30,Curves!A$3:D$13,4)</f>
        <v>-1.4999999999999999E-2</v>
      </c>
      <c r="P30" s="4">
        <f t="shared" si="1"/>
        <v>0.105</v>
      </c>
      <c r="R30" s="4">
        <f>VLOOKUP($L30,Curves!F$3:I$13,4)</f>
        <v>-1.4999999999999999E-2</v>
      </c>
      <c r="S30" s="4">
        <f t="shared" si="2"/>
        <v>0.105</v>
      </c>
      <c r="U30" s="4">
        <f>VLOOKUP($L30,Curves!A$17:D$27,4)</f>
        <v>-1.4999999999999999E-2</v>
      </c>
      <c r="V30" s="4">
        <f t="shared" si="3"/>
        <v>0.105</v>
      </c>
      <c r="W30">
        <v>29</v>
      </c>
      <c r="X30" s="8">
        <f t="shared" si="0"/>
        <v>3.0449999999999999</v>
      </c>
    </row>
    <row r="31" spans="1:24" hidden="1" x14ac:dyDescent="0.25">
      <c r="A31" t="s">
        <v>90</v>
      </c>
      <c r="B31" t="s">
        <v>139</v>
      </c>
      <c r="C31" s="9">
        <v>36161</v>
      </c>
      <c r="D31" s="9">
        <v>38777</v>
      </c>
      <c r="E31" t="s">
        <v>91</v>
      </c>
      <c r="F31" t="s">
        <v>138</v>
      </c>
      <c r="H31">
        <v>7107</v>
      </c>
      <c r="I31" t="s">
        <v>13</v>
      </c>
      <c r="J31" t="str">
        <f>VLOOKUP(K$2:K$41,Curves!$K$1:$O$25,2)</f>
        <v>east texas</v>
      </c>
      <c r="K31">
        <v>8</v>
      </c>
      <c r="L31">
        <f>VLOOKUP(K$2:K$41,Curves!$K$1:$O$25,3)</f>
        <v>4</v>
      </c>
      <c r="M31" s="4"/>
      <c r="N31" s="4">
        <v>7.5700000000000003E-2</v>
      </c>
      <c r="O31" s="4">
        <f>VLOOKUP($L31,Curves!A$3:D$13,4)</f>
        <v>0.01</v>
      </c>
      <c r="P31" s="4">
        <f t="shared" si="1"/>
        <v>6.5700000000000008E-2</v>
      </c>
      <c r="R31" s="4">
        <f>VLOOKUP($L31,Curves!F$3:I$13,4)</f>
        <v>0.01</v>
      </c>
      <c r="S31" s="4">
        <f t="shared" si="2"/>
        <v>6.5700000000000008E-2</v>
      </c>
      <c r="U31" s="4">
        <f>VLOOKUP($L31,Curves!A$17:D$27,4)</f>
        <v>0.01</v>
      </c>
      <c r="V31" s="4">
        <f t="shared" si="3"/>
        <v>6.5700000000000008E-2</v>
      </c>
      <c r="W31">
        <f>70097+20365</f>
        <v>90462</v>
      </c>
      <c r="X31" s="8">
        <f t="shared" si="0"/>
        <v>5943.3534000000009</v>
      </c>
    </row>
    <row r="32" spans="1:24" hidden="1" x14ac:dyDescent="0.25">
      <c r="A32" t="s">
        <v>90</v>
      </c>
      <c r="B32" t="s">
        <v>139</v>
      </c>
      <c r="C32" s="9">
        <v>36161</v>
      </c>
      <c r="D32" s="9">
        <v>38777</v>
      </c>
      <c r="E32" t="s">
        <v>91</v>
      </c>
      <c r="F32" t="s">
        <v>138</v>
      </c>
      <c r="H32">
        <v>7108</v>
      </c>
      <c r="I32" t="s">
        <v>13</v>
      </c>
      <c r="J32" t="str">
        <f>VLOOKUP(K$2:K$41,Curves!$K$1:$O$25,2)</f>
        <v>east texas</v>
      </c>
      <c r="K32">
        <v>8</v>
      </c>
      <c r="L32">
        <f>VLOOKUP(K$2:K$41,Curves!$K$1:$O$25,3)</f>
        <v>4</v>
      </c>
      <c r="M32" s="4"/>
      <c r="N32" s="4">
        <v>7.5700000000000003E-2</v>
      </c>
      <c r="O32" s="4">
        <f>VLOOKUP($L32,Curves!A$3:D$13,4)</f>
        <v>0.01</v>
      </c>
      <c r="P32" s="4">
        <f t="shared" si="1"/>
        <v>6.5700000000000008E-2</v>
      </c>
      <c r="R32" s="4">
        <f>VLOOKUP($L32,Curves!F$3:I$13,4)</f>
        <v>0.01</v>
      </c>
      <c r="S32" s="4">
        <f t="shared" si="2"/>
        <v>6.5700000000000008E-2</v>
      </c>
      <c r="U32" s="4">
        <f>VLOOKUP($L32,Curves!A$17:D$27,4)</f>
        <v>0.01</v>
      </c>
      <c r="V32" s="4">
        <f t="shared" si="3"/>
        <v>6.5700000000000008E-2</v>
      </c>
      <c r="W32">
        <f>23355+54113</f>
        <v>77468</v>
      </c>
      <c r="X32" s="8">
        <f t="shared" si="0"/>
        <v>5089.6476000000002</v>
      </c>
    </row>
    <row r="33" spans="1:24" hidden="1" x14ac:dyDescent="0.25">
      <c r="A33" t="s">
        <v>90</v>
      </c>
      <c r="B33" t="s">
        <v>139</v>
      </c>
      <c r="C33" s="9">
        <v>36161</v>
      </c>
      <c r="D33" s="9">
        <v>38777</v>
      </c>
      <c r="E33" t="s">
        <v>91</v>
      </c>
      <c r="F33" t="s">
        <v>138</v>
      </c>
      <c r="H33">
        <v>7109</v>
      </c>
      <c r="I33" t="s">
        <v>13</v>
      </c>
      <c r="J33" t="str">
        <f>VLOOKUP(K$2:K$41,Curves!$K$1:$O$25,2)</f>
        <v>east texas</v>
      </c>
      <c r="K33">
        <v>8</v>
      </c>
      <c r="L33">
        <f>VLOOKUP(K$2:K$41,Curves!$K$1:$O$25,3)</f>
        <v>4</v>
      </c>
      <c r="M33" s="4"/>
      <c r="N33" s="4">
        <v>7.5700000000000003E-2</v>
      </c>
      <c r="O33" s="4">
        <f>VLOOKUP($L33,Curves!A$3:D$13,4)</f>
        <v>0.01</v>
      </c>
      <c r="P33" s="4">
        <f t="shared" si="1"/>
        <v>6.5700000000000008E-2</v>
      </c>
      <c r="R33" s="4">
        <f>VLOOKUP($L33,Curves!F$3:I$13,4)</f>
        <v>0.01</v>
      </c>
      <c r="S33" s="4">
        <f t="shared" si="2"/>
        <v>6.5700000000000008E-2</v>
      </c>
      <c r="U33" s="4">
        <f>VLOOKUP($L33,Curves!A$17:D$27,4)</f>
        <v>0.01</v>
      </c>
      <c r="V33" s="4">
        <f t="shared" si="3"/>
        <v>6.5700000000000008E-2</v>
      </c>
      <c r="W33">
        <f>81200+137750+3060</f>
        <v>222010</v>
      </c>
      <c r="X33" s="8">
        <f t="shared" si="0"/>
        <v>14586.057000000003</v>
      </c>
    </row>
    <row r="34" spans="1:24" ht="26.4" x14ac:dyDescent="0.25">
      <c r="A34">
        <v>140196</v>
      </c>
      <c r="B34" s="1" t="s">
        <v>98</v>
      </c>
      <c r="C34" s="9">
        <v>36526</v>
      </c>
      <c r="D34" s="9">
        <v>38353</v>
      </c>
      <c r="E34" t="s">
        <v>75</v>
      </c>
      <c r="F34" t="s">
        <v>128</v>
      </c>
      <c r="H34">
        <v>8002</v>
      </c>
      <c r="I34" t="s">
        <v>18</v>
      </c>
      <c r="J34" t="str">
        <f>VLOOKUP(K$2:K$41,Curves!$K$1:$O$25,2)</f>
        <v>a/s central</v>
      </c>
      <c r="K34">
        <v>4</v>
      </c>
      <c r="L34">
        <f>VLOOKUP(K$2:K$41,Curves!$K$1:$O$25,3)</f>
        <v>6</v>
      </c>
      <c r="M34" s="4">
        <v>0</v>
      </c>
      <c r="N34" s="4">
        <v>0.2</v>
      </c>
      <c r="O34" s="4">
        <f>VLOOKUP($L34,Curves!A$3:D$13,4)</f>
        <v>0.01</v>
      </c>
      <c r="P34" s="4">
        <v>0</v>
      </c>
      <c r="R34" s="4">
        <f>VLOOKUP($L34,Curves!F$3:I$13,4)</f>
        <v>0.01</v>
      </c>
      <c r="S34" s="4">
        <v>0</v>
      </c>
      <c r="U34" s="4">
        <f>VLOOKUP($L34,Curves!A$17:D$27,4)</f>
        <v>0.01</v>
      </c>
      <c r="V34" s="4">
        <v>0</v>
      </c>
      <c r="W34">
        <v>58000</v>
      </c>
      <c r="X34" s="8">
        <f t="shared" si="0"/>
        <v>0</v>
      </c>
    </row>
    <row r="35" spans="1:24" x14ac:dyDescent="0.25">
      <c r="A35">
        <v>169035</v>
      </c>
      <c r="B35" t="s">
        <v>99</v>
      </c>
      <c r="C35" s="9">
        <v>36586</v>
      </c>
      <c r="D35" s="9">
        <v>38353</v>
      </c>
      <c r="E35" t="s">
        <v>75</v>
      </c>
      <c r="F35" t="s">
        <v>128</v>
      </c>
      <c r="H35">
        <v>8013</v>
      </c>
      <c r="I35" t="s">
        <v>18</v>
      </c>
      <c r="J35" t="str">
        <f>VLOOKUP(K$2:K$41,Curves!$K$1:$O$25,2)</f>
        <v>a/s central</v>
      </c>
      <c r="K35">
        <v>4</v>
      </c>
      <c r="L35">
        <f>VLOOKUP(K$2:K$41,Curves!$K$1:$O$25,3)</f>
        <v>6</v>
      </c>
      <c r="M35" s="4"/>
      <c r="N35" s="4">
        <v>0.19</v>
      </c>
      <c r="O35" s="4">
        <f>VLOOKUP($L35,Curves!A$3:D$13,4)</f>
        <v>0.01</v>
      </c>
      <c r="P35" s="4">
        <f t="shared" si="1"/>
        <v>0.18</v>
      </c>
      <c r="R35" s="4">
        <f>VLOOKUP($L35,Curves!F$3:I$13,4)</f>
        <v>0.01</v>
      </c>
      <c r="S35" s="4">
        <f t="shared" si="2"/>
        <v>0.18</v>
      </c>
      <c r="U35" s="4">
        <f>VLOOKUP($L35,Curves!A$17:D$27,4)</f>
        <v>0.01</v>
      </c>
      <c r="V35" s="4">
        <f t="shared" si="3"/>
        <v>0.18</v>
      </c>
      <c r="W35">
        <v>8147</v>
      </c>
      <c r="X35" s="8">
        <f t="shared" si="0"/>
        <v>1466.46</v>
      </c>
    </row>
    <row r="36" spans="1:24" hidden="1" x14ac:dyDescent="0.25">
      <c r="A36" t="s">
        <v>92</v>
      </c>
      <c r="B36" t="s">
        <v>122</v>
      </c>
      <c r="C36" s="9">
        <v>35704</v>
      </c>
      <c r="D36" s="9">
        <v>38231</v>
      </c>
      <c r="E36" t="s">
        <v>131</v>
      </c>
      <c r="F36" t="s">
        <v>138</v>
      </c>
      <c r="H36">
        <v>8028</v>
      </c>
      <c r="I36" t="s">
        <v>18</v>
      </c>
      <c r="J36" t="str">
        <f>VLOOKUP(K$2:K$41,Curves!$K$1:$O$25,2)</f>
        <v>a/s central</v>
      </c>
      <c r="K36">
        <v>4</v>
      </c>
      <c r="L36">
        <f>VLOOKUP(K$2:K$41,Curves!$K$1:$O$25,3)</f>
        <v>6</v>
      </c>
      <c r="M36" s="4">
        <v>0</v>
      </c>
      <c r="N36" s="4">
        <v>0.54</v>
      </c>
      <c r="O36" s="4">
        <f>VLOOKUP($L36,Curves!A$3:D$13,4)</f>
        <v>0.01</v>
      </c>
      <c r="P36" s="4">
        <v>0</v>
      </c>
      <c r="R36" s="4">
        <f>VLOOKUP($L36,Curves!F$3:I$13,4)</f>
        <v>0.01</v>
      </c>
      <c r="S36" s="4">
        <v>0</v>
      </c>
      <c r="U36" s="4">
        <f>VLOOKUP($L36,Curves!A$17:D$27,4)</f>
        <v>0.01</v>
      </c>
      <c r="V36" s="4">
        <v>0</v>
      </c>
      <c r="W36">
        <v>4736</v>
      </c>
      <c r="X36" s="8">
        <f t="shared" si="0"/>
        <v>0</v>
      </c>
    </row>
    <row r="37" spans="1:24" hidden="1" x14ac:dyDescent="0.25">
      <c r="A37">
        <v>125502</v>
      </c>
      <c r="B37" t="s">
        <v>139</v>
      </c>
      <c r="C37" s="9" t="s">
        <v>81</v>
      </c>
      <c r="D37" s="9">
        <v>36586</v>
      </c>
      <c r="E37" t="s">
        <v>93</v>
      </c>
      <c r="F37" t="s">
        <v>138</v>
      </c>
      <c r="H37">
        <v>8055</v>
      </c>
      <c r="I37" t="s">
        <v>18</v>
      </c>
      <c r="J37" t="str">
        <f>VLOOKUP(K$2:K$41,Curves!$K$1:$O$25,2)</f>
        <v>ship channel</v>
      </c>
      <c r="K37">
        <v>10</v>
      </c>
      <c r="L37">
        <f>VLOOKUP(K$2:K$41,Curves!$K$1:$O$25,3)</f>
        <v>1</v>
      </c>
      <c r="M37" s="4"/>
      <c r="N37" s="4">
        <v>1.4999999999999999E-2</v>
      </c>
      <c r="O37" s="4">
        <f>VLOOKUP($L37,Curves!A$3:D$13,4)</f>
        <v>0</v>
      </c>
      <c r="P37" s="4">
        <f t="shared" si="1"/>
        <v>1.4999999999999999E-2</v>
      </c>
      <c r="R37" s="4">
        <f>VLOOKUP($L37,Curves!F$3:I$13,4)</f>
        <v>0</v>
      </c>
      <c r="S37" s="4">
        <f t="shared" si="2"/>
        <v>1.4999999999999999E-2</v>
      </c>
      <c r="U37" s="4">
        <f>VLOOKUP($L37,Curves!A$17:D$27,4)</f>
        <v>0</v>
      </c>
      <c r="V37" s="4">
        <f t="shared" si="3"/>
        <v>1.4999999999999999E-2</v>
      </c>
      <c r="W37">
        <v>129783</v>
      </c>
      <c r="X37" s="8">
        <f t="shared" si="0"/>
        <v>1946.7449999999999</v>
      </c>
    </row>
    <row r="38" spans="1:24" x14ac:dyDescent="0.25">
      <c r="A38">
        <v>125021</v>
      </c>
      <c r="B38" t="s">
        <v>100</v>
      </c>
      <c r="C38" s="9">
        <v>36465</v>
      </c>
      <c r="D38" s="9">
        <v>38261</v>
      </c>
      <c r="E38" t="s">
        <v>75</v>
      </c>
      <c r="F38" t="s">
        <v>128</v>
      </c>
      <c r="H38">
        <v>8095</v>
      </c>
      <c r="I38" t="s">
        <v>18</v>
      </c>
      <c r="J38" t="str">
        <f>VLOOKUP(K$2:K$41,Curves!$K$1:$O$25,2)</f>
        <v>a/s central</v>
      </c>
      <c r="K38">
        <v>4</v>
      </c>
      <c r="L38">
        <f>VLOOKUP(K$2:K$41,Curves!$K$1:$O$25,3)</f>
        <v>6</v>
      </c>
      <c r="M38" s="4">
        <v>0.71</v>
      </c>
      <c r="N38" s="4">
        <v>0.27</v>
      </c>
      <c r="O38" s="4">
        <f>VLOOKUP($L38,Curves!A$3:D$13,4)</f>
        <v>0.01</v>
      </c>
      <c r="P38" s="4">
        <f t="shared" si="1"/>
        <v>0.26</v>
      </c>
      <c r="R38" s="4">
        <f>VLOOKUP($L38,Curves!F$3:I$13,4)</f>
        <v>0.01</v>
      </c>
      <c r="S38" s="4">
        <f t="shared" si="2"/>
        <v>0.26</v>
      </c>
      <c r="U38" s="4">
        <f>VLOOKUP($L38,Curves!A$17:D$27,4)</f>
        <v>0.01</v>
      </c>
      <c r="V38" s="4">
        <f t="shared" si="3"/>
        <v>0.26</v>
      </c>
      <c r="W38">
        <v>2869</v>
      </c>
      <c r="X38" s="8">
        <f t="shared" si="0"/>
        <v>745.94</v>
      </c>
    </row>
    <row r="39" spans="1:24" hidden="1" x14ac:dyDescent="0.25">
      <c r="A39" t="s">
        <v>79</v>
      </c>
      <c r="B39" t="s">
        <v>112</v>
      </c>
      <c r="C39" s="9">
        <v>34790</v>
      </c>
      <c r="D39" s="9">
        <v>36586</v>
      </c>
      <c r="F39" t="s">
        <v>138</v>
      </c>
      <c r="H39">
        <v>8100</v>
      </c>
      <c r="I39" t="s">
        <v>18</v>
      </c>
      <c r="J39" t="str">
        <f>VLOOKUP(K$2:K$41,Curves!$K$1:$O$25,2)</f>
        <v>east texas</v>
      </c>
      <c r="K39">
        <v>8</v>
      </c>
      <c r="L39">
        <f>VLOOKUP(K$2:K$41,Curves!$K$1:$O$25,3)</f>
        <v>4</v>
      </c>
      <c r="M39" s="4"/>
      <c r="N39" s="4">
        <v>0.19</v>
      </c>
      <c r="O39" s="4">
        <f>VLOOKUP($L39,Curves!A$3:D$13,4)</f>
        <v>0.01</v>
      </c>
      <c r="P39" s="4">
        <f t="shared" si="1"/>
        <v>0.18</v>
      </c>
      <c r="R39" s="4">
        <f>VLOOKUP($L39,Curves!F$3:I$13,4)</f>
        <v>0.01</v>
      </c>
      <c r="S39" s="4">
        <f t="shared" si="2"/>
        <v>0.18</v>
      </c>
      <c r="U39" s="4">
        <f>VLOOKUP($L39,Curves!A$17:D$27,4)</f>
        <v>0.01</v>
      </c>
      <c r="V39" s="4">
        <f t="shared" si="3"/>
        <v>0.18</v>
      </c>
      <c r="W39">
        <v>3480</v>
      </c>
      <c r="X39" s="8">
        <f t="shared" si="0"/>
        <v>626.4</v>
      </c>
    </row>
    <row r="40" spans="1:24" hidden="1" x14ac:dyDescent="0.25">
      <c r="A40" t="s">
        <v>94</v>
      </c>
      <c r="B40" t="s">
        <v>123</v>
      </c>
      <c r="C40" s="9">
        <v>36251</v>
      </c>
      <c r="D40" s="9">
        <v>36586</v>
      </c>
      <c r="E40" t="s">
        <v>130</v>
      </c>
      <c r="F40" t="s">
        <v>138</v>
      </c>
      <c r="H40">
        <v>8103</v>
      </c>
      <c r="I40" t="s">
        <v>18</v>
      </c>
      <c r="J40" t="str">
        <f>VLOOKUP(K$2:K$41,Curves!$K$1:$O$25,2)</f>
        <v>hardin</v>
      </c>
      <c r="K40">
        <v>20</v>
      </c>
      <c r="L40">
        <f>VLOOKUP(K$2:K$41,Curves!$K$1:$O$25,3)</f>
        <v>4</v>
      </c>
      <c r="M40" s="4">
        <v>0.13</v>
      </c>
      <c r="N40" s="4">
        <v>7.0000000000000007E-2</v>
      </c>
      <c r="O40" s="4">
        <f>VLOOKUP($L40,Curves!A$3:D$13,4)</f>
        <v>0.01</v>
      </c>
      <c r="P40" s="4">
        <f t="shared" si="1"/>
        <v>6.0000000000000005E-2</v>
      </c>
      <c r="R40" s="4">
        <f>VLOOKUP($L40,Curves!F$3:I$13,4)</f>
        <v>0.01</v>
      </c>
      <c r="S40" s="4">
        <f t="shared" si="2"/>
        <v>6.0000000000000005E-2</v>
      </c>
      <c r="U40" s="4">
        <f>VLOOKUP($L40,Curves!A$17:D$27,4)</f>
        <v>0.01</v>
      </c>
      <c r="V40" s="4">
        <f t="shared" si="3"/>
        <v>6.0000000000000005E-2</v>
      </c>
      <c r="W40">
        <v>43500</v>
      </c>
      <c r="X40" s="8">
        <f t="shared" si="0"/>
        <v>2610</v>
      </c>
    </row>
    <row r="41" spans="1:24" hidden="1" x14ac:dyDescent="0.25">
      <c r="A41" t="s">
        <v>95</v>
      </c>
      <c r="B41" t="s">
        <v>124</v>
      </c>
      <c r="C41" s="9">
        <v>36008</v>
      </c>
      <c r="D41" s="9">
        <v>37347</v>
      </c>
      <c r="E41" t="s">
        <v>134</v>
      </c>
      <c r="F41" t="s">
        <v>138</v>
      </c>
      <c r="H41">
        <v>8663</v>
      </c>
      <c r="I41" t="s">
        <v>18</v>
      </c>
      <c r="J41" t="str">
        <f>VLOOKUP(K$2:K$41,Curves!$K$1:$O$25,2)</f>
        <v>nueces</v>
      </c>
      <c r="K41">
        <v>22</v>
      </c>
      <c r="L41">
        <f>VLOOKUP(K$2:K$41,Curves!$K$1:$O$25,3)</f>
        <v>5</v>
      </c>
      <c r="M41" s="4">
        <v>0.13900000000000001</v>
      </c>
      <c r="N41" s="4">
        <v>0.15</v>
      </c>
      <c r="O41" s="4">
        <f>VLOOKUP($L41,Curves!A$3:D$13,4)</f>
        <v>-2.5000000000000001E-2</v>
      </c>
      <c r="P41" s="4">
        <f t="shared" si="1"/>
        <v>0.17499999999999999</v>
      </c>
      <c r="R41" s="4">
        <f>VLOOKUP($L41,Curves!F$3:I$13,4)</f>
        <v>-2.5000000000000001E-2</v>
      </c>
      <c r="S41" s="4">
        <f t="shared" si="2"/>
        <v>0.17499999999999999</v>
      </c>
      <c r="U41" s="4">
        <f>VLOOKUP($L41,Curves!A$17:D$27,4)</f>
        <v>-2.5000000000000001E-2</v>
      </c>
      <c r="V41" s="4">
        <f t="shared" si="3"/>
        <v>0.17499999999999999</v>
      </c>
      <c r="W41">
        <v>146161</v>
      </c>
      <c r="X41" s="8">
        <f t="shared" si="0"/>
        <v>25578.174999999999</v>
      </c>
    </row>
    <row r="42" spans="1:24" x14ac:dyDescent="0.25">
      <c r="C42" s="9"/>
      <c r="D42" s="9"/>
    </row>
    <row r="43" spans="1:24" x14ac:dyDescent="0.25">
      <c r="C43" s="9"/>
      <c r="D43" s="9"/>
      <c r="X43" s="8">
        <f>SUBTOTAL(9,X2:X42)</f>
        <v>9284.5670000000009</v>
      </c>
    </row>
    <row r="44" spans="1:24" x14ac:dyDescent="0.25">
      <c r="C44" s="9"/>
      <c r="D44" s="9"/>
    </row>
    <row r="45" spans="1:24" x14ac:dyDescent="0.25">
      <c r="C45" s="9"/>
      <c r="D45" s="9"/>
    </row>
    <row r="46" spans="1:24" x14ac:dyDescent="0.25">
      <c r="C46" s="9"/>
      <c r="D46" s="9"/>
    </row>
    <row r="47" spans="1:24" x14ac:dyDescent="0.25">
      <c r="C47" s="9"/>
      <c r="D47" s="9"/>
    </row>
    <row r="48" spans="1:24" x14ac:dyDescent="0.25">
      <c r="C48" s="9"/>
      <c r="D48" s="9"/>
    </row>
    <row r="49" spans="3:4" x14ac:dyDescent="0.25">
      <c r="C49" s="9"/>
      <c r="D49" s="9"/>
    </row>
    <row r="50" spans="3:4" x14ac:dyDescent="0.25">
      <c r="C50" s="9"/>
      <c r="D50" s="9"/>
    </row>
    <row r="51" spans="3:4" x14ac:dyDescent="0.25">
      <c r="C51" s="9"/>
      <c r="D51" s="9"/>
    </row>
    <row r="52" spans="3:4" x14ac:dyDescent="0.25">
      <c r="C52" s="9"/>
      <c r="D52" s="9"/>
    </row>
    <row r="53" spans="3:4" x14ac:dyDescent="0.25">
      <c r="C53" s="9"/>
      <c r="D53" s="9"/>
    </row>
    <row r="54" spans="3:4" x14ac:dyDescent="0.25">
      <c r="C54" s="9"/>
      <c r="D54" s="9"/>
    </row>
    <row r="55" spans="3:4" x14ac:dyDescent="0.25">
      <c r="C55" s="9"/>
      <c r="D55" s="9"/>
    </row>
    <row r="56" spans="3:4" x14ac:dyDescent="0.25">
      <c r="C56" s="9"/>
      <c r="D56" s="9"/>
    </row>
    <row r="57" spans="3:4" x14ac:dyDescent="0.25">
      <c r="C57" s="9"/>
      <c r="D57" s="9"/>
    </row>
    <row r="58" spans="3:4" x14ac:dyDescent="0.25">
      <c r="C58" s="9"/>
      <c r="D58" s="9"/>
    </row>
    <row r="59" spans="3:4" x14ac:dyDescent="0.25">
      <c r="C59" s="9"/>
      <c r="D59" s="9"/>
    </row>
    <row r="60" spans="3:4" x14ac:dyDescent="0.25">
      <c r="C60" s="9"/>
      <c r="D60" s="9"/>
    </row>
    <row r="61" spans="3:4" x14ac:dyDescent="0.25">
      <c r="C61" s="9"/>
      <c r="D61" s="9"/>
    </row>
    <row r="62" spans="3:4" x14ac:dyDescent="0.25">
      <c r="C62" s="9"/>
      <c r="D62" s="9"/>
    </row>
    <row r="63" spans="3:4" x14ac:dyDescent="0.25">
      <c r="C63" s="9"/>
      <c r="D63" s="9"/>
    </row>
    <row r="64" spans="3:4" x14ac:dyDescent="0.25">
      <c r="C64" s="9"/>
      <c r="D64" s="9"/>
    </row>
    <row r="65" spans="3:4" x14ac:dyDescent="0.25">
      <c r="C65" s="9"/>
      <c r="D65" s="9"/>
    </row>
    <row r="66" spans="3:4" x14ac:dyDescent="0.25">
      <c r="C66" s="9"/>
      <c r="D66" s="9"/>
    </row>
    <row r="67" spans="3:4" x14ac:dyDescent="0.25">
      <c r="C67" s="9"/>
      <c r="D67" s="9"/>
    </row>
    <row r="68" spans="3:4" x14ac:dyDescent="0.25">
      <c r="C68" s="9"/>
      <c r="D68" s="9"/>
    </row>
    <row r="69" spans="3:4" x14ac:dyDescent="0.25">
      <c r="C69" s="9"/>
      <c r="D69" s="9"/>
    </row>
    <row r="70" spans="3:4" x14ac:dyDescent="0.25">
      <c r="C70" s="9"/>
      <c r="D70" s="9"/>
    </row>
    <row r="71" spans="3:4" x14ac:dyDescent="0.25">
      <c r="C71" s="9"/>
      <c r="D71" s="9"/>
    </row>
    <row r="72" spans="3:4" x14ac:dyDescent="0.25">
      <c r="C72" s="9"/>
      <c r="D72" s="9"/>
    </row>
    <row r="73" spans="3:4" x14ac:dyDescent="0.25">
      <c r="C73" s="9"/>
      <c r="D73" s="9"/>
    </row>
    <row r="74" spans="3:4" x14ac:dyDescent="0.25">
      <c r="C74" s="9"/>
      <c r="D74" s="9"/>
    </row>
    <row r="75" spans="3:4" x14ac:dyDescent="0.25">
      <c r="C75" s="11"/>
      <c r="D75" s="11"/>
    </row>
    <row r="76" spans="3:4" x14ac:dyDescent="0.25">
      <c r="C76" s="11"/>
      <c r="D76" s="11"/>
    </row>
    <row r="77" spans="3:4" x14ac:dyDescent="0.25">
      <c r="C77" s="11"/>
      <c r="D77" s="11"/>
    </row>
    <row r="78" spans="3:4" x14ac:dyDescent="0.25">
      <c r="C78" s="11"/>
      <c r="D78" s="11"/>
    </row>
    <row r="79" spans="3:4" x14ac:dyDescent="0.25">
      <c r="C79" s="11"/>
      <c r="D79" s="11"/>
    </row>
    <row r="80" spans="3:4" x14ac:dyDescent="0.25">
      <c r="C80" s="11"/>
      <c r="D80" s="11"/>
    </row>
    <row r="81" spans="3:4" x14ac:dyDescent="0.25">
      <c r="C81" s="11"/>
      <c r="D81" s="11"/>
    </row>
  </sheetData>
  <autoFilter ref="A1:AB41">
    <filterColumn colId="5">
      <filters>
        <filter val="G"/>
      </filters>
    </filterColumn>
  </autoFilter>
  <printOptions headings="1" gridLines="1"/>
  <pageMargins left="0.25" right="0.25" top="1" bottom="1" header="0.5" footer="0.5"/>
  <pageSetup paperSize="5" scale="78" fitToHeight="0" orientation="landscape" horizontalDpi="0" r:id="rId1"/>
  <headerFooter alignWithMargins="0">
    <oddFooter>&amp;Lo\nga\rate\transport compare sales.xls 
lkh&amp;C&amp;P&amp;R&amp;D&amp;T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7" sqref="C27"/>
    </sheetView>
  </sheetViews>
  <sheetFormatPr defaultRowHeight="13.2" x14ac:dyDescent="0.25"/>
  <cols>
    <col min="3" max="3" width="9.6640625" bestFit="1" customWidth="1"/>
    <col min="4" max="4" width="12.6640625" bestFit="1" customWidth="1"/>
    <col min="8" max="8" width="9.6640625" bestFit="1" customWidth="1"/>
    <col min="9" max="9" width="13.33203125" customWidth="1"/>
    <col min="12" max="12" width="30.88671875" bestFit="1" customWidth="1"/>
    <col min="15" max="15" width="10.109375" bestFit="1" customWidth="1"/>
  </cols>
  <sheetData>
    <row r="1" spans="1:15" ht="39.6" x14ac:dyDescent="0.25">
      <c r="B1" t="s">
        <v>21</v>
      </c>
      <c r="C1" s="2">
        <v>36495</v>
      </c>
      <c r="G1" t="s">
        <v>21</v>
      </c>
      <c r="H1" s="2">
        <v>36526</v>
      </c>
      <c r="K1" t="s">
        <v>34</v>
      </c>
      <c r="L1" t="s">
        <v>35</v>
      </c>
      <c r="M1" t="s">
        <v>6</v>
      </c>
      <c r="N1" t="s">
        <v>36</v>
      </c>
      <c r="O1" s="1" t="s">
        <v>37</v>
      </c>
    </row>
    <row r="2" spans="1:15" x14ac:dyDescent="0.25">
      <c r="C2" s="2" t="s">
        <v>22</v>
      </c>
      <c r="D2" s="5" t="s">
        <v>64</v>
      </c>
      <c r="H2" s="2" t="s">
        <v>22</v>
      </c>
      <c r="I2" s="5" t="s">
        <v>64</v>
      </c>
    </row>
    <row r="3" spans="1:15" x14ac:dyDescent="0.25">
      <c r="A3">
        <v>1</v>
      </c>
      <c r="B3" t="s">
        <v>23</v>
      </c>
      <c r="C3" s="3">
        <v>0</v>
      </c>
      <c r="D3" s="3">
        <f>+C3-C$3</f>
        <v>0</v>
      </c>
      <c r="F3">
        <v>1</v>
      </c>
      <c r="G3" t="s">
        <v>23</v>
      </c>
      <c r="H3" s="3">
        <v>0</v>
      </c>
      <c r="I3" s="3">
        <f>+H3-H$3</f>
        <v>0</v>
      </c>
      <c r="K3">
        <v>1</v>
      </c>
      <c r="L3" t="s">
        <v>38</v>
      </c>
      <c r="M3">
        <v>5</v>
      </c>
      <c r="O3" s="4">
        <f>VLOOKUP(M$3:M$25,A$3:D$14,4)</f>
        <v>-2.5000000000000001E-2</v>
      </c>
    </row>
    <row r="4" spans="1:15" x14ac:dyDescent="0.25">
      <c r="A4">
        <v>2</v>
      </c>
      <c r="B4" t="s">
        <v>24</v>
      </c>
      <c r="C4" s="3">
        <v>-2.5000000000000001E-2</v>
      </c>
      <c r="D4" s="3">
        <f t="shared" ref="D4:D13" si="0">+C4-C$3</f>
        <v>-2.5000000000000001E-2</v>
      </c>
      <c r="F4">
        <v>2</v>
      </c>
      <c r="G4" t="s">
        <v>24</v>
      </c>
      <c r="H4" s="3">
        <v>-2.5000000000000001E-2</v>
      </c>
      <c r="I4" s="3">
        <f t="shared" ref="I4:I13" si="1">+H4-H$3</f>
        <v>-2.5000000000000001E-2</v>
      </c>
      <c r="K4">
        <v>2</v>
      </c>
      <c r="L4" t="s">
        <v>39</v>
      </c>
      <c r="M4">
        <v>3</v>
      </c>
      <c r="O4" s="4">
        <f t="shared" ref="O4:O25" si="2">VLOOKUP(M$3:M$25,A$3:D$14,4)</f>
        <v>-2.5000000000000001E-2</v>
      </c>
    </row>
    <row r="5" spans="1:15" x14ac:dyDescent="0.25">
      <c r="A5">
        <v>3</v>
      </c>
      <c r="B5" t="s">
        <v>25</v>
      </c>
      <c r="C5" s="3">
        <v>-2.5000000000000001E-2</v>
      </c>
      <c r="D5" s="3">
        <f t="shared" si="0"/>
        <v>-2.5000000000000001E-2</v>
      </c>
      <c r="F5">
        <v>3</v>
      </c>
      <c r="G5" t="s">
        <v>25</v>
      </c>
      <c r="H5" s="3">
        <v>-2.5000000000000001E-2</v>
      </c>
      <c r="I5" s="3">
        <f t="shared" si="1"/>
        <v>-2.5000000000000001E-2</v>
      </c>
      <c r="K5">
        <v>3</v>
      </c>
      <c r="L5" t="s">
        <v>41</v>
      </c>
      <c r="M5">
        <v>2</v>
      </c>
      <c r="O5" s="4">
        <f t="shared" si="2"/>
        <v>-2.5000000000000001E-2</v>
      </c>
    </row>
    <row r="6" spans="1:15" x14ac:dyDescent="0.25">
      <c r="A6">
        <v>4</v>
      </c>
      <c r="B6" t="s">
        <v>26</v>
      </c>
      <c r="C6" s="3">
        <v>0.01</v>
      </c>
      <c r="D6" s="3">
        <f t="shared" si="0"/>
        <v>0.01</v>
      </c>
      <c r="F6">
        <v>4</v>
      </c>
      <c r="G6" t="s">
        <v>26</v>
      </c>
      <c r="H6" s="3">
        <v>0.01</v>
      </c>
      <c r="I6" s="3">
        <f t="shared" si="1"/>
        <v>0.01</v>
      </c>
      <c r="K6">
        <v>4</v>
      </c>
      <c r="L6" t="s">
        <v>42</v>
      </c>
      <c r="M6">
        <v>6</v>
      </c>
      <c r="O6" s="4">
        <f t="shared" si="2"/>
        <v>0.01</v>
      </c>
    </row>
    <row r="7" spans="1:15" x14ac:dyDescent="0.25">
      <c r="A7">
        <v>5</v>
      </c>
      <c r="B7" t="s">
        <v>27</v>
      </c>
      <c r="C7" s="3">
        <v>-2.5000000000000001E-2</v>
      </c>
      <c r="D7" s="3">
        <f t="shared" si="0"/>
        <v>-2.5000000000000001E-2</v>
      </c>
      <c r="F7">
        <v>5</v>
      </c>
      <c r="G7" t="s">
        <v>27</v>
      </c>
      <c r="H7" s="3">
        <v>-2.5000000000000001E-2</v>
      </c>
      <c r="I7" s="3">
        <f t="shared" si="1"/>
        <v>-2.5000000000000001E-2</v>
      </c>
      <c r="K7">
        <v>5</v>
      </c>
      <c r="L7" t="s">
        <v>44</v>
      </c>
      <c r="M7">
        <v>2</v>
      </c>
      <c r="O7" s="4">
        <f t="shared" si="2"/>
        <v>-2.5000000000000001E-2</v>
      </c>
    </row>
    <row r="8" spans="1:15" x14ac:dyDescent="0.25">
      <c r="A8">
        <v>6</v>
      </c>
      <c r="B8" t="s">
        <v>28</v>
      </c>
      <c r="C8" s="3">
        <v>0.01</v>
      </c>
      <c r="D8" s="3">
        <f t="shared" si="0"/>
        <v>0.01</v>
      </c>
      <c r="F8">
        <v>6</v>
      </c>
      <c r="G8" t="s">
        <v>28</v>
      </c>
      <c r="H8" s="3">
        <v>0.01</v>
      </c>
      <c r="I8" s="3">
        <f t="shared" si="1"/>
        <v>0.01</v>
      </c>
      <c r="K8">
        <v>6</v>
      </c>
      <c r="L8" t="s">
        <v>45</v>
      </c>
      <c r="M8">
        <v>9</v>
      </c>
      <c r="O8" s="4">
        <f t="shared" si="2"/>
        <v>0.01</v>
      </c>
    </row>
    <row r="9" spans="1:15" x14ac:dyDescent="0.25">
      <c r="A9">
        <v>7</v>
      </c>
      <c r="B9" t="s">
        <v>29</v>
      </c>
      <c r="C9" s="3">
        <v>-5.0000000000000001E-3</v>
      </c>
      <c r="D9" s="3">
        <f t="shared" si="0"/>
        <v>-5.0000000000000001E-3</v>
      </c>
      <c r="F9">
        <v>7</v>
      </c>
      <c r="G9" t="s">
        <v>29</v>
      </c>
      <c r="H9" s="3">
        <v>-5.0000000000000001E-3</v>
      </c>
      <c r="I9" s="3">
        <f t="shared" si="1"/>
        <v>-5.0000000000000001E-3</v>
      </c>
      <c r="K9">
        <v>7</v>
      </c>
      <c r="L9" t="s">
        <v>43</v>
      </c>
      <c r="M9">
        <v>6</v>
      </c>
      <c r="O9" s="4">
        <f t="shared" si="2"/>
        <v>0.01</v>
      </c>
    </row>
    <row r="10" spans="1:15" x14ac:dyDescent="0.25">
      <c r="A10">
        <v>8</v>
      </c>
      <c r="B10" t="s">
        <v>30</v>
      </c>
      <c r="C10" s="3">
        <v>-1.4999999999999999E-2</v>
      </c>
      <c r="D10" s="3">
        <f t="shared" si="0"/>
        <v>-1.4999999999999999E-2</v>
      </c>
      <c r="F10">
        <v>8</v>
      </c>
      <c r="G10" t="s">
        <v>30</v>
      </c>
      <c r="H10" s="3">
        <v>-1.4999999999999999E-2</v>
      </c>
      <c r="I10" s="3">
        <f t="shared" si="1"/>
        <v>-1.4999999999999999E-2</v>
      </c>
      <c r="K10">
        <v>8</v>
      </c>
      <c r="L10" t="s">
        <v>46</v>
      </c>
      <c r="M10">
        <v>4</v>
      </c>
      <c r="O10" s="4">
        <f t="shared" si="2"/>
        <v>0.01</v>
      </c>
    </row>
    <row r="11" spans="1:15" x14ac:dyDescent="0.25">
      <c r="A11">
        <v>9</v>
      </c>
      <c r="B11" t="s">
        <v>31</v>
      </c>
      <c r="C11" s="3">
        <v>0.01</v>
      </c>
      <c r="D11" s="3">
        <f t="shared" si="0"/>
        <v>0.01</v>
      </c>
      <c r="F11">
        <v>9</v>
      </c>
      <c r="G11" t="s">
        <v>31</v>
      </c>
      <c r="H11" s="3">
        <v>0.01</v>
      </c>
      <c r="I11" s="3">
        <f t="shared" si="1"/>
        <v>0.01</v>
      </c>
      <c r="K11">
        <v>9</v>
      </c>
      <c r="L11" t="s">
        <v>47</v>
      </c>
      <c r="M11">
        <v>10</v>
      </c>
      <c r="O11" s="4">
        <f t="shared" si="2"/>
        <v>-1.4999999999999999E-2</v>
      </c>
    </row>
    <row r="12" spans="1:15" x14ac:dyDescent="0.25">
      <c r="A12">
        <v>10</v>
      </c>
      <c r="B12" t="s">
        <v>32</v>
      </c>
      <c r="C12" s="3">
        <v>-1.4999999999999999E-2</v>
      </c>
      <c r="D12" s="3">
        <f t="shared" si="0"/>
        <v>-1.4999999999999999E-2</v>
      </c>
      <c r="F12">
        <v>10</v>
      </c>
      <c r="G12" t="s">
        <v>32</v>
      </c>
      <c r="H12" s="3">
        <v>-1.4999999999999999E-2</v>
      </c>
      <c r="I12" s="3">
        <f t="shared" si="1"/>
        <v>-1.4999999999999999E-2</v>
      </c>
      <c r="K12">
        <v>10</v>
      </c>
      <c r="L12" t="s">
        <v>48</v>
      </c>
      <c r="M12">
        <v>1</v>
      </c>
      <c r="O12" s="4">
        <f t="shared" si="2"/>
        <v>0</v>
      </c>
    </row>
    <row r="13" spans="1:15" x14ac:dyDescent="0.25">
      <c r="A13">
        <v>11</v>
      </c>
      <c r="B13" t="s">
        <v>33</v>
      </c>
      <c r="C13" s="3">
        <v>-2.5000000000000001E-2</v>
      </c>
      <c r="D13" s="3">
        <f t="shared" si="0"/>
        <v>-2.5000000000000001E-2</v>
      </c>
      <c r="F13">
        <v>11</v>
      </c>
      <c r="G13" t="s">
        <v>33</v>
      </c>
      <c r="H13" s="3">
        <v>-2.5000000000000001E-2</v>
      </c>
      <c r="I13" s="3">
        <f t="shared" si="1"/>
        <v>-2.5000000000000001E-2</v>
      </c>
      <c r="K13">
        <v>11</v>
      </c>
      <c r="L13" t="s">
        <v>49</v>
      </c>
      <c r="M13">
        <v>11</v>
      </c>
      <c r="O13" s="4">
        <f t="shared" si="2"/>
        <v>-2.5000000000000001E-2</v>
      </c>
    </row>
    <row r="14" spans="1:15" x14ac:dyDescent="0.25">
      <c r="D14" s="3"/>
      <c r="K14">
        <v>12</v>
      </c>
      <c r="L14" t="s">
        <v>50</v>
      </c>
      <c r="M14">
        <v>8</v>
      </c>
      <c r="O14" s="4">
        <f t="shared" si="2"/>
        <v>-1.4999999999999999E-2</v>
      </c>
    </row>
    <row r="15" spans="1:15" x14ac:dyDescent="0.25">
      <c r="B15" t="s">
        <v>21</v>
      </c>
      <c r="C15" s="2">
        <v>36557</v>
      </c>
      <c r="K15">
        <v>13</v>
      </c>
      <c r="L15" t="s">
        <v>51</v>
      </c>
      <c r="M15">
        <v>7</v>
      </c>
      <c r="O15" s="4">
        <f t="shared" si="2"/>
        <v>-5.0000000000000001E-3</v>
      </c>
    </row>
    <row r="16" spans="1:15" x14ac:dyDescent="0.25">
      <c r="C16" s="2" t="s">
        <v>22</v>
      </c>
      <c r="D16" s="5" t="s">
        <v>64</v>
      </c>
      <c r="K16">
        <v>14</v>
      </c>
      <c r="L16" t="s">
        <v>52</v>
      </c>
      <c r="M16">
        <v>5</v>
      </c>
      <c r="O16" s="4">
        <f t="shared" si="2"/>
        <v>-2.5000000000000001E-2</v>
      </c>
    </row>
    <row r="17" spans="1:15" x14ac:dyDescent="0.25">
      <c r="A17">
        <v>1</v>
      </c>
      <c r="B17" t="s">
        <v>23</v>
      </c>
      <c r="C17" s="3">
        <v>0</v>
      </c>
      <c r="D17" s="3">
        <f>+C17-C$3</f>
        <v>0</v>
      </c>
      <c r="K17">
        <v>15</v>
      </c>
      <c r="L17" t="s">
        <v>53</v>
      </c>
      <c r="M17">
        <v>7</v>
      </c>
      <c r="O17" s="4">
        <f t="shared" si="2"/>
        <v>-5.0000000000000001E-3</v>
      </c>
    </row>
    <row r="18" spans="1:15" x14ac:dyDescent="0.25">
      <c r="A18">
        <v>2</v>
      </c>
      <c r="B18" t="s">
        <v>24</v>
      </c>
      <c r="C18" s="3">
        <v>-2.5000000000000001E-2</v>
      </c>
      <c r="D18" s="3">
        <f t="shared" ref="D18:D27" si="3">+C18-C$3</f>
        <v>-2.5000000000000001E-2</v>
      </c>
      <c r="K18">
        <v>16</v>
      </c>
      <c r="L18" t="s">
        <v>54</v>
      </c>
      <c r="M18">
        <v>7</v>
      </c>
      <c r="O18" s="4">
        <f t="shared" si="2"/>
        <v>-5.0000000000000001E-3</v>
      </c>
    </row>
    <row r="19" spans="1:15" x14ac:dyDescent="0.25">
      <c r="A19">
        <v>3</v>
      </c>
      <c r="B19" t="s">
        <v>25</v>
      </c>
      <c r="C19" s="3">
        <v>-2.5000000000000001E-2</v>
      </c>
      <c r="D19" s="3">
        <f t="shared" si="3"/>
        <v>-2.5000000000000001E-2</v>
      </c>
      <c r="K19">
        <v>17</v>
      </c>
      <c r="L19" t="s">
        <v>55</v>
      </c>
      <c r="M19">
        <v>1</v>
      </c>
      <c r="O19" s="4">
        <f t="shared" si="2"/>
        <v>0</v>
      </c>
    </row>
    <row r="20" spans="1:15" x14ac:dyDescent="0.25">
      <c r="A20">
        <v>4</v>
      </c>
      <c r="B20" t="s">
        <v>26</v>
      </c>
      <c r="C20" s="3">
        <v>0.01</v>
      </c>
      <c r="D20" s="3">
        <f t="shared" si="3"/>
        <v>0.01</v>
      </c>
      <c r="K20">
        <v>18</v>
      </c>
      <c r="L20" t="s">
        <v>56</v>
      </c>
      <c r="M20">
        <v>5</v>
      </c>
      <c r="O20" s="4">
        <f t="shared" si="2"/>
        <v>-2.5000000000000001E-2</v>
      </c>
    </row>
    <row r="21" spans="1:15" x14ac:dyDescent="0.25">
      <c r="A21">
        <v>5</v>
      </c>
      <c r="B21" t="s">
        <v>27</v>
      </c>
      <c r="C21" s="3">
        <v>-2.5000000000000001E-2</v>
      </c>
      <c r="D21" s="3">
        <f t="shared" si="3"/>
        <v>-2.5000000000000001E-2</v>
      </c>
      <c r="K21">
        <v>19</v>
      </c>
      <c r="L21" t="s">
        <v>40</v>
      </c>
      <c r="M21">
        <v>3</v>
      </c>
      <c r="O21" s="4">
        <f t="shared" si="2"/>
        <v>-2.5000000000000001E-2</v>
      </c>
    </row>
    <row r="22" spans="1:15" x14ac:dyDescent="0.25">
      <c r="A22">
        <v>6</v>
      </c>
      <c r="B22" t="s">
        <v>28</v>
      </c>
      <c r="C22" s="3">
        <v>0.01</v>
      </c>
      <c r="D22" s="3">
        <f t="shared" si="3"/>
        <v>0.01</v>
      </c>
      <c r="K22">
        <v>20</v>
      </c>
      <c r="L22" t="s">
        <v>57</v>
      </c>
      <c r="M22">
        <v>4</v>
      </c>
      <c r="O22" s="4">
        <f t="shared" si="2"/>
        <v>0.01</v>
      </c>
    </row>
    <row r="23" spans="1:15" x14ac:dyDescent="0.25">
      <c r="A23">
        <v>7</v>
      </c>
      <c r="B23" t="s">
        <v>29</v>
      </c>
      <c r="C23" s="3">
        <v>-5.0000000000000001E-3</v>
      </c>
      <c r="D23" s="3">
        <f t="shared" si="3"/>
        <v>-5.0000000000000001E-3</v>
      </c>
      <c r="K23">
        <v>21</v>
      </c>
      <c r="L23" t="s">
        <v>58</v>
      </c>
      <c r="M23">
        <v>3</v>
      </c>
      <c r="O23" s="4">
        <f t="shared" si="2"/>
        <v>-2.5000000000000001E-2</v>
      </c>
    </row>
    <row r="24" spans="1:15" x14ac:dyDescent="0.25">
      <c r="A24">
        <v>8</v>
      </c>
      <c r="B24" t="s">
        <v>30</v>
      </c>
      <c r="C24" s="3">
        <v>-1.4999999999999999E-2</v>
      </c>
      <c r="D24" s="3">
        <f t="shared" si="3"/>
        <v>-1.4999999999999999E-2</v>
      </c>
      <c r="K24">
        <v>22</v>
      </c>
      <c r="L24" t="s">
        <v>59</v>
      </c>
      <c r="M24">
        <v>5</v>
      </c>
      <c r="O24" s="4">
        <f t="shared" si="2"/>
        <v>-2.5000000000000001E-2</v>
      </c>
    </row>
    <row r="25" spans="1:15" x14ac:dyDescent="0.25">
      <c r="A25">
        <v>9</v>
      </c>
      <c r="B25" t="s">
        <v>31</v>
      </c>
      <c r="C25" s="3">
        <v>0.01</v>
      </c>
      <c r="D25" s="3">
        <f t="shared" si="3"/>
        <v>0.01</v>
      </c>
      <c r="K25">
        <v>23</v>
      </c>
      <c r="L25" t="s">
        <v>60</v>
      </c>
      <c r="M25">
        <v>1</v>
      </c>
      <c r="O25" s="4">
        <f t="shared" si="2"/>
        <v>0</v>
      </c>
    </row>
    <row r="26" spans="1:15" x14ac:dyDescent="0.25">
      <c r="A26">
        <v>10</v>
      </c>
      <c r="B26" t="s">
        <v>32</v>
      </c>
      <c r="C26" s="3">
        <v>-1.4999999999999999E-2</v>
      </c>
      <c r="D26" s="3">
        <f t="shared" si="3"/>
        <v>-1.4999999999999999E-2</v>
      </c>
    </row>
    <row r="27" spans="1:15" x14ac:dyDescent="0.25">
      <c r="A27">
        <v>11</v>
      </c>
      <c r="B27" t="s">
        <v>33</v>
      </c>
      <c r="C27" s="3">
        <v>-2.5000000000000001E-2</v>
      </c>
      <c r="D27" s="3">
        <f t="shared" si="3"/>
        <v>-2.5000000000000001E-2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Grandfathered Deal Worksheet</vt:lpstr>
      <vt:lpstr>Market Matrix Results</vt:lpstr>
      <vt:lpstr>Curves</vt:lpstr>
      <vt:lpstr>'Market Matrix Results'!Print_Titles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2000-03-08T23:55:52Z</cp:lastPrinted>
  <dcterms:created xsi:type="dcterms:W3CDTF">2000-03-01T15:12:29Z</dcterms:created>
  <dcterms:modified xsi:type="dcterms:W3CDTF">2023-09-10T11:02:04Z</dcterms:modified>
</cp:coreProperties>
</file>