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603" firstSheet="1" activeTab="6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<sst xmlns="http://schemas.openxmlformats.org/spreadsheetml/2006/main" count="264" uniqueCount="124">
  <si>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</si>
  <si>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</si>
  <si>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</si>
  <si>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</si>
  <si>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</si>
  <si>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</si>
  <si>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</si>
  <si>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</si>
  <si>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</si>
  <si>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</si>
  <si>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</si>
  <si>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</si>
  <si>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</si>
  <si>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</si>
  <si>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</si>
  <si>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</si>
  <si>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</si>
  <si>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</si>
  <si>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</si>
  <si>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</si>
  <si>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</si>
  <si>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</si>
  <si>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</si>
  <si>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</si>
  <si>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</si>
  <si>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</si>
  <si>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</si>
  <si>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</si>
  <si>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</si>
  <si>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</si>
  <si>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</si>
  <si>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</si>
  <si>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</si>
  <si>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</si>
  <si>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</si>
  <si>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</si>
  <si>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</si>
  <si>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</si>
  <si>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</si>
  <si>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</si>
  <si>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</si>
  <si>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</si>
  <si>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</si>
  <si>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</si>
  <si>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</si>
  <si>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</si>
  <si>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</si>
  <si>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</si>
  <si>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</si>
  <si>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</si>
  <si>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</si>
  <si>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</si>
  <si>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</si>
  <si>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</si>
  <si>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</si>
  <si>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</si>
  <si>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</si>
  <si>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</si>
  <si>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</si>
  <si>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</si>
  <si>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</si>
  <si>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</si>
  <si>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</si>
  <si>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</si>
  <si>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</si>
  <si>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</si>
  <si>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</si>
  <si>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</si>
  <si>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</si>
  <si>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</si>
  <si>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</si>
  <si>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</si>
  <si>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</si>
  <si>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</si>
  <si>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</si>
  <si>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</si>
  <si>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</si>
  <si>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</si>
  <si>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</si>
  <si>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</si>
  <si>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</si>
  <si>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</si>
  <si>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</si>
  <si>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</si>
  <si>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</si>
  <si>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</si>
  <si>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</si>
  <si>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</si>
  <si>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</si>
  <si>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</si>
  <si>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</si>
  <si>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</si>
  <si>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</si>
  <si>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</si>
  <si>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</si>
  <si>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</si>
  <si>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</si>
  <si>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</si>
  <si>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</si>
  <si>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</si>
  <si>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</si>
  <si>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</si>
  <si>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</si>
  <si>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</si>
  <si>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</si>
  <si>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</si>
  <si>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</si>
  <si>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</si>
  <si>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</si>
  <si>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</si>
  <si>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</si>
  <si>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</si>
  <si>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</si>
  <si>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</si>
  <si>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</si>
  <si>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1 = YES, 0 = NO</t>
  </si>
  <si>
    <t>Daily Volume</t>
  </si>
  <si>
    <t>MID - OFFER COST</t>
  </si>
  <si>
    <t>TRANSPORT PREMIUM</t>
  </si>
  <si>
    <t>STORAGE</t>
  </si>
  <si>
    <t>PH/Cedar</t>
  </si>
  <si>
    <t>PH/CEDAR</t>
  </si>
  <si>
    <t>Summer Unit Cost</t>
  </si>
  <si>
    <t>Winter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</si>
</sst>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6" fontId="0" fillId="2" borderId="11" xfId="0" applyNumberFormat="1" applyFill="1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6" fontId="0" fillId="2" borderId="16" xfId="0" applyNumberFormat="1" applyFill="1" applyBorder="1" applyAlignment="1">
      <alignment horizontal="center"/>
    </xf>
    <xf numFmtId="6" fontId="0" fillId="5" borderId="11" xfId="0" applyNumberFormat="1" applyFill="1" applyBorder="1" applyAlignment="1">
      <alignment horizontal="center"/>
    </xf>
    <xf numFmtId="6" fontId="0" fillId="5" borderId="13" xfId="0" applyNumberFormat="1" applyFill="1" applyBorder="1" applyAlignment="1">
      <alignment horizontal="center"/>
    </xf>
    <xf numFmtId="6" fontId="0" fillId="5" borderId="16" xfId="0" applyNumberForma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16</xdr:row>
          <xdr:rowOff>190500</xdr:rowOff>
        </xdr:from>
        <xdr:to>
          <xdr:col>8</xdr:col>
          <xdr:colOff>769620</xdr:colOff>
          <xdr:row>20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16</xdr:row>
          <xdr:rowOff>144780</xdr:rowOff>
        </xdr:from>
        <xdr:to>
          <xdr:col>8</xdr:col>
          <xdr:colOff>647700</xdr:colOff>
          <xdr:row>21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403860</xdr:colOff>
          <xdr:row>22</xdr:row>
          <xdr:rowOff>144780</xdr:rowOff>
        </xdr:from>
        <xdr:to>
          <xdr:col>7</xdr:col>
          <xdr:colOff>982980</xdr:colOff>
          <xdr:row>26</xdr:row>
          <xdr:rowOff>99060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6"/>
  <sheetViews>
    <sheetView topLeftCell="A15" workbookViewId="0">
      <selection activeCell="L22" activeCellId="2" sqref="F22 J22 L22"/>
    </sheetView>
  </sheetViews>
  <sheetFormatPr defaultRowHeight="13.2" x14ac:dyDescent="0.25"/>
  <cols>
    <col min="2" max="2" width="9.109375" style="102" customWidth="1"/>
    <col min="3" max="4" width="12.33203125" bestFit="1" customWidth="1"/>
    <col min="5" max="5" width="9.88671875" customWidth="1"/>
    <col min="6" max="6" width="9.6640625" bestFit="1" customWidth="1"/>
    <col min="7" max="7" width="10.109375" bestFit="1" customWidth="1"/>
    <col min="8" max="8" width="10.6640625" bestFit="1" customWidth="1"/>
    <col min="10" max="10" width="10.88671875" customWidth="1"/>
    <col min="11" max="11" width="10.33203125" customWidth="1"/>
    <col min="12" max="13" width="10.109375" bestFit="1" customWidth="1"/>
  </cols>
  <sheetData>
    <row r="1" spans="1:10" s="69" customFormat="1" ht="15.6" x14ac:dyDescent="0.3">
      <c r="A1" s="246" t="s">
        <v>79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0" s="69" customFormat="1" ht="13.8" thickBot="1" x14ac:dyDescent="0.3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5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5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5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5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5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5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5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5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5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5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5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5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5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5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5">
      <c r="H17" s="76">
        <f>SUM(H3:H16)</f>
        <v>27890000</v>
      </c>
    </row>
    <row r="20" spans="1:17" ht="15.6" x14ac:dyDescent="0.3">
      <c r="A20" s="246" t="s">
        <v>81</v>
      </c>
      <c r="B20" s="246"/>
      <c r="C20" s="246"/>
      <c r="D20" s="246"/>
      <c r="E20" s="246"/>
      <c r="F20" s="246"/>
      <c r="G20" s="246"/>
      <c r="H20" s="246"/>
      <c r="J20" s="247" t="s">
        <v>82</v>
      </c>
      <c r="K20" s="247"/>
      <c r="L20" s="247"/>
    </row>
    <row r="21" spans="1:17" ht="40.200000000000003" thickBot="1" x14ac:dyDescent="0.3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5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5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5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5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5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5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5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5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5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5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5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5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5">
      <c r="M34" s="113"/>
      <c r="Q34" s="113"/>
    </row>
    <row r="35" spans="1:17" x14ac:dyDescent="0.25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5">
      <c r="C36" s="119"/>
      <c r="D36" s="119"/>
      <c r="E36" s="119"/>
      <c r="F36" s="119"/>
      <c r="G36" s="119"/>
      <c r="H36" s="119"/>
      <c r="I36" s="119"/>
      <c r="J36" s="119"/>
    </row>
    <row r="37" spans="1:17" x14ac:dyDescent="0.25">
      <c r="A37" s="247" t="s">
        <v>112</v>
      </c>
      <c r="B37" s="247"/>
      <c r="C37" s="247"/>
      <c r="D37" s="247"/>
      <c r="E37" s="119"/>
      <c r="F37" s="119"/>
      <c r="G37" s="119"/>
      <c r="H37" s="119"/>
      <c r="I37" s="119"/>
      <c r="J37" s="119"/>
    </row>
    <row r="38" spans="1:17" x14ac:dyDescent="0.25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5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5">
      <c r="A40" s="98">
        <v>36708</v>
      </c>
      <c r="D40" s="110">
        <f t="shared" si="12"/>
        <v>87885.446698262007</v>
      </c>
    </row>
    <row r="41" spans="1:17" x14ac:dyDescent="0.25">
      <c r="A41" s="98">
        <v>36739</v>
      </c>
      <c r="D41" s="110">
        <f t="shared" si="12"/>
        <v>87885.446698262007</v>
      </c>
    </row>
    <row r="42" spans="1:17" x14ac:dyDescent="0.25">
      <c r="A42" s="98">
        <v>36770</v>
      </c>
      <c r="D42" s="110">
        <f t="shared" si="12"/>
        <v>87885.446698262007</v>
      </c>
    </row>
    <row r="43" spans="1:17" x14ac:dyDescent="0.25">
      <c r="A43" s="98">
        <v>36800</v>
      </c>
      <c r="D43" s="110">
        <f t="shared" si="12"/>
        <v>39548.451014217906</v>
      </c>
    </row>
    <row r="44" spans="1:17" x14ac:dyDescent="0.25">
      <c r="A44" s="98">
        <v>36831</v>
      </c>
      <c r="D44" s="110">
        <f t="shared" si="12"/>
        <v>39548.451014217906</v>
      </c>
    </row>
    <row r="45" spans="1:17" x14ac:dyDescent="0.25">
      <c r="A45" s="98">
        <v>36861</v>
      </c>
      <c r="D45" s="110">
        <f t="shared" si="12"/>
        <v>39548.451014217906</v>
      </c>
    </row>
    <row r="46" spans="1:17" x14ac:dyDescent="0.25">
      <c r="A46" s="98">
        <v>36892</v>
      </c>
      <c r="D46" s="110">
        <f t="shared" si="12"/>
        <v>39548.451014217906</v>
      </c>
    </row>
    <row r="47" spans="1:17" x14ac:dyDescent="0.25">
      <c r="A47" s="98">
        <v>36923</v>
      </c>
      <c r="D47" s="110">
        <f t="shared" si="12"/>
        <v>39548.451014217906</v>
      </c>
    </row>
    <row r="48" spans="1:17" x14ac:dyDescent="0.25">
      <c r="A48" s="98">
        <v>36951</v>
      </c>
      <c r="D48" s="110">
        <f t="shared" si="12"/>
        <v>39548.451014217906</v>
      </c>
    </row>
    <row r="49" spans="1:4" x14ac:dyDescent="0.25">
      <c r="A49" s="98">
        <v>36982</v>
      </c>
      <c r="D49" s="110">
        <f t="shared" si="12"/>
        <v>39548.451014217906</v>
      </c>
    </row>
    <row r="50" spans="1:4" x14ac:dyDescent="0.25">
      <c r="D50" s="110"/>
    </row>
    <row r="51" spans="1:4" x14ac:dyDescent="0.25">
      <c r="D51" s="110"/>
    </row>
    <row r="52" spans="1:4" x14ac:dyDescent="0.25">
      <c r="D52" s="110"/>
    </row>
    <row r="53" spans="1:4" x14ac:dyDescent="0.25">
      <c r="D53" s="110"/>
    </row>
    <row r="54" spans="1:4" x14ac:dyDescent="0.25">
      <c r="D54" s="110"/>
    </row>
    <row r="55" spans="1:4" x14ac:dyDescent="0.25">
      <c r="D55" s="110"/>
    </row>
    <row r="56" spans="1:4" x14ac:dyDescent="0.25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67"/>
  <sheetViews>
    <sheetView workbookViewId="0">
      <selection activeCell="E32" sqref="E32"/>
    </sheetView>
  </sheetViews>
  <sheetFormatPr defaultColWidth="9.109375" defaultRowHeight="13.8" x14ac:dyDescent="0.3"/>
  <cols>
    <col min="1" max="1" width="13.109375" style="1" customWidth="1"/>
    <col min="2" max="2" width="9.88671875" style="1" customWidth="1"/>
    <col min="3" max="3" width="10.109375" style="1" customWidth="1"/>
    <col min="4" max="4" width="8.5546875" style="1" bestFit="1" customWidth="1"/>
    <col min="5" max="5" width="14" style="1" bestFit="1" customWidth="1"/>
    <col min="6" max="6" width="6.88671875" style="1" bestFit="1" customWidth="1"/>
    <col min="7" max="8" width="5.6640625" style="1" bestFit="1" customWidth="1"/>
    <col min="9" max="9" width="7.6640625" style="1" customWidth="1"/>
    <col min="10" max="10" width="7.44140625" style="1" customWidth="1"/>
    <col min="11" max="11" width="7.6640625" style="1" customWidth="1"/>
    <col min="12" max="12" width="10.5546875" style="1" customWidth="1"/>
    <col min="13" max="13" width="11" style="1" customWidth="1"/>
    <col min="14" max="14" width="8.5546875" style="1" customWidth="1"/>
    <col min="15" max="15" width="7.6640625" style="1" customWidth="1"/>
    <col min="16" max="17" width="9.109375" style="1"/>
    <col min="18" max="18" width="7.109375" style="1" customWidth="1"/>
    <col min="19" max="19" width="4.88671875" style="1" customWidth="1"/>
    <col min="20" max="20" width="12.88671875" style="1" customWidth="1"/>
    <col min="21" max="21" width="14.44140625" style="1" customWidth="1"/>
    <col min="22" max="22" width="10.6640625" style="1" customWidth="1"/>
    <col min="23" max="16384" width="9.109375" style="1"/>
  </cols>
  <sheetData>
    <row r="1" spans="1:26" ht="14.4" thickBot="1" x14ac:dyDescent="0.35"/>
    <row r="2" spans="1:26" ht="20.25" customHeight="1" thickBot="1" x14ac:dyDescent="0.35">
      <c r="A2" s="2" t="s">
        <v>9</v>
      </c>
      <c r="B2" s="3">
        <f ca="1">TODAY()</f>
        <v>36581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4.4" thickBot="1" x14ac:dyDescent="0.35">
      <c r="A3" s="9"/>
      <c r="B3" s="10"/>
      <c r="C3" s="10"/>
      <c r="D3" s="10"/>
    </row>
    <row r="4" spans="1:26" s="14" customFormat="1" ht="28.2" thickBot="1" x14ac:dyDescent="0.3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3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>
        <f ca="1">+A5-$B$2</f>
        <v>66</v>
      </c>
      <c r="J5" s="18">
        <f>+C5-A5</f>
        <v>0</v>
      </c>
      <c r="K5" s="22">
        <f>+D5-C5+1</f>
        <v>31</v>
      </c>
      <c r="L5" s="18">
        <v>1</v>
      </c>
      <c r="M5" s="107">
        <v>6.1485649559372996E-2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67"/>
      <c r="W5" s="27"/>
      <c r="X5" s="18"/>
      <c r="Y5" s="18"/>
      <c r="Z5" s="18"/>
    </row>
    <row r="6" spans="1:26" x14ac:dyDescent="0.3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>
        <f ca="1">+A6-$B$2</f>
        <v>97</v>
      </c>
      <c r="J6" s="18">
        <f>+C6-A6</f>
        <v>0</v>
      </c>
      <c r="K6" s="22">
        <f>+D6-C6+1</f>
        <v>30</v>
      </c>
      <c r="L6" s="18">
        <v>1</v>
      </c>
      <c r="M6" s="107">
        <v>6.2403613560180003E-2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67"/>
      <c r="W6" s="27"/>
      <c r="X6" s="18"/>
      <c r="Y6" s="18"/>
      <c r="Z6" s="18"/>
    </row>
    <row r="7" spans="1:26" x14ac:dyDescent="0.3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>
        <f ca="1">+A7-$B$2</f>
        <v>127</v>
      </c>
      <c r="J7" s="18">
        <f>+C7-A7</f>
        <v>0</v>
      </c>
      <c r="K7" s="22">
        <f>+D7-C7+1</f>
        <v>31</v>
      </c>
      <c r="L7" s="18">
        <v>1</v>
      </c>
      <c r="M7" s="107">
        <v>6.3184628319210998E-2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67"/>
      <c r="W7" s="27"/>
      <c r="X7" s="18"/>
      <c r="Y7" s="18"/>
      <c r="Z7" s="18"/>
    </row>
    <row r="8" spans="1:26" x14ac:dyDescent="0.3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>
        <f ca="1">+A8-$B$2</f>
        <v>158</v>
      </c>
      <c r="J8" s="18">
        <f>+C8-A8</f>
        <v>0</v>
      </c>
      <c r="K8" s="22">
        <f>+D8-C8+1</f>
        <v>31</v>
      </c>
      <c r="L8" s="18">
        <v>1</v>
      </c>
      <c r="M8" s="107">
        <v>6.3820029255873018E-2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67"/>
      <c r="W8" s="27"/>
      <c r="X8" s="18"/>
      <c r="Y8" s="18"/>
      <c r="Z8" s="18"/>
    </row>
    <row r="9" spans="1:26" x14ac:dyDescent="0.3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>
        <f ca="1">+A9-$B$2</f>
        <v>189</v>
      </c>
      <c r="J9" s="18">
        <f>+C9-A9</f>
        <v>0</v>
      </c>
      <c r="K9" s="22">
        <f>+D9-C9+1</f>
        <v>30</v>
      </c>
      <c r="L9" s="18">
        <v>1</v>
      </c>
      <c r="M9" s="107">
        <v>6.4455430326432014E-2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67"/>
      <c r="W9" s="27"/>
      <c r="X9" s="18"/>
      <c r="Y9" s="18"/>
      <c r="Z9" s="18"/>
    </row>
    <row r="10" spans="1:26" s="18" customFormat="1" x14ac:dyDescent="0.3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>
        <f t="shared" ref="I10:I18" ca="1" si="4">+A10-$B$2</f>
        <v>219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6.5038264108629021E-2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67"/>
      <c r="W10" s="27"/>
    </row>
    <row r="11" spans="1:26" s="18" customFormat="1" x14ac:dyDescent="0.3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>
        <f t="shared" ca="1" si="4"/>
        <v>250</v>
      </c>
      <c r="J11" s="18">
        <f t="shared" si="5"/>
        <v>0</v>
      </c>
      <c r="K11" s="22">
        <f t="shared" si="6"/>
        <v>30</v>
      </c>
      <c r="L11" s="18">
        <v>1</v>
      </c>
      <c r="M11" s="107">
        <v>6.5581038241004003E-2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67"/>
      <c r="W11" s="27"/>
    </row>
    <row r="12" spans="1:26" s="18" customFormat="1" x14ac:dyDescent="0.3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>
        <f t="shared" ca="1" si="4"/>
        <v>280</v>
      </c>
      <c r="J12" s="18">
        <f t="shared" si="5"/>
        <v>0</v>
      </c>
      <c r="K12" s="22">
        <f t="shared" si="6"/>
        <v>31</v>
      </c>
      <c r="L12" s="18">
        <v>1</v>
      </c>
      <c r="M12" s="107">
        <v>6.6106303623349016E-2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67"/>
      <c r="W12" s="27"/>
    </row>
    <row r="13" spans="1:26" s="18" customFormat="1" x14ac:dyDescent="0.3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>
        <f t="shared" ca="1" si="4"/>
        <v>311</v>
      </c>
      <c r="J13" s="18">
        <f t="shared" si="5"/>
        <v>0</v>
      </c>
      <c r="K13" s="22">
        <f t="shared" si="6"/>
        <v>31</v>
      </c>
      <c r="L13" s="18">
        <v>1</v>
      </c>
      <c r="M13" s="107">
        <v>6.6621997418108009E-2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67"/>
      <c r="W13" s="27"/>
    </row>
    <row r="14" spans="1:26" s="18" customFormat="1" x14ac:dyDescent="0.3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>
        <f t="shared" ca="1" si="4"/>
        <v>342</v>
      </c>
      <c r="J14" s="18">
        <f t="shared" si="5"/>
        <v>0</v>
      </c>
      <c r="K14" s="22">
        <f t="shared" si="6"/>
        <v>28</v>
      </c>
      <c r="L14" s="18">
        <v>1</v>
      </c>
      <c r="M14" s="107">
        <v>6.7094813788782015E-2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67"/>
      <c r="W14" s="27"/>
    </row>
    <row r="15" spans="1:26" s="18" customFormat="1" x14ac:dyDescent="0.3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>
        <f t="shared" ca="1" si="4"/>
        <v>370</v>
      </c>
      <c r="J15" s="18">
        <f t="shared" si="5"/>
        <v>0</v>
      </c>
      <c r="K15" s="22">
        <f t="shared" si="6"/>
        <v>31</v>
      </c>
      <c r="L15" s="18">
        <v>1</v>
      </c>
      <c r="M15" s="107">
        <v>6.7521873800113E-2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67"/>
      <c r="W15" s="27"/>
    </row>
    <row r="16" spans="1:26" s="18" customFormat="1" x14ac:dyDescent="0.3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>
        <f t="shared" ca="1" si="4"/>
        <v>401</v>
      </c>
      <c r="J16" s="18">
        <f t="shared" si="5"/>
        <v>0</v>
      </c>
      <c r="K16" s="22">
        <f t="shared" si="6"/>
        <v>30</v>
      </c>
      <c r="L16" s="18">
        <v>1</v>
      </c>
      <c r="M16" s="107">
        <v>6.7953558026680017E-2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67"/>
      <c r="W16" s="27"/>
    </row>
    <row r="17" spans="1:26" s="18" customFormat="1" x14ac:dyDescent="0.3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>
        <f t="shared" ca="1" si="4"/>
        <v>431</v>
      </c>
      <c r="J17" s="18">
        <f t="shared" si="5"/>
        <v>0</v>
      </c>
      <c r="K17" s="22">
        <f t="shared" si="6"/>
        <v>31</v>
      </c>
      <c r="L17" s="18">
        <v>1</v>
      </c>
      <c r="M17" s="107">
        <v>6.8297280932449009E-2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67"/>
      <c r="W17" s="27"/>
    </row>
    <row r="18" spans="1:26" s="18" customFormat="1" x14ac:dyDescent="0.3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>
        <f t="shared" ca="1" si="4"/>
        <v>462</v>
      </c>
      <c r="J18" s="18">
        <f t="shared" si="5"/>
        <v>0</v>
      </c>
      <c r="K18" s="22">
        <f t="shared" si="6"/>
        <v>30</v>
      </c>
      <c r="L18" s="18">
        <v>1</v>
      </c>
      <c r="M18" s="107">
        <v>6.8652461309486018E-2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67"/>
      <c r="W18" s="27"/>
    </row>
    <row r="19" spans="1:26" s="18" customFormat="1" x14ac:dyDescent="0.3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3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3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>
        <f ca="1">+A21-$B$2</f>
        <v>66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6.1485649559372996E-2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3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>
        <f ca="1">+A22-$B$2</f>
        <v>97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6.2403613560180003E-2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3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>
        <f ca="1">+A23-$B$2</f>
        <v>127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6.3184628319210998E-2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3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>
        <f ca="1">+A24-$B$2</f>
        <v>158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6.3820029255873018E-2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3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>
        <f ca="1">+A25-$B$2</f>
        <v>189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6.4455430326432014E-2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3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>
        <f t="shared" ref="I26:I34" ca="1" si="17">+A26-$B$2</f>
        <v>219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6.5038264108629021E-2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3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>
        <f t="shared" ca="1" si="17"/>
        <v>250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6.5581038241004003E-2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3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>
        <f t="shared" ca="1" si="17"/>
        <v>280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6.6106303623349016E-2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3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>
        <f t="shared" ca="1" si="17"/>
        <v>311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6.6621997418108009E-2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3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>
        <f t="shared" ca="1" si="17"/>
        <v>342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6.7094813788782015E-2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3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>
        <f t="shared" ca="1" si="17"/>
        <v>370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6.7521873800113E-2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3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>
        <f t="shared" ca="1" si="17"/>
        <v>401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6.7953558026680017E-2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3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>
        <f t="shared" ca="1" si="17"/>
        <v>431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6.8297280932449009E-2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3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>
        <f t="shared" ca="1" si="17"/>
        <v>462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6.8652461309486018E-2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3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4.4" thickBot="1" x14ac:dyDescent="0.3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4.4" thickBot="1" x14ac:dyDescent="0.3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3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3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3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3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3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3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3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3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3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3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3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3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3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3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3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3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3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3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3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3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3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3">
      <c r="H59" s="37"/>
      <c r="R59" s="41"/>
      <c r="U59" s="42"/>
    </row>
    <row r="60" spans="2:22" x14ac:dyDescent="0.3">
      <c r="H60" s="37"/>
      <c r="R60" s="41"/>
      <c r="U60" s="42"/>
    </row>
    <row r="61" spans="2:22" x14ac:dyDescent="0.3">
      <c r="H61" s="37"/>
    </row>
    <row r="62" spans="2:22" x14ac:dyDescent="0.3">
      <c r="H62" s="37"/>
    </row>
    <row r="63" spans="2:22" x14ac:dyDescent="0.3">
      <c r="H63" s="37"/>
    </row>
    <row r="64" spans="2:22" x14ac:dyDescent="0.3">
      <c r="H64" s="37"/>
    </row>
    <row r="65" spans="8:8" x14ac:dyDescent="0.3">
      <c r="H65" s="37"/>
    </row>
    <row r="66" spans="8:8" x14ac:dyDescent="0.3">
      <c r="H66" s="37"/>
    </row>
    <row r="67" spans="8:8" x14ac:dyDescent="0.3">
      <c r="H67" s="37"/>
    </row>
    <row r="68" spans="8:8" x14ac:dyDescent="0.3">
      <c r="H68" s="37"/>
    </row>
    <row r="69" spans="8:8" x14ac:dyDescent="0.3">
      <c r="H69" s="37"/>
    </row>
    <row r="70" spans="8:8" x14ac:dyDescent="0.3">
      <c r="H70" s="37"/>
    </row>
    <row r="71" spans="8:8" x14ac:dyDescent="0.3">
      <c r="H71" s="37"/>
    </row>
    <row r="72" spans="8:8" x14ac:dyDescent="0.3">
      <c r="H72" s="37"/>
    </row>
    <row r="73" spans="8:8" x14ac:dyDescent="0.3">
      <c r="H73" s="37"/>
    </row>
    <row r="74" spans="8:8" x14ac:dyDescent="0.3">
      <c r="H74" s="37"/>
    </row>
    <row r="75" spans="8:8" x14ac:dyDescent="0.3">
      <c r="H75" s="37"/>
    </row>
    <row r="76" spans="8:8" x14ac:dyDescent="0.3">
      <c r="H76" s="37"/>
    </row>
    <row r="77" spans="8:8" x14ac:dyDescent="0.3">
      <c r="H77" s="37"/>
    </row>
    <row r="78" spans="8:8" x14ac:dyDescent="0.3">
      <c r="H78" s="37"/>
    </row>
    <row r="79" spans="8:8" x14ac:dyDescent="0.3">
      <c r="H79" s="37"/>
    </row>
    <row r="80" spans="8:8" x14ac:dyDescent="0.3">
      <c r="H80" s="37"/>
    </row>
    <row r="81" spans="8:8" x14ac:dyDescent="0.3">
      <c r="H81" s="37"/>
    </row>
    <row r="82" spans="8:8" x14ac:dyDescent="0.3">
      <c r="H82" s="37"/>
    </row>
    <row r="83" spans="8:8" x14ac:dyDescent="0.3">
      <c r="H83" s="37"/>
    </row>
    <row r="84" spans="8:8" x14ac:dyDescent="0.3">
      <c r="H84" s="37"/>
    </row>
    <row r="85" spans="8:8" x14ac:dyDescent="0.3">
      <c r="H85" s="37"/>
    </row>
    <row r="86" spans="8:8" x14ac:dyDescent="0.3">
      <c r="H86" s="37"/>
    </row>
    <row r="87" spans="8:8" x14ac:dyDescent="0.3">
      <c r="H87" s="37"/>
    </row>
    <row r="88" spans="8:8" x14ac:dyDescent="0.3">
      <c r="H88" s="37"/>
    </row>
    <row r="89" spans="8:8" x14ac:dyDescent="0.3">
      <c r="H89" s="37"/>
    </row>
    <row r="90" spans="8:8" x14ac:dyDescent="0.3">
      <c r="H90" s="37"/>
    </row>
    <row r="91" spans="8:8" x14ac:dyDescent="0.3">
      <c r="H91" s="37"/>
    </row>
    <row r="92" spans="8:8" x14ac:dyDescent="0.3">
      <c r="H92" s="37"/>
    </row>
    <row r="93" spans="8:8" x14ac:dyDescent="0.3">
      <c r="H93" s="37"/>
    </row>
    <row r="94" spans="8:8" x14ac:dyDescent="0.3">
      <c r="H94" s="37"/>
    </row>
    <row r="95" spans="8:8" x14ac:dyDescent="0.3">
      <c r="H95" s="37"/>
    </row>
    <row r="96" spans="8:8" x14ac:dyDescent="0.3">
      <c r="H96" s="37"/>
    </row>
    <row r="97" spans="8:8" x14ac:dyDescent="0.3">
      <c r="H97" s="37"/>
    </row>
    <row r="98" spans="8:8" x14ac:dyDescent="0.3">
      <c r="H98" s="37"/>
    </row>
    <row r="99" spans="8:8" x14ac:dyDescent="0.3">
      <c r="H99" s="37"/>
    </row>
    <row r="100" spans="8:8" x14ac:dyDescent="0.3">
      <c r="H100" s="37"/>
    </row>
    <row r="101" spans="8:8" x14ac:dyDescent="0.3">
      <c r="H101" s="37"/>
    </row>
    <row r="102" spans="8:8" x14ac:dyDescent="0.3">
      <c r="H102" s="37"/>
    </row>
    <row r="103" spans="8:8" x14ac:dyDescent="0.3">
      <c r="H103" s="37"/>
    </row>
    <row r="104" spans="8:8" x14ac:dyDescent="0.3">
      <c r="H104" s="37"/>
    </row>
    <row r="105" spans="8:8" x14ac:dyDescent="0.3">
      <c r="H105" s="37"/>
    </row>
    <row r="106" spans="8:8" x14ac:dyDescent="0.3">
      <c r="H106" s="37"/>
    </row>
    <row r="107" spans="8:8" x14ac:dyDescent="0.3">
      <c r="H107" s="37"/>
    </row>
    <row r="108" spans="8:8" x14ac:dyDescent="0.3">
      <c r="H108" s="37"/>
    </row>
    <row r="109" spans="8:8" x14ac:dyDescent="0.3">
      <c r="H109" s="37"/>
    </row>
    <row r="110" spans="8:8" x14ac:dyDescent="0.3">
      <c r="H110" s="37"/>
    </row>
    <row r="111" spans="8:8" x14ac:dyDescent="0.3">
      <c r="H111" s="37"/>
    </row>
    <row r="112" spans="8:8" x14ac:dyDescent="0.3">
      <c r="H112" s="37"/>
    </row>
    <row r="113" spans="8:8" x14ac:dyDescent="0.3">
      <c r="H113" s="37"/>
    </row>
    <row r="114" spans="8:8" x14ac:dyDescent="0.3">
      <c r="H114" s="37"/>
    </row>
    <row r="115" spans="8:8" x14ac:dyDescent="0.3">
      <c r="H115" s="37"/>
    </row>
    <row r="116" spans="8:8" x14ac:dyDescent="0.3">
      <c r="H116" s="37"/>
    </row>
    <row r="117" spans="8:8" x14ac:dyDescent="0.3">
      <c r="H117" s="37"/>
    </row>
    <row r="118" spans="8:8" x14ac:dyDescent="0.3">
      <c r="H118" s="37"/>
    </row>
    <row r="119" spans="8:8" x14ac:dyDescent="0.3">
      <c r="H119" s="37"/>
    </row>
    <row r="120" spans="8:8" x14ac:dyDescent="0.3">
      <c r="H120" s="37"/>
    </row>
    <row r="121" spans="8:8" x14ac:dyDescent="0.3">
      <c r="H121" s="37"/>
    </row>
    <row r="122" spans="8:8" x14ac:dyDescent="0.3">
      <c r="H122" s="37"/>
    </row>
    <row r="123" spans="8:8" x14ac:dyDescent="0.3">
      <c r="H123" s="37"/>
    </row>
    <row r="124" spans="8:8" x14ac:dyDescent="0.3">
      <c r="H124" s="37"/>
    </row>
    <row r="125" spans="8:8" x14ac:dyDescent="0.3">
      <c r="H125" s="37"/>
    </row>
    <row r="126" spans="8:8" x14ac:dyDescent="0.3">
      <c r="H126" s="37"/>
    </row>
    <row r="127" spans="8:8" x14ac:dyDescent="0.3">
      <c r="H127" s="37"/>
    </row>
    <row r="128" spans="8:8" x14ac:dyDescent="0.3">
      <c r="H128" s="37"/>
    </row>
    <row r="129" spans="8:8" x14ac:dyDescent="0.3">
      <c r="H129" s="37"/>
    </row>
    <row r="130" spans="8:8" x14ac:dyDescent="0.3">
      <c r="H130" s="37"/>
    </row>
    <row r="131" spans="8:8" x14ac:dyDescent="0.3">
      <c r="H131" s="37"/>
    </row>
    <row r="132" spans="8:8" x14ac:dyDescent="0.3">
      <c r="H132" s="37"/>
    </row>
    <row r="133" spans="8:8" x14ac:dyDescent="0.3">
      <c r="H133" s="37"/>
    </row>
    <row r="134" spans="8:8" x14ac:dyDescent="0.3">
      <c r="H134" s="37"/>
    </row>
    <row r="135" spans="8:8" x14ac:dyDescent="0.3">
      <c r="H135" s="37"/>
    </row>
    <row r="136" spans="8:8" x14ac:dyDescent="0.3">
      <c r="H136" s="37"/>
    </row>
    <row r="137" spans="8:8" x14ac:dyDescent="0.3">
      <c r="H137" s="37"/>
    </row>
    <row r="138" spans="8:8" x14ac:dyDescent="0.3">
      <c r="H138" s="37"/>
    </row>
    <row r="139" spans="8:8" x14ac:dyDescent="0.3">
      <c r="H139" s="37"/>
    </row>
    <row r="140" spans="8:8" x14ac:dyDescent="0.3">
      <c r="H140" s="37"/>
    </row>
    <row r="141" spans="8:8" x14ac:dyDescent="0.3">
      <c r="H141" s="37"/>
    </row>
    <row r="142" spans="8:8" x14ac:dyDescent="0.3">
      <c r="H142" s="37"/>
    </row>
    <row r="143" spans="8:8" x14ac:dyDescent="0.3">
      <c r="H143" s="37"/>
    </row>
    <row r="144" spans="8:8" x14ac:dyDescent="0.3">
      <c r="H144" s="37"/>
    </row>
    <row r="145" spans="8:8" x14ac:dyDescent="0.3">
      <c r="H145" s="37"/>
    </row>
    <row r="146" spans="8:8" x14ac:dyDescent="0.3">
      <c r="H146" s="37"/>
    </row>
    <row r="147" spans="8:8" x14ac:dyDescent="0.3">
      <c r="H147" s="37"/>
    </row>
    <row r="148" spans="8:8" x14ac:dyDescent="0.3">
      <c r="H148" s="37"/>
    </row>
    <row r="149" spans="8:8" x14ac:dyDescent="0.3">
      <c r="H149" s="37"/>
    </row>
    <row r="150" spans="8:8" x14ac:dyDescent="0.3">
      <c r="H150" s="37"/>
    </row>
    <row r="151" spans="8:8" x14ac:dyDescent="0.3">
      <c r="H151" s="37"/>
    </row>
    <row r="152" spans="8:8" x14ac:dyDescent="0.3">
      <c r="H152" s="37"/>
    </row>
    <row r="153" spans="8:8" x14ac:dyDescent="0.3">
      <c r="H153" s="37"/>
    </row>
    <row r="154" spans="8:8" x14ac:dyDescent="0.3">
      <c r="H154" s="37"/>
    </row>
    <row r="155" spans="8:8" x14ac:dyDescent="0.3">
      <c r="H155" s="37"/>
    </row>
    <row r="156" spans="8:8" x14ac:dyDescent="0.3">
      <c r="H156" s="37"/>
    </row>
    <row r="157" spans="8:8" x14ac:dyDescent="0.3">
      <c r="H157" s="37"/>
    </row>
    <row r="158" spans="8:8" x14ac:dyDescent="0.3">
      <c r="H158" s="37"/>
    </row>
    <row r="159" spans="8:8" x14ac:dyDescent="0.3">
      <c r="H159" s="37"/>
    </row>
    <row r="160" spans="8:8" x14ac:dyDescent="0.3">
      <c r="H160" s="37"/>
    </row>
    <row r="161" spans="8:8" x14ac:dyDescent="0.3">
      <c r="H161" s="37"/>
    </row>
    <row r="162" spans="8:8" x14ac:dyDescent="0.3">
      <c r="H162" s="37"/>
    </row>
    <row r="163" spans="8:8" x14ac:dyDescent="0.3">
      <c r="H163" s="37"/>
    </row>
    <row r="164" spans="8:8" x14ac:dyDescent="0.3">
      <c r="H164" s="37"/>
    </row>
    <row r="165" spans="8:8" x14ac:dyDescent="0.3">
      <c r="H165" s="37"/>
    </row>
    <row r="166" spans="8:8" x14ac:dyDescent="0.3">
      <c r="H166" s="37"/>
    </row>
    <row r="167" spans="8:8" x14ac:dyDescent="0.3">
      <c r="H167" s="37"/>
    </row>
    <row r="168" spans="8:8" x14ac:dyDescent="0.3">
      <c r="H168" s="37"/>
    </row>
    <row r="169" spans="8:8" x14ac:dyDescent="0.3">
      <c r="H169" s="37"/>
    </row>
    <row r="170" spans="8:8" x14ac:dyDescent="0.3">
      <c r="H170" s="37"/>
    </row>
    <row r="171" spans="8:8" x14ac:dyDescent="0.3">
      <c r="H171" s="37"/>
    </row>
    <row r="172" spans="8:8" x14ac:dyDescent="0.3">
      <c r="H172" s="37"/>
    </row>
    <row r="173" spans="8:8" x14ac:dyDescent="0.3">
      <c r="H173" s="37"/>
    </row>
    <row r="174" spans="8:8" x14ac:dyDescent="0.3">
      <c r="H174" s="37"/>
    </row>
    <row r="175" spans="8:8" x14ac:dyDescent="0.3">
      <c r="H175" s="37"/>
    </row>
    <row r="176" spans="8:8" x14ac:dyDescent="0.3">
      <c r="H176" s="37"/>
    </row>
    <row r="177" spans="8:8" x14ac:dyDescent="0.3">
      <c r="H177" s="37"/>
    </row>
    <row r="178" spans="8:8" x14ac:dyDescent="0.3">
      <c r="H178" s="37"/>
    </row>
    <row r="179" spans="8:8" x14ac:dyDescent="0.3">
      <c r="H179" s="37"/>
    </row>
    <row r="180" spans="8:8" x14ac:dyDescent="0.3">
      <c r="H180" s="37"/>
    </row>
    <row r="181" spans="8:8" x14ac:dyDescent="0.3">
      <c r="H181" s="37"/>
    </row>
    <row r="182" spans="8:8" x14ac:dyDescent="0.3">
      <c r="H182" s="37"/>
    </row>
    <row r="183" spans="8:8" x14ac:dyDescent="0.3">
      <c r="H183" s="37"/>
    </row>
    <row r="184" spans="8:8" x14ac:dyDescent="0.3">
      <c r="H184" s="37"/>
    </row>
    <row r="185" spans="8:8" x14ac:dyDescent="0.3">
      <c r="H185" s="37"/>
    </row>
    <row r="186" spans="8:8" x14ac:dyDescent="0.3">
      <c r="H186" s="37"/>
    </row>
    <row r="187" spans="8:8" x14ac:dyDescent="0.3">
      <c r="H187" s="37"/>
    </row>
    <row r="188" spans="8:8" x14ac:dyDescent="0.3">
      <c r="H188" s="37"/>
    </row>
    <row r="189" spans="8:8" x14ac:dyDescent="0.3">
      <c r="H189" s="37"/>
    </row>
    <row r="190" spans="8:8" x14ac:dyDescent="0.3">
      <c r="H190" s="37"/>
    </row>
    <row r="191" spans="8:8" x14ac:dyDescent="0.3">
      <c r="H191" s="37"/>
    </row>
    <row r="192" spans="8:8" x14ac:dyDescent="0.3">
      <c r="H192" s="37"/>
    </row>
    <row r="193" spans="8:8" x14ac:dyDescent="0.3">
      <c r="H193" s="37"/>
    </row>
    <row r="194" spans="8:8" x14ac:dyDescent="0.3">
      <c r="H194" s="37"/>
    </row>
    <row r="195" spans="8:8" x14ac:dyDescent="0.3">
      <c r="H195" s="37"/>
    </row>
    <row r="196" spans="8:8" x14ac:dyDescent="0.3">
      <c r="H196" s="37"/>
    </row>
    <row r="197" spans="8:8" x14ac:dyDescent="0.3">
      <c r="H197" s="37"/>
    </row>
    <row r="198" spans="8:8" x14ac:dyDescent="0.3">
      <c r="H198" s="37"/>
    </row>
    <row r="199" spans="8:8" x14ac:dyDescent="0.3">
      <c r="H199" s="37"/>
    </row>
    <row r="200" spans="8:8" x14ac:dyDescent="0.3">
      <c r="H200" s="37"/>
    </row>
    <row r="201" spans="8:8" x14ac:dyDescent="0.3">
      <c r="H201" s="37"/>
    </row>
    <row r="202" spans="8:8" x14ac:dyDescent="0.3">
      <c r="H202" s="37"/>
    </row>
    <row r="203" spans="8:8" x14ac:dyDescent="0.3">
      <c r="H203" s="37"/>
    </row>
    <row r="204" spans="8:8" x14ac:dyDescent="0.3">
      <c r="H204" s="37"/>
    </row>
    <row r="205" spans="8:8" x14ac:dyDescent="0.3">
      <c r="H205" s="37"/>
    </row>
    <row r="206" spans="8:8" x14ac:dyDescent="0.3">
      <c r="H206" s="37"/>
    </row>
    <row r="207" spans="8:8" x14ac:dyDescent="0.3">
      <c r="H207" s="37"/>
    </row>
    <row r="208" spans="8:8" x14ac:dyDescent="0.3">
      <c r="H208" s="37"/>
    </row>
    <row r="209" spans="8:8" x14ac:dyDescent="0.3">
      <c r="H209" s="37"/>
    </row>
    <row r="210" spans="8:8" x14ac:dyDescent="0.3">
      <c r="H210" s="37"/>
    </row>
    <row r="211" spans="8:8" x14ac:dyDescent="0.3">
      <c r="H211" s="37"/>
    </row>
    <row r="212" spans="8:8" x14ac:dyDescent="0.3">
      <c r="H212" s="37"/>
    </row>
    <row r="213" spans="8:8" x14ac:dyDescent="0.3">
      <c r="H213" s="37"/>
    </row>
    <row r="214" spans="8:8" x14ac:dyDescent="0.3">
      <c r="H214" s="37"/>
    </row>
    <row r="215" spans="8:8" x14ac:dyDescent="0.3">
      <c r="H215" s="37"/>
    </row>
    <row r="216" spans="8:8" x14ac:dyDescent="0.3">
      <c r="H216" s="37"/>
    </row>
    <row r="217" spans="8:8" x14ac:dyDescent="0.3">
      <c r="H217" s="37"/>
    </row>
    <row r="218" spans="8:8" x14ac:dyDescent="0.3">
      <c r="H218" s="37"/>
    </row>
    <row r="219" spans="8:8" x14ac:dyDescent="0.3">
      <c r="H219" s="37"/>
    </row>
    <row r="220" spans="8:8" x14ac:dyDescent="0.3">
      <c r="H220" s="37"/>
    </row>
    <row r="221" spans="8:8" x14ac:dyDescent="0.3">
      <c r="H221" s="37"/>
    </row>
    <row r="222" spans="8:8" x14ac:dyDescent="0.3">
      <c r="H222" s="37"/>
    </row>
    <row r="223" spans="8:8" x14ac:dyDescent="0.3">
      <c r="H223" s="37"/>
    </row>
    <row r="224" spans="8:8" x14ac:dyDescent="0.3">
      <c r="H224" s="37"/>
    </row>
    <row r="225" spans="8:8" x14ac:dyDescent="0.3">
      <c r="H225" s="37"/>
    </row>
    <row r="226" spans="8:8" x14ac:dyDescent="0.3">
      <c r="H226" s="37"/>
    </row>
    <row r="227" spans="8:8" x14ac:dyDescent="0.3">
      <c r="H227" s="37"/>
    </row>
    <row r="228" spans="8:8" x14ac:dyDescent="0.3">
      <c r="H228" s="37"/>
    </row>
    <row r="229" spans="8:8" x14ac:dyDescent="0.3">
      <c r="H229" s="37"/>
    </row>
    <row r="230" spans="8:8" x14ac:dyDescent="0.3">
      <c r="H230" s="37"/>
    </row>
    <row r="231" spans="8:8" x14ac:dyDescent="0.3">
      <c r="H231" s="37"/>
    </row>
    <row r="232" spans="8:8" x14ac:dyDescent="0.3">
      <c r="H232" s="37"/>
    </row>
    <row r="233" spans="8:8" x14ac:dyDescent="0.3">
      <c r="H233" s="37"/>
    </row>
    <row r="234" spans="8:8" x14ac:dyDescent="0.3">
      <c r="H234" s="37"/>
    </row>
    <row r="235" spans="8:8" x14ac:dyDescent="0.3">
      <c r="H235" s="37"/>
    </row>
    <row r="236" spans="8:8" x14ac:dyDescent="0.3">
      <c r="H236" s="37"/>
    </row>
    <row r="237" spans="8:8" x14ac:dyDescent="0.3">
      <c r="H237" s="37"/>
    </row>
    <row r="238" spans="8:8" x14ac:dyDescent="0.3">
      <c r="H238" s="37"/>
    </row>
    <row r="239" spans="8:8" x14ac:dyDescent="0.3">
      <c r="H239" s="37"/>
    </row>
    <row r="240" spans="8:8" x14ac:dyDescent="0.3">
      <c r="H240" s="37"/>
    </row>
    <row r="241" spans="8:8" x14ac:dyDescent="0.3">
      <c r="H241" s="37"/>
    </row>
    <row r="242" spans="8:8" x14ac:dyDescent="0.3">
      <c r="H242" s="37"/>
    </row>
    <row r="243" spans="8:8" x14ac:dyDescent="0.3">
      <c r="H243" s="37"/>
    </row>
    <row r="244" spans="8:8" x14ac:dyDescent="0.3">
      <c r="H244" s="37"/>
    </row>
    <row r="245" spans="8:8" x14ac:dyDescent="0.3">
      <c r="H245" s="37"/>
    </row>
    <row r="246" spans="8:8" x14ac:dyDescent="0.3">
      <c r="H246" s="37"/>
    </row>
    <row r="247" spans="8:8" x14ac:dyDescent="0.3">
      <c r="H247" s="37"/>
    </row>
    <row r="248" spans="8:8" x14ac:dyDescent="0.3">
      <c r="H248" s="37"/>
    </row>
    <row r="249" spans="8:8" x14ac:dyDescent="0.3">
      <c r="H249" s="37"/>
    </row>
    <row r="250" spans="8:8" x14ac:dyDescent="0.3">
      <c r="H250" s="37"/>
    </row>
    <row r="251" spans="8:8" x14ac:dyDescent="0.3">
      <c r="H251" s="37"/>
    </row>
    <row r="252" spans="8:8" x14ac:dyDescent="0.3">
      <c r="H252" s="37"/>
    </row>
    <row r="253" spans="8:8" x14ac:dyDescent="0.3">
      <c r="H253" s="37"/>
    </row>
    <row r="254" spans="8:8" x14ac:dyDescent="0.3">
      <c r="H254" s="37"/>
    </row>
    <row r="255" spans="8:8" x14ac:dyDescent="0.3">
      <c r="H255" s="37"/>
    </row>
    <row r="256" spans="8:8" x14ac:dyDescent="0.3">
      <c r="H256" s="37"/>
    </row>
    <row r="257" spans="8:8" x14ac:dyDescent="0.3">
      <c r="H257" s="37"/>
    </row>
    <row r="258" spans="8:8" x14ac:dyDescent="0.3">
      <c r="H258" s="37"/>
    </row>
    <row r="259" spans="8:8" x14ac:dyDescent="0.3">
      <c r="H259" s="37"/>
    </row>
    <row r="260" spans="8:8" x14ac:dyDescent="0.3">
      <c r="H260" s="37"/>
    </row>
    <row r="261" spans="8:8" x14ac:dyDescent="0.3">
      <c r="H261" s="37"/>
    </row>
    <row r="262" spans="8:8" x14ac:dyDescent="0.3">
      <c r="H262" s="37"/>
    </row>
    <row r="263" spans="8:8" x14ac:dyDescent="0.3">
      <c r="H263" s="37"/>
    </row>
    <row r="264" spans="8:8" x14ac:dyDescent="0.3">
      <c r="H264" s="37"/>
    </row>
    <row r="265" spans="8:8" x14ac:dyDescent="0.3">
      <c r="H265" s="37"/>
    </row>
    <row r="266" spans="8:8" x14ac:dyDescent="0.3">
      <c r="H266" s="37"/>
    </row>
    <row r="267" spans="8:8" x14ac:dyDescent="0.3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5"/>
  <sheetViews>
    <sheetView workbookViewId="0">
      <selection activeCell="C31" sqref="C31"/>
    </sheetView>
  </sheetViews>
  <sheetFormatPr defaultRowHeight="13.2" x14ac:dyDescent="0.25"/>
  <cols>
    <col min="1" max="1" width="9.109375" style="72" customWidth="1"/>
    <col min="2" max="2" width="16.33203125" bestFit="1" customWidth="1"/>
    <col min="3" max="3" width="16.109375" bestFit="1" customWidth="1"/>
    <col min="4" max="4" width="12.88671875" bestFit="1" customWidth="1"/>
    <col min="5" max="5" width="16.5546875" bestFit="1" customWidth="1"/>
    <col min="9" max="9" width="15.33203125" customWidth="1"/>
  </cols>
  <sheetData>
    <row r="1" spans="1:9" s="72" customFormat="1" x14ac:dyDescent="0.25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5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5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5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5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5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5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5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5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5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5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5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5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5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5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29"/>
  <sheetViews>
    <sheetView workbookViewId="0">
      <selection activeCell="E5" sqref="E4:E5"/>
    </sheetView>
  </sheetViews>
  <sheetFormatPr defaultRowHeight="13.2" x14ac:dyDescent="0.25"/>
  <cols>
    <col min="1" max="1" width="13" bestFit="1" customWidth="1"/>
    <col min="2" max="2" width="13" customWidth="1"/>
    <col min="3" max="3" width="9.88671875" customWidth="1"/>
    <col min="4" max="4" width="11.88671875" customWidth="1"/>
    <col min="5" max="5" width="22" bestFit="1" customWidth="1"/>
  </cols>
  <sheetData>
    <row r="2" spans="1:5" s="70" customFormat="1" x14ac:dyDescent="0.25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5"/>
    <row r="4" spans="1:5" s="69" customFormat="1" x14ac:dyDescent="0.25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5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5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5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5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5"/>
    <row r="16" spans="1:5" s="69" customFormat="1" x14ac:dyDescent="0.25">
      <c r="A16" s="78"/>
      <c r="B16" s="99"/>
    </row>
    <row r="17" spans="1:2" s="69" customFormat="1" x14ac:dyDescent="0.25">
      <c r="A17" s="78"/>
      <c r="B17" s="99"/>
    </row>
    <row r="18" spans="1:2" s="69" customFormat="1" x14ac:dyDescent="0.25">
      <c r="A18" s="78"/>
      <c r="B18" s="99"/>
    </row>
    <row r="19" spans="1:2" s="69" customFormat="1" x14ac:dyDescent="0.25">
      <c r="A19" s="78"/>
      <c r="B19" s="99"/>
    </row>
    <row r="20" spans="1:2" s="69" customFormat="1" x14ac:dyDescent="0.25">
      <c r="A20" s="78"/>
      <c r="B20" s="99"/>
    </row>
    <row r="21" spans="1:2" s="69" customFormat="1" x14ac:dyDescent="0.25">
      <c r="A21" s="78"/>
      <c r="B21" s="99"/>
    </row>
    <row r="22" spans="1:2" s="69" customFormat="1" x14ac:dyDescent="0.25">
      <c r="A22" s="78"/>
      <c r="B22" s="99"/>
    </row>
    <row r="23" spans="1:2" s="69" customFormat="1" x14ac:dyDescent="0.25">
      <c r="A23" s="78"/>
      <c r="B23" s="99"/>
    </row>
    <row r="24" spans="1:2" s="69" customFormat="1" x14ac:dyDescent="0.25">
      <c r="A24" s="78"/>
      <c r="B24" s="99"/>
    </row>
    <row r="25" spans="1:2" s="69" customFormat="1" x14ac:dyDescent="0.25">
      <c r="A25" s="78"/>
      <c r="B25" s="99"/>
    </row>
    <row r="26" spans="1:2" s="69" customFormat="1" x14ac:dyDescent="0.25">
      <c r="A26" s="78"/>
      <c r="B26" s="99"/>
    </row>
    <row r="27" spans="1:2" s="69" customFormat="1" x14ac:dyDescent="0.25">
      <c r="A27" s="78"/>
      <c r="B27" s="99"/>
    </row>
    <row r="28" spans="1:2" s="69" customFormat="1" x14ac:dyDescent="0.25">
      <c r="A28" s="78"/>
      <c r="B28" s="99"/>
    </row>
    <row r="29" spans="1:2" s="69" customFormat="1" x14ac:dyDescent="0.25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B23"/>
  <sheetViews>
    <sheetView topLeftCell="Q1" zoomScale="75" workbookViewId="0">
      <selection activeCell="V13" sqref="V13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2.88671875" style="121" customWidth="1"/>
    <col min="13" max="13" width="13.6640625" style="121" customWidth="1"/>
    <col min="14" max="14" width="14" style="121" customWidth="1"/>
    <col min="15" max="15" width="18" style="121" bestFit="1" customWidth="1"/>
    <col min="16" max="16" width="14.5546875" style="121" customWidth="1"/>
    <col min="17" max="20" width="18" style="121" bestFit="1" customWidth="1"/>
    <col min="21" max="21" width="14.44140625" style="121" customWidth="1"/>
    <col min="22" max="22" width="18" style="121" bestFit="1" customWidth="1"/>
    <col min="23" max="23" width="15.44140625" style="121" bestFit="1" customWidth="1"/>
    <col min="24" max="24" width="14.6640625" style="121" bestFit="1" customWidth="1"/>
    <col min="25" max="25" width="10.109375" style="121" bestFit="1" customWidth="1"/>
    <col min="26" max="26" width="10.44140625" style="121" customWidth="1"/>
    <col min="27" max="27" width="9.109375" style="121"/>
    <col min="28" max="28" width="10.88671875" style="121" customWidth="1"/>
    <col min="29" max="16384" width="9.109375" style="121"/>
  </cols>
  <sheetData>
    <row r="1" spans="1:28" x14ac:dyDescent="0.25">
      <c r="A1" s="150" t="s">
        <v>89</v>
      </c>
      <c r="B1" s="151">
        <f ca="1">TODAY()</f>
        <v>36581</v>
      </c>
      <c r="E1" s="127" t="s">
        <v>83</v>
      </c>
      <c r="F1" s="153">
        <v>0</v>
      </c>
      <c r="G1" s="152" t="s">
        <v>4</v>
      </c>
      <c r="H1" s="153">
        <v>5.0512175798483584E-2</v>
      </c>
      <c r="R1" s="166" t="s">
        <v>95</v>
      </c>
      <c r="S1" s="171">
        <v>0.04</v>
      </c>
      <c r="T1" s="171">
        <v>3.3000000000000002E-2</v>
      </c>
    </row>
    <row r="2" spans="1:28" x14ac:dyDescent="0.25">
      <c r="E2" s="127" t="s">
        <v>84</v>
      </c>
      <c r="F2" s="153">
        <v>-5.0000000000000001E-3</v>
      </c>
      <c r="G2" s="126"/>
    </row>
    <row r="3" spans="1:28" x14ac:dyDescent="0.25">
      <c r="F3" s="122"/>
      <c r="G3" s="122"/>
      <c r="H3" s="122"/>
      <c r="I3" s="122"/>
      <c r="J3" s="126"/>
      <c r="K3" s="126"/>
      <c r="N3" s="239">
        <f>+H1-F1</f>
        <v>5.0512175798483584E-2</v>
      </c>
    </row>
    <row r="4" spans="1:28" s="228" customFormat="1" x14ac:dyDescent="0.25">
      <c r="A4" s="229"/>
      <c r="B4" s="230"/>
      <c r="C4" s="230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0"/>
      <c r="O4" s="248" t="s">
        <v>117</v>
      </c>
      <c r="P4" s="248"/>
      <c r="Q4" s="248"/>
      <c r="R4" s="248" t="s">
        <v>118</v>
      </c>
      <c r="S4" s="248"/>
      <c r="T4" s="179" t="s">
        <v>119</v>
      </c>
      <c r="U4" s="231"/>
      <c r="V4" s="233"/>
      <c r="X4" s="249" t="s">
        <v>102</v>
      </c>
      <c r="Y4" s="250"/>
      <c r="Z4" s="250"/>
      <c r="AA4" s="251"/>
    </row>
    <row r="5" spans="1:28" s="227" customFormat="1" ht="26.4" x14ac:dyDescent="0.25">
      <c r="A5" s="177" t="s">
        <v>5</v>
      </c>
      <c r="B5" s="178" t="s">
        <v>39</v>
      </c>
      <c r="C5" s="178" t="s">
        <v>0</v>
      </c>
      <c r="D5" s="178" t="s">
        <v>121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2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5">
      <c r="A6" s="124"/>
      <c r="B6" s="124"/>
      <c r="N6" s="146"/>
      <c r="R6" s="160"/>
      <c r="X6" s="225">
        <f ca="1">+$AA$6-SUM($Y$6:Z6)</f>
        <v>-2.4986471335018204E-3</v>
      </c>
      <c r="Y6" s="226">
        <f ca="1">+$S$13/$K$13</f>
        <v>2.0010822931985407E-2</v>
      </c>
      <c r="Z6" s="226">
        <f>+$T$1</f>
        <v>3.3000000000000002E-2</v>
      </c>
      <c r="AA6" s="212">
        <f>+$H$1</f>
        <v>5.0512175798483584E-2</v>
      </c>
    </row>
    <row r="7" spans="1:28" s="124" customFormat="1" ht="15" x14ac:dyDescent="0.25">
      <c r="A7" s="125">
        <v>36647</v>
      </c>
      <c r="B7" s="143">
        <f>+'GD Options'!M5</f>
        <v>6.1485649559372996E-2</v>
      </c>
      <c r="C7" s="215">
        <f ca="1">1/((1+B7/2)^(2*(A7-$B$1)/365.25))</f>
        <v>0.98911667361626454</v>
      </c>
      <c r="D7" s="128">
        <v>-45000</v>
      </c>
      <c r="E7" s="219">
        <v>-30000</v>
      </c>
      <c r="F7" s="129">
        <f>+(D7)*'Deal Volumes'!B22</f>
        <v>-1395000</v>
      </c>
      <c r="G7" s="219">
        <f>+E7*'Deal Volumes'!B22</f>
        <v>-930000</v>
      </c>
      <c r="H7" s="219">
        <f>+F7+G7</f>
        <v>-2325000</v>
      </c>
      <c r="I7" s="128">
        <f t="shared" ref="I7:J11" ca="1" si="0">+F7*$C7</f>
        <v>-1379817.759694689</v>
      </c>
      <c r="J7" s="129">
        <f t="shared" ca="1" si="0"/>
        <v>-919878.50646312605</v>
      </c>
      <c r="K7" s="130">
        <f ca="1">SUM(I7:J7)</f>
        <v>-2299696.2661578152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127661.14341006891</v>
      </c>
      <c r="O7" s="154">
        <f ca="1">-I7*(L7-$F$1)</f>
        <v>-6899.0887984734445</v>
      </c>
      <c r="P7" s="155">
        <f ca="1">-J7*(M7-$F$2)</f>
        <v>0</v>
      </c>
      <c r="Q7" s="154">
        <f ca="1">SUM(O7:P7)</f>
        <v>-6899.0887984734445</v>
      </c>
      <c r="R7" s="162">
        <f ca="1">+I7</f>
        <v>-1379817.759694689</v>
      </c>
      <c r="S7" s="163">
        <f ca="1">+R7*$S$1</f>
        <v>-55192.710387787556</v>
      </c>
      <c r="T7" s="128">
        <f ca="1">+$T$1*K7</f>
        <v>-75889.976783207909</v>
      </c>
      <c r="U7" s="168">
        <f ca="1">+Q7+T7+S7</f>
        <v>-137981.7759694689</v>
      </c>
      <c r="V7" s="189">
        <f ca="1">+N7+U7</f>
        <v>-10320.632559399994</v>
      </c>
    </row>
    <row r="8" spans="1:28" s="124" customFormat="1" ht="15" x14ac:dyDescent="0.25">
      <c r="A8" s="125">
        <v>36678</v>
      </c>
      <c r="B8" s="144">
        <f>+'GD Options'!M6</f>
        <v>6.2403613560180003E-2</v>
      </c>
      <c r="C8" s="216">
        <f ca="1">1/((1+B8/2)^(2*(A8-$B$1)/365.25))</f>
        <v>0.98381310852600368</v>
      </c>
      <c r="D8" s="131">
        <f>+D7</f>
        <v>-45000</v>
      </c>
      <c r="E8" s="220">
        <f>+E7</f>
        <v>-30000</v>
      </c>
      <c r="F8" s="132">
        <f>+(D8)*'Deal Volumes'!B23</f>
        <v>-1350000</v>
      </c>
      <c r="G8" s="220">
        <f>+E8*'Deal Volumes'!B23</f>
        <v>-900000</v>
      </c>
      <c r="H8" s="220">
        <f>+F8+G8</f>
        <v>-2250000</v>
      </c>
      <c r="I8" s="131">
        <f t="shared" ca="1" si="0"/>
        <v>-1328147.6965101049</v>
      </c>
      <c r="J8" s="132">
        <f t="shared" ca="1" si="0"/>
        <v>-885431.79767340329</v>
      </c>
      <c r="K8" s="133">
        <f ca="1">SUM(I8:J8)</f>
        <v>-2213579.4941835082</v>
      </c>
      <c r="L8" s="139">
        <f>+Curves!C3</f>
        <v>-5.0000000000000001E-3</v>
      </c>
      <c r="M8" s="140">
        <f>+Curves!E3</f>
        <v>-5.0000000000000001E-3</v>
      </c>
      <c r="N8" s="148">
        <f ca="1">+I8*(L8-$H$1)+J8*(M8-$H$1)</f>
        <v>122880.61402503328</v>
      </c>
      <c r="O8" s="156">
        <f ca="1">-I8*(L8-$F$1)</f>
        <v>-6640.7384825505251</v>
      </c>
      <c r="P8" s="157">
        <f ca="1">-J8*(M8-$F$2)</f>
        <v>0</v>
      </c>
      <c r="Q8" s="156">
        <f ca="1">SUM(O8:P8)</f>
        <v>-6640.7384825505251</v>
      </c>
      <c r="R8" s="182">
        <f ca="1">+I8</f>
        <v>-1328147.6965101049</v>
      </c>
      <c r="S8" s="164">
        <f ca="1">+R8*$S$1</f>
        <v>-53125.907860404201</v>
      </c>
      <c r="T8" s="131">
        <f ca="1">+$T$1*K8</f>
        <v>-73048.123308055772</v>
      </c>
      <c r="U8" s="169">
        <f ca="1">+Q8+T8+S8</f>
        <v>-132814.76965101052</v>
      </c>
      <c r="V8" s="190">
        <f ca="1">+N8+U8</f>
        <v>-9934.1556259772333</v>
      </c>
    </row>
    <row r="9" spans="1:28" s="124" customFormat="1" ht="15" x14ac:dyDescent="0.25">
      <c r="A9" s="125">
        <v>36708</v>
      </c>
      <c r="B9" s="144">
        <f>+'GD Options'!M7</f>
        <v>6.3184628319210998E-2</v>
      </c>
      <c r="C9" s="216">
        <f ca="1">1/((1+B9/2)^(2*(A9-$B$1)/365.25))</f>
        <v>0.97860240409192645</v>
      </c>
      <c r="D9" s="131">
        <f>+D8</f>
        <v>-45000</v>
      </c>
      <c r="E9" s="220">
        <v>-55000</v>
      </c>
      <c r="F9" s="132">
        <f>+(D9)*'Deal Volumes'!B24</f>
        <v>-1395000</v>
      </c>
      <c r="G9" s="220">
        <f>+E9*'Deal Volumes'!B24</f>
        <v>-1705000</v>
      </c>
      <c r="H9" s="220">
        <f>+F9+G9</f>
        <v>-3100000</v>
      </c>
      <c r="I9" s="131">
        <f t="shared" ca="1" si="0"/>
        <v>-1365150.3537082374</v>
      </c>
      <c r="J9" s="132">
        <f t="shared" ca="1" si="0"/>
        <v>-1668517.0989767346</v>
      </c>
      <c r="K9" s="133">
        <f ca="1">SUM(I9:J9)</f>
        <v>-3033667.452684972</v>
      </c>
      <c r="L9" s="139">
        <f>+Curves!C4</f>
        <v>0</v>
      </c>
      <c r="M9" s="140">
        <f>+Curves!E4</f>
        <v>-5.0000000000000001E-3</v>
      </c>
      <c r="N9" s="148">
        <f ca="1">+I9*(L9-$H$1)+J9*(M9-$H$1)</f>
        <v>161579.72917904484</v>
      </c>
      <c r="O9" s="156">
        <f ca="1">-I9*(L9-$F$1)</f>
        <v>0</v>
      </c>
      <c r="P9" s="157">
        <f ca="1">-J9*(M9-$F$2)</f>
        <v>0</v>
      </c>
      <c r="Q9" s="156">
        <f ca="1">SUM(O9:P9)</f>
        <v>0</v>
      </c>
      <c r="R9" s="182">
        <f ca="1">+I9</f>
        <v>-1365150.3537082374</v>
      </c>
      <c r="S9" s="164">
        <f ca="1">+R9*$S$1</f>
        <v>-54606.014148329501</v>
      </c>
      <c r="T9" s="131">
        <f ca="1">+$T$1*K9</f>
        <v>-100111.02593860409</v>
      </c>
      <c r="U9" s="169">
        <f ca="1">+Q9+T9+S9</f>
        <v>-154717.04008693359</v>
      </c>
      <c r="V9" s="190">
        <f ca="1">+N9+U9</f>
        <v>6862.6890921112499</v>
      </c>
    </row>
    <row r="10" spans="1:28" s="124" customFormat="1" ht="15" x14ac:dyDescent="0.25">
      <c r="A10" s="125">
        <v>36739</v>
      </c>
      <c r="B10" s="144">
        <f>+'GD Options'!M8</f>
        <v>6.3820029255873018E-2</v>
      </c>
      <c r="C10" s="216">
        <f ca="1">1/((1+B10/2)^(2*(A10-$B$1)/365.25))</f>
        <v>0.97318997185407885</v>
      </c>
      <c r="D10" s="131">
        <f>+D9</f>
        <v>-45000</v>
      </c>
      <c r="E10" s="220">
        <f>+E9</f>
        <v>-55000</v>
      </c>
      <c r="F10" s="132">
        <f>+(D10)*'Deal Volumes'!B25</f>
        <v>-1395000</v>
      </c>
      <c r="G10" s="220">
        <f>+E10*'Deal Volumes'!B25</f>
        <v>-1705000</v>
      </c>
      <c r="H10" s="220">
        <f>+F10+G10</f>
        <v>-3100000</v>
      </c>
      <c r="I10" s="131">
        <f t="shared" ca="1" si="0"/>
        <v>-1357600.0107364401</v>
      </c>
      <c r="J10" s="132">
        <f t="shared" ca="1" si="0"/>
        <v>-1659288.9020112045</v>
      </c>
      <c r="K10" s="133">
        <f ca="1">SUM(I10:J10)</f>
        <v>-3016888.9127476448</v>
      </c>
      <c r="L10" s="139">
        <f>+Curves!C5</f>
        <v>0</v>
      </c>
      <c r="M10" s="140">
        <f>+Curves!E5</f>
        <v>-5.0000000000000001E-3</v>
      </c>
      <c r="N10" s="148">
        <f ca="1">+I10*(L10-$H$1)+J10*(M10-$H$1)</f>
        <v>160686.06763526105</v>
      </c>
      <c r="O10" s="156">
        <f ca="1">-I10*(L10-$F$1)</f>
        <v>0</v>
      </c>
      <c r="P10" s="157">
        <f ca="1">-J10*(M10-$F$2)</f>
        <v>0</v>
      </c>
      <c r="Q10" s="156">
        <f ca="1">SUM(O10:P10)</f>
        <v>0</v>
      </c>
      <c r="R10" s="182">
        <f ca="1">+I10</f>
        <v>-1357600.0107364401</v>
      </c>
      <c r="S10" s="164">
        <f ca="1">+R10*$S$1</f>
        <v>-54304.000429457607</v>
      </c>
      <c r="T10" s="131">
        <f ca="1">+$T$1*K10</f>
        <v>-99557.334120672283</v>
      </c>
      <c r="U10" s="169">
        <f ca="1">+Q10+T10+S10</f>
        <v>-153861.33455012989</v>
      </c>
      <c r="V10" s="190">
        <f ca="1">+N10+U10</f>
        <v>6824.7330851311563</v>
      </c>
    </row>
    <row r="11" spans="1:28" s="124" customFormat="1" ht="15" x14ac:dyDescent="0.25">
      <c r="A11" s="125">
        <v>36770</v>
      </c>
      <c r="B11" s="145">
        <f>+'GD Options'!M9</f>
        <v>6.4455430326432014E-2</v>
      </c>
      <c r="C11" s="217">
        <f ca="1">1/((1+B11/2)^(2*(A11-$B$1)/365.25))</f>
        <v>0.96770640203074887</v>
      </c>
      <c r="D11" s="134">
        <f>+D10</f>
        <v>-45000</v>
      </c>
      <c r="E11" s="221">
        <f>+E10</f>
        <v>-55000</v>
      </c>
      <c r="F11" s="135">
        <f>+(D11)*'Deal Volumes'!B26</f>
        <v>-1350000</v>
      </c>
      <c r="G11" s="221">
        <f>+E11*'Deal Volumes'!B26</f>
        <v>-1650000</v>
      </c>
      <c r="H11" s="221">
        <f>+F11+G11</f>
        <v>-3000000</v>
      </c>
      <c r="I11" s="134">
        <f t="shared" ca="1" si="0"/>
        <v>-1306403.6427415109</v>
      </c>
      <c r="J11" s="135">
        <f t="shared" ca="1" si="0"/>
        <v>-1596715.5633507357</v>
      </c>
      <c r="K11" s="136">
        <f ca="1">SUM(I11:J11)</f>
        <v>-2903119.2060922468</v>
      </c>
      <c r="L11" s="141">
        <f>+Curves!C6</f>
        <v>0</v>
      </c>
      <c r="M11" s="142">
        <f>+Curves!E6</f>
        <v>-5.0000000000000001E-3</v>
      </c>
      <c r="N11" s="149">
        <f ca="1">+I11*(L11-$H$1)+J11*(M11-$H$1)</f>
        <v>154626.44551883935</v>
      </c>
      <c r="O11" s="158">
        <f ca="1">-I11*(L11-$F$1)</f>
        <v>0</v>
      </c>
      <c r="P11" s="159">
        <f ca="1">-J11*(M11-$F$2)</f>
        <v>0</v>
      </c>
      <c r="Q11" s="158">
        <f ca="1">SUM(O11:P11)</f>
        <v>0</v>
      </c>
      <c r="R11" s="183">
        <f ca="1">+I11</f>
        <v>-1306403.6427415109</v>
      </c>
      <c r="S11" s="165">
        <f ca="1">+R11*$S$1</f>
        <v>-52256.145709660435</v>
      </c>
      <c r="T11" s="134">
        <f ca="1">+$T$1*K11</f>
        <v>-95802.933801044142</v>
      </c>
      <c r="U11" s="170">
        <f ca="1">+Q11+T11+S11</f>
        <v>-148059.07951070459</v>
      </c>
      <c r="V11" s="191">
        <f ca="1">+N11+U11</f>
        <v>6567.3660081347625</v>
      </c>
    </row>
    <row r="12" spans="1:28" s="124" customFormat="1" x14ac:dyDescent="0.25">
      <c r="R12" s="161"/>
    </row>
    <row r="13" spans="1:28" s="176" customFormat="1" ht="17.399999999999999" x14ac:dyDescent="0.3">
      <c r="A13" s="173" t="s">
        <v>6</v>
      </c>
      <c r="B13" s="174"/>
      <c r="C13" s="174"/>
      <c r="D13" s="174"/>
      <c r="E13" s="174"/>
      <c r="F13" s="175">
        <f t="shared" ref="F13:K13" si="1">SUM(F7:F11)</f>
        <v>-6885000</v>
      </c>
      <c r="G13" s="175">
        <f t="shared" si="1"/>
        <v>-6890000</v>
      </c>
      <c r="H13" s="175">
        <f t="shared" si="1"/>
        <v>-13775000</v>
      </c>
      <c r="I13" s="175">
        <f t="shared" ca="1" si="1"/>
        <v>-6737119.4633909818</v>
      </c>
      <c r="J13" s="175">
        <f t="shared" ca="1" si="1"/>
        <v>-6729831.8684752043</v>
      </c>
      <c r="K13" s="175">
        <f t="shared" ca="1" si="1"/>
        <v>-13466951.331866186</v>
      </c>
      <c r="L13" s="174"/>
      <c r="M13" s="174"/>
      <c r="N13" s="172">
        <f t="shared" ref="N13:T13" ca="1" si="2">SUM(N7:N11)</f>
        <v>727433.99976824736</v>
      </c>
      <c r="O13" s="172">
        <f t="shared" ca="1" si="2"/>
        <v>-13539.827281023969</v>
      </c>
      <c r="P13" s="172">
        <f t="shared" ca="1" si="2"/>
        <v>0</v>
      </c>
      <c r="Q13" s="172">
        <f t="shared" ca="1" si="2"/>
        <v>-13539.827281023969</v>
      </c>
      <c r="R13" s="175">
        <f t="shared" ca="1" si="2"/>
        <v>-6737119.4633909818</v>
      </c>
      <c r="S13" s="172">
        <f t="shared" ca="1" si="2"/>
        <v>-269484.77853563929</v>
      </c>
      <c r="T13" s="172">
        <f t="shared" ca="1" si="2"/>
        <v>-444409.39395158418</v>
      </c>
      <c r="U13" s="172">
        <f ca="1">SUM(U7:U11)</f>
        <v>-727433.99976824748</v>
      </c>
      <c r="V13" s="180">
        <f ca="1">SUM(V7:V11)</f>
        <v>-5.8207660913467407E-11</v>
      </c>
    </row>
    <row r="14" spans="1:28" s="124" customFormat="1" ht="15" x14ac:dyDescent="0.25">
      <c r="A14" s="150" t="s">
        <v>106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2">
        <f ca="1">-N13/$K$13</f>
        <v>5.4016234397978105E-2</v>
      </c>
      <c r="O14" s="202"/>
      <c r="P14" s="202"/>
      <c r="Q14" s="202">
        <f ca="1">-Q13/$K$13</f>
        <v>-1.0054114659927031E-3</v>
      </c>
      <c r="R14" s="202"/>
      <c r="S14" s="202">
        <f ca="1">-S13/$K$13</f>
        <v>-2.0010822931985407E-2</v>
      </c>
      <c r="T14" s="202">
        <f ca="1">-T13/$K$13</f>
        <v>-3.3000000000000002E-2</v>
      </c>
      <c r="U14" s="202">
        <f ca="1">-U13/$K$13</f>
        <v>-5.4016234397978119E-2</v>
      </c>
      <c r="V14" s="203">
        <f ca="1">-V13/$K$13</f>
        <v>-4.3222596918230094E-18</v>
      </c>
      <c r="X14" s="121"/>
      <c r="Y14" s="121"/>
      <c r="Z14" s="121"/>
      <c r="AA14" s="121"/>
      <c r="AB14" s="121"/>
    </row>
    <row r="17" spans="3:20" ht="15.75" customHeight="1" x14ac:dyDescent="0.25">
      <c r="L17" s="238"/>
      <c r="M17" s="238"/>
    </row>
    <row r="18" spans="3:20" s="218" customFormat="1" ht="17.399999999999999" x14ac:dyDescent="0.3">
      <c r="C18" s="218" t="s">
        <v>113</v>
      </c>
      <c r="D18" s="237">
        <v>1</v>
      </c>
      <c r="E18" s="218" t="s">
        <v>115</v>
      </c>
      <c r="L18" s="238"/>
      <c r="M18" s="238"/>
      <c r="N18" s="121"/>
      <c r="O18" s="121"/>
    </row>
    <row r="19" spans="3:20" s="218" customFormat="1" ht="17.399999999999999" x14ac:dyDescent="0.3">
      <c r="C19" s="218" t="s">
        <v>121</v>
      </c>
      <c r="D19" s="234">
        <v>12</v>
      </c>
      <c r="L19" s="238"/>
      <c r="M19" s="238"/>
      <c r="N19" s="121"/>
      <c r="O19" s="121"/>
    </row>
    <row r="20" spans="3:20" s="218" customFormat="1" ht="17.399999999999999" x14ac:dyDescent="0.3">
      <c r="C20" s="218" t="s">
        <v>63</v>
      </c>
      <c r="D20" s="235">
        <v>12</v>
      </c>
      <c r="L20" s="238"/>
      <c r="M20" s="238"/>
      <c r="N20" s="121"/>
      <c r="O20" s="121"/>
    </row>
    <row r="21" spans="3:20" x14ac:dyDescent="0.25">
      <c r="D21" s="121" t="s">
        <v>110</v>
      </c>
      <c r="L21" s="238"/>
      <c r="M21" s="238"/>
    </row>
    <row r="23" spans="3:20" x14ac:dyDescent="0.25">
      <c r="N23" s="211"/>
      <c r="Q23" s="211"/>
      <c r="T23" s="238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190500</xdr:colOff>
                    <xdr:row>16</xdr:row>
                    <xdr:rowOff>190500</xdr:rowOff>
                  </from>
                  <to>
                    <xdr:col>8</xdr:col>
                    <xdr:colOff>769620</xdr:colOff>
                    <xdr:row>20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23"/>
  <sheetViews>
    <sheetView topLeftCell="E1" zoomScale="75" workbookViewId="0">
      <selection activeCell="I29" sqref="I29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.5546875" style="121" customWidth="1"/>
    <col min="4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0" width="14.5546875" style="121" customWidth="1"/>
    <col min="11" max="11" width="13.109375" style="121" customWidth="1"/>
    <col min="12" max="12" width="14.5546875" style="121" customWidth="1"/>
    <col min="13" max="13" width="18" style="121" bestFit="1" customWidth="1"/>
    <col min="14" max="14" width="10.33203125" style="121" bestFit="1" customWidth="1"/>
    <col min="15" max="15" width="11.6640625" style="121" customWidth="1"/>
    <col min="16" max="16" width="9.88671875" style="121" customWidth="1"/>
    <col min="17" max="17" width="12.88671875" style="121" customWidth="1"/>
    <col min="18" max="18" width="15.44140625" style="121" bestFit="1" customWidth="1"/>
    <col min="19" max="19" width="14.6640625" style="121" bestFit="1" customWidth="1"/>
    <col min="20" max="20" width="9.109375" style="121"/>
    <col min="21" max="21" width="10.44140625" style="121" customWidth="1"/>
    <col min="22" max="22" width="9.109375" style="121"/>
    <col min="23" max="23" width="10.88671875" style="121" customWidth="1"/>
    <col min="24" max="16384" width="9.109375" style="121"/>
  </cols>
  <sheetData>
    <row r="1" spans="1:18" x14ac:dyDescent="0.25">
      <c r="A1" s="150" t="s">
        <v>89</v>
      </c>
      <c r="B1" s="151">
        <f ca="1">TODAY()</f>
        <v>36581</v>
      </c>
      <c r="D1" s="127" t="s">
        <v>83</v>
      </c>
      <c r="E1" s="153">
        <v>0</v>
      </c>
      <c r="F1" s="152" t="s">
        <v>4</v>
      </c>
      <c r="G1" s="153">
        <v>0.112</v>
      </c>
      <c r="H1" s="224"/>
      <c r="I1" s="152" t="s">
        <v>95</v>
      </c>
      <c r="J1" s="171">
        <v>4.7E-2</v>
      </c>
      <c r="K1" s="171">
        <v>6.5000000000000002E-2</v>
      </c>
    </row>
    <row r="2" spans="1:18" x14ac:dyDescent="0.25">
      <c r="F2" s="122"/>
      <c r="G2" s="122"/>
      <c r="H2" s="122"/>
      <c r="I2" s="122"/>
      <c r="J2" s="126"/>
    </row>
    <row r="3" spans="1:18" x14ac:dyDescent="0.25">
      <c r="F3" s="122"/>
      <c r="G3" s="122"/>
      <c r="H3" s="122"/>
      <c r="I3" s="122"/>
      <c r="J3" s="126"/>
    </row>
    <row r="4" spans="1:18" s="123" customFormat="1" ht="26.4" x14ac:dyDescent="0.25">
      <c r="A4" s="213" t="s">
        <v>5</v>
      </c>
      <c r="B4" s="207" t="s">
        <v>39</v>
      </c>
      <c r="C4" s="214" t="s">
        <v>0</v>
      </c>
      <c r="D4" s="207" t="s">
        <v>116</v>
      </c>
      <c r="E4" s="208" t="s">
        <v>107</v>
      </c>
      <c r="F4" s="213" t="s">
        <v>108</v>
      </c>
      <c r="G4" s="213" t="s">
        <v>109</v>
      </c>
      <c r="H4" s="213" t="s">
        <v>98</v>
      </c>
      <c r="I4" s="208" t="s">
        <v>91</v>
      </c>
      <c r="J4" s="213" t="s">
        <v>92</v>
      </c>
      <c r="K4" s="208" t="s">
        <v>96</v>
      </c>
      <c r="L4" s="213" t="s">
        <v>97</v>
      </c>
      <c r="M4" s="209" t="s">
        <v>99</v>
      </c>
      <c r="O4" s="184" t="s">
        <v>100</v>
      </c>
      <c r="P4" s="185" t="s">
        <v>92</v>
      </c>
      <c r="Q4" s="185" t="s">
        <v>96</v>
      </c>
      <c r="R4" s="186" t="s">
        <v>101</v>
      </c>
    </row>
    <row r="5" spans="1:18" x14ac:dyDescent="0.25">
      <c r="A5" s="124"/>
      <c r="B5" s="124"/>
      <c r="H5" s="146"/>
      <c r="O5" s="187">
        <f ca="1">+$R$5-SUM($P$5:Q5)</f>
        <v>0</v>
      </c>
      <c r="P5" s="188">
        <f ca="1">-J13</f>
        <v>4.7E-2</v>
      </c>
      <c r="Q5" s="188">
        <f>+$K$1</f>
        <v>6.5000000000000002E-2</v>
      </c>
      <c r="R5" s="212">
        <f>+$G$1</f>
        <v>0.112</v>
      </c>
    </row>
    <row r="6" spans="1:18" s="124" customFormat="1" ht="15" x14ac:dyDescent="0.25">
      <c r="A6" s="125">
        <v>36647</v>
      </c>
      <c r="B6" s="143">
        <f>+'GD Options'!M5</f>
        <v>6.1485649559372996E-2</v>
      </c>
      <c r="C6" s="215">
        <f ca="1">1/((1+B6/2)^(2*(A6-$B$1)/365.25))</f>
        <v>0.98911667361626454</v>
      </c>
      <c r="D6" s="128">
        <f>+$D$17</f>
        <v>-50000</v>
      </c>
      <c r="E6" s="219">
        <f>+D6*'Deal Volumes'!B22</f>
        <v>-1550000</v>
      </c>
      <c r="F6" s="219">
        <f ca="1">+C6*E6</f>
        <v>-1533130.8441052102</v>
      </c>
      <c r="G6" s="137">
        <f>+Curves!C2</f>
        <v>-5.0000000000000001E-3</v>
      </c>
      <c r="H6" s="147">
        <f ca="1">+F6*(G6-$G$1)</f>
        <v>179376.30876030959</v>
      </c>
      <c r="I6" s="155">
        <f ca="1">-F6*(G6-$E$1)</f>
        <v>-7665.6542205260512</v>
      </c>
      <c r="J6" s="204">
        <f ca="1">+$J$1*F6</f>
        <v>-72057.149672944885</v>
      </c>
      <c r="K6" s="128">
        <f ca="1">+$K$1*F6</f>
        <v>-99653.504866838659</v>
      </c>
      <c r="L6" s="168">
        <f ca="1">+K6+J6+I6</f>
        <v>-179376.30876030959</v>
      </c>
      <c r="M6" s="189">
        <f ca="1">+H6+L6</f>
        <v>0</v>
      </c>
    </row>
    <row r="7" spans="1:18" s="124" customFormat="1" ht="15" x14ac:dyDescent="0.25">
      <c r="A7" s="125">
        <v>36678</v>
      </c>
      <c r="B7" s="144">
        <f>+'GD Options'!M6</f>
        <v>6.2403613560180003E-2</v>
      </c>
      <c r="C7" s="216">
        <f ca="1">1/((1+B7/2)^(2*(A7-$B$1)/365.25))</f>
        <v>0.98381310852600368</v>
      </c>
      <c r="D7" s="131">
        <f>+$D$17</f>
        <v>-50000</v>
      </c>
      <c r="E7" s="220">
        <f>+D7*'Deal Volumes'!B23</f>
        <v>-1500000</v>
      </c>
      <c r="F7" s="220">
        <f ca="1">+C7*E7</f>
        <v>-1475719.6627890056</v>
      </c>
      <c r="G7" s="139">
        <f>+Curves!C3</f>
        <v>-5.0000000000000001E-3</v>
      </c>
      <c r="H7" s="148">
        <f ca="1">+F7*(G7-$G$1)</f>
        <v>172659.20054631366</v>
      </c>
      <c r="I7" s="157">
        <f ca="1">-F7*(G7-$E$1)</f>
        <v>-7378.5983139450282</v>
      </c>
      <c r="J7" s="205">
        <f ca="1">+$J$1*F7</f>
        <v>-69358.824151083259</v>
      </c>
      <c r="K7" s="131">
        <f ca="1">+$K$1*F7</f>
        <v>-95921.77808128536</v>
      </c>
      <c r="L7" s="169">
        <f ca="1">+K7+J7+I7</f>
        <v>-172659.20054631363</v>
      </c>
      <c r="M7" s="190">
        <f ca="1">+H7+L7</f>
        <v>0</v>
      </c>
    </row>
    <row r="8" spans="1:18" s="124" customFormat="1" ht="15" x14ac:dyDescent="0.25">
      <c r="A8" s="125">
        <v>36708</v>
      </c>
      <c r="B8" s="144">
        <f>+'GD Options'!M7</f>
        <v>6.3184628319210998E-2</v>
      </c>
      <c r="C8" s="216">
        <f ca="1">1/((1+B8/2)^(2*(A8-$B$1)/365.25))</f>
        <v>0.97860240409192645</v>
      </c>
      <c r="D8" s="131">
        <f>+$D$17</f>
        <v>-50000</v>
      </c>
      <c r="E8" s="220">
        <f>+D8*'Deal Volumes'!B24</f>
        <v>-1550000</v>
      </c>
      <c r="F8" s="220">
        <f ca="1">+C8*E8</f>
        <v>-1516833.726342486</v>
      </c>
      <c r="G8" s="139">
        <f>+Curves!C4</f>
        <v>0</v>
      </c>
      <c r="H8" s="148">
        <f ca="1">+F8*(G8-$G$1)</f>
        <v>169885.37735035844</v>
      </c>
      <c r="I8" s="157">
        <f ca="1">-F8*(G8-$E$1)</f>
        <v>0</v>
      </c>
      <c r="J8" s="205">
        <f ca="1">+$J$1*F8</f>
        <v>-71291.185138096844</v>
      </c>
      <c r="K8" s="131">
        <f ca="1">+$K$1*F8</f>
        <v>-98594.192212261594</v>
      </c>
      <c r="L8" s="169">
        <f ca="1">+K8+J8+I8</f>
        <v>-169885.37735035844</v>
      </c>
      <c r="M8" s="190">
        <f ca="1">+H8+L8</f>
        <v>0</v>
      </c>
    </row>
    <row r="9" spans="1:18" s="124" customFormat="1" ht="15" x14ac:dyDescent="0.25">
      <c r="A9" s="125">
        <v>36739</v>
      </c>
      <c r="B9" s="144">
        <f>+'GD Options'!M8</f>
        <v>6.3820029255873018E-2</v>
      </c>
      <c r="C9" s="216">
        <f ca="1">1/((1+B9/2)^(2*(A9-$B$1)/365.25))</f>
        <v>0.97318997185407885</v>
      </c>
      <c r="D9" s="131">
        <f>+$D$17</f>
        <v>-50000</v>
      </c>
      <c r="E9" s="220">
        <f>+D9*'Deal Volumes'!B25</f>
        <v>-1550000</v>
      </c>
      <c r="F9" s="220">
        <f ca="1">+C9*E9</f>
        <v>-1508444.4563738222</v>
      </c>
      <c r="G9" s="139">
        <f>+Curves!C5</f>
        <v>0</v>
      </c>
      <c r="H9" s="148">
        <f ca="1">+F9*(G9-$G$1)</f>
        <v>168945.77911386808</v>
      </c>
      <c r="I9" s="157">
        <f ca="1">-F9*(G9-$E$1)</f>
        <v>0</v>
      </c>
      <c r="J9" s="205">
        <f ca="1">+$J$1*F9</f>
        <v>-70896.889449569644</v>
      </c>
      <c r="K9" s="131">
        <f ca="1">+$K$1*F9</f>
        <v>-98048.889664298447</v>
      </c>
      <c r="L9" s="169">
        <f ca="1">+K9+J9+I9</f>
        <v>-168945.77911386808</v>
      </c>
      <c r="M9" s="190">
        <f ca="1">+H9+L9</f>
        <v>0</v>
      </c>
    </row>
    <row r="10" spans="1:18" s="124" customFormat="1" ht="15" x14ac:dyDescent="0.25">
      <c r="A10" s="125">
        <v>36770</v>
      </c>
      <c r="B10" s="145">
        <f>+'GD Options'!M9</f>
        <v>6.4455430326432014E-2</v>
      </c>
      <c r="C10" s="217">
        <f ca="1">1/((1+B10/2)^(2*(A10-$B$1)/365.25))</f>
        <v>0.96770640203074887</v>
      </c>
      <c r="D10" s="134">
        <f>+$D$17</f>
        <v>-50000</v>
      </c>
      <c r="E10" s="221">
        <f>+D10*'Deal Volumes'!B26</f>
        <v>-1500000</v>
      </c>
      <c r="F10" s="221">
        <f ca="1">+C10*E10</f>
        <v>-1451559.6030461234</v>
      </c>
      <c r="G10" s="141">
        <f>+Curves!C6</f>
        <v>0</v>
      </c>
      <c r="H10" s="149">
        <f ca="1">+F10*(G10-$G$1)</f>
        <v>162574.67554116584</v>
      </c>
      <c r="I10" s="159">
        <f ca="1">-F10*(G10-$E$1)</f>
        <v>0</v>
      </c>
      <c r="J10" s="206">
        <f ca="1">+$J$1*F10</f>
        <v>-68223.301343167797</v>
      </c>
      <c r="K10" s="134">
        <f ca="1">+$K$1*F10</f>
        <v>-94351.374197998026</v>
      </c>
      <c r="L10" s="170">
        <f ca="1">+K10+J10+I10</f>
        <v>-162574.67554116581</v>
      </c>
      <c r="M10" s="191">
        <f ca="1">+H10+L10</f>
        <v>0</v>
      </c>
    </row>
    <row r="11" spans="1:18" s="124" customFormat="1" x14ac:dyDescent="0.25"/>
    <row r="12" spans="1:18" s="176" customFormat="1" ht="17.399999999999999" x14ac:dyDescent="0.3">
      <c r="A12" s="173" t="s">
        <v>6</v>
      </c>
      <c r="B12" s="174"/>
      <c r="C12" s="174"/>
      <c r="D12" s="174"/>
      <c r="E12" s="175">
        <f>SUM(E6:E10)</f>
        <v>-7650000</v>
      </c>
      <c r="F12" s="175">
        <f ca="1">SUM(F6:F10)</f>
        <v>-7485688.292656647</v>
      </c>
      <c r="G12" s="174"/>
      <c r="H12" s="172">
        <f t="shared" ref="H12:M12" ca="1" si="0">SUM(H6:H10)</f>
        <v>853441.34131201555</v>
      </c>
      <c r="I12" s="172">
        <f t="shared" ca="1" si="0"/>
        <v>-15044.252534471079</v>
      </c>
      <c r="J12" s="172">
        <f t="shared" ca="1" si="0"/>
        <v>-351827.34975486243</v>
      </c>
      <c r="K12" s="172">
        <f t="shared" ca="1" si="0"/>
        <v>-486569.73902268207</v>
      </c>
      <c r="L12" s="172">
        <f t="shared" ca="1" si="0"/>
        <v>-853441.34131201543</v>
      </c>
      <c r="M12" s="180">
        <f t="shared" ca="1" si="0"/>
        <v>0</v>
      </c>
    </row>
    <row r="13" spans="1:18" s="124" customFormat="1" x14ac:dyDescent="0.25">
      <c r="A13" s="150" t="s">
        <v>106</v>
      </c>
      <c r="B13" s="201"/>
      <c r="C13" s="201"/>
      <c r="D13" s="201"/>
      <c r="E13" s="201"/>
      <c r="F13" s="201"/>
      <c r="G13" s="201"/>
      <c r="H13" s="202">
        <f ca="1">-H12/$F$12</f>
        <v>0.11400973537052421</v>
      </c>
      <c r="I13" s="202"/>
      <c r="J13" s="202">
        <f ca="1">-J12/$F$12</f>
        <v>-4.7E-2</v>
      </c>
      <c r="K13" s="202">
        <f ca="1">-K12/$F$12</f>
        <v>-6.5000000000000002E-2</v>
      </c>
      <c r="L13" s="202">
        <f ca="1">-L12/$F$12</f>
        <v>-0.1140097353705242</v>
      </c>
      <c r="M13" s="210">
        <f ca="1">-M12/$F$12</f>
        <v>0</v>
      </c>
      <c r="O13" s="121"/>
      <c r="P13" s="121"/>
      <c r="Q13" s="121"/>
      <c r="R13" s="121"/>
    </row>
    <row r="17" spans="1:10" ht="17.399999999999999" x14ac:dyDescent="0.3">
      <c r="C17" s="218" t="s">
        <v>116</v>
      </c>
      <c r="D17" s="234">
        <v>-50000</v>
      </c>
    </row>
    <row r="18" spans="1:10" ht="17.399999999999999" x14ac:dyDescent="0.3">
      <c r="D18" s="236"/>
    </row>
    <row r="21" spans="1:10" ht="17.399999999999999" x14ac:dyDescent="0.3">
      <c r="A21" s="222"/>
      <c r="B21" s="223"/>
      <c r="C21" s="222"/>
      <c r="D21" s="218"/>
    </row>
    <row r="22" spans="1:10" ht="17.399999999999999" x14ac:dyDescent="0.3">
      <c r="A22" s="222"/>
      <c r="B22" s="223"/>
      <c r="C22" s="222"/>
      <c r="D22" s="218"/>
    </row>
    <row r="23" spans="1:10" ht="17.399999999999999" x14ac:dyDescent="0.3">
      <c r="A23" s="222"/>
      <c r="B23" s="223"/>
      <c r="C23" s="222"/>
      <c r="D23" s="218"/>
      <c r="J23" s="2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60960</xdr:colOff>
                    <xdr:row>16</xdr:row>
                    <xdr:rowOff>144780</xdr:rowOff>
                  </from>
                  <to>
                    <xdr:col>8</xdr:col>
                    <xdr:colOff>647700</xdr:colOff>
                    <xdr:row>21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tabSelected="1" zoomScale="75" workbookViewId="0">
      <pane xSplit="2988" topLeftCell="P1" activePane="topRight"/>
      <selection activeCell="A4" sqref="A4:IV4"/>
      <selection pane="topRight" activeCell="S17" sqref="S17"/>
    </sheetView>
  </sheetViews>
  <sheetFormatPr defaultColWidth="9.109375" defaultRowHeight="13.2" x14ac:dyDescent="0.25"/>
  <cols>
    <col min="1" max="1" width="14" style="121" customWidth="1"/>
    <col min="2" max="2" width="10.6640625" style="121" customWidth="1"/>
    <col min="3" max="3" width="19.33203125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3.88671875" style="121" bestFit="1" customWidth="1"/>
    <col min="13" max="13" width="13.6640625" style="121" customWidth="1"/>
    <col min="14" max="14" width="14.44140625" style="121" bestFit="1" customWidth="1"/>
    <col min="15" max="15" width="12.88671875" style="121" bestFit="1" customWidth="1"/>
    <col min="16" max="16" width="14.5546875" style="121" customWidth="1"/>
    <col min="17" max="17" width="12.88671875" style="121" bestFit="1" customWidth="1"/>
    <col min="18" max="18" width="18.6640625" style="121" customWidth="1"/>
    <col min="19" max="19" width="14.6640625" style="121" bestFit="1" customWidth="1"/>
    <col min="20" max="20" width="16.88671875" style="121" customWidth="1"/>
    <col min="21" max="21" width="16.109375" style="121" bestFit="1" customWidth="1"/>
    <col min="22" max="22" width="14.6640625" style="121" bestFit="1" customWidth="1"/>
    <col min="23" max="23" width="9.5546875" style="121" customWidth="1"/>
    <col min="24" max="24" width="9.33203125" style="121" customWidth="1"/>
    <col min="25" max="25" width="8.88671875" style="121" customWidth="1"/>
    <col min="26" max="26" width="9" style="121" customWidth="1"/>
    <col min="27" max="16384" width="9.109375" style="121"/>
  </cols>
  <sheetData>
    <row r="1" spans="1:28" x14ac:dyDescent="0.25">
      <c r="A1" s="150" t="s">
        <v>89</v>
      </c>
      <c r="B1" s="151">
        <f ca="1">TODAY()</f>
        <v>36581</v>
      </c>
      <c r="E1" s="127" t="s">
        <v>83</v>
      </c>
      <c r="F1" s="153">
        <v>-2.5000000000000001E-3</v>
      </c>
      <c r="G1" s="152" t="s">
        <v>4</v>
      </c>
      <c r="H1" s="153">
        <v>5.4943760879775302E-2</v>
      </c>
      <c r="J1" s="124" t="s">
        <v>104</v>
      </c>
      <c r="K1" s="124">
        <v>713964</v>
      </c>
      <c r="R1" s="166" t="s">
        <v>122</v>
      </c>
      <c r="S1" s="171">
        <v>0.04</v>
      </c>
      <c r="T1" s="171">
        <v>3.6999999999999998E-2</v>
      </c>
    </row>
    <row r="2" spans="1:28" x14ac:dyDescent="0.25">
      <c r="E2" s="127" t="s">
        <v>84</v>
      </c>
      <c r="F2" s="153">
        <v>-7.4999999999999997E-3</v>
      </c>
      <c r="G2" s="126"/>
      <c r="R2" s="166" t="s">
        <v>123</v>
      </c>
      <c r="S2" s="171">
        <v>0</v>
      </c>
      <c r="T2" s="171">
        <v>3.6999999999999998E-2</v>
      </c>
    </row>
    <row r="3" spans="1:28" x14ac:dyDescent="0.25">
      <c r="F3" s="122"/>
      <c r="G3" s="122"/>
      <c r="H3" s="122"/>
      <c r="I3" s="122"/>
      <c r="J3" s="126"/>
      <c r="K3" s="126"/>
    </row>
    <row r="4" spans="1:28" s="122" customFormat="1" x14ac:dyDescent="0.25">
      <c r="A4" s="229"/>
      <c r="B4" s="230"/>
      <c r="C4" s="230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0"/>
      <c r="O4" s="248" t="s">
        <v>117</v>
      </c>
      <c r="P4" s="248"/>
      <c r="Q4" s="248"/>
      <c r="R4" s="248" t="s">
        <v>118</v>
      </c>
      <c r="S4" s="248"/>
      <c r="T4" s="179" t="s">
        <v>119</v>
      </c>
      <c r="U4" s="231"/>
      <c r="V4" s="233"/>
      <c r="X4" s="249" t="s">
        <v>102</v>
      </c>
      <c r="Y4" s="250"/>
      <c r="Z4" s="250"/>
      <c r="AA4" s="251"/>
    </row>
    <row r="5" spans="1:28" s="123" customFormat="1" ht="25.5" customHeight="1" x14ac:dyDescent="0.25">
      <c r="A5" s="177" t="s">
        <v>5</v>
      </c>
      <c r="B5" s="178" t="s">
        <v>39</v>
      </c>
      <c r="C5" s="178" t="s">
        <v>0</v>
      </c>
      <c r="D5" s="178" t="s">
        <v>114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2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5">
      <c r="A6" s="124"/>
      <c r="B6" s="124"/>
      <c r="N6" s="146"/>
      <c r="R6" s="160"/>
      <c r="X6" s="187">
        <f ca="1">+AA6-SUM(Y6:Z6)</f>
        <v>-3.1057276650868909E-3</v>
      </c>
      <c r="Y6" s="188">
        <f ca="1">+$S$20/$K$20</f>
        <v>2.1049488544862195E-2</v>
      </c>
      <c r="Z6" s="188">
        <f>+$T$1</f>
        <v>3.6999999999999998E-2</v>
      </c>
      <c r="AA6" s="212">
        <f>+H1</f>
        <v>5.4943760879775302E-2</v>
      </c>
    </row>
    <row r="7" spans="1:28" s="124" customFormat="1" ht="15" x14ac:dyDescent="0.25">
      <c r="A7" s="125">
        <v>36647</v>
      </c>
      <c r="B7" s="143">
        <f>+'GD Options'!M5</f>
        <v>6.1485649559372996E-2</v>
      </c>
      <c r="C7" s="215">
        <f ca="1">1/((1+B7/2)^(2*(A7-$B$1)/365.25))</f>
        <v>0.98911667361626454</v>
      </c>
      <c r="D7" s="128">
        <f>IF($D$24,-'Deal Volumes'!D22-'Deal Volumes'!H22,'Model - Term'!$D$25)</f>
        <v>-65914.085023696505</v>
      </c>
      <c r="E7" s="219">
        <f>IF($D$24=1,-'Deal Volumes'!F22-'Deal Volumes'!J22-'Deal Volumes'!L22,'Model - Term'!$D$26)</f>
        <v>-9085.9149763034948</v>
      </c>
      <c r="F7" s="129">
        <f>+(D7)*'Deal Volumes'!B22</f>
        <v>-2043336.6357345916</v>
      </c>
      <c r="G7" s="219">
        <f>+E7*'Deal Volumes'!B22</f>
        <v>-281663.36426540837</v>
      </c>
      <c r="H7" s="219">
        <f>+F7+G7</f>
        <v>-2325000</v>
      </c>
      <c r="I7" s="128">
        <f ca="1">+F7*$C7</f>
        <v>-2021098.3362160481</v>
      </c>
      <c r="J7" s="129">
        <f ca="1">+G7*$C7</f>
        <v>-278597.92994176695</v>
      </c>
      <c r="K7" s="130">
        <f ca="1">SUM(I7:J7)</f>
        <v>-2299696.2661578152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137852.44307467615</v>
      </c>
      <c r="O7" s="154">
        <f ca="1">-I7*(L7-$F$1)</f>
        <v>-5052.7458405401203</v>
      </c>
      <c r="P7" s="155">
        <f ca="1">-J7*(M7-$F$2)</f>
        <v>696.49482485441729</v>
      </c>
      <c r="Q7" s="154">
        <f ca="1">SUM(O7:P7)</f>
        <v>-4356.2510156857034</v>
      </c>
      <c r="R7" s="162">
        <f ca="1">+I7</f>
        <v>-2021098.3362160481</v>
      </c>
      <c r="S7" s="198">
        <f ca="1">+R7*$S$1</f>
        <v>-80843.933448641925</v>
      </c>
      <c r="T7" s="243">
        <f ca="1">+$T$1*K7</f>
        <v>-85088.761847839152</v>
      </c>
      <c r="U7" s="240">
        <f ca="1">+Q7+T7+S7</f>
        <v>-170288.94631216678</v>
      </c>
      <c r="V7" s="189">
        <f t="shared" ref="V7:V18" ca="1" si="0">+N7+U7</f>
        <v>-32436.50323749063</v>
      </c>
      <c r="Z7" s="192"/>
    </row>
    <row r="8" spans="1:28" s="124" customFormat="1" ht="15" x14ac:dyDescent="0.25">
      <c r="A8" s="125">
        <v>36678</v>
      </c>
      <c r="B8" s="144">
        <f>+'GD Options'!M6</f>
        <v>6.2403613560180003E-2</v>
      </c>
      <c r="C8" s="216">
        <f t="shared" ref="C8:C18" ca="1" si="1">1/((1+B8/2)^(2*(A8-$B$1)/365.25))</f>
        <v>0.98381310852600368</v>
      </c>
      <c r="D8" s="131">
        <f>IF($D$24,-'Deal Volumes'!D23-'Deal Volumes'!H23,'Model - Term'!$D$25)</f>
        <v>-65914.085023696505</v>
      </c>
      <c r="E8" s="220">
        <f>IF($D$24=1,-'Deal Volumes'!F23-'Deal Volumes'!J23-'Deal Volumes'!L23,'Model - Term'!$D$26)</f>
        <v>-9085.9149763034911</v>
      </c>
      <c r="F8" s="132">
        <f>+(D8)*'Deal Volumes'!B23</f>
        <v>-1977422.5507108951</v>
      </c>
      <c r="G8" s="220">
        <f>+E8*'Deal Volumes'!B23</f>
        <v>-272577.44928910473</v>
      </c>
      <c r="H8" s="220">
        <f t="shared" ref="H8:H18" si="2">+F8+G8</f>
        <v>-2250000</v>
      </c>
      <c r="I8" s="131">
        <f t="shared" ref="I8:I18" ca="1" si="3">+F8*$C8</f>
        <v>-1945414.2264843048</v>
      </c>
      <c r="J8" s="132">
        <f t="shared" ref="J8:J18" ca="1" si="4">+G8*$C8</f>
        <v>-268165.26769920328</v>
      </c>
      <c r="K8" s="133">
        <f t="shared" ref="K8:K18" ca="1" si="5">SUM(I8:J8)</f>
        <v>-2213579.4941835082</v>
      </c>
      <c r="L8" s="139">
        <f>+Curves!C3</f>
        <v>-5.0000000000000001E-3</v>
      </c>
      <c r="M8" s="140">
        <f>+Curves!E3</f>
        <v>-5.0000000000000001E-3</v>
      </c>
      <c r="N8" s="148">
        <f t="shared" ref="N8:N18" ca="1" si="6">+I8*(L8-$H$1)+J8*(M8-$H$1)</f>
        <v>132690.27988771017</v>
      </c>
      <c r="O8" s="156">
        <f t="shared" ref="O8:O18" ca="1" si="7">-I8*(L8-$F$1)</f>
        <v>-4863.5355662107622</v>
      </c>
      <c r="P8" s="157">
        <f t="shared" ref="P8:P18" ca="1" si="8">-J8*(M8-$F$2)</f>
        <v>670.4131692480081</v>
      </c>
      <c r="Q8" s="156">
        <f t="shared" ref="Q8:Q18" ca="1" si="9">SUM(O8:P8)</f>
        <v>-4193.1223969627545</v>
      </c>
      <c r="R8" s="182">
        <f t="shared" ref="R8:R18" ca="1" si="10">+I8</f>
        <v>-1945414.2264843048</v>
      </c>
      <c r="S8" s="199">
        <f ca="1">+R8*$S$1</f>
        <v>-77816.569059372196</v>
      </c>
      <c r="T8" s="244">
        <f ca="1">+$T$1*K8</f>
        <v>-81902.441284789806</v>
      </c>
      <c r="U8" s="241">
        <f t="shared" ref="U8:U18" ca="1" si="11">+Q8+T8+S8</f>
        <v>-163912.13274112478</v>
      </c>
      <c r="V8" s="190">
        <f t="shared" ca="1" si="0"/>
        <v>-31221.852853414603</v>
      </c>
      <c r="X8" s="121"/>
      <c r="Y8" s="121"/>
      <c r="Z8" s="121"/>
      <c r="AA8" s="121"/>
      <c r="AB8" s="121"/>
    </row>
    <row r="9" spans="1:28" s="124" customFormat="1" ht="15" x14ac:dyDescent="0.25">
      <c r="A9" s="125">
        <v>36708</v>
      </c>
      <c r="B9" s="144">
        <f>+'GD Options'!M7</f>
        <v>6.3184628319210998E-2</v>
      </c>
      <c r="C9" s="216">
        <f t="shared" ca="1" si="1"/>
        <v>0.97860240409192645</v>
      </c>
      <c r="D9" s="131">
        <f>IF($D$24,-'Deal Volumes'!D24-'Deal Volumes'!H24,'Model - Term'!$D$25)</f>
        <v>-87885.446698262007</v>
      </c>
      <c r="E9" s="220">
        <f>IF($D$24=1,-'Deal Volumes'!F24-'Deal Volumes'!J24-'Deal Volumes'!L24,'Model - Term'!$D$26)</f>
        <v>-12114.553301737989</v>
      </c>
      <c r="F9" s="132">
        <f>+(D9)*'Deal Volumes'!B24</f>
        <v>-2724448.8476461223</v>
      </c>
      <c r="G9" s="220">
        <f>+E9*'Deal Volumes'!B24</f>
        <v>-375551.15235387767</v>
      </c>
      <c r="H9" s="220">
        <f t="shared" si="2"/>
        <v>-3100000</v>
      </c>
      <c r="I9" s="131">
        <f t="shared" ca="1" si="3"/>
        <v>-2666152.1921319738</v>
      </c>
      <c r="J9" s="132">
        <f t="shared" ca="1" si="4"/>
        <v>-367515.26055299805</v>
      </c>
      <c r="K9" s="133">
        <f t="shared" ca="1" si="5"/>
        <v>-3033667.452684972</v>
      </c>
      <c r="L9" s="139">
        <f>+Curves!C4</f>
        <v>0</v>
      </c>
      <c r="M9" s="140">
        <f>+Curves!E4</f>
        <v>-5.0000000000000001E-3</v>
      </c>
      <c r="N9" s="148">
        <f t="shared" ca="1" si="6"/>
        <v>168518.67541184515</v>
      </c>
      <c r="O9" s="156">
        <f t="shared" ca="1" si="7"/>
        <v>6665.3804803299345</v>
      </c>
      <c r="P9" s="157">
        <f t="shared" ca="1" si="8"/>
        <v>918.78815138249502</v>
      </c>
      <c r="Q9" s="156">
        <f t="shared" ca="1" si="9"/>
        <v>7584.1686317124295</v>
      </c>
      <c r="R9" s="182">
        <f t="shared" ca="1" si="10"/>
        <v>-2666152.1921319738</v>
      </c>
      <c r="S9" s="199">
        <f ca="1">+R9*$S$1</f>
        <v>-106646.08768527895</v>
      </c>
      <c r="T9" s="244">
        <f ca="1">+$T$1*K9</f>
        <v>-112245.69574934395</v>
      </c>
      <c r="U9" s="241">
        <f t="shared" ca="1" si="11"/>
        <v>-211307.61480291048</v>
      </c>
      <c r="V9" s="190">
        <f t="shared" ca="1" si="0"/>
        <v>-42788.939391065331</v>
      </c>
      <c r="X9" s="121"/>
      <c r="Z9" s="121"/>
      <c r="AA9" s="121"/>
      <c r="AB9" s="121"/>
    </row>
    <row r="10" spans="1:28" s="124" customFormat="1" ht="15" x14ac:dyDescent="0.25">
      <c r="A10" s="125">
        <v>36739</v>
      </c>
      <c r="B10" s="144">
        <f>+'GD Options'!M8</f>
        <v>6.3820029255873018E-2</v>
      </c>
      <c r="C10" s="216">
        <f t="shared" ca="1" si="1"/>
        <v>0.97318997185407885</v>
      </c>
      <c r="D10" s="131">
        <f>IF($D$24,-'Deal Volumes'!D25-'Deal Volumes'!H25,'Model - Term'!$D$25)</f>
        <v>-87885.446698262007</v>
      </c>
      <c r="E10" s="220">
        <f>IF($D$24=1,-'Deal Volumes'!F25-'Deal Volumes'!J25-'Deal Volumes'!L25,'Model - Term'!$D$26)</f>
        <v>-12114.553301737989</v>
      </c>
      <c r="F10" s="132">
        <f>+(D10)*'Deal Volumes'!B25</f>
        <v>-2724448.8476461223</v>
      </c>
      <c r="G10" s="220">
        <f>+E10*'Deal Volumes'!B25</f>
        <v>-375551.15235387767</v>
      </c>
      <c r="H10" s="220">
        <f t="shared" si="2"/>
        <v>-3100000</v>
      </c>
      <c r="I10" s="131">
        <f t="shared" ca="1" si="3"/>
        <v>-2651406.2973586074</v>
      </c>
      <c r="J10" s="132">
        <f t="shared" ca="1" si="4"/>
        <v>-365482.61538903706</v>
      </c>
      <c r="K10" s="133">
        <f t="shared" ca="1" si="5"/>
        <v>-3016888.9127476444</v>
      </c>
      <c r="L10" s="139">
        <f>+Curves!C5</f>
        <v>0</v>
      </c>
      <c r="M10" s="140">
        <f>+Curves!E5</f>
        <v>-5.0000000000000001E-3</v>
      </c>
      <c r="N10" s="148">
        <f t="shared" ca="1" si="6"/>
        <v>167586.63609979706</v>
      </c>
      <c r="O10" s="156">
        <f t="shared" ca="1" si="7"/>
        <v>6628.5157433965187</v>
      </c>
      <c r="P10" s="157">
        <f t="shared" ca="1" si="8"/>
        <v>913.70653847259257</v>
      </c>
      <c r="Q10" s="156">
        <f t="shared" ca="1" si="9"/>
        <v>7542.2222818691116</v>
      </c>
      <c r="R10" s="182">
        <f t="shared" ca="1" si="10"/>
        <v>-2651406.2973586074</v>
      </c>
      <c r="S10" s="199">
        <f ca="1">+R10*$S$1</f>
        <v>-106056.2518943443</v>
      </c>
      <c r="T10" s="244">
        <f ca="1">+$T$1*K10</f>
        <v>-111624.88977166284</v>
      </c>
      <c r="U10" s="241">
        <f t="shared" ca="1" si="11"/>
        <v>-210138.91938413802</v>
      </c>
      <c r="V10" s="190">
        <f t="shared" ca="1" si="0"/>
        <v>-42552.283284340956</v>
      </c>
      <c r="X10" s="121"/>
      <c r="Y10" s="121"/>
      <c r="Z10" s="121"/>
      <c r="AA10" s="121"/>
      <c r="AB10" s="121"/>
    </row>
    <row r="11" spans="1:28" s="124" customFormat="1" ht="15" x14ac:dyDescent="0.25">
      <c r="A11" s="125">
        <v>36770</v>
      </c>
      <c r="B11" s="144">
        <f>+'GD Options'!M9</f>
        <v>6.4455430326432014E-2</v>
      </c>
      <c r="C11" s="216">
        <f t="shared" ca="1" si="1"/>
        <v>0.96770640203074887</v>
      </c>
      <c r="D11" s="131">
        <f>IF($D$24,-'Deal Volumes'!D26-'Deal Volumes'!H26,'Model - Term'!$D$25)</f>
        <v>-87885.446698262007</v>
      </c>
      <c r="E11" s="220">
        <f>IF($D$24=1,-'Deal Volumes'!F26-'Deal Volumes'!J26-'Deal Volumes'!L26,'Model - Term'!$D$26)</f>
        <v>-12114.553301737989</v>
      </c>
      <c r="F11" s="132">
        <f>+(D11)*'Deal Volumes'!B26</f>
        <v>-2636563.4009478604</v>
      </c>
      <c r="G11" s="220">
        <f>+E11*'Deal Volumes'!B26</f>
        <v>-363436.59905213967</v>
      </c>
      <c r="H11" s="220">
        <f t="shared" si="2"/>
        <v>-3000000</v>
      </c>
      <c r="I11" s="131">
        <f t="shared" ca="1" si="3"/>
        <v>-2551419.2824572087</v>
      </c>
      <c r="J11" s="132">
        <f t="shared" ca="1" si="4"/>
        <v>-351699.92363503797</v>
      </c>
      <c r="K11" s="133">
        <f t="shared" ca="1" si="5"/>
        <v>-2903119.2060922468</v>
      </c>
      <c r="L11" s="139">
        <f>+Curves!C6</f>
        <v>0</v>
      </c>
      <c r="M11" s="140">
        <f>+Curves!E6</f>
        <v>-5.0000000000000001E-3</v>
      </c>
      <c r="N11" s="148">
        <f t="shared" ca="1" si="6"/>
        <v>161266.78708319069</v>
      </c>
      <c r="O11" s="156">
        <f t="shared" ca="1" si="7"/>
        <v>6378.5482061430221</v>
      </c>
      <c r="P11" s="157">
        <f t="shared" ca="1" si="8"/>
        <v>879.24980908759483</v>
      </c>
      <c r="Q11" s="156">
        <f t="shared" ca="1" si="9"/>
        <v>7257.7980152306172</v>
      </c>
      <c r="R11" s="182">
        <f t="shared" ca="1" si="10"/>
        <v>-2551419.2824572087</v>
      </c>
      <c r="S11" s="199">
        <f ca="1">+R11*$S$1</f>
        <v>-102056.77129828835</v>
      </c>
      <c r="T11" s="244">
        <f ca="1">+$T$1*K11</f>
        <v>-107415.41062541313</v>
      </c>
      <c r="U11" s="241">
        <f t="shared" ca="1" si="11"/>
        <v>-202214.38390847086</v>
      </c>
      <c r="V11" s="190">
        <f t="shared" ca="1" si="0"/>
        <v>-40947.596825280169</v>
      </c>
      <c r="X11" s="121"/>
      <c r="Y11" s="121"/>
      <c r="AA11" s="121"/>
      <c r="AB11" s="121"/>
    </row>
    <row r="12" spans="1:28" s="124" customFormat="1" ht="15" x14ac:dyDescent="0.25">
      <c r="A12" s="125">
        <v>36800</v>
      </c>
      <c r="B12" s="144">
        <f>+'GD Options'!M10</f>
        <v>6.5038264108629021E-2</v>
      </c>
      <c r="C12" s="216">
        <f t="shared" ca="1" si="1"/>
        <v>0.96235140807627406</v>
      </c>
      <c r="D12" s="131">
        <f>IF($D$24,-'Deal Volumes'!D27-'Deal Volumes'!H27,'Model - Term'!$D$25)</f>
        <v>-39548.451014217906</v>
      </c>
      <c r="E12" s="220">
        <f>IF($D$24=1,-'Deal Volumes'!F27-'Deal Volumes'!J27-'Deal Volumes'!L27,'Model - Term'!$D$26)</f>
        <v>-5451.5489857820967</v>
      </c>
      <c r="F12" s="132">
        <f>+(D12)*'Deal Volumes'!B27</f>
        <v>-1226001.9814407551</v>
      </c>
      <c r="G12" s="220">
        <f>+E12*'Deal Volumes'!B27</f>
        <v>-168998.01855924499</v>
      </c>
      <c r="H12" s="220">
        <f t="shared" si="2"/>
        <v>-1395000</v>
      </c>
      <c r="I12" s="131">
        <f t="shared" ca="1" si="3"/>
        <v>-1179844.7331438127</v>
      </c>
      <c r="J12" s="132">
        <f t="shared" ca="1" si="4"/>
        <v>-162635.4811225897</v>
      </c>
      <c r="K12" s="133">
        <f t="shared" ca="1" si="5"/>
        <v>-1342480.2142664024</v>
      </c>
      <c r="L12" s="139">
        <f>+Curves!C7</f>
        <v>-5.0000000000000001E-3</v>
      </c>
      <c r="M12" s="140">
        <f>+Curves!E7</f>
        <v>-5.0000000000000001E-3</v>
      </c>
      <c r="N12" s="148">
        <f t="shared" ca="1" si="6"/>
        <v>80473.312949814732</v>
      </c>
      <c r="O12" s="156">
        <f t="shared" ca="1" si="7"/>
        <v>-2949.6118328595321</v>
      </c>
      <c r="P12" s="157">
        <f t="shared" ca="1" si="8"/>
        <v>406.5887028064742</v>
      </c>
      <c r="Q12" s="156">
        <f t="shared" ca="1" si="9"/>
        <v>-2543.0231300530577</v>
      </c>
      <c r="R12" s="182">
        <f t="shared" ca="1" si="10"/>
        <v>-1179844.7331438127</v>
      </c>
      <c r="S12" s="199">
        <f ca="1">+R12*$S$2</f>
        <v>0</v>
      </c>
      <c r="T12" s="244">
        <f ca="1">+$T$2*K12</f>
        <v>-49671.76792785689</v>
      </c>
      <c r="U12" s="241">
        <f t="shared" ca="1" si="11"/>
        <v>-52214.791057909948</v>
      </c>
      <c r="V12" s="190">
        <f t="shared" ca="1" si="0"/>
        <v>28258.521891904784</v>
      </c>
      <c r="X12" s="121"/>
      <c r="Y12" s="121"/>
      <c r="Z12" s="121"/>
      <c r="AA12" s="121"/>
      <c r="AB12" s="121"/>
    </row>
    <row r="13" spans="1:28" s="124" customFormat="1" ht="15" x14ac:dyDescent="0.25">
      <c r="A13" s="125">
        <v>36831</v>
      </c>
      <c r="B13" s="144">
        <f>+'GD Options'!M11</f>
        <v>6.5581038241004003E-2</v>
      </c>
      <c r="C13" s="216">
        <f t="shared" ca="1" si="1"/>
        <v>0.95679365232559477</v>
      </c>
      <c r="D13" s="131">
        <f>IF($D$24,-'Deal Volumes'!D28-'Deal Volumes'!H28,'Model - Term'!$D$25)</f>
        <v>-39548.451014217906</v>
      </c>
      <c r="E13" s="220">
        <f>IF($D$24=1,-'Deal Volumes'!F28-'Deal Volumes'!J28-'Deal Volumes'!L28,'Model - Term'!$D$26)</f>
        <v>-5451.5489857820967</v>
      </c>
      <c r="F13" s="132">
        <f>+(D13)*'Deal Volumes'!B28</f>
        <v>-1186453.5304265372</v>
      </c>
      <c r="G13" s="220">
        <f>+E13*'Deal Volumes'!B28</f>
        <v>-163546.46957346291</v>
      </c>
      <c r="H13" s="220">
        <f t="shared" si="2"/>
        <v>-1350000</v>
      </c>
      <c r="I13" s="131">
        <f t="shared" ca="1" si="3"/>
        <v>-1135191.2066914027</v>
      </c>
      <c r="J13" s="132">
        <f t="shared" ca="1" si="4"/>
        <v>-156480.22394815032</v>
      </c>
      <c r="K13" s="133">
        <f t="shared" ca="1" si="5"/>
        <v>-1291671.4306395531</v>
      </c>
      <c r="L13" s="139">
        <f>+Curves!C8</f>
        <v>-5.0000000000000001E-3</v>
      </c>
      <c r="M13" s="140">
        <f>+Curves!E8</f>
        <v>-5.0000000000000001E-3</v>
      </c>
      <c r="N13" s="148">
        <f t="shared" ca="1" si="6"/>
        <v>77427.643373494633</v>
      </c>
      <c r="O13" s="156">
        <f t="shared" ca="1" si="7"/>
        <v>-2837.9780167285066</v>
      </c>
      <c r="P13" s="157">
        <f t="shared" ca="1" si="8"/>
        <v>391.20055987037574</v>
      </c>
      <c r="Q13" s="156">
        <f t="shared" ca="1" si="9"/>
        <v>-2446.7774568581308</v>
      </c>
      <c r="R13" s="182">
        <f t="shared" ca="1" si="10"/>
        <v>-1135191.2066914027</v>
      </c>
      <c r="S13" s="199">
        <f t="shared" ref="S13:S18" ca="1" si="12">+R13*$S$2</f>
        <v>0</v>
      </c>
      <c r="T13" s="244">
        <f t="shared" ref="T13:T18" ca="1" si="13">+$T$2*K13</f>
        <v>-47791.842933663465</v>
      </c>
      <c r="U13" s="241">
        <f t="shared" ca="1" si="11"/>
        <v>-50238.620390521595</v>
      </c>
      <c r="V13" s="190">
        <f t="shared" ca="1" si="0"/>
        <v>27189.022982973038</v>
      </c>
      <c r="X13" s="121"/>
      <c r="Y13" s="121"/>
      <c r="Z13" s="121"/>
      <c r="AA13" s="121"/>
      <c r="AB13" s="121"/>
    </row>
    <row r="14" spans="1:28" s="124" customFormat="1" ht="15" x14ac:dyDescent="0.25">
      <c r="A14" s="125">
        <v>36861</v>
      </c>
      <c r="B14" s="144">
        <f>+'GD Options'!M12</f>
        <v>6.6106303623349016E-2</v>
      </c>
      <c r="C14" s="216">
        <f t="shared" ca="1" si="1"/>
        <v>0.95136501558660203</v>
      </c>
      <c r="D14" s="131">
        <f>IF($D$24,-'Deal Volumes'!D29-'Deal Volumes'!H29,'Model - Term'!$D$25)</f>
        <v>-39548.451014217906</v>
      </c>
      <c r="E14" s="220">
        <f>IF($D$24=1,-'Deal Volumes'!F29-'Deal Volumes'!J29-'Deal Volumes'!L29,'Model - Term'!$D$26)</f>
        <v>-5451.5489857820967</v>
      </c>
      <c r="F14" s="132">
        <f>+(D14)*'Deal Volumes'!B29</f>
        <v>-1226001.9814407551</v>
      </c>
      <c r="G14" s="220">
        <f>+E14*'Deal Volumes'!B29</f>
        <v>-168998.01855924499</v>
      </c>
      <c r="H14" s="220">
        <f t="shared" si="2"/>
        <v>-1395000</v>
      </c>
      <c r="I14" s="131">
        <f t="shared" ca="1" si="3"/>
        <v>-1166375.3941825889</v>
      </c>
      <c r="J14" s="132">
        <f t="shared" ca="1" si="4"/>
        <v>-160778.80256072097</v>
      </c>
      <c r="K14" s="133">
        <f t="shared" ca="1" si="5"/>
        <v>-1327154.19674331</v>
      </c>
      <c r="L14" s="139">
        <f>+Curves!C9</f>
        <v>0</v>
      </c>
      <c r="M14" s="140">
        <f>+Curves!E9</f>
        <v>-5.0000000000000001E-3</v>
      </c>
      <c r="N14" s="148">
        <f t="shared" ca="1" si="6"/>
        <v>73722.73684925829</v>
      </c>
      <c r="O14" s="156">
        <f t="shared" ca="1" si="7"/>
        <v>2915.9384854564723</v>
      </c>
      <c r="P14" s="157">
        <f t="shared" ca="1" si="8"/>
        <v>401.94700640180235</v>
      </c>
      <c r="Q14" s="156">
        <f ca="1">SUM(O14:P14)</f>
        <v>3317.8854918582747</v>
      </c>
      <c r="R14" s="182">
        <f t="shared" ca="1" si="10"/>
        <v>-1166375.3941825889</v>
      </c>
      <c r="S14" s="199">
        <f t="shared" ca="1" si="12"/>
        <v>0</v>
      </c>
      <c r="T14" s="244">
        <f t="shared" ca="1" si="13"/>
        <v>-49104.705279502465</v>
      </c>
      <c r="U14" s="241">
        <f t="shared" ca="1" si="11"/>
        <v>-45786.819787644192</v>
      </c>
      <c r="V14" s="190">
        <f t="shared" ca="1" si="0"/>
        <v>27935.917061614098</v>
      </c>
      <c r="X14" s="121"/>
      <c r="Y14" s="121"/>
      <c r="Z14" s="121"/>
      <c r="AA14" s="121"/>
      <c r="AB14" s="121"/>
    </row>
    <row r="15" spans="1:28" s="124" customFormat="1" ht="15" x14ac:dyDescent="0.25">
      <c r="A15" s="125">
        <v>36892</v>
      </c>
      <c r="B15" s="144">
        <f>+'GD Options'!M13</f>
        <v>6.6621997418108009E-2</v>
      </c>
      <c r="C15" s="216">
        <f t="shared" ca="1" si="1"/>
        <v>0.9457259953501691</v>
      </c>
      <c r="D15" s="131">
        <f>IF($D$24,-'Deal Volumes'!D30-'Deal Volumes'!H30,'Model - Term'!$D$25)</f>
        <v>-39548.451014217906</v>
      </c>
      <c r="E15" s="220">
        <f>IF($D$24=1,-'Deal Volumes'!F30-'Deal Volumes'!J30-'Deal Volumes'!L30,'Model - Term'!$D$26)</f>
        <v>-5451.5489857820967</v>
      </c>
      <c r="F15" s="132">
        <f>+(D15)*'Deal Volumes'!B30</f>
        <v>-1226001.9814407551</v>
      </c>
      <c r="G15" s="220">
        <f>+E15*'Deal Volumes'!B30</f>
        <v>-168998.01855924499</v>
      </c>
      <c r="H15" s="220">
        <f t="shared" si="2"/>
        <v>-1395000</v>
      </c>
      <c r="I15" s="131">
        <f t="shared" ca="1" si="3"/>
        <v>-1159461.9441993376</v>
      </c>
      <c r="J15" s="132">
        <f t="shared" ca="1" si="4"/>
        <v>-159825.81931414831</v>
      </c>
      <c r="K15" s="133">
        <f t="shared" ca="1" si="5"/>
        <v>-1319287.7635134859</v>
      </c>
      <c r="L15" s="139">
        <f>+Curves!C10</f>
        <v>0</v>
      </c>
      <c r="M15" s="140">
        <f>+Curves!E10</f>
        <v>-5.0000000000000001E-3</v>
      </c>
      <c r="N15" s="148">
        <f t="shared" ca="1" si="6"/>
        <v>73285.760506669263</v>
      </c>
      <c r="O15" s="156">
        <f t="shared" ca="1" si="7"/>
        <v>2898.6548604983441</v>
      </c>
      <c r="P15" s="157">
        <f t="shared" ca="1" si="8"/>
        <v>399.56454828537068</v>
      </c>
      <c r="Q15" s="156">
        <f t="shared" ca="1" si="9"/>
        <v>3298.2194087837147</v>
      </c>
      <c r="R15" s="182">
        <f t="shared" ca="1" si="10"/>
        <v>-1159461.9441993376</v>
      </c>
      <c r="S15" s="199">
        <f t="shared" ca="1" si="12"/>
        <v>0</v>
      </c>
      <c r="T15" s="244">
        <f t="shared" ca="1" si="13"/>
        <v>-48813.647249998976</v>
      </c>
      <c r="U15" s="241">
        <f t="shared" ca="1" si="11"/>
        <v>-45515.427841215263</v>
      </c>
      <c r="V15" s="190">
        <f t="shared" ca="1" si="0"/>
        <v>27770.332665454</v>
      </c>
      <c r="X15" s="121"/>
      <c r="Y15" s="121"/>
      <c r="Z15" s="121"/>
      <c r="AA15" s="121"/>
      <c r="AB15" s="121"/>
    </row>
    <row r="16" spans="1:28" s="124" customFormat="1" ht="15" x14ac:dyDescent="0.25">
      <c r="A16" s="125">
        <v>36923</v>
      </c>
      <c r="B16" s="144">
        <f>+'GD Options'!M14</f>
        <v>6.7094813788782015E-2</v>
      </c>
      <c r="C16" s="216">
        <f t="shared" ca="1" si="1"/>
        <v>0.9400773757669777</v>
      </c>
      <c r="D16" s="131">
        <f>IF($D$24,-'Deal Volumes'!D31-'Deal Volumes'!H31,'Model - Term'!$D$25)</f>
        <v>-39548.451014217906</v>
      </c>
      <c r="E16" s="220">
        <f>IF($D$24=1,-'Deal Volumes'!F31-'Deal Volumes'!J31-'Deal Volumes'!L31,'Model - Term'!$D$26)</f>
        <v>-5451.5489857820958</v>
      </c>
      <c r="F16" s="132">
        <f>+(D16)*'Deal Volumes'!B31</f>
        <v>-1107356.6283981013</v>
      </c>
      <c r="G16" s="220">
        <f>+E16*'Deal Volumes'!B31</f>
        <v>-152643.37160189869</v>
      </c>
      <c r="H16" s="220">
        <f t="shared" si="2"/>
        <v>-1260000</v>
      </c>
      <c r="I16" s="131">
        <f t="shared" ca="1" si="3"/>
        <v>-1041000.9132626554</v>
      </c>
      <c r="J16" s="132">
        <f t="shared" ca="1" si="4"/>
        <v>-143496.58020373652</v>
      </c>
      <c r="K16" s="133">
        <f t="shared" ca="1" si="5"/>
        <v>-1184497.4934663919</v>
      </c>
      <c r="L16" s="139">
        <f>+Curves!C11</f>
        <v>0</v>
      </c>
      <c r="M16" s="140">
        <f>+Curves!E11</f>
        <v>-5.0000000000000001E-3</v>
      </c>
      <c r="N16" s="148">
        <f t="shared" ca="1" si="6"/>
        <v>65798.229944729334</v>
      </c>
      <c r="O16" s="156">
        <f t="shared" ca="1" si="7"/>
        <v>2602.5022831566384</v>
      </c>
      <c r="P16" s="157">
        <f t="shared" ca="1" si="8"/>
        <v>358.74145050934123</v>
      </c>
      <c r="Q16" s="156">
        <f t="shared" ca="1" si="9"/>
        <v>2961.2437336659796</v>
      </c>
      <c r="R16" s="182">
        <f t="shared" ca="1" si="10"/>
        <v>-1041000.9132626554</v>
      </c>
      <c r="S16" s="199">
        <f t="shared" ca="1" si="12"/>
        <v>0</v>
      </c>
      <c r="T16" s="244">
        <f t="shared" ca="1" si="13"/>
        <v>-43826.407258256499</v>
      </c>
      <c r="U16" s="241">
        <f t="shared" ca="1" si="11"/>
        <v>-40865.16352459052</v>
      </c>
      <c r="V16" s="190">
        <f t="shared" ca="1" si="0"/>
        <v>24933.066420138814</v>
      </c>
      <c r="X16" s="121"/>
      <c r="Y16" s="121"/>
      <c r="Z16" s="121"/>
      <c r="AA16" s="121"/>
      <c r="AB16" s="121"/>
    </row>
    <row r="17" spans="1:28" s="124" customFormat="1" ht="15" x14ac:dyDescent="0.25">
      <c r="A17" s="125">
        <v>36951</v>
      </c>
      <c r="B17" s="144">
        <f>+'GD Options'!M15</f>
        <v>6.7521873800113E-2</v>
      </c>
      <c r="C17" s="216">
        <f t="shared" ca="1" si="1"/>
        <v>0.93494207390184114</v>
      </c>
      <c r="D17" s="131">
        <f>IF($D$24,-'Deal Volumes'!D32-'Deal Volumes'!H32,'Model - Term'!$D$25)</f>
        <v>-39548.451014217906</v>
      </c>
      <c r="E17" s="220">
        <f>IF($D$24=1,-'Deal Volumes'!F32-'Deal Volumes'!J32-'Deal Volumes'!L32,'Model - Term'!$D$26)</f>
        <v>-5451.5489857820967</v>
      </c>
      <c r="F17" s="132">
        <f>+(D17)*'Deal Volumes'!B32</f>
        <v>-1226001.9814407551</v>
      </c>
      <c r="G17" s="220">
        <f>+E17*'Deal Volumes'!B32</f>
        <v>-168998.01855924499</v>
      </c>
      <c r="H17" s="220">
        <f t="shared" si="2"/>
        <v>-1395000</v>
      </c>
      <c r="I17" s="131">
        <f t="shared" ca="1" si="3"/>
        <v>-1146240.8351359861</v>
      </c>
      <c r="J17" s="132">
        <f t="shared" ca="1" si="4"/>
        <v>-158003.35795708233</v>
      </c>
      <c r="K17" s="133">
        <f t="shared" ca="1" si="5"/>
        <v>-1304244.1930930684</v>
      </c>
      <c r="L17" s="139">
        <f>+Curves!C12</f>
        <v>0</v>
      </c>
      <c r="M17" s="140">
        <f>+Curves!E12</f>
        <v>-5.0000000000000001E-3</v>
      </c>
      <c r="N17" s="148">
        <f t="shared" ca="1" si="6"/>
        <v>72450.09786392645</v>
      </c>
      <c r="O17" s="156">
        <f t="shared" ca="1" si="7"/>
        <v>2865.6020878399654</v>
      </c>
      <c r="P17" s="157">
        <f t="shared" ca="1" si="8"/>
        <v>395.00839489270578</v>
      </c>
      <c r="Q17" s="156">
        <f t="shared" ca="1" si="9"/>
        <v>3260.6104827326712</v>
      </c>
      <c r="R17" s="182">
        <f t="shared" ca="1" si="10"/>
        <v>-1146240.8351359861</v>
      </c>
      <c r="S17" s="199">
        <f t="shared" ca="1" si="12"/>
        <v>0</v>
      </c>
      <c r="T17" s="244">
        <f t="shared" ca="1" si="13"/>
        <v>-48257.035144443529</v>
      </c>
      <c r="U17" s="241">
        <f t="shared" ca="1" si="11"/>
        <v>-44996.424661710858</v>
      </c>
      <c r="V17" s="190">
        <f t="shared" ca="1" si="0"/>
        <v>27453.673202215592</v>
      </c>
      <c r="X17" s="121"/>
      <c r="Y17" s="121"/>
      <c r="Z17" s="121"/>
      <c r="AA17" s="121"/>
      <c r="AB17" s="121"/>
    </row>
    <row r="18" spans="1:28" s="124" customFormat="1" ht="15" x14ac:dyDescent="0.25">
      <c r="A18" s="125">
        <v>36982</v>
      </c>
      <c r="B18" s="145">
        <f>+'GD Options'!M16</f>
        <v>6.7953558026680017E-2</v>
      </c>
      <c r="C18" s="217">
        <f t="shared" ca="1" si="1"/>
        <v>0.92926129987404704</v>
      </c>
      <c r="D18" s="134">
        <f>IF($D$24,-'Deal Volumes'!D33-'Deal Volumes'!H33,'Model - Term'!$D$25)</f>
        <v>-39548.451014217906</v>
      </c>
      <c r="E18" s="221">
        <f>IF($D$24=1,-'Deal Volumes'!F33-'Deal Volumes'!J33-'Deal Volumes'!L33,'Model - Term'!$D$26)</f>
        <v>-5451.5489857820967</v>
      </c>
      <c r="F18" s="135">
        <f>+(D18)*'Deal Volumes'!B33</f>
        <v>-1186453.5304265372</v>
      </c>
      <c r="G18" s="221">
        <f>+E18*'Deal Volumes'!B33</f>
        <v>-163546.46957346291</v>
      </c>
      <c r="H18" s="221">
        <f t="shared" si="2"/>
        <v>-1350000</v>
      </c>
      <c r="I18" s="134">
        <f t="shared" ca="1" si="3"/>
        <v>-1102525.3499243162</v>
      </c>
      <c r="J18" s="135">
        <f t="shared" ca="1" si="4"/>
        <v>-151977.40490564742</v>
      </c>
      <c r="K18" s="136">
        <f t="shared" ca="1" si="5"/>
        <v>-1254502.7548299637</v>
      </c>
      <c r="L18" s="141">
        <f>+Curves!C13</f>
        <v>-5.0000000000000001E-3</v>
      </c>
      <c r="M18" s="142">
        <f>+Curves!E13</f>
        <v>-5.0000000000000001E-3</v>
      </c>
      <c r="N18" s="149">
        <f t="shared" ca="1" si="6"/>
        <v>75199.613158546708</v>
      </c>
      <c r="O18" s="158">
        <f t="shared" ca="1" si="7"/>
        <v>-2756.3133748107903</v>
      </c>
      <c r="P18" s="159">
        <f t="shared" ca="1" si="8"/>
        <v>379.94351226411851</v>
      </c>
      <c r="Q18" s="158">
        <f t="shared" ca="1" si="9"/>
        <v>-2376.3698625466718</v>
      </c>
      <c r="R18" s="183">
        <f t="shared" ca="1" si="10"/>
        <v>-1102525.3499243162</v>
      </c>
      <c r="S18" s="200">
        <f t="shared" ca="1" si="12"/>
        <v>0</v>
      </c>
      <c r="T18" s="245">
        <f t="shared" ca="1" si="13"/>
        <v>-46416.601928708653</v>
      </c>
      <c r="U18" s="242">
        <f t="shared" ca="1" si="11"/>
        <v>-48792.971791255324</v>
      </c>
      <c r="V18" s="191">
        <f t="shared" ca="1" si="0"/>
        <v>26406.641367291384</v>
      </c>
      <c r="X18" s="121"/>
      <c r="Y18" s="121"/>
      <c r="Z18" s="121"/>
      <c r="AA18" s="121"/>
      <c r="AB18" s="121"/>
    </row>
    <row r="19" spans="1:28" s="124" customFormat="1" x14ac:dyDescent="0.25">
      <c r="R19" s="161"/>
      <c r="X19" s="121"/>
      <c r="Y19" s="121"/>
      <c r="Z19" s="121"/>
      <c r="AA19" s="121"/>
      <c r="AB19" s="121"/>
    </row>
    <row r="20" spans="1:28" s="176" customFormat="1" ht="17.399999999999999" x14ac:dyDescent="0.3">
      <c r="A20" s="173" t="s">
        <v>6</v>
      </c>
      <c r="B20" s="174"/>
      <c r="C20" s="174"/>
      <c r="D20" s="174"/>
      <c r="E20" s="174"/>
      <c r="F20" s="175">
        <f t="shared" ref="F20:K20" si="14">SUM(F7:F18)</f>
        <v>-20490491.897699788</v>
      </c>
      <c r="G20" s="175">
        <f t="shared" si="14"/>
        <v>-2824508.1023002123</v>
      </c>
      <c r="H20" s="175">
        <f t="shared" si="14"/>
        <v>-23315000</v>
      </c>
      <c r="I20" s="175">
        <f t="shared" ca="1" si="14"/>
        <v>-19766130.711188238</v>
      </c>
      <c r="J20" s="175">
        <f t="shared" ca="1" si="14"/>
        <v>-2724658.6672301195</v>
      </c>
      <c r="K20" s="175">
        <f t="shared" ca="1" si="14"/>
        <v>-22490789.378418364</v>
      </c>
      <c r="L20" s="174"/>
      <c r="M20" s="174"/>
      <c r="N20" s="172">
        <f t="shared" ref="N20:V20" ca="1" si="15">SUM(N7:N18)</f>
        <v>1286272.2162036584</v>
      </c>
      <c r="O20" s="172">
        <f t="shared" ca="1" si="15"/>
        <v>12494.957515671182</v>
      </c>
      <c r="P20" s="172">
        <f t="shared" ca="1" si="15"/>
        <v>6811.6466680752965</v>
      </c>
      <c r="Q20" s="172">
        <f t="shared" ca="1" si="15"/>
        <v>19306.60418374648</v>
      </c>
      <c r="R20" s="175">
        <f t="shared" ca="1" si="15"/>
        <v>-19766130.711188238</v>
      </c>
      <c r="S20" s="172">
        <f t="shared" ca="1" si="15"/>
        <v>-473419.61338592571</v>
      </c>
      <c r="T20" s="172">
        <f t="shared" ca="1" si="15"/>
        <v>-832159.20700147923</v>
      </c>
      <c r="U20" s="172">
        <f t="shared" ca="1" si="15"/>
        <v>-1286272.2162036584</v>
      </c>
      <c r="V20" s="180">
        <f t="shared" ca="1" si="15"/>
        <v>5.0931703299283981E-11</v>
      </c>
      <c r="X20" s="121"/>
      <c r="Y20" s="121"/>
      <c r="Z20" s="121"/>
      <c r="AA20" s="121"/>
      <c r="AB20" s="121"/>
    </row>
    <row r="21" spans="1:28" s="124" customFormat="1" ht="15" x14ac:dyDescent="0.25">
      <c r="A21" s="150" t="s">
        <v>106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2">
        <f ca="1">-N20/$K$20</f>
        <v>5.7191065843066193E-2</v>
      </c>
      <c r="O21" s="202"/>
      <c r="P21" s="202"/>
      <c r="Q21" s="202">
        <f ca="1">-Q20/$K$20</f>
        <v>8.5842270179599151E-4</v>
      </c>
      <c r="R21" s="202"/>
      <c r="S21" s="202">
        <f ca="1">-S20/$K$20</f>
        <v>-2.1049488544862195E-2</v>
      </c>
      <c r="T21" s="202">
        <f ca="1">-T20/$K$20</f>
        <v>-3.6999999999999991E-2</v>
      </c>
      <c r="U21" s="202">
        <f ca="1">-U20/$K$20</f>
        <v>-5.7191065843066193E-2</v>
      </c>
      <c r="V21" s="203">
        <f ca="1">-V20/$K$20</f>
        <v>2.2645582794953766E-18</v>
      </c>
      <c r="X21" s="121"/>
      <c r="Y21" s="121"/>
      <c r="Z21" s="121"/>
      <c r="AA21" s="121"/>
      <c r="AB21" s="121"/>
    </row>
    <row r="24" spans="1:28" ht="17.399999999999999" x14ac:dyDescent="0.3">
      <c r="C24" s="218" t="s">
        <v>113</v>
      </c>
      <c r="D24" s="237">
        <v>1</v>
      </c>
      <c r="E24" s="218" t="s">
        <v>115</v>
      </c>
      <c r="F24" s="218"/>
    </row>
    <row r="25" spans="1:28" ht="17.399999999999999" x14ac:dyDescent="0.3">
      <c r="C25" s="218" t="s">
        <v>120</v>
      </c>
      <c r="D25" s="234">
        <v>12</v>
      </c>
      <c r="E25" s="218"/>
      <c r="F25" s="218"/>
    </row>
    <row r="26" spans="1:28" ht="17.399999999999999" x14ac:dyDescent="0.3">
      <c r="C26" s="218" t="s">
        <v>63</v>
      </c>
      <c r="D26" s="235">
        <v>15</v>
      </c>
      <c r="E26" s="218"/>
      <c r="F26" s="218"/>
    </row>
    <row r="40" spans="11:11" ht="17.399999999999999" x14ac:dyDescent="0.3">
      <c r="K40" s="236"/>
    </row>
    <row r="41" spans="11:11" ht="17.399999999999999" x14ac:dyDescent="0.3">
      <c r="K41" s="236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403860</xdr:colOff>
                    <xdr:row>22</xdr:row>
                    <xdr:rowOff>144780</xdr:rowOff>
                  </from>
                  <to>
                    <xdr:col>7</xdr:col>
                    <xdr:colOff>982980</xdr:colOff>
                    <xdr:row>26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3.2" x14ac:dyDescent="0.25"/>
  <cols>
    <col min="1" max="1" width="10.88671875" style="69" bestFit="1" customWidth="1"/>
    <col min="3" max="3" width="11.88671875" style="77" customWidth="1"/>
    <col min="4" max="4" width="8.33203125" style="74" bestFit="1" customWidth="1"/>
    <col min="5" max="5" width="14.33203125" style="77" bestFit="1" customWidth="1"/>
    <col min="6" max="6" width="8.88671875" style="74" customWidth="1"/>
    <col min="7" max="7" width="14" style="77" bestFit="1" customWidth="1"/>
    <col min="8" max="8" width="9.109375" style="74" customWidth="1"/>
    <col min="9" max="9" width="9.6640625" style="77" customWidth="1"/>
    <col min="10" max="10" width="9.109375" style="74" customWidth="1"/>
    <col min="11" max="11" width="13.109375" style="77" bestFit="1" customWidth="1"/>
    <col min="12" max="12" width="9.109375" style="74" customWidth="1"/>
    <col min="14" max="14" width="12.6640625" style="77" bestFit="1" customWidth="1"/>
  </cols>
  <sheetData>
    <row r="1" spans="1:14" ht="39.6" x14ac:dyDescent="0.25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5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5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5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5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5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5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5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5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5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5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5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5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5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5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5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5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5">
      <c r="A18" s="78"/>
    </row>
    <row r="19" spans="1:14" x14ac:dyDescent="0.25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5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5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5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5">
      <c r="A23" s="78"/>
    </row>
    <row r="24" spans="1:14" x14ac:dyDescent="0.25">
      <c r="A24" s="193" t="s">
        <v>103</v>
      </c>
      <c r="B24" s="194"/>
      <c r="C24" s="195">
        <f>+SUM(C3:C6)+SUM(C16:C17)</f>
        <v>5715693</v>
      </c>
      <c r="D24" s="196">
        <f>+C24/$N$24</f>
        <v>0.3289872375911016</v>
      </c>
      <c r="E24" s="195">
        <f>+SUM(E3:E6)+SUM(E16:E17)</f>
        <v>871624</v>
      </c>
      <c r="F24" s="196">
        <f>+E24/$N$24</f>
        <v>5.0169449614964681E-2</v>
      </c>
      <c r="G24" s="195">
        <f>+SUM(G3:G6)+SUM(G16:G17)</f>
        <v>9990312</v>
      </c>
      <c r="H24" s="196">
        <f>+G24/$N$24</f>
        <v>0.57502828573074749</v>
      </c>
      <c r="I24" s="195">
        <f>+SUM(I3:I6)+SUM(I16:I17)</f>
        <v>555088</v>
      </c>
      <c r="J24" s="196">
        <f>+I24/$N$24</f>
        <v>3.1950083347718185E-2</v>
      </c>
      <c r="K24" s="195">
        <f>+SUM(K3:K6)+SUM(K16:K17)</f>
        <v>240884</v>
      </c>
      <c r="L24" s="196">
        <f>+K24/$N$24</f>
        <v>1.3864943715468083E-2</v>
      </c>
      <c r="M24" s="194"/>
      <c r="N24" s="197">
        <f>+SUM(N3:N6)+SUM(N16:N17)</f>
        <v>17373601</v>
      </c>
    </row>
    <row r="25" spans="1:14" x14ac:dyDescent="0.25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5">
      <c r="A26" s="78"/>
    </row>
    <row r="27" spans="1:14" x14ac:dyDescent="0.25">
      <c r="A27" s="78"/>
    </row>
    <row r="28" spans="1:14" x14ac:dyDescent="0.25">
      <c r="A28" s="78"/>
    </row>
    <row r="29" spans="1:14" x14ac:dyDescent="0.25">
      <c r="A29" s="78"/>
    </row>
    <row r="30" spans="1:14" x14ac:dyDescent="0.25">
      <c r="A30" s="78"/>
    </row>
    <row r="31" spans="1:14" x14ac:dyDescent="0.25">
      <c r="A31" s="78"/>
    </row>
    <row r="32" spans="1:14" x14ac:dyDescent="0.25">
      <c r="A32" s="78"/>
    </row>
    <row r="33" spans="1:1" x14ac:dyDescent="0.25">
      <c r="A33" s="78"/>
    </row>
    <row r="34" spans="1:1" x14ac:dyDescent="0.25">
      <c r="A34" s="78"/>
    </row>
    <row r="35" spans="1:1" x14ac:dyDescent="0.25">
      <c r="A35" s="78"/>
    </row>
    <row r="36" spans="1:1" x14ac:dyDescent="0.25">
      <c r="A36" s="78"/>
    </row>
    <row r="37" spans="1:1" x14ac:dyDescent="0.25">
      <c r="A37" s="78"/>
    </row>
    <row r="38" spans="1:1" x14ac:dyDescent="0.25">
      <c r="A38" s="78"/>
    </row>
    <row r="39" spans="1:1" x14ac:dyDescent="0.25">
      <c r="A39" s="78"/>
    </row>
    <row r="40" spans="1:1" x14ac:dyDescent="0.25">
      <c r="A40" s="78"/>
    </row>
    <row r="41" spans="1:1" x14ac:dyDescent="0.25">
      <c r="A41" s="78"/>
    </row>
    <row r="42" spans="1:1" x14ac:dyDescent="0.25">
      <c r="A42" s="78"/>
    </row>
    <row r="43" spans="1:1" x14ac:dyDescent="0.25">
      <c r="A43" s="78"/>
    </row>
    <row r="44" spans="1:1" x14ac:dyDescent="0.25">
      <c r="A44" s="78"/>
    </row>
    <row r="45" spans="1:1" x14ac:dyDescent="0.25">
      <c r="A45" s="78"/>
    </row>
    <row r="46" spans="1:1" x14ac:dyDescent="0.25">
      <c r="A46" s="78"/>
    </row>
    <row r="47" spans="1:1" x14ac:dyDescent="0.25">
      <c r="A47" s="78"/>
    </row>
    <row r="48" spans="1:1" x14ac:dyDescent="0.25">
      <c r="A48" s="78"/>
    </row>
    <row r="49" spans="1:1" x14ac:dyDescent="0.25">
      <c r="A49" s="78"/>
    </row>
    <row r="50" spans="1:1" x14ac:dyDescent="0.25">
      <c r="A50" s="78"/>
    </row>
    <row r="51" spans="1:1" x14ac:dyDescent="0.25">
      <c r="A51" s="78"/>
    </row>
    <row r="52" spans="1:1" x14ac:dyDescent="0.25">
      <c r="A52" s="78"/>
    </row>
    <row r="53" spans="1:1" x14ac:dyDescent="0.25">
      <c r="A53" s="78"/>
    </row>
    <row r="54" spans="1:1" x14ac:dyDescent="0.25">
      <c r="A54" s="78"/>
    </row>
    <row r="55" spans="1:1" x14ac:dyDescent="0.25">
      <c r="A55" s="78"/>
    </row>
    <row r="56" spans="1:1" x14ac:dyDescent="0.25">
      <c r="A56" s="78"/>
    </row>
    <row r="57" spans="1:1" x14ac:dyDescent="0.25">
      <c r="A57" s="78"/>
    </row>
    <row r="58" spans="1:1" x14ac:dyDescent="0.25">
      <c r="A58" s="78"/>
    </row>
    <row r="59" spans="1:1" x14ac:dyDescent="0.25">
      <c r="A59" s="78"/>
    </row>
    <row r="60" spans="1:1" x14ac:dyDescent="0.25">
      <c r="A60" s="78"/>
    </row>
    <row r="61" spans="1:1" x14ac:dyDescent="0.25">
      <c r="A61" s="78"/>
    </row>
    <row r="62" spans="1:1" x14ac:dyDescent="0.25">
      <c r="A62" s="78"/>
    </row>
    <row r="63" spans="1:1" x14ac:dyDescent="0.25">
      <c r="A63" s="78"/>
    </row>
    <row r="64" spans="1:1" x14ac:dyDescent="0.25">
      <c r="A64" s="78"/>
    </row>
    <row r="65" spans="1:1" x14ac:dyDescent="0.25">
      <c r="A65" s="78"/>
    </row>
    <row r="66" spans="1:1" x14ac:dyDescent="0.25">
      <c r="A66" s="78"/>
    </row>
    <row r="67" spans="1:1" x14ac:dyDescent="0.25">
      <c r="A67" s="78"/>
    </row>
    <row r="68" spans="1:1" x14ac:dyDescent="0.25">
      <c r="A68" s="78"/>
    </row>
    <row r="69" spans="1:1" x14ac:dyDescent="0.25">
      <c r="A69" s="78"/>
    </row>
    <row r="70" spans="1:1" x14ac:dyDescent="0.25">
      <c r="A70" s="78"/>
    </row>
    <row r="71" spans="1:1" x14ac:dyDescent="0.25">
      <c r="A71" s="78"/>
    </row>
    <row r="72" spans="1:1" x14ac:dyDescent="0.25">
      <c r="A72" s="78"/>
    </row>
    <row r="73" spans="1:1" x14ac:dyDescent="0.25">
      <c r="A73" s="78"/>
    </row>
    <row r="74" spans="1:1" x14ac:dyDescent="0.25">
      <c r="A74" s="78"/>
    </row>
    <row r="75" spans="1:1" x14ac:dyDescent="0.25">
      <c r="A75" s="78"/>
    </row>
    <row r="76" spans="1:1" x14ac:dyDescent="0.25">
      <c r="A76" s="78"/>
    </row>
    <row r="77" spans="1:1" x14ac:dyDescent="0.25">
      <c r="A77" s="78"/>
    </row>
    <row r="78" spans="1:1" x14ac:dyDescent="0.25">
      <c r="A78" s="78"/>
    </row>
    <row r="79" spans="1:1" x14ac:dyDescent="0.25">
      <c r="A79" s="78"/>
    </row>
    <row r="80" spans="1:1" x14ac:dyDescent="0.25">
      <c r="A80" s="78"/>
    </row>
    <row r="81" spans="1:1" x14ac:dyDescent="0.25">
      <c r="A81" s="78"/>
    </row>
    <row r="82" spans="1:1" x14ac:dyDescent="0.25">
      <c r="A82" s="78"/>
    </row>
    <row r="83" spans="1:1" x14ac:dyDescent="0.25">
      <c r="A83" s="78"/>
    </row>
    <row r="84" spans="1:1" x14ac:dyDescent="0.25">
      <c r="A84" s="78"/>
    </row>
    <row r="85" spans="1:1" x14ac:dyDescent="0.25">
      <c r="A85" s="78"/>
    </row>
    <row r="86" spans="1:1" x14ac:dyDescent="0.25">
      <c r="A86" s="78"/>
    </row>
    <row r="87" spans="1:1" x14ac:dyDescent="0.25">
      <c r="A87" s="78"/>
    </row>
    <row r="88" spans="1:1" x14ac:dyDescent="0.25">
      <c r="A88" s="78"/>
    </row>
    <row r="89" spans="1:1" x14ac:dyDescent="0.25">
      <c r="A89" s="78"/>
    </row>
    <row r="90" spans="1:1" x14ac:dyDescent="0.25">
      <c r="A90" s="78"/>
    </row>
    <row r="91" spans="1:1" x14ac:dyDescent="0.25">
      <c r="A91" s="78"/>
    </row>
    <row r="92" spans="1:1" x14ac:dyDescent="0.25">
      <c r="A92" s="78"/>
    </row>
    <row r="93" spans="1:1" x14ac:dyDescent="0.25">
      <c r="A93" s="78"/>
    </row>
    <row r="94" spans="1:1" x14ac:dyDescent="0.25">
      <c r="A94" s="78"/>
    </row>
    <row r="95" spans="1:1" x14ac:dyDescent="0.25">
      <c r="A95" s="78"/>
    </row>
    <row r="96" spans="1:1" x14ac:dyDescent="0.25">
      <c r="A96" s="78"/>
    </row>
    <row r="97" spans="1:1" x14ac:dyDescent="0.25">
      <c r="A97" s="78"/>
    </row>
    <row r="98" spans="1:1" x14ac:dyDescent="0.25">
      <c r="A98" s="78"/>
    </row>
    <row r="99" spans="1:1" x14ac:dyDescent="0.25">
      <c r="A99" s="78"/>
    </row>
    <row r="100" spans="1:1" x14ac:dyDescent="0.25">
      <c r="A100" s="78"/>
    </row>
    <row r="101" spans="1:1" x14ac:dyDescent="0.25">
      <c r="A101" s="78"/>
    </row>
    <row r="102" spans="1:1" x14ac:dyDescent="0.25">
      <c r="A102" s="78"/>
    </row>
    <row r="103" spans="1:1" x14ac:dyDescent="0.25">
      <c r="A103" s="78"/>
    </row>
    <row r="104" spans="1:1" x14ac:dyDescent="0.25">
      <c r="A104" s="78"/>
    </row>
    <row r="105" spans="1:1" x14ac:dyDescent="0.25">
      <c r="A105" s="78"/>
    </row>
    <row r="106" spans="1:1" x14ac:dyDescent="0.25">
      <c r="A106" s="78"/>
    </row>
    <row r="107" spans="1:1" x14ac:dyDescent="0.25">
      <c r="A107" s="78"/>
    </row>
    <row r="108" spans="1:1" x14ac:dyDescent="0.25">
      <c r="A108" s="78"/>
    </row>
    <row r="109" spans="1:1" x14ac:dyDescent="0.25">
      <c r="A109" s="78"/>
    </row>
    <row r="110" spans="1:1" x14ac:dyDescent="0.25">
      <c r="A110" s="78"/>
    </row>
    <row r="111" spans="1:1" x14ac:dyDescent="0.25">
      <c r="A111" s="78"/>
    </row>
    <row r="112" spans="1:1" x14ac:dyDescent="0.25">
      <c r="A112" s="78"/>
    </row>
    <row r="113" spans="1:1" x14ac:dyDescent="0.25">
      <c r="A113" s="78"/>
    </row>
    <row r="114" spans="1:1" x14ac:dyDescent="0.25">
      <c r="A114" s="78"/>
    </row>
    <row r="115" spans="1:1" x14ac:dyDescent="0.25">
      <c r="A115" s="78"/>
    </row>
    <row r="116" spans="1:1" x14ac:dyDescent="0.25">
      <c r="A116" s="78"/>
    </row>
    <row r="117" spans="1:1" x14ac:dyDescent="0.25">
      <c r="A117" s="78"/>
    </row>
    <row r="118" spans="1:1" x14ac:dyDescent="0.25">
      <c r="A118" s="78"/>
    </row>
    <row r="119" spans="1:1" x14ac:dyDescent="0.25">
      <c r="A119" s="78"/>
    </row>
    <row r="120" spans="1:1" x14ac:dyDescent="0.25">
      <c r="A120" s="78"/>
    </row>
    <row r="121" spans="1:1" x14ac:dyDescent="0.25">
      <c r="A121" s="78"/>
    </row>
    <row r="122" spans="1:1" x14ac:dyDescent="0.25">
      <c r="A122" s="78"/>
    </row>
    <row r="123" spans="1:1" x14ac:dyDescent="0.25">
      <c r="A123" s="78"/>
    </row>
    <row r="124" spans="1:1" x14ac:dyDescent="0.25">
      <c r="A124" s="78"/>
    </row>
    <row r="125" spans="1:1" x14ac:dyDescent="0.25">
      <c r="A125" s="78"/>
    </row>
    <row r="126" spans="1:1" x14ac:dyDescent="0.25">
      <c r="A126" s="78"/>
    </row>
    <row r="127" spans="1:1" x14ac:dyDescent="0.25">
      <c r="A127" s="78"/>
    </row>
    <row r="128" spans="1:1" x14ac:dyDescent="0.25">
      <c r="A128" s="78"/>
    </row>
    <row r="129" spans="1:1" x14ac:dyDescent="0.25">
      <c r="A129" s="78"/>
    </row>
    <row r="130" spans="1:1" x14ac:dyDescent="0.25">
      <c r="A130" s="78"/>
    </row>
    <row r="131" spans="1:1" x14ac:dyDescent="0.25">
      <c r="A131" s="78"/>
    </row>
    <row r="132" spans="1:1" x14ac:dyDescent="0.25">
      <c r="A132" s="78"/>
    </row>
    <row r="133" spans="1:1" x14ac:dyDescent="0.25">
      <c r="A133" s="78"/>
    </row>
    <row r="134" spans="1:1" x14ac:dyDescent="0.25">
      <c r="A134" s="78"/>
    </row>
    <row r="135" spans="1:1" x14ac:dyDescent="0.25">
      <c r="A135" s="78"/>
    </row>
    <row r="136" spans="1:1" x14ac:dyDescent="0.25">
      <c r="A136" s="78"/>
    </row>
    <row r="137" spans="1:1" x14ac:dyDescent="0.25">
      <c r="A137" s="78"/>
    </row>
    <row r="138" spans="1:1" x14ac:dyDescent="0.25">
      <c r="A138" s="78"/>
    </row>
    <row r="139" spans="1:1" x14ac:dyDescent="0.25">
      <c r="A139" s="78"/>
    </row>
    <row r="140" spans="1:1" x14ac:dyDescent="0.25">
      <c r="A140" s="78"/>
    </row>
    <row r="141" spans="1:1" x14ac:dyDescent="0.25">
      <c r="A141" s="78"/>
    </row>
    <row r="142" spans="1:1" x14ac:dyDescent="0.25">
      <c r="A142" s="78"/>
    </row>
    <row r="143" spans="1:1" x14ac:dyDescent="0.25">
      <c r="A143" s="78"/>
    </row>
    <row r="144" spans="1:1" x14ac:dyDescent="0.25">
      <c r="A144" s="78"/>
    </row>
    <row r="145" spans="1:1" x14ac:dyDescent="0.25">
      <c r="A145" s="78"/>
    </row>
    <row r="146" spans="1:1" x14ac:dyDescent="0.25">
      <c r="A146" s="78"/>
    </row>
    <row r="147" spans="1:1" x14ac:dyDescent="0.25">
      <c r="A147" s="78"/>
    </row>
    <row r="148" spans="1:1" x14ac:dyDescent="0.25">
      <c r="A148" s="78"/>
    </row>
    <row r="149" spans="1:1" x14ac:dyDescent="0.25">
      <c r="A149" s="78"/>
    </row>
    <row r="150" spans="1:1" x14ac:dyDescent="0.25">
      <c r="A150" s="78"/>
    </row>
    <row r="151" spans="1:1" x14ac:dyDescent="0.25">
      <c r="A151" s="78"/>
    </row>
    <row r="152" spans="1:1" x14ac:dyDescent="0.25">
      <c r="A152" s="78"/>
    </row>
    <row r="153" spans="1:1" x14ac:dyDescent="0.25">
      <c r="A153" s="78"/>
    </row>
    <row r="154" spans="1:1" x14ac:dyDescent="0.25">
      <c r="A154" s="78"/>
    </row>
    <row r="155" spans="1:1" x14ac:dyDescent="0.25">
      <c r="A155" s="78"/>
    </row>
    <row r="156" spans="1:1" x14ac:dyDescent="0.25">
      <c r="A156" s="78"/>
    </row>
    <row r="157" spans="1:1" x14ac:dyDescent="0.25">
      <c r="A157" s="78"/>
    </row>
    <row r="158" spans="1:1" x14ac:dyDescent="0.25">
      <c r="A158" s="78"/>
    </row>
    <row r="159" spans="1:1" x14ac:dyDescent="0.25">
      <c r="A159" s="78"/>
    </row>
    <row r="160" spans="1:1" x14ac:dyDescent="0.25">
      <c r="A160" s="78"/>
    </row>
    <row r="161" spans="1:1" x14ac:dyDescent="0.25">
      <c r="A161" s="78"/>
    </row>
    <row r="162" spans="1:1" x14ac:dyDescent="0.25">
      <c r="A162" s="78"/>
    </row>
    <row r="163" spans="1:1" x14ac:dyDescent="0.25">
      <c r="A163" s="78"/>
    </row>
    <row r="164" spans="1:1" x14ac:dyDescent="0.25">
      <c r="A164" s="78"/>
    </row>
    <row r="165" spans="1:1" x14ac:dyDescent="0.25">
      <c r="A165" s="78"/>
    </row>
    <row r="166" spans="1:1" x14ac:dyDescent="0.25">
      <c r="A166" s="78"/>
    </row>
    <row r="167" spans="1:1" x14ac:dyDescent="0.25">
      <c r="A167" s="78"/>
    </row>
    <row r="168" spans="1:1" x14ac:dyDescent="0.25">
      <c r="A168" s="78"/>
    </row>
    <row r="169" spans="1:1" x14ac:dyDescent="0.25">
      <c r="A169" s="78"/>
    </row>
    <row r="170" spans="1:1" x14ac:dyDescent="0.25">
      <c r="A170" s="78"/>
    </row>
    <row r="171" spans="1:1" x14ac:dyDescent="0.25">
      <c r="A171" s="78"/>
    </row>
    <row r="172" spans="1:1" x14ac:dyDescent="0.25">
      <c r="A172" s="78"/>
    </row>
    <row r="173" spans="1:1" x14ac:dyDescent="0.25">
      <c r="A173" s="78"/>
    </row>
    <row r="174" spans="1:1" x14ac:dyDescent="0.25">
      <c r="A174" s="78"/>
    </row>
    <row r="175" spans="1:1" x14ac:dyDescent="0.25">
      <c r="A175" s="78"/>
    </row>
    <row r="176" spans="1:1" x14ac:dyDescent="0.25">
      <c r="A176" s="78"/>
    </row>
    <row r="177" spans="1:1" x14ac:dyDescent="0.25">
      <c r="A177" s="78"/>
    </row>
    <row r="178" spans="1:1" x14ac:dyDescent="0.25">
      <c r="A178" s="78"/>
    </row>
    <row r="179" spans="1:1" x14ac:dyDescent="0.25">
      <c r="A179" s="78"/>
    </row>
    <row r="180" spans="1:1" x14ac:dyDescent="0.25">
      <c r="A180" s="78"/>
    </row>
    <row r="181" spans="1:1" x14ac:dyDescent="0.25">
      <c r="A181" s="78"/>
    </row>
    <row r="182" spans="1:1" x14ac:dyDescent="0.25">
      <c r="A182" s="78"/>
    </row>
    <row r="183" spans="1:1" x14ac:dyDescent="0.25">
      <c r="A183" s="78"/>
    </row>
    <row r="184" spans="1:1" x14ac:dyDescent="0.25">
      <c r="A184" s="78"/>
    </row>
    <row r="185" spans="1:1" x14ac:dyDescent="0.25">
      <c r="A185" s="78"/>
    </row>
    <row r="186" spans="1:1" x14ac:dyDescent="0.25">
      <c r="A186" s="78"/>
    </row>
    <row r="187" spans="1:1" x14ac:dyDescent="0.25">
      <c r="A187" s="78"/>
    </row>
    <row r="188" spans="1:1" x14ac:dyDescent="0.25">
      <c r="A188" s="78"/>
    </row>
    <row r="189" spans="1:1" x14ac:dyDescent="0.25">
      <c r="A189" s="78"/>
    </row>
    <row r="190" spans="1:1" x14ac:dyDescent="0.25">
      <c r="A190" s="78"/>
    </row>
    <row r="191" spans="1:1" x14ac:dyDescent="0.25">
      <c r="A191" s="78"/>
    </row>
    <row r="192" spans="1:1" x14ac:dyDescent="0.25">
      <c r="A192" s="78"/>
    </row>
    <row r="193" spans="1:1" x14ac:dyDescent="0.25">
      <c r="A193" s="78"/>
    </row>
    <row r="194" spans="1:1" x14ac:dyDescent="0.25">
      <c r="A194" s="78"/>
    </row>
    <row r="195" spans="1:1" x14ac:dyDescent="0.25">
      <c r="A195" s="78"/>
    </row>
    <row r="196" spans="1:1" x14ac:dyDescent="0.25">
      <c r="A196" s="78"/>
    </row>
    <row r="197" spans="1:1" x14ac:dyDescent="0.25">
      <c r="A197" s="78"/>
    </row>
    <row r="198" spans="1:1" x14ac:dyDescent="0.25">
      <c r="A198" s="78"/>
    </row>
    <row r="199" spans="1:1" x14ac:dyDescent="0.25">
      <c r="A199" s="78"/>
    </row>
    <row r="200" spans="1:1" x14ac:dyDescent="0.25">
      <c r="A200" s="78"/>
    </row>
    <row r="201" spans="1:1" x14ac:dyDescent="0.25">
      <c r="A201" s="78"/>
    </row>
    <row r="202" spans="1:1" x14ac:dyDescent="0.25">
      <c r="A202" s="78"/>
    </row>
    <row r="203" spans="1:1" x14ac:dyDescent="0.25">
      <c r="A203" s="78"/>
    </row>
    <row r="204" spans="1:1" x14ac:dyDescent="0.25">
      <c r="A204" s="78"/>
    </row>
    <row r="205" spans="1:1" x14ac:dyDescent="0.25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2000-02-22T23:16:37Z</cp:lastPrinted>
  <dcterms:created xsi:type="dcterms:W3CDTF">2000-02-09T23:20:56Z</dcterms:created>
  <dcterms:modified xsi:type="dcterms:W3CDTF">2023-09-10T11:02:07Z</dcterms:modified>
</cp:coreProperties>
</file>