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 tabRatio="1000" firstSheet="2" activeTab="6"/>
  </bookViews>
  <sheets>
    <sheet name="Summer ONLY" sheetId="1" r:id="rId1"/>
    <sheet name="Deal Volumes" sheetId="7" r:id="rId2"/>
    <sheet name="GD Options" sheetId="2" r:id="rId3"/>
    <sheet name="Curves" sheetId="5" r:id="rId4"/>
    <sheet name="Locations" sheetId="3" r:id="rId5"/>
    <sheet name="Model - Summer" sheetId="8" r:id="rId6"/>
    <sheet name="Model - PH Robinson Only" sheetId="9" r:id="rId7"/>
    <sheet name="Model - Term" sheetId="6" r:id="rId8"/>
    <sheet name="Historical Flow" sheetId="4" r:id="rId9"/>
  </sheets>
  <externalReferences>
    <externalReference r:id="rId10"/>
  </externalReferences>
  <definedNames>
    <definedName name="EffDt">[1]Curves!$B$5</definedName>
  </definedNames>
  <calcPr calcId="0"/>
</workbook>
</file>

<file path=xl/calcChain.xml><?xml version="1.0" encoding="utf-8"?>
<calcChain xmlns="http://schemas.openxmlformats.org/spreadsheetml/2006/main">
  <c r="F3" i="7" l="1"/>
  <c r="G3" i="7"/>
  <c r="H3" i="7"/>
  <c r="J3" i="7"/>
  <c r="F4" i="7"/>
  <c r="G4" i="7"/>
  <c r="H4" i="7"/>
  <c r="J4" i="7"/>
  <c r="F5" i="7"/>
  <c r="G5" i="7"/>
  <c r="H5" i="7"/>
  <c r="J5" i="7"/>
  <c r="F6" i="7"/>
  <c r="G6" i="7"/>
  <c r="H6" i="7"/>
  <c r="J6" i="7"/>
  <c r="F7" i="7"/>
  <c r="G7" i="7"/>
  <c r="H7" i="7"/>
  <c r="J7" i="7"/>
  <c r="F8" i="7"/>
  <c r="G8" i="7"/>
  <c r="H8" i="7"/>
  <c r="J8" i="7"/>
  <c r="F9" i="7"/>
  <c r="G9" i="7"/>
  <c r="H9" i="7"/>
  <c r="J9" i="7"/>
  <c r="F10" i="7"/>
  <c r="G10" i="7"/>
  <c r="H10" i="7"/>
  <c r="J10" i="7"/>
  <c r="F11" i="7"/>
  <c r="G11" i="7"/>
  <c r="H11" i="7"/>
  <c r="J11" i="7"/>
  <c r="F12" i="7"/>
  <c r="G12" i="7"/>
  <c r="H12" i="7"/>
  <c r="J12" i="7"/>
  <c r="F13" i="7"/>
  <c r="G13" i="7"/>
  <c r="H13" i="7"/>
  <c r="J13" i="7"/>
  <c r="F14" i="7"/>
  <c r="G14" i="7"/>
  <c r="H14" i="7"/>
  <c r="J14" i="7"/>
  <c r="C15" i="7"/>
  <c r="D15" i="7"/>
  <c r="E15" i="7"/>
  <c r="F15" i="7"/>
  <c r="G15" i="7"/>
  <c r="H15" i="7"/>
  <c r="J15" i="7"/>
  <c r="C16" i="7"/>
  <c r="D16" i="7"/>
  <c r="E16" i="7"/>
  <c r="F16" i="7"/>
  <c r="G16" i="7"/>
  <c r="H16" i="7"/>
  <c r="J16" i="7"/>
  <c r="H17" i="7"/>
  <c r="C22" i="7"/>
  <c r="D22" i="7"/>
  <c r="E22" i="7"/>
  <c r="F22" i="7"/>
  <c r="G22" i="7"/>
  <c r="H22" i="7"/>
  <c r="J22" i="7"/>
  <c r="K22" i="7"/>
  <c r="L22" i="7"/>
  <c r="C23" i="7"/>
  <c r="D23" i="7"/>
  <c r="E23" i="7"/>
  <c r="F23" i="7"/>
  <c r="G23" i="7"/>
  <c r="H23" i="7"/>
  <c r="J23" i="7"/>
  <c r="K23" i="7"/>
  <c r="L23" i="7"/>
  <c r="C24" i="7"/>
  <c r="D24" i="7"/>
  <c r="E24" i="7"/>
  <c r="F24" i="7"/>
  <c r="G24" i="7"/>
  <c r="H24" i="7"/>
  <c r="J24" i="7"/>
  <c r="K24" i="7"/>
  <c r="L24" i="7"/>
  <c r="C25" i="7"/>
  <c r="D25" i="7"/>
  <c r="E25" i="7"/>
  <c r="F25" i="7"/>
  <c r="G25" i="7"/>
  <c r="H25" i="7"/>
  <c r="J25" i="7"/>
  <c r="K25" i="7"/>
  <c r="L25" i="7"/>
  <c r="C26" i="7"/>
  <c r="D26" i="7"/>
  <c r="E26" i="7"/>
  <c r="F26" i="7"/>
  <c r="G26" i="7"/>
  <c r="H26" i="7"/>
  <c r="J26" i="7"/>
  <c r="K26" i="7"/>
  <c r="L26" i="7"/>
  <c r="C27" i="7"/>
  <c r="D27" i="7"/>
  <c r="E27" i="7"/>
  <c r="F27" i="7"/>
  <c r="G27" i="7"/>
  <c r="H27" i="7"/>
  <c r="J27" i="7"/>
  <c r="K27" i="7"/>
  <c r="L27" i="7"/>
  <c r="C28" i="7"/>
  <c r="D28" i="7"/>
  <c r="E28" i="7"/>
  <c r="F28" i="7"/>
  <c r="G28" i="7"/>
  <c r="H28" i="7"/>
  <c r="J28" i="7"/>
  <c r="K28" i="7"/>
  <c r="L28" i="7"/>
  <c r="C29" i="7"/>
  <c r="D29" i="7"/>
  <c r="E29" i="7"/>
  <c r="F29" i="7"/>
  <c r="G29" i="7"/>
  <c r="H29" i="7"/>
  <c r="J29" i="7"/>
  <c r="K29" i="7"/>
  <c r="L29" i="7"/>
  <c r="C30" i="7"/>
  <c r="D30" i="7"/>
  <c r="E30" i="7"/>
  <c r="F30" i="7"/>
  <c r="G30" i="7"/>
  <c r="H30" i="7"/>
  <c r="J30" i="7"/>
  <c r="K30" i="7"/>
  <c r="L30" i="7"/>
  <c r="C31" i="7"/>
  <c r="D31" i="7"/>
  <c r="E31" i="7"/>
  <c r="F31" i="7"/>
  <c r="G31" i="7"/>
  <c r="H31" i="7"/>
  <c r="J31" i="7"/>
  <c r="K31" i="7"/>
  <c r="L31" i="7"/>
  <c r="C32" i="7"/>
  <c r="D32" i="7"/>
  <c r="E32" i="7"/>
  <c r="F32" i="7"/>
  <c r="G32" i="7"/>
  <c r="H32" i="7"/>
  <c r="J32" i="7"/>
  <c r="K32" i="7"/>
  <c r="L32" i="7"/>
  <c r="C33" i="7"/>
  <c r="D33" i="7"/>
  <c r="E33" i="7"/>
  <c r="F33" i="7"/>
  <c r="G33" i="7"/>
  <c r="H33" i="7"/>
  <c r="J33" i="7"/>
  <c r="K33" i="7"/>
  <c r="L33" i="7"/>
  <c r="C34" i="7"/>
  <c r="D34" i="7"/>
  <c r="E34" i="7"/>
  <c r="F34" i="7"/>
  <c r="G34" i="7"/>
  <c r="H34" i="7"/>
  <c r="J34" i="7"/>
  <c r="K34" i="7"/>
  <c r="L34" i="7"/>
  <c r="C35" i="7"/>
  <c r="D35" i="7"/>
  <c r="E35" i="7"/>
  <c r="F35" i="7"/>
  <c r="G35" i="7"/>
  <c r="H35" i="7"/>
  <c r="J35" i="7"/>
  <c r="K35" i="7"/>
  <c r="L35" i="7"/>
  <c r="C37" i="7"/>
  <c r="D37" i="7"/>
  <c r="E37" i="7"/>
  <c r="F37" i="7"/>
  <c r="G37" i="7"/>
  <c r="H37" i="7"/>
  <c r="J37" i="7"/>
  <c r="K37" i="7"/>
  <c r="L37" i="7"/>
  <c r="B2" i="2"/>
  <c r="B5" i="2"/>
  <c r="C5" i="2"/>
  <c r="D5" i="2"/>
  <c r="H5" i="2"/>
  <c r="I5" i="2"/>
  <c r="J5" i="2"/>
  <c r="K5" i="2"/>
  <c r="N5" i="2"/>
  <c r="R5" i="2"/>
  <c r="T5" i="2"/>
  <c r="U5" i="2"/>
  <c r="B6" i="2"/>
  <c r="C6" i="2"/>
  <c r="D6" i="2"/>
  <c r="H6" i="2"/>
  <c r="I6" i="2"/>
  <c r="J6" i="2"/>
  <c r="K6" i="2"/>
  <c r="N6" i="2"/>
  <c r="R6" i="2"/>
  <c r="T6" i="2"/>
  <c r="U6" i="2"/>
  <c r="B7" i="2"/>
  <c r="C7" i="2"/>
  <c r="D7" i="2"/>
  <c r="H7" i="2"/>
  <c r="I7" i="2"/>
  <c r="J7" i="2"/>
  <c r="K7" i="2"/>
  <c r="N7" i="2"/>
  <c r="R7" i="2"/>
  <c r="T7" i="2"/>
  <c r="U7" i="2"/>
  <c r="B8" i="2"/>
  <c r="C8" i="2"/>
  <c r="D8" i="2"/>
  <c r="H8" i="2"/>
  <c r="I8" i="2"/>
  <c r="J8" i="2"/>
  <c r="K8" i="2"/>
  <c r="N8" i="2"/>
  <c r="R8" i="2"/>
  <c r="T8" i="2"/>
  <c r="U8" i="2"/>
  <c r="B9" i="2"/>
  <c r="C9" i="2"/>
  <c r="D9" i="2"/>
  <c r="H9" i="2"/>
  <c r="I9" i="2"/>
  <c r="J9" i="2"/>
  <c r="K9" i="2"/>
  <c r="N9" i="2"/>
  <c r="R9" i="2"/>
  <c r="T9" i="2"/>
  <c r="U9" i="2"/>
  <c r="B10" i="2"/>
  <c r="C10" i="2"/>
  <c r="D10" i="2"/>
  <c r="H10" i="2"/>
  <c r="I10" i="2"/>
  <c r="J10" i="2"/>
  <c r="K10" i="2"/>
  <c r="N10" i="2"/>
  <c r="R10" i="2"/>
  <c r="T10" i="2"/>
  <c r="U10" i="2"/>
  <c r="B11" i="2"/>
  <c r="C11" i="2"/>
  <c r="D11" i="2"/>
  <c r="H11" i="2"/>
  <c r="I11" i="2"/>
  <c r="J11" i="2"/>
  <c r="K11" i="2"/>
  <c r="N11" i="2"/>
  <c r="R11" i="2"/>
  <c r="T11" i="2"/>
  <c r="U11" i="2"/>
  <c r="B12" i="2"/>
  <c r="C12" i="2"/>
  <c r="D12" i="2"/>
  <c r="H12" i="2"/>
  <c r="I12" i="2"/>
  <c r="J12" i="2"/>
  <c r="K12" i="2"/>
  <c r="N12" i="2"/>
  <c r="R12" i="2"/>
  <c r="T12" i="2"/>
  <c r="U12" i="2"/>
  <c r="B13" i="2"/>
  <c r="C13" i="2"/>
  <c r="D13" i="2"/>
  <c r="H13" i="2"/>
  <c r="I13" i="2"/>
  <c r="J13" i="2"/>
  <c r="K13" i="2"/>
  <c r="N13" i="2"/>
  <c r="R13" i="2"/>
  <c r="T13" i="2"/>
  <c r="U13" i="2"/>
  <c r="B14" i="2"/>
  <c r="C14" i="2"/>
  <c r="D14" i="2"/>
  <c r="H14" i="2"/>
  <c r="I14" i="2"/>
  <c r="J14" i="2"/>
  <c r="K14" i="2"/>
  <c r="N14" i="2"/>
  <c r="R14" i="2"/>
  <c r="T14" i="2"/>
  <c r="U14" i="2"/>
  <c r="B15" i="2"/>
  <c r="C15" i="2"/>
  <c r="D15" i="2"/>
  <c r="H15" i="2"/>
  <c r="I15" i="2"/>
  <c r="J15" i="2"/>
  <c r="K15" i="2"/>
  <c r="N15" i="2"/>
  <c r="R15" i="2"/>
  <c r="T15" i="2"/>
  <c r="U15" i="2"/>
  <c r="B16" i="2"/>
  <c r="C16" i="2"/>
  <c r="D16" i="2"/>
  <c r="H16" i="2"/>
  <c r="I16" i="2"/>
  <c r="J16" i="2"/>
  <c r="K16" i="2"/>
  <c r="N16" i="2"/>
  <c r="R16" i="2"/>
  <c r="T16" i="2"/>
  <c r="U16" i="2"/>
  <c r="B17" i="2"/>
  <c r="C17" i="2"/>
  <c r="D17" i="2"/>
  <c r="H17" i="2"/>
  <c r="I17" i="2"/>
  <c r="J17" i="2"/>
  <c r="K17" i="2"/>
  <c r="N17" i="2"/>
  <c r="R17" i="2"/>
  <c r="T17" i="2"/>
  <c r="U17" i="2"/>
  <c r="B18" i="2"/>
  <c r="C18" i="2"/>
  <c r="D18" i="2"/>
  <c r="H18" i="2"/>
  <c r="I18" i="2"/>
  <c r="J18" i="2"/>
  <c r="K18" i="2"/>
  <c r="N18" i="2"/>
  <c r="R18" i="2"/>
  <c r="T18" i="2"/>
  <c r="U18" i="2"/>
  <c r="U19" i="2"/>
  <c r="A21" i="2"/>
  <c r="B21" i="2"/>
  <c r="C21" i="2"/>
  <c r="D21" i="2"/>
  <c r="G21" i="2"/>
  <c r="H21" i="2"/>
  <c r="I21" i="2"/>
  <c r="J21" i="2"/>
  <c r="K21" i="2"/>
  <c r="L21" i="2"/>
  <c r="M21" i="2"/>
  <c r="N21" i="2"/>
  <c r="O21" i="2"/>
  <c r="P21" i="2"/>
  <c r="Q21" i="2"/>
  <c r="R21" i="2"/>
  <c r="T21" i="2"/>
  <c r="U21" i="2"/>
  <c r="A22" i="2"/>
  <c r="B22" i="2"/>
  <c r="C22" i="2"/>
  <c r="D22" i="2"/>
  <c r="G22" i="2"/>
  <c r="H22" i="2"/>
  <c r="I22" i="2"/>
  <c r="J22" i="2"/>
  <c r="K22" i="2"/>
  <c r="L22" i="2"/>
  <c r="M22" i="2"/>
  <c r="N22" i="2"/>
  <c r="O22" i="2"/>
  <c r="P22" i="2"/>
  <c r="Q22" i="2"/>
  <c r="R22" i="2"/>
  <c r="T22" i="2"/>
  <c r="U22" i="2"/>
  <c r="A23" i="2"/>
  <c r="B23" i="2"/>
  <c r="C23" i="2"/>
  <c r="D23" i="2"/>
  <c r="G23" i="2"/>
  <c r="H23" i="2"/>
  <c r="I23" i="2"/>
  <c r="J23" i="2"/>
  <c r="K23" i="2"/>
  <c r="L23" i="2"/>
  <c r="M23" i="2"/>
  <c r="N23" i="2"/>
  <c r="O23" i="2"/>
  <c r="P23" i="2"/>
  <c r="Q23" i="2"/>
  <c r="R23" i="2"/>
  <c r="T23" i="2"/>
  <c r="U23" i="2"/>
  <c r="A24" i="2"/>
  <c r="B24" i="2"/>
  <c r="C24" i="2"/>
  <c r="D24" i="2"/>
  <c r="G24" i="2"/>
  <c r="H24" i="2"/>
  <c r="I24" i="2"/>
  <c r="J24" i="2"/>
  <c r="K24" i="2"/>
  <c r="L24" i="2"/>
  <c r="M24" i="2"/>
  <c r="N24" i="2"/>
  <c r="O24" i="2"/>
  <c r="P24" i="2"/>
  <c r="Q24" i="2"/>
  <c r="R24" i="2"/>
  <c r="T24" i="2"/>
  <c r="U24" i="2"/>
  <c r="A25" i="2"/>
  <c r="B25" i="2"/>
  <c r="C25" i="2"/>
  <c r="D25" i="2"/>
  <c r="G25" i="2"/>
  <c r="H25" i="2"/>
  <c r="I25" i="2"/>
  <c r="J25" i="2"/>
  <c r="K25" i="2"/>
  <c r="L25" i="2"/>
  <c r="M25" i="2"/>
  <c r="N25" i="2"/>
  <c r="O25" i="2"/>
  <c r="P25" i="2"/>
  <c r="Q25" i="2"/>
  <c r="R25" i="2"/>
  <c r="T25" i="2"/>
  <c r="U25" i="2"/>
  <c r="A26" i="2"/>
  <c r="B26" i="2"/>
  <c r="C26" i="2"/>
  <c r="D26" i="2"/>
  <c r="G26" i="2"/>
  <c r="H26" i="2"/>
  <c r="I26" i="2"/>
  <c r="J26" i="2"/>
  <c r="K26" i="2"/>
  <c r="L26" i="2"/>
  <c r="M26" i="2"/>
  <c r="N26" i="2"/>
  <c r="O26" i="2"/>
  <c r="P26" i="2"/>
  <c r="Q26" i="2"/>
  <c r="R26" i="2"/>
  <c r="T26" i="2"/>
  <c r="U26" i="2"/>
  <c r="A27" i="2"/>
  <c r="B27" i="2"/>
  <c r="C27" i="2"/>
  <c r="D27" i="2"/>
  <c r="G27" i="2"/>
  <c r="H27" i="2"/>
  <c r="I27" i="2"/>
  <c r="J27" i="2"/>
  <c r="K27" i="2"/>
  <c r="L27" i="2"/>
  <c r="M27" i="2"/>
  <c r="N27" i="2"/>
  <c r="O27" i="2"/>
  <c r="P27" i="2"/>
  <c r="Q27" i="2"/>
  <c r="R27" i="2"/>
  <c r="T27" i="2"/>
  <c r="U27" i="2"/>
  <c r="A28" i="2"/>
  <c r="B28" i="2"/>
  <c r="C28" i="2"/>
  <c r="D28" i="2"/>
  <c r="G28" i="2"/>
  <c r="H28" i="2"/>
  <c r="I28" i="2"/>
  <c r="J28" i="2"/>
  <c r="K28" i="2"/>
  <c r="L28" i="2"/>
  <c r="M28" i="2"/>
  <c r="N28" i="2"/>
  <c r="O28" i="2"/>
  <c r="P28" i="2"/>
  <c r="Q28" i="2"/>
  <c r="R28" i="2"/>
  <c r="T28" i="2"/>
  <c r="U28" i="2"/>
  <c r="A29" i="2"/>
  <c r="B29" i="2"/>
  <c r="C29" i="2"/>
  <c r="D29" i="2"/>
  <c r="G29" i="2"/>
  <c r="H29" i="2"/>
  <c r="I29" i="2"/>
  <c r="J29" i="2"/>
  <c r="K29" i="2"/>
  <c r="L29" i="2"/>
  <c r="M29" i="2"/>
  <c r="N29" i="2"/>
  <c r="O29" i="2"/>
  <c r="P29" i="2"/>
  <c r="Q29" i="2"/>
  <c r="R29" i="2"/>
  <c r="T29" i="2"/>
  <c r="U29" i="2"/>
  <c r="A30" i="2"/>
  <c r="B30" i="2"/>
  <c r="C30" i="2"/>
  <c r="D30" i="2"/>
  <c r="G30" i="2"/>
  <c r="H30" i="2"/>
  <c r="I30" i="2"/>
  <c r="J30" i="2"/>
  <c r="K30" i="2"/>
  <c r="L30" i="2"/>
  <c r="M30" i="2"/>
  <c r="N30" i="2"/>
  <c r="O30" i="2"/>
  <c r="P30" i="2"/>
  <c r="Q30" i="2"/>
  <c r="R30" i="2"/>
  <c r="T30" i="2"/>
  <c r="U30" i="2"/>
  <c r="A31" i="2"/>
  <c r="B31" i="2"/>
  <c r="C31" i="2"/>
  <c r="D31" i="2"/>
  <c r="G31" i="2"/>
  <c r="H31" i="2"/>
  <c r="I31" i="2"/>
  <c r="J31" i="2"/>
  <c r="K31" i="2"/>
  <c r="L31" i="2"/>
  <c r="M31" i="2"/>
  <c r="N31" i="2"/>
  <c r="O31" i="2"/>
  <c r="P31" i="2"/>
  <c r="Q31" i="2"/>
  <c r="R31" i="2"/>
  <c r="T31" i="2"/>
  <c r="U31" i="2"/>
  <c r="A32" i="2"/>
  <c r="B32" i="2"/>
  <c r="C32" i="2"/>
  <c r="D32" i="2"/>
  <c r="G32" i="2"/>
  <c r="H32" i="2"/>
  <c r="I32" i="2"/>
  <c r="J32" i="2"/>
  <c r="K32" i="2"/>
  <c r="L32" i="2"/>
  <c r="M32" i="2"/>
  <c r="N32" i="2"/>
  <c r="O32" i="2"/>
  <c r="P32" i="2"/>
  <c r="Q32" i="2"/>
  <c r="R32" i="2"/>
  <c r="T32" i="2"/>
  <c r="U32" i="2"/>
  <c r="A33" i="2"/>
  <c r="B33" i="2"/>
  <c r="C33" i="2"/>
  <c r="D33" i="2"/>
  <c r="G33" i="2"/>
  <c r="H33" i="2"/>
  <c r="I33" i="2"/>
  <c r="J33" i="2"/>
  <c r="K33" i="2"/>
  <c r="L33" i="2"/>
  <c r="M33" i="2"/>
  <c r="N33" i="2"/>
  <c r="O33" i="2"/>
  <c r="P33" i="2"/>
  <c r="Q33" i="2"/>
  <c r="R33" i="2"/>
  <c r="T33" i="2"/>
  <c r="U33" i="2"/>
  <c r="A34" i="2"/>
  <c r="B34" i="2"/>
  <c r="C34" i="2"/>
  <c r="D34" i="2"/>
  <c r="G34" i="2"/>
  <c r="H34" i="2"/>
  <c r="I34" i="2"/>
  <c r="J34" i="2"/>
  <c r="K34" i="2"/>
  <c r="L34" i="2"/>
  <c r="M34" i="2"/>
  <c r="N34" i="2"/>
  <c r="O34" i="2"/>
  <c r="P34" i="2"/>
  <c r="Q34" i="2"/>
  <c r="R34" i="2"/>
  <c r="T34" i="2"/>
  <c r="U34" i="2"/>
  <c r="U35" i="2"/>
  <c r="U37" i="2"/>
  <c r="U38" i="2"/>
  <c r="D3" i="4"/>
  <c r="F3" i="4"/>
  <c r="H3" i="4"/>
  <c r="J3" i="4"/>
  <c r="L3" i="4"/>
  <c r="N3" i="4"/>
  <c r="D4" i="4"/>
  <c r="F4" i="4"/>
  <c r="H4" i="4"/>
  <c r="J4" i="4"/>
  <c r="L4" i="4"/>
  <c r="N4" i="4"/>
  <c r="D5" i="4"/>
  <c r="F5" i="4"/>
  <c r="H5" i="4"/>
  <c r="J5" i="4"/>
  <c r="L5" i="4"/>
  <c r="N5" i="4"/>
  <c r="D6" i="4"/>
  <c r="F6" i="4"/>
  <c r="H6" i="4"/>
  <c r="J6" i="4"/>
  <c r="L6" i="4"/>
  <c r="N6" i="4"/>
  <c r="D7" i="4"/>
  <c r="F7" i="4"/>
  <c r="H7" i="4"/>
  <c r="J7" i="4"/>
  <c r="L7" i="4"/>
  <c r="N7" i="4"/>
  <c r="D9" i="4"/>
  <c r="F9" i="4"/>
  <c r="H9" i="4"/>
  <c r="J9" i="4"/>
  <c r="L9" i="4"/>
  <c r="N9" i="4"/>
  <c r="D10" i="4"/>
  <c r="F10" i="4"/>
  <c r="H10" i="4"/>
  <c r="J10" i="4"/>
  <c r="L10" i="4"/>
  <c r="N10" i="4"/>
  <c r="D11" i="4"/>
  <c r="F11" i="4"/>
  <c r="H11" i="4"/>
  <c r="J11" i="4"/>
  <c r="L11" i="4"/>
  <c r="N11" i="4"/>
  <c r="D12" i="4"/>
  <c r="F12" i="4"/>
  <c r="H12" i="4"/>
  <c r="J12" i="4"/>
  <c r="L12" i="4"/>
  <c r="N12" i="4"/>
  <c r="D14" i="4"/>
  <c r="F14" i="4"/>
  <c r="H14" i="4"/>
  <c r="J14" i="4"/>
  <c r="L14" i="4"/>
  <c r="N14" i="4"/>
  <c r="D15" i="4"/>
  <c r="F15" i="4"/>
  <c r="H15" i="4"/>
  <c r="J15" i="4"/>
  <c r="L15" i="4"/>
  <c r="N15" i="4"/>
  <c r="D16" i="4"/>
  <c r="F16" i="4"/>
  <c r="H16" i="4"/>
  <c r="J16" i="4"/>
  <c r="L16" i="4"/>
  <c r="N16" i="4"/>
  <c r="D17" i="4"/>
  <c r="F17" i="4"/>
  <c r="H17" i="4"/>
  <c r="J17" i="4"/>
  <c r="L17" i="4"/>
  <c r="N17" i="4"/>
  <c r="C19" i="4"/>
  <c r="D19" i="4"/>
  <c r="E19" i="4"/>
  <c r="F19" i="4"/>
  <c r="G19" i="4"/>
  <c r="H19" i="4"/>
  <c r="I19" i="4"/>
  <c r="J19" i="4"/>
  <c r="K19" i="4"/>
  <c r="L19" i="4"/>
  <c r="N19" i="4"/>
  <c r="N20" i="4"/>
  <c r="C21" i="4"/>
  <c r="D21" i="4"/>
  <c r="E21" i="4"/>
  <c r="F21" i="4"/>
  <c r="G21" i="4"/>
  <c r="H21" i="4"/>
  <c r="I21" i="4"/>
  <c r="J21" i="4"/>
  <c r="K21" i="4"/>
  <c r="L21" i="4"/>
  <c r="C22" i="4"/>
  <c r="D22" i="4"/>
  <c r="E22" i="4"/>
  <c r="F22" i="4"/>
  <c r="G22" i="4"/>
  <c r="H22" i="4"/>
  <c r="I22" i="4"/>
  <c r="J22" i="4"/>
  <c r="K22" i="4"/>
  <c r="L22" i="4"/>
  <c r="C24" i="4"/>
  <c r="D24" i="4"/>
  <c r="E24" i="4"/>
  <c r="F24" i="4"/>
  <c r="G24" i="4"/>
  <c r="H24" i="4"/>
  <c r="I24" i="4"/>
  <c r="J24" i="4"/>
  <c r="K24" i="4"/>
  <c r="L24" i="4"/>
  <c r="N24" i="4"/>
  <c r="B1" i="9"/>
  <c r="R5" i="9"/>
  <c r="S5" i="9"/>
  <c r="T5" i="9"/>
  <c r="U5" i="9"/>
  <c r="V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D12" i="9"/>
  <c r="E12" i="9"/>
  <c r="G12" i="9"/>
  <c r="H12" i="9"/>
  <c r="I12" i="9"/>
  <c r="J12" i="9"/>
  <c r="K12" i="9"/>
  <c r="L12" i="9"/>
  <c r="N12" i="9"/>
  <c r="O12" i="9"/>
  <c r="P12" i="9"/>
  <c r="G13" i="9"/>
  <c r="I13" i="9"/>
  <c r="J13" i="9"/>
  <c r="N13" i="9"/>
  <c r="O13" i="9"/>
  <c r="P13" i="9"/>
  <c r="B1" i="8"/>
  <c r="G5" i="8"/>
  <c r="H5" i="8"/>
  <c r="J5" i="8"/>
  <c r="K5" i="8"/>
  <c r="M5" i="8"/>
  <c r="N5" i="8"/>
  <c r="Z6" i="8"/>
  <c r="AA6" i="8"/>
  <c r="AB6" i="8"/>
  <c r="AC6" i="8"/>
  <c r="AD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D13" i="8"/>
  <c r="E13" i="8"/>
  <c r="F13" i="8"/>
  <c r="G13" i="8"/>
  <c r="H13" i="8"/>
  <c r="I13" i="8"/>
  <c r="L13" i="8"/>
  <c r="M13" i="8"/>
  <c r="N13" i="8"/>
  <c r="O13" i="8"/>
  <c r="P13" i="8"/>
  <c r="Q13" i="8"/>
  <c r="R13" i="8"/>
  <c r="S13" i="8"/>
  <c r="T13" i="8"/>
  <c r="V13" i="8"/>
  <c r="W13" i="8"/>
  <c r="X13" i="8"/>
  <c r="L14" i="8"/>
  <c r="O14" i="8"/>
  <c r="Q14" i="8"/>
  <c r="R14" i="8"/>
  <c r="V14" i="8"/>
  <c r="W14" i="8"/>
  <c r="X14" i="8"/>
  <c r="B1" i="6"/>
  <c r="G5" i="6"/>
  <c r="H5" i="6"/>
  <c r="J5" i="6"/>
  <c r="K5" i="6"/>
  <c r="M5" i="6"/>
  <c r="N5" i="6"/>
  <c r="Z6" i="6"/>
  <c r="AA6" i="6"/>
  <c r="AB6" i="6"/>
  <c r="AC6" i="6"/>
  <c r="AD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R12" i="6"/>
  <c r="S12" i="6"/>
  <c r="T12" i="6"/>
  <c r="U12" i="6"/>
  <c r="V12" i="6"/>
  <c r="W12" i="6"/>
  <c r="X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R13" i="6"/>
  <c r="S13" i="6"/>
  <c r="T13" i="6"/>
  <c r="U13" i="6"/>
  <c r="V13" i="6"/>
  <c r="W13" i="6"/>
  <c r="X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R14" i="6"/>
  <c r="S14" i="6"/>
  <c r="T14" i="6"/>
  <c r="U14" i="6"/>
  <c r="V14" i="6"/>
  <c r="W14" i="6"/>
  <c r="X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R15" i="6"/>
  <c r="S15" i="6"/>
  <c r="T15" i="6"/>
  <c r="U15" i="6"/>
  <c r="V15" i="6"/>
  <c r="W15" i="6"/>
  <c r="X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R16" i="6"/>
  <c r="S16" i="6"/>
  <c r="T16" i="6"/>
  <c r="U16" i="6"/>
  <c r="V16" i="6"/>
  <c r="W16" i="6"/>
  <c r="X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R17" i="6"/>
  <c r="S17" i="6"/>
  <c r="T17" i="6"/>
  <c r="U17" i="6"/>
  <c r="V17" i="6"/>
  <c r="W17" i="6"/>
  <c r="X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R18" i="6"/>
  <c r="S18" i="6"/>
  <c r="T18" i="6"/>
  <c r="U18" i="6"/>
  <c r="V18" i="6"/>
  <c r="W18" i="6"/>
  <c r="X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D22" i="6"/>
  <c r="E22" i="6"/>
  <c r="F22" i="6"/>
  <c r="G22" i="6"/>
  <c r="H22" i="6"/>
  <c r="I22" i="6"/>
  <c r="L22" i="6"/>
  <c r="M22" i="6"/>
  <c r="N22" i="6"/>
  <c r="O22" i="6"/>
  <c r="P22" i="6"/>
  <c r="Q22" i="6"/>
  <c r="R22" i="6"/>
  <c r="S22" i="6"/>
  <c r="T22" i="6"/>
  <c r="V22" i="6"/>
  <c r="W22" i="6"/>
  <c r="X22" i="6"/>
  <c r="L23" i="6"/>
  <c r="O23" i="6"/>
  <c r="Q23" i="6"/>
  <c r="R23" i="6"/>
  <c r="V23" i="6"/>
  <c r="W23" i="6"/>
  <c r="X23" i="6"/>
  <c r="B1" i="1"/>
  <c r="D6" i="1"/>
  <c r="F6" i="1"/>
  <c r="H6" i="1"/>
  <c r="J6" i="1"/>
  <c r="K6" i="1"/>
  <c r="M6" i="1"/>
  <c r="N6" i="1"/>
  <c r="D7" i="1"/>
  <c r="E7" i="1"/>
  <c r="F7" i="1"/>
  <c r="G7" i="1"/>
  <c r="H7" i="1"/>
  <c r="I7" i="1"/>
  <c r="J7" i="1"/>
  <c r="K7" i="1"/>
  <c r="M7" i="1"/>
  <c r="N7" i="1"/>
  <c r="D8" i="1"/>
  <c r="F8" i="1"/>
  <c r="H8" i="1"/>
  <c r="J8" i="1"/>
  <c r="K8" i="1"/>
  <c r="M8" i="1"/>
  <c r="N8" i="1"/>
  <c r="D9" i="1"/>
  <c r="E9" i="1"/>
  <c r="F9" i="1"/>
  <c r="G9" i="1"/>
  <c r="H9" i="1"/>
  <c r="I9" i="1"/>
  <c r="J9" i="1"/>
  <c r="K9" i="1"/>
  <c r="M9" i="1"/>
  <c r="N9" i="1"/>
  <c r="D10" i="1"/>
  <c r="E10" i="1"/>
  <c r="F10" i="1"/>
  <c r="G10" i="1"/>
  <c r="H10" i="1"/>
  <c r="I10" i="1"/>
  <c r="J10" i="1"/>
  <c r="K10" i="1"/>
  <c r="M10" i="1"/>
  <c r="N10" i="1"/>
  <c r="E12" i="1"/>
  <c r="F12" i="1"/>
  <c r="G12" i="1"/>
  <c r="H12" i="1"/>
  <c r="I12" i="1"/>
  <c r="J12" i="1"/>
  <c r="K12" i="1"/>
  <c r="M12" i="1"/>
  <c r="N12" i="1"/>
</calcChain>
</file>

<file path=xl/sharedStrings.xml><?xml version="1.0" encoding="utf-8"?>
<sst xmlns="http://schemas.openxmlformats.org/spreadsheetml/2006/main" count="277" uniqueCount="121">
  <si>
    <t>Discount Factor</t>
  </si>
  <si>
    <t>Min/d</t>
  </si>
  <si>
    <t>Max/d</t>
  </si>
  <si>
    <t>Avg/d</t>
  </si>
  <si>
    <t>PV Notional</t>
  </si>
  <si>
    <t>Index Offer</t>
  </si>
  <si>
    <t>Index Adder</t>
  </si>
  <si>
    <t>Date</t>
  </si>
  <si>
    <t>Month</t>
  </si>
  <si>
    <t>Index Mid</t>
  </si>
  <si>
    <t>Mid - Offer</t>
  </si>
  <si>
    <t>Origination</t>
  </si>
  <si>
    <t>TOTALS</t>
  </si>
  <si>
    <t>GD Minibook</t>
  </si>
  <si>
    <t>Days</t>
  </si>
  <si>
    <t>Today's Date:</t>
  </si>
  <si>
    <t>Delivery Month</t>
  </si>
  <si>
    <t>Volume</t>
  </si>
  <si>
    <t>Start Date</t>
  </si>
  <si>
    <t>Stop Date</t>
  </si>
  <si>
    <t>Delivery Point</t>
  </si>
  <si>
    <t>Put/Call</t>
  </si>
  <si>
    <t>Price</t>
  </si>
  <si>
    <t>Strike</t>
  </si>
  <si>
    <t>Now to Set</t>
  </si>
  <si>
    <t>Beg Days</t>
  </si>
  <si>
    <t>End Days</t>
  </si>
  <si>
    <t>Fwd Start Flag</t>
  </si>
  <si>
    <t>Int Rt</t>
  </si>
  <si>
    <t>Vol_prior</t>
  </si>
  <si>
    <t>Vol_after</t>
  </si>
  <si>
    <t>Pct of Index</t>
  </si>
  <si>
    <t>Basis Offset</t>
  </si>
  <si>
    <t>Opt Type</t>
  </si>
  <si>
    <t>Ret Type</t>
  </si>
  <si>
    <t>Mid Premium</t>
  </si>
  <si>
    <t>Mid Option Value</t>
  </si>
  <si>
    <t>IF-HPL/SHPCHAN</t>
  </si>
  <si>
    <t>CALL</t>
  </si>
  <si>
    <t>Min/mo</t>
  </si>
  <si>
    <t>Max/mo</t>
  </si>
  <si>
    <t>Avg/mo</t>
  </si>
  <si>
    <t>PUT</t>
  </si>
  <si>
    <t>Total GD Option Value</t>
  </si>
  <si>
    <t>Ret Type:</t>
  </si>
  <si>
    <t>Interest Rate</t>
  </si>
  <si>
    <t>Deal Nos: N97148.1, N97148.2</t>
  </si>
  <si>
    <t>= strip premium</t>
  </si>
  <si>
    <t>= delta</t>
  </si>
  <si>
    <t>= gamma</t>
  </si>
  <si>
    <t>= vega</t>
  </si>
  <si>
    <t>= rho</t>
  </si>
  <si>
    <t>= theta</t>
  </si>
  <si>
    <t>= delta on forward start date</t>
  </si>
  <si>
    <t>P.H. Robinson</t>
  </si>
  <si>
    <t>Location</t>
  </si>
  <si>
    <t>Zone #</t>
  </si>
  <si>
    <t>Zone Name</t>
  </si>
  <si>
    <t>MTM Curve</t>
  </si>
  <si>
    <t>Cedar Bayou</t>
  </si>
  <si>
    <t>Meter #</t>
  </si>
  <si>
    <t>T.H. Wharton</t>
  </si>
  <si>
    <t>Greens Bayou</t>
  </si>
  <si>
    <t>Sam Berton</t>
  </si>
  <si>
    <t>Texas City</t>
  </si>
  <si>
    <t>A/S Central</t>
  </si>
  <si>
    <t>A/S East Beaumont Offer</t>
  </si>
  <si>
    <t>West Loop</t>
  </si>
  <si>
    <t>East Loop</t>
  </si>
  <si>
    <t>HSC</t>
  </si>
  <si>
    <t>Ship Channel</t>
  </si>
  <si>
    <t>P.H. Robinson -  #1412</t>
  </si>
  <si>
    <t>T.H. Wharton - #1480</t>
  </si>
  <si>
    <t>Cedar Bayou - #1401</t>
  </si>
  <si>
    <t>Greens Bayou - #1393</t>
  </si>
  <si>
    <t>Sam Berton -#1396</t>
  </si>
  <si>
    <t>Total Flow</t>
  </si>
  <si>
    <t>% of Flow</t>
  </si>
  <si>
    <t>Maximum</t>
  </si>
  <si>
    <t>Minimum</t>
  </si>
  <si>
    <t>Totals</t>
  </si>
  <si>
    <t>IF-TX CITY LOOP</t>
  </si>
  <si>
    <t>IF-A/S EAST OFF</t>
  </si>
  <si>
    <t>IF-KATY/TAIL</t>
  </si>
  <si>
    <t>Option Vol</t>
  </si>
  <si>
    <t>AGGREGATE VOLUMES</t>
  </si>
  <si>
    <t>Total</t>
  </si>
  <si>
    <t>PROSPECTIVE BOOKINGS (BASED ON HISTORICAL FLOW)</t>
  </si>
  <si>
    <t>FLOW BY CURVE</t>
  </si>
  <si>
    <t>A/S Index Offer</t>
  </si>
  <si>
    <t>HSC Index Offer</t>
  </si>
  <si>
    <t>MID CURVES</t>
  </si>
  <si>
    <t>TOTAL</t>
  </si>
  <si>
    <t>NOTIONAL VOLUMES</t>
  </si>
  <si>
    <t>PV VOLUMES</t>
  </si>
  <si>
    <t>Today</t>
  </si>
  <si>
    <t>IF-A/S EAST OFFER</t>
  </si>
  <si>
    <t>Mid - Offer Cost</t>
  </si>
  <si>
    <t>Transport Premium</t>
  </si>
  <si>
    <t>PH Robinson Volumes</t>
  </si>
  <si>
    <t>Cost</t>
  </si>
  <si>
    <t>Unit Cost</t>
  </si>
  <si>
    <t>GD Option Cost</t>
  </si>
  <si>
    <t>Storage Cost</t>
  </si>
  <si>
    <t>Put Volume</t>
  </si>
  <si>
    <t>Call Volume</t>
  </si>
  <si>
    <t>Imputed Premium</t>
  </si>
  <si>
    <t>TOTAL COSTS</t>
  </si>
  <si>
    <t>DEAL VALUE</t>
  </si>
  <si>
    <t>NET ORIG VALUE</t>
  </si>
  <si>
    <t>GD Option Unit Cost</t>
  </si>
  <si>
    <t>Phys Prem</t>
  </si>
  <si>
    <t>Customer Price</t>
  </si>
  <si>
    <t>UNIT COST</t>
  </si>
  <si>
    <t>Summer</t>
  </si>
  <si>
    <t>Minibook</t>
  </si>
  <si>
    <t>INTEREST RATE</t>
  </si>
  <si>
    <t>UNIT COSTS</t>
  </si>
  <si>
    <t>Notional Volumes</t>
  </si>
  <si>
    <t>PV Volumes</t>
  </si>
  <si>
    <t>IF-A/S East Offer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</si>
</sst>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  <numFmt numFmtId="165" formatCode="0.000%"/>
    <numFmt numFmtId="168" formatCode="&quot;$&quot;#,##0.000"/>
    <numFmt numFmtId="170" formatCode="&quot;$&quot;#,##0.0000_);\(&quot;$&quot;#,##0.0000\)"/>
    <numFmt numFmtId="171" formatCode="#,##0.000_);[Red]\(#,##0.000\)"/>
    <numFmt numFmtId="172" formatCode="0.0000"/>
    <numFmt numFmtId="173" formatCode="m/d/yy"/>
    <numFmt numFmtId="174" formatCode="0.000000%"/>
    <numFmt numFmtId="175" formatCode="&quot;$&quot;#,##0.00000000"/>
    <numFmt numFmtId="176" formatCode="0.0000000000"/>
    <numFmt numFmtId="177" formatCode="0.0000_);\(0.0000\)"/>
    <numFmt numFmtId="178" formatCode="0_);\(0\)"/>
    <numFmt numFmtId="185" formatCode="#,##0.00000_);\(#,##0.00000\)"/>
    <numFmt numFmtId="187" formatCode="&quot;$&quot;#,##0.0000_);[Red]\(&quot;$&quot;#,##0.0000\)"/>
    <numFmt numFmtId="190" formatCode="0.0000000"/>
    <numFmt numFmtId="192" formatCode="&quot;$&quot;#,##0.000_);\(&quot;$&quot;#,##0.000\)"/>
    <numFmt numFmtId="195" formatCode="#,##0.000000_);[Red]\(#,##0.000000\)"/>
    <numFmt numFmtId="198" formatCode="&quot;$&quot;#,##0.00000"/>
    <numFmt numFmtId="200" formatCode="&quot;$&quot;#,##0.000000"/>
    <numFmt numFmtId="209" formatCode="&quot;$&quot;#,##0.00000_);[Red]\(&quot;$&quot;#,##0.00000\)"/>
  </numFmts>
  <fonts count="1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sz val="10"/>
      <color indexed="12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0"/>
      <color indexed="17"/>
      <name val="Arial Narrow"/>
      <family val="2"/>
    </font>
    <font>
      <sz val="10"/>
      <color indexed="10"/>
      <name val="Arial Narrow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87">
    <xf numFmtId="0" fontId="0" fillId="0" borderId="0" xfId="0"/>
    <xf numFmtId="14" fontId="2" fillId="0" borderId="0" xfId="3" applyNumberFormat="1" applyFont="1"/>
    <xf numFmtId="164" fontId="2" fillId="0" borderId="0" xfId="3" applyNumberFormat="1" applyFont="1"/>
    <xf numFmtId="0" fontId="2" fillId="0" borderId="0" xfId="0" applyFont="1"/>
    <xf numFmtId="0" fontId="2" fillId="0" borderId="0" xfId="3" applyFont="1"/>
    <xf numFmtId="0" fontId="2" fillId="0" borderId="0" xfId="3" applyFont="1" applyAlignment="1">
      <alignment horizontal="center"/>
    </xf>
    <xf numFmtId="164" fontId="2" fillId="0" borderId="0" xfId="3" applyNumberFormat="1" applyFont="1" applyAlignment="1">
      <alignment horizontal="center"/>
    </xf>
    <xf numFmtId="165" fontId="3" fillId="0" borderId="0" xfId="4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2" xfId="3" applyNumberFormat="1" applyFont="1" applyBorder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7" fontId="2" fillId="0" borderId="0" xfId="3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6" fontId="2" fillId="0" borderId="3" xfId="0" applyNumberFormat="1" applyFont="1" applyBorder="1" applyAlignment="1">
      <alignment horizontal="center"/>
    </xf>
    <xf numFmtId="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14" fontId="4" fillId="0" borderId="1" xfId="3" applyNumberFormat="1" applyFont="1" applyBorder="1" applyAlignment="1">
      <alignment horizontal="center"/>
    </xf>
    <xf numFmtId="0" fontId="2" fillId="0" borderId="0" xfId="3" applyNumberFormat="1" applyFont="1" applyAlignment="1">
      <alignment horizontal="center"/>
    </xf>
    <xf numFmtId="164" fontId="4" fillId="0" borderId="0" xfId="3" applyNumberFormat="1" applyFont="1" applyBorder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2" fillId="0" borderId="3" xfId="0" applyNumberFormat="1" applyFont="1" applyFill="1" applyBorder="1" applyAlignment="1">
      <alignment horizontal="center"/>
    </xf>
    <xf numFmtId="170" fontId="3" fillId="0" borderId="0" xfId="0" applyNumberFormat="1" applyFont="1" applyAlignment="1">
      <alignment horizontal="center"/>
    </xf>
    <xf numFmtId="0" fontId="2" fillId="0" borderId="0" xfId="0" applyFont="1" applyFill="1"/>
    <xf numFmtId="0" fontId="4" fillId="2" borderId="4" xfId="0" applyFont="1" applyFill="1" applyBorder="1" applyAlignment="1">
      <alignment horizontal="center"/>
    </xf>
    <xf numFmtId="14" fontId="4" fillId="2" borderId="5" xfId="0" applyNumberFormat="1" applyFont="1" applyFill="1" applyBorder="1" applyAlignment="1">
      <alignment horizontal="center"/>
    </xf>
    <xf numFmtId="14" fontId="2" fillId="0" borderId="0" xfId="0" applyNumberFormat="1" applyFont="1" applyFill="1" applyBorder="1"/>
    <xf numFmtId="22" fontId="9" fillId="0" borderId="0" xfId="0" applyNumberFormat="1" applyFont="1" applyFill="1" applyAlignment="1">
      <alignment horizontal="center"/>
    </xf>
    <xf numFmtId="0" fontId="4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9" fontId="11" fillId="2" borderId="9" xfId="0" applyNumberFormat="1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17" fontId="2" fillId="0" borderId="0" xfId="0" applyNumberFormat="1" applyFont="1" applyFill="1" applyBorder="1" applyAlignment="1" applyProtection="1">
      <alignment horizontal="center"/>
    </xf>
    <xf numFmtId="38" fontId="2" fillId="0" borderId="0" xfId="1" applyNumberFormat="1" applyFont="1" applyFill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Alignment="1">
      <alignment horizontal="center"/>
    </xf>
    <xf numFmtId="168" fontId="2" fillId="0" borderId="0" xfId="1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38" fontId="2" fillId="0" borderId="0" xfId="1" applyNumberFormat="1" applyFont="1" applyFill="1" applyAlignment="1">
      <alignment horizontal="center"/>
    </xf>
    <xf numFmtId="174" fontId="2" fillId="0" borderId="0" xfId="0" applyNumberFormat="1" applyFont="1" applyFill="1" applyAlignment="1">
      <alignment horizontal="center"/>
    </xf>
    <xf numFmtId="9" fontId="2" fillId="0" borderId="0" xfId="4" applyFont="1" applyFill="1" applyAlignment="1">
      <alignment horizontal="center"/>
    </xf>
    <xf numFmtId="171" fontId="2" fillId="0" borderId="0" xfId="1" applyNumberFormat="1" applyFont="1" applyFill="1" applyAlignment="1">
      <alignment horizontal="center"/>
    </xf>
    <xf numFmtId="37" fontId="2" fillId="0" borderId="0" xfId="1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73" fontId="2" fillId="0" borderId="0" xfId="0" applyNumberFormat="1" applyFont="1" applyFill="1" applyBorder="1" applyAlignment="1" applyProtection="1">
      <alignment horizontal="center"/>
    </xf>
    <xf numFmtId="40" fontId="2" fillId="0" borderId="0" xfId="1" applyNumberFormat="1" applyFont="1" applyFill="1" applyAlignment="1">
      <alignment horizontal="center"/>
    </xf>
    <xf numFmtId="172" fontId="2" fillId="0" borderId="0" xfId="0" applyNumberFormat="1" applyFont="1" applyFill="1" applyAlignment="1">
      <alignment horizontal="center"/>
    </xf>
    <xf numFmtId="15" fontId="2" fillId="0" borderId="11" xfId="0" applyNumberFormat="1" applyFont="1" applyFill="1" applyBorder="1" applyAlignment="1">
      <alignment horizontal="center"/>
    </xf>
    <xf numFmtId="0" fontId="4" fillId="3" borderId="4" xfId="0" applyFont="1" applyFill="1" applyBorder="1"/>
    <xf numFmtId="0" fontId="2" fillId="3" borderId="9" xfId="0" applyFont="1" applyFill="1" applyBorder="1"/>
    <xf numFmtId="173" fontId="2" fillId="0" borderId="0" xfId="0" applyNumberFormat="1" applyFont="1" applyFill="1" applyBorder="1" applyAlignment="1" applyProtection="1">
      <alignment horizontal="right"/>
    </xf>
    <xf numFmtId="38" fontId="2" fillId="0" borderId="0" xfId="1" applyNumberFormat="1" applyFont="1" applyFill="1" applyBorder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right"/>
    </xf>
    <xf numFmtId="40" fontId="2" fillId="0" borderId="0" xfId="1" applyNumberFormat="1" applyFont="1" applyFill="1"/>
    <xf numFmtId="38" fontId="2" fillId="0" borderId="0" xfId="1" applyNumberFormat="1" applyFont="1" applyFill="1"/>
    <xf numFmtId="172" fontId="2" fillId="0" borderId="0" xfId="0" applyNumberFormat="1" applyFont="1" applyFill="1"/>
    <xf numFmtId="9" fontId="2" fillId="0" borderId="0" xfId="4" applyFont="1" applyFill="1"/>
    <xf numFmtId="171" fontId="2" fillId="0" borderId="0" xfId="1" applyNumberFormat="1" applyFont="1" applyFill="1"/>
    <xf numFmtId="0" fontId="12" fillId="0" borderId="0" xfId="0" applyFont="1" applyFill="1"/>
    <xf numFmtId="171" fontId="2" fillId="2" borderId="12" xfId="1" applyNumberFormat="1" applyFont="1" applyFill="1" applyBorder="1"/>
    <xf numFmtId="0" fontId="2" fillId="2" borderId="13" xfId="0" applyFont="1" applyFill="1" applyBorder="1"/>
    <xf numFmtId="0" fontId="2" fillId="2" borderId="13" xfId="0" quotePrefix="1" applyFont="1" applyFill="1" applyBorder="1"/>
    <xf numFmtId="0" fontId="12" fillId="2" borderId="14" xfId="0" applyFont="1" applyFill="1" applyBorder="1"/>
    <xf numFmtId="171" fontId="2" fillId="2" borderId="15" xfId="1" applyNumberFormat="1" applyFont="1" applyFill="1" applyBorder="1"/>
    <xf numFmtId="0" fontId="2" fillId="2" borderId="0" xfId="0" applyFont="1" applyFill="1" applyBorder="1"/>
    <xf numFmtId="0" fontId="2" fillId="2" borderId="0" xfId="0" quotePrefix="1" applyFont="1" applyFill="1" applyBorder="1"/>
    <xf numFmtId="0" fontId="12" fillId="2" borderId="16" xfId="0" applyFont="1" applyFill="1" applyBorder="1"/>
    <xf numFmtId="171" fontId="2" fillId="2" borderId="17" xfId="1" applyNumberFormat="1" applyFont="1" applyFill="1" applyBorder="1"/>
    <xf numFmtId="0" fontId="2" fillId="2" borderId="3" xfId="0" applyFont="1" applyFill="1" applyBorder="1"/>
    <xf numFmtId="0" fontId="2" fillId="2" borderId="3" xfId="0" quotePrefix="1" applyFont="1" applyFill="1" applyBorder="1"/>
    <xf numFmtId="0" fontId="12" fillId="2" borderId="18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0" xfId="0" applyFont="1" applyFill="1" applyBorder="1"/>
    <xf numFmtId="37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3" fillId="0" borderId="0" xfId="0" applyNumberFormat="1" applyFont="1" applyFill="1" applyAlignment="1">
      <alignment horizontal="center"/>
    </xf>
    <xf numFmtId="168" fontId="10" fillId="0" borderId="8" xfId="0" applyNumberFormat="1" applyFont="1" applyFill="1" applyBorder="1" applyAlignment="1">
      <alignment horizontal="center"/>
    </xf>
    <xf numFmtId="168" fontId="10" fillId="0" borderId="18" xfId="0" applyNumberFormat="1" applyFont="1" applyFill="1" applyBorder="1" applyAlignment="1">
      <alignment horizontal="center"/>
    </xf>
    <xf numFmtId="164" fontId="4" fillId="0" borderId="0" xfId="3" applyNumberFormat="1" applyFont="1" applyAlignment="1">
      <alignment horizontal="center" wrapText="1"/>
    </xf>
    <xf numFmtId="6" fontId="2" fillId="0" borderId="0" xfId="0" applyNumberFormat="1" applyFont="1" applyBorder="1" applyAlignment="1">
      <alignment horizontal="center"/>
    </xf>
    <xf numFmtId="168" fontId="3" fillId="0" borderId="0" xfId="1" applyNumberFormat="1" applyFont="1" applyFill="1" applyAlignment="1">
      <alignment horizontal="center"/>
    </xf>
    <xf numFmtId="9" fontId="3" fillId="0" borderId="0" xfId="4" applyFont="1" applyFill="1" applyAlignment="1">
      <alignment horizontal="center"/>
    </xf>
    <xf numFmtId="175" fontId="2" fillId="0" borderId="0" xfId="0" applyNumberFormat="1" applyFont="1" applyFill="1" applyAlignment="1">
      <alignment horizontal="center"/>
    </xf>
    <xf numFmtId="5" fontId="2" fillId="0" borderId="0" xfId="1" applyNumberFormat="1" applyFont="1" applyFill="1" applyAlignment="1">
      <alignment horizontal="center"/>
    </xf>
    <xf numFmtId="5" fontId="2" fillId="0" borderId="3" xfId="1" applyNumberFormat="1" applyFont="1" applyFill="1" applyBorder="1" applyAlignment="1">
      <alignment horizontal="center"/>
    </xf>
    <xf numFmtId="5" fontId="12" fillId="0" borderId="0" xfId="0" applyNumberFormat="1" applyFont="1" applyFill="1" applyAlignment="1">
      <alignment horizontal="center"/>
    </xf>
    <xf numFmtId="5" fontId="2" fillId="3" borderId="10" xfId="0" applyNumberFormat="1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 wrapText="1"/>
    </xf>
    <xf numFmtId="49" fontId="4" fillId="2" borderId="9" xfId="0" applyNumberFormat="1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8" fillId="0" borderId="0" xfId="0" applyFont="1"/>
    <xf numFmtId="10" fontId="8" fillId="0" borderId="0" xfId="0" applyNumberFormat="1" applyFont="1" applyAlignment="1">
      <alignment horizontal="center" wrapText="1"/>
    </xf>
    <xf numFmtId="10" fontId="0" fillId="0" borderId="0" xfId="0" applyNumberFormat="1"/>
    <xf numFmtId="37" fontId="8" fillId="0" borderId="0" xfId="0" applyNumberFormat="1" applyFont="1" applyAlignment="1">
      <alignment horizontal="center" wrapText="1"/>
    </xf>
    <xf numFmtId="37" fontId="0" fillId="0" borderId="0" xfId="0" applyNumberFormat="1"/>
    <xf numFmtId="37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0" fontId="7" fillId="0" borderId="0" xfId="0" applyNumberFormat="1" applyFont="1" applyFill="1" applyAlignment="1">
      <alignment horizontal="center"/>
    </xf>
    <xf numFmtId="37" fontId="0" fillId="0" borderId="3" xfId="0" applyNumberFormat="1" applyBorder="1" applyAlignment="1">
      <alignment horizontal="center"/>
    </xf>
    <xf numFmtId="17" fontId="8" fillId="2" borderId="12" xfId="0" applyNumberFormat="1" applyFont="1" applyFill="1" applyBorder="1" applyAlignment="1">
      <alignment horizontal="center"/>
    </xf>
    <xf numFmtId="0" fontId="8" fillId="2" borderId="13" xfId="0" applyFont="1" applyFill="1" applyBorder="1"/>
    <xf numFmtId="37" fontId="8" fillId="2" borderId="13" xfId="0" applyNumberFormat="1" applyFont="1" applyFill="1" applyBorder="1" applyAlignment="1">
      <alignment horizontal="center"/>
    </xf>
    <xf numFmtId="10" fontId="6" fillId="2" borderId="13" xfId="0" applyNumberFormat="1" applyFont="1" applyFill="1" applyBorder="1" applyAlignment="1">
      <alignment horizontal="center"/>
    </xf>
    <xf numFmtId="37" fontId="8" fillId="2" borderId="14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0" xfId="0" applyFont="1" applyFill="1" applyBorder="1"/>
    <xf numFmtId="10" fontId="8" fillId="2" borderId="0" xfId="0" applyNumberFormat="1" applyFont="1" applyFill="1" applyBorder="1"/>
    <xf numFmtId="37" fontId="8" fillId="2" borderId="0" xfId="0" applyNumberFormat="1" applyFont="1" applyFill="1" applyBorder="1" applyAlignment="1">
      <alignment horizontal="center"/>
    </xf>
    <xf numFmtId="37" fontId="8" fillId="2" borderId="16" xfId="0" applyNumberFormat="1" applyFont="1" applyFill="1" applyBorder="1" applyAlignment="1">
      <alignment horizontal="center"/>
    </xf>
    <xf numFmtId="17" fontId="8" fillId="2" borderId="15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7" fontId="8" fillId="2" borderId="17" xfId="0" applyNumberFormat="1" applyFont="1" applyFill="1" applyBorder="1" applyAlignment="1">
      <alignment horizontal="center"/>
    </xf>
    <xf numFmtId="0" fontId="8" fillId="2" borderId="3" xfId="0" applyFont="1" applyFill="1" applyBorder="1"/>
    <xf numFmtId="37" fontId="8" fillId="2" borderId="3" xfId="0" applyNumberFormat="1" applyFont="1" applyFill="1" applyBorder="1" applyAlignment="1">
      <alignment horizontal="center"/>
    </xf>
    <xf numFmtId="10" fontId="6" fillId="2" borderId="3" xfId="0" applyNumberFormat="1" applyFont="1" applyFill="1" applyBorder="1" applyAlignment="1">
      <alignment horizontal="center"/>
    </xf>
    <xf numFmtId="37" fontId="8" fillId="2" borderId="18" xfId="0" applyNumberFormat="1" applyFont="1" applyFill="1" applyBorder="1" applyAlignment="1">
      <alignment horizontal="center"/>
    </xf>
    <xf numFmtId="17" fontId="8" fillId="0" borderId="0" xfId="0" applyNumberFormat="1" applyFont="1" applyAlignment="1">
      <alignment horizontal="center"/>
    </xf>
    <xf numFmtId="176" fontId="0" fillId="0" borderId="0" xfId="2" applyNumberFormat="1" applyFont="1" applyAlignment="1">
      <alignment horizontal="center" vertical="top" wrapText="1"/>
    </xf>
    <xf numFmtId="177" fontId="0" fillId="0" borderId="0" xfId="2" applyNumberFormat="1" applyFont="1" applyAlignment="1">
      <alignment horizontal="center" vertical="top" wrapText="1"/>
    </xf>
    <xf numFmtId="5" fontId="2" fillId="0" borderId="0" xfId="1" applyNumberFormat="1" applyFont="1" applyFill="1" applyBorder="1" applyAlignment="1">
      <alignment horizontal="center"/>
    </xf>
    <xf numFmtId="178" fontId="0" fillId="0" borderId="0" xfId="0" applyNumberFormat="1" applyAlignment="1">
      <alignment horizontal="center"/>
    </xf>
    <xf numFmtId="0" fontId="8" fillId="0" borderId="19" xfId="0" applyFont="1" applyBorder="1" applyAlignment="1">
      <alignment horizontal="center"/>
    </xf>
    <xf numFmtId="178" fontId="8" fillId="0" borderId="19" xfId="0" applyNumberFormat="1" applyFont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37" fontId="0" fillId="2" borderId="0" xfId="0" applyNumberFormat="1" applyFill="1" applyAlignment="1">
      <alignment horizontal="center"/>
    </xf>
    <xf numFmtId="174" fontId="3" fillId="0" borderId="0" xfId="0" applyNumberFormat="1" applyFont="1" applyFill="1" applyAlignment="1">
      <alignment horizontal="center"/>
    </xf>
    <xf numFmtId="185" fontId="2" fillId="0" borderId="0" xfId="0" applyNumberFormat="1" applyFont="1" applyFill="1" applyBorder="1" applyAlignment="1">
      <alignment horizontal="center"/>
    </xf>
    <xf numFmtId="37" fontId="8" fillId="0" borderId="19" xfId="0" applyNumberFormat="1" applyFont="1" applyBorder="1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2" borderId="20" xfId="0" applyNumberFormat="1" applyFill="1" applyBorder="1" applyAlignment="1">
      <alignment horizontal="center"/>
    </xf>
    <xf numFmtId="3" fontId="0" fillId="2" borderId="21" xfId="0" applyNumberForma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178" fontId="0" fillId="2" borderId="7" xfId="0" applyNumberFormat="1" applyFill="1" applyBorder="1" applyAlignment="1">
      <alignment horizontal="center"/>
    </xf>
    <xf numFmtId="3" fontId="0" fillId="2" borderId="7" xfId="0" applyNumberFormat="1" applyFill="1" applyBorder="1" applyAlignment="1">
      <alignment horizontal="center"/>
    </xf>
    <xf numFmtId="37" fontId="8" fillId="2" borderId="1" xfId="0" applyNumberFormat="1" applyFont="1" applyFill="1" applyBorder="1" applyAlignment="1">
      <alignment horizontal="center" wrapText="1"/>
    </xf>
    <xf numFmtId="10" fontId="0" fillId="0" borderId="0" xfId="4" applyNumberFormat="1" applyFont="1" applyAlignment="1">
      <alignment horizontal="center"/>
    </xf>
    <xf numFmtId="3" fontId="0" fillId="2" borderId="6" xfId="0" applyNumberFormat="1" applyFill="1" applyBorder="1" applyAlignment="1">
      <alignment horizontal="center"/>
    </xf>
    <xf numFmtId="0" fontId="0" fillId="4" borderId="0" xfId="0" applyFill="1"/>
    <xf numFmtId="0" fontId="8" fillId="4" borderId="0" xfId="0" applyFont="1" applyFill="1"/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17" fontId="8" fillId="4" borderId="0" xfId="0" applyNumberFormat="1" applyFont="1" applyFill="1" applyAlignment="1">
      <alignment horizontal="center"/>
    </xf>
    <xf numFmtId="0" fontId="14" fillId="4" borderId="0" xfId="0" applyFont="1" applyFill="1" applyBorder="1"/>
    <xf numFmtId="0" fontId="8" fillId="4" borderId="0" xfId="0" applyFont="1" applyFill="1" applyAlignment="1">
      <alignment horizontal="center"/>
    </xf>
    <xf numFmtId="38" fontId="0" fillId="5" borderId="12" xfId="0" applyNumberFormat="1" applyFill="1" applyBorder="1" applyAlignment="1">
      <alignment horizontal="center"/>
    </xf>
    <xf numFmtId="38" fontId="0" fillId="5" borderId="13" xfId="0" applyNumberFormat="1" applyFill="1" applyBorder="1" applyAlignment="1">
      <alignment horizontal="center"/>
    </xf>
    <xf numFmtId="38" fontId="0" fillId="5" borderId="20" xfId="0" applyNumberFormat="1" applyFill="1" applyBorder="1" applyAlignment="1">
      <alignment horizontal="center"/>
    </xf>
    <xf numFmtId="38" fontId="0" fillId="5" borderId="15" xfId="0" applyNumberFormat="1" applyFill="1" applyBorder="1" applyAlignment="1">
      <alignment horizontal="center"/>
    </xf>
    <xf numFmtId="38" fontId="0" fillId="5" borderId="0" xfId="0" applyNumberFormat="1" applyFill="1" applyBorder="1" applyAlignment="1">
      <alignment horizontal="center"/>
    </xf>
    <xf numFmtId="38" fontId="0" fillId="5" borderId="21" xfId="0" applyNumberFormat="1" applyFill="1" applyBorder="1" applyAlignment="1">
      <alignment horizontal="center"/>
    </xf>
    <xf numFmtId="38" fontId="0" fillId="5" borderId="17" xfId="0" applyNumberFormat="1" applyFill="1" applyBorder="1" applyAlignment="1">
      <alignment horizontal="center"/>
    </xf>
    <xf numFmtId="38" fontId="0" fillId="5" borderId="3" xfId="0" applyNumberFormat="1" applyFill="1" applyBorder="1" applyAlignment="1">
      <alignment horizontal="center"/>
    </xf>
    <xf numFmtId="38" fontId="0" fillId="5" borderId="2" xfId="0" applyNumberFormat="1" applyFill="1" applyBorder="1" applyAlignment="1">
      <alignment horizontal="center"/>
    </xf>
    <xf numFmtId="187" fontId="0" fillId="6" borderId="12" xfId="0" applyNumberFormat="1" applyFill="1" applyBorder="1" applyAlignment="1">
      <alignment horizontal="center"/>
    </xf>
    <xf numFmtId="187" fontId="0" fillId="6" borderId="14" xfId="0" applyNumberFormat="1" applyFill="1" applyBorder="1" applyAlignment="1">
      <alignment horizontal="center"/>
    </xf>
    <xf numFmtId="187" fontId="0" fillId="6" borderId="15" xfId="0" applyNumberFormat="1" applyFill="1" applyBorder="1" applyAlignment="1">
      <alignment horizontal="center"/>
    </xf>
    <xf numFmtId="187" fontId="0" fillId="6" borderId="16" xfId="0" applyNumberFormat="1" applyFill="1" applyBorder="1" applyAlignment="1">
      <alignment horizontal="center"/>
    </xf>
    <xf numFmtId="187" fontId="0" fillId="6" borderId="17" xfId="0" applyNumberFormat="1" applyFill="1" applyBorder="1" applyAlignment="1">
      <alignment horizontal="center"/>
    </xf>
    <xf numFmtId="187" fontId="0" fillId="6" borderId="18" xfId="0" applyNumberFormat="1" applyFill="1" applyBorder="1" applyAlignment="1">
      <alignment horizontal="center"/>
    </xf>
    <xf numFmtId="174" fontId="15" fillId="7" borderId="12" xfId="4" applyNumberFormat="1" applyFont="1" applyFill="1" applyBorder="1" applyAlignment="1">
      <alignment horizontal="center"/>
    </xf>
    <xf numFmtId="190" fontId="0" fillId="7" borderId="14" xfId="0" applyNumberFormat="1" applyFill="1" applyBorder="1" applyAlignment="1">
      <alignment horizontal="center"/>
    </xf>
    <xf numFmtId="174" fontId="15" fillId="7" borderId="15" xfId="4" applyNumberFormat="1" applyFont="1" applyFill="1" applyBorder="1" applyAlignment="1">
      <alignment horizontal="center"/>
    </xf>
    <xf numFmtId="190" fontId="0" fillId="7" borderId="16" xfId="0" applyNumberFormat="1" applyFill="1" applyBorder="1" applyAlignment="1">
      <alignment horizontal="center"/>
    </xf>
    <xf numFmtId="174" fontId="15" fillId="7" borderId="17" xfId="4" applyNumberFormat="1" applyFont="1" applyFill="1" applyBorder="1" applyAlignment="1">
      <alignment horizontal="center"/>
    </xf>
    <xf numFmtId="190" fontId="0" fillId="7" borderId="18" xfId="0" applyNumberFormat="1" applyFill="1" applyBorder="1" applyAlignment="1">
      <alignment horizontal="center"/>
    </xf>
    <xf numFmtId="0" fontId="0" fillId="0" borderId="0" xfId="0" applyFill="1" applyBorder="1"/>
    <xf numFmtId="5" fontId="0" fillId="2" borderId="20" xfId="0" applyNumberFormat="1" applyFill="1" applyBorder="1" applyAlignment="1">
      <alignment horizontal="center"/>
    </xf>
    <xf numFmtId="5" fontId="0" fillId="2" borderId="21" xfId="0" applyNumberFormat="1" applyFill="1" applyBorder="1" applyAlignment="1">
      <alignment horizontal="center"/>
    </xf>
    <xf numFmtId="5" fontId="0" fillId="2" borderId="2" xfId="0" applyNumberForma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14" fontId="8" fillId="4" borderId="1" xfId="0" applyNumberFormat="1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170" fontId="14" fillId="4" borderId="1" xfId="0" applyNumberFormat="1" applyFont="1" applyFill="1" applyBorder="1" applyAlignment="1">
      <alignment horizontal="center"/>
    </xf>
    <xf numFmtId="6" fontId="0" fillId="8" borderId="12" xfId="0" applyNumberFormat="1" applyFill="1" applyBorder="1" applyAlignment="1">
      <alignment horizontal="center"/>
    </xf>
    <xf numFmtId="6" fontId="0" fillId="8" borderId="13" xfId="0" applyNumberFormat="1" applyFill="1" applyBorder="1" applyAlignment="1">
      <alignment horizontal="center"/>
    </xf>
    <xf numFmtId="6" fontId="0" fillId="8" borderId="15" xfId="0" applyNumberFormat="1" applyFill="1" applyBorder="1" applyAlignment="1">
      <alignment horizontal="center"/>
    </xf>
    <xf numFmtId="6" fontId="0" fillId="8" borderId="0" xfId="0" applyNumberFormat="1" applyFill="1" applyBorder="1" applyAlignment="1">
      <alignment horizontal="center"/>
    </xf>
    <xf numFmtId="6" fontId="0" fillId="8" borderId="17" xfId="0" applyNumberFormat="1" applyFill="1" applyBorder="1" applyAlignment="1">
      <alignment horizontal="center"/>
    </xf>
    <xf numFmtId="6" fontId="0" fillId="8" borderId="3" xfId="0" applyNumberForma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38" fontId="0" fillId="7" borderId="20" xfId="0" applyNumberFormat="1" applyFill="1" applyBorder="1" applyAlignment="1">
      <alignment horizontal="center"/>
    </xf>
    <xf numFmtId="38" fontId="0" fillId="7" borderId="14" xfId="0" applyNumberFormat="1" applyFill="1" applyBorder="1" applyAlignment="1">
      <alignment horizontal="center"/>
    </xf>
    <xf numFmtId="38" fontId="0" fillId="7" borderId="16" xfId="0" applyNumberFormat="1" applyFill="1" applyBorder="1" applyAlignment="1">
      <alignment horizontal="center"/>
    </xf>
    <xf numFmtId="38" fontId="0" fillId="7" borderId="18" xfId="0" applyNumberForma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95" fontId="2" fillId="0" borderId="0" xfId="0" applyNumberFormat="1" applyFont="1" applyFill="1" applyAlignment="1">
      <alignment horizontal="center"/>
    </xf>
    <xf numFmtId="38" fontId="0" fillId="6" borderId="12" xfId="0" applyNumberFormat="1" applyFill="1" applyBorder="1" applyAlignment="1">
      <alignment horizontal="center"/>
    </xf>
    <xf numFmtId="38" fontId="0" fillId="6" borderId="13" xfId="0" applyNumberForma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38" fontId="0" fillId="6" borderId="15" xfId="0" applyNumberFormat="1" applyFill="1" applyBorder="1" applyAlignment="1">
      <alignment horizontal="center"/>
    </xf>
    <xf numFmtId="38" fontId="0" fillId="6" borderId="0" xfId="0" applyNumberForma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38" fontId="0" fillId="6" borderId="17" xfId="0" applyNumberFormat="1" applyFill="1" applyBorder="1" applyAlignment="1">
      <alignment horizontal="center"/>
    </xf>
    <xf numFmtId="38" fontId="0" fillId="6" borderId="3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6" fontId="0" fillId="6" borderId="20" xfId="0" applyNumberFormat="1" applyFill="1" applyBorder="1" applyAlignment="1">
      <alignment horizontal="center"/>
    </xf>
    <xf numFmtId="6" fontId="0" fillId="6" borderId="21" xfId="0" applyNumberFormat="1" applyFill="1" applyBorder="1" applyAlignment="1">
      <alignment horizontal="center"/>
    </xf>
    <xf numFmtId="6" fontId="0" fillId="6" borderId="2" xfId="0" applyNumberFormat="1" applyFill="1" applyBorder="1" applyAlignment="1">
      <alignment horizontal="center"/>
    </xf>
    <xf numFmtId="6" fontId="0" fillId="2" borderId="20" xfId="0" applyNumberFormat="1" applyFill="1" applyBorder="1" applyAlignment="1">
      <alignment horizontal="center"/>
    </xf>
    <xf numFmtId="6" fontId="0" fillId="2" borderId="21" xfId="0" applyNumberFormat="1" applyFill="1" applyBorder="1" applyAlignment="1">
      <alignment horizontal="center"/>
    </xf>
    <xf numFmtId="6" fontId="0" fillId="2" borderId="2" xfId="0" applyNumberFormat="1" applyFill="1" applyBorder="1" applyAlignment="1">
      <alignment horizontal="center"/>
    </xf>
    <xf numFmtId="192" fontId="14" fillId="4" borderId="1" xfId="0" applyNumberFormat="1" applyFont="1" applyFill="1" applyBorder="1" applyAlignment="1">
      <alignment horizontal="center"/>
    </xf>
    <xf numFmtId="6" fontId="16" fillId="4" borderId="7" xfId="0" applyNumberFormat="1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38" fontId="16" fillId="4" borderId="7" xfId="0" applyNumberFormat="1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8" fillId="9" borderId="17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 wrapText="1"/>
    </xf>
    <xf numFmtId="0" fontId="0" fillId="9" borderId="12" xfId="0" applyFill="1" applyBorder="1"/>
    <xf numFmtId="0" fontId="0" fillId="9" borderId="13" xfId="0" applyFill="1" applyBorder="1"/>
    <xf numFmtId="0" fontId="8" fillId="9" borderId="13" xfId="0" applyFont="1" applyFill="1" applyBorder="1" applyAlignment="1">
      <alignment horizontal="center"/>
    </xf>
    <xf numFmtId="6" fontId="16" fillId="10" borderId="20" xfId="0" applyNumberFormat="1" applyFont="1" applyFill="1" applyBorder="1" applyAlignment="1">
      <alignment horizontal="center"/>
    </xf>
    <xf numFmtId="6" fontId="16" fillId="10" borderId="21" xfId="0" applyNumberFormat="1" applyFont="1" applyFill="1" applyBorder="1" applyAlignment="1">
      <alignment horizontal="center"/>
    </xf>
    <xf numFmtId="6" fontId="16" fillId="10" borderId="2" xfId="0" applyNumberFormat="1" applyFont="1" applyFill="1" applyBorder="1" applyAlignment="1">
      <alignment horizontal="center"/>
    </xf>
    <xf numFmtId="6" fontId="17" fillId="10" borderId="1" xfId="0" applyNumberFormat="1" applyFont="1" applyFill="1" applyBorder="1" applyAlignment="1">
      <alignment horizontal="center"/>
    </xf>
    <xf numFmtId="0" fontId="0" fillId="10" borderId="20" xfId="0" applyFill="1" applyBorder="1"/>
    <xf numFmtId="0" fontId="8" fillId="10" borderId="2" xfId="0" applyFont="1" applyFill="1" applyBorder="1" applyAlignment="1">
      <alignment horizontal="center" wrapText="1"/>
    </xf>
    <xf numFmtId="38" fontId="0" fillId="7" borderId="21" xfId="0" applyNumberFormat="1" applyFill="1" applyBorder="1" applyAlignment="1">
      <alignment horizontal="center"/>
    </xf>
    <xf numFmtId="38" fontId="0" fillId="7" borderId="2" xfId="0" applyNumberFormat="1" applyFill="1" applyBorder="1" applyAlignment="1">
      <alignment horizontal="center"/>
    </xf>
    <xf numFmtId="0" fontId="0" fillId="11" borderId="6" xfId="0" applyFill="1" applyBorder="1" applyAlignment="1">
      <alignment horizontal="center" wrapText="1"/>
    </xf>
    <xf numFmtId="0" fontId="0" fillId="11" borderId="7" xfId="0" applyFill="1" applyBorder="1" applyAlignment="1">
      <alignment horizontal="center" wrapText="1"/>
    </xf>
    <xf numFmtId="0" fontId="0" fillId="11" borderId="8" xfId="0" applyFill="1" applyBorder="1" applyAlignment="1">
      <alignment horizontal="center" wrapText="1"/>
    </xf>
    <xf numFmtId="198" fontId="0" fillId="11" borderId="6" xfId="0" applyNumberFormat="1" applyFill="1" applyBorder="1" applyAlignment="1">
      <alignment horizontal="center"/>
    </xf>
    <xf numFmtId="198" fontId="0" fillId="11" borderId="7" xfId="0" applyNumberFormat="1" applyFill="1" applyBorder="1" applyAlignment="1">
      <alignment horizontal="center"/>
    </xf>
    <xf numFmtId="198" fontId="0" fillId="11" borderId="8" xfId="0" applyNumberFormat="1" applyFill="1" applyBorder="1" applyAlignment="1">
      <alignment horizontal="center"/>
    </xf>
    <xf numFmtId="6" fontId="0" fillId="6" borderId="12" xfId="0" applyNumberFormat="1" applyFill="1" applyBorder="1" applyAlignment="1">
      <alignment horizontal="center"/>
    </xf>
    <xf numFmtId="6" fontId="0" fillId="6" borderId="15" xfId="0" applyNumberFormat="1" applyFill="1" applyBorder="1" applyAlignment="1">
      <alignment horizontal="center"/>
    </xf>
    <xf numFmtId="6" fontId="0" fillId="6" borderId="17" xfId="0" applyNumberFormat="1" applyFill="1" applyBorder="1" applyAlignment="1">
      <alignment horizontal="center"/>
    </xf>
    <xf numFmtId="6" fontId="16" fillId="10" borderId="14" xfId="0" applyNumberFormat="1" applyFont="1" applyFill="1" applyBorder="1" applyAlignment="1">
      <alignment horizontal="center"/>
    </xf>
    <xf numFmtId="6" fontId="16" fillId="10" borderId="16" xfId="0" applyNumberFormat="1" applyFont="1" applyFill="1" applyBorder="1" applyAlignment="1">
      <alignment horizontal="center"/>
    </xf>
    <xf numFmtId="6" fontId="16" fillId="10" borderId="18" xfId="0" applyNumberFormat="1" applyFont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17" fontId="8" fillId="2" borderId="6" xfId="0" applyNumberFormat="1" applyFont="1" applyFill="1" applyBorder="1" applyAlignment="1">
      <alignment horizontal="center"/>
    </xf>
    <xf numFmtId="0" fontId="8" fillId="2" borderId="7" xfId="0" applyFont="1" applyFill="1" applyBorder="1"/>
    <xf numFmtId="37" fontId="8" fillId="2" borderId="7" xfId="0" applyNumberFormat="1" applyFont="1" applyFill="1" applyBorder="1" applyAlignment="1">
      <alignment horizontal="center"/>
    </xf>
    <xf numFmtId="10" fontId="6" fillId="2" borderId="7" xfId="0" applyNumberFormat="1" applyFont="1" applyFill="1" applyBorder="1" applyAlignment="1">
      <alignment horizontal="center"/>
    </xf>
    <xf numFmtId="37" fontId="8" fillId="2" borderId="8" xfId="0" applyNumberFormat="1" applyFont="1" applyFill="1" applyBorder="1" applyAlignment="1">
      <alignment horizontal="center"/>
    </xf>
    <xf numFmtId="6" fontId="0" fillId="7" borderId="14" xfId="0" applyNumberFormat="1" applyFill="1" applyBorder="1" applyAlignment="1">
      <alignment horizontal="center"/>
    </xf>
    <xf numFmtId="6" fontId="0" fillId="5" borderId="20" xfId="0" applyNumberFormat="1" applyFill="1" applyBorder="1" applyAlignment="1">
      <alignment horizontal="center"/>
    </xf>
    <xf numFmtId="6" fontId="0" fillId="7" borderId="16" xfId="0" applyNumberFormat="1" applyFill="1" applyBorder="1" applyAlignment="1">
      <alignment horizontal="center"/>
    </xf>
    <xf numFmtId="6" fontId="0" fillId="5" borderId="21" xfId="0" applyNumberFormat="1" applyFill="1" applyBorder="1" applyAlignment="1">
      <alignment horizontal="center"/>
    </xf>
    <xf numFmtId="6" fontId="0" fillId="7" borderId="18" xfId="0" applyNumberFormat="1" applyFill="1" applyBorder="1" applyAlignment="1">
      <alignment horizontal="center"/>
    </xf>
    <xf numFmtId="6" fontId="0" fillId="5" borderId="2" xfId="0" applyNumberFormat="1" applyFill="1" applyBorder="1" applyAlignment="1">
      <alignment horizontal="center"/>
    </xf>
    <xf numFmtId="200" fontId="0" fillId="6" borderId="14" xfId="0" applyNumberFormat="1" applyFill="1" applyBorder="1" applyAlignment="1">
      <alignment horizontal="center"/>
    </xf>
    <xf numFmtId="200" fontId="0" fillId="6" borderId="16" xfId="0" applyNumberFormat="1" applyFill="1" applyBorder="1" applyAlignment="1">
      <alignment horizontal="center"/>
    </xf>
    <xf numFmtId="200" fontId="0" fillId="6" borderId="18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09" fontId="0" fillId="4" borderId="7" xfId="0" applyNumberFormat="1" applyFill="1" applyBorder="1" applyAlignment="1">
      <alignment horizontal="center"/>
    </xf>
    <xf numFmtId="209" fontId="16" fillId="10" borderId="1" xfId="0" applyNumberFormat="1" applyFont="1" applyFill="1" applyBorder="1" applyAlignment="1">
      <alignment horizontal="center"/>
    </xf>
    <xf numFmtId="38" fontId="0" fillId="7" borderId="12" xfId="0" applyNumberFormat="1" applyFill="1" applyBorder="1" applyAlignment="1">
      <alignment horizontal="center"/>
    </xf>
    <xf numFmtId="38" fontId="0" fillId="7" borderId="15" xfId="0" applyNumberFormat="1" applyFill="1" applyBorder="1" applyAlignment="1">
      <alignment horizontal="center"/>
    </xf>
    <xf numFmtId="38" fontId="0" fillId="7" borderId="17" xfId="0" applyNumberFormat="1" applyFill="1" applyBorder="1" applyAlignment="1">
      <alignment horizontal="center"/>
    </xf>
    <xf numFmtId="0" fontId="8" fillId="9" borderId="6" xfId="0" applyFont="1" applyFill="1" applyBorder="1" applyAlignment="1">
      <alignment horizontal="center" wrapText="1"/>
    </xf>
    <xf numFmtId="0" fontId="8" fillId="9" borderId="7" xfId="0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 wrapText="1"/>
    </xf>
    <xf numFmtId="209" fontId="0" fillId="4" borderId="8" xfId="0" applyNumberFormat="1" applyFill="1" applyBorder="1" applyAlignment="1">
      <alignment horizontal="center"/>
    </xf>
    <xf numFmtId="6" fontId="0" fillId="4" borderId="0" xfId="0" applyNumberFormat="1" applyFill="1"/>
    <xf numFmtId="198" fontId="0" fillId="11" borderId="1" xfId="0" applyNumberFormat="1" applyFill="1" applyBorder="1" applyAlignment="1">
      <alignment horizontal="center"/>
    </xf>
    <xf numFmtId="0" fontId="8" fillId="9" borderId="1" xfId="0" applyFont="1" applyFill="1" applyBorder="1" applyAlignment="1">
      <alignment horizontal="center" wrapText="1"/>
    </xf>
    <xf numFmtId="0" fontId="8" fillId="9" borderId="8" xfId="0" applyFont="1" applyFill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HL&amp;P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Regions/NymexDly02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Peoples Unwind"/>
      <sheetName val="Orig Sched"/>
      <sheetName val="Roll-4"/>
      <sheetName val="Exotics"/>
      <sheetName val="Curves"/>
      <sheetName val="Daily Macro"/>
      <sheetName val="Monthly Macro"/>
      <sheetName val="Module1"/>
      <sheetName val="Module2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36560</v>
          </cell>
        </row>
      </sheetData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"/>
  <sheetViews>
    <sheetView workbookViewId="0">
      <selection activeCell="D6" sqref="D6"/>
    </sheetView>
  </sheetViews>
  <sheetFormatPr defaultColWidth="9.109375" defaultRowHeight="13.8" x14ac:dyDescent="0.3"/>
  <cols>
    <col min="1" max="1" width="9.109375" style="8"/>
    <col min="2" max="2" width="8.5546875" style="3" customWidth="1"/>
    <col min="3" max="3" width="10" style="3" customWidth="1"/>
    <col min="4" max="4" width="10.88671875" style="3" customWidth="1"/>
    <col min="5" max="7" width="9.109375" style="3"/>
    <col min="8" max="8" width="10" style="3" customWidth="1"/>
    <col min="9" max="9" width="9.109375" style="3"/>
    <col min="10" max="10" width="10.109375" style="3" bestFit="1" customWidth="1"/>
    <col min="11" max="11" width="9.88671875" style="3" customWidth="1"/>
    <col min="12" max="16384" width="9.109375" style="3"/>
  </cols>
  <sheetData>
    <row r="1" spans="1:14" x14ac:dyDescent="0.3">
      <c r="A1" s="10" t="s">
        <v>7</v>
      </c>
      <c r="B1" s="22">
        <f ca="1">+TODAY()</f>
        <v>36570</v>
      </c>
      <c r="C1" s="10" t="s">
        <v>5</v>
      </c>
      <c r="D1" s="90">
        <v>0.03</v>
      </c>
    </row>
    <row r="2" spans="1:14" x14ac:dyDescent="0.3">
      <c r="B2" s="1"/>
      <c r="C2" s="11" t="s">
        <v>6</v>
      </c>
      <c r="D2" s="91">
        <v>0.05</v>
      </c>
    </row>
    <row r="3" spans="1:14" x14ac:dyDescent="0.3">
      <c r="B3" s="1"/>
      <c r="C3" s="24"/>
      <c r="D3" s="25"/>
    </row>
    <row r="4" spans="1:14" s="14" customFormat="1" ht="27.6" x14ac:dyDescent="0.3">
      <c r="A4" s="12" t="s">
        <v>8</v>
      </c>
      <c r="B4" s="12" t="s">
        <v>14</v>
      </c>
      <c r="C4" s="12" t="s">
        <v>45</v>
      </c>
      <c r="D4" s="92" t="s">
        <v>0</v>
      </c>
      <c r="E4" s="13" t="s">
        <v>1</v>
      </c>
      <c r="F4" s="13" t="s">
        <v>39</v>
      </c>
      <c r="G4" s="13" t="s">
        <v>2</v>
      </c>
      <c r="H4" s="13" t="s">
        <v>40</v>
      </c>
      <c r="I4" s="13" t="s">
        <v>3</v>
      </c>
      <c r="J4" s="13" t="s">
        <v>41</v>
      </c>
      <c r="K4" s="13" t="s">
        <v>4</v>
      </c>
      <c r="L4" s="13" t="s">
        <v>9</v>
      </c>
      <c r="M4" s="13" t="s">
        <v>10</v>
      </c>
      <c r="N4" s="13" t="s">
        <v>11</v>
      </c>
    </row>
    <row r="5" spans="1:14" x14ac:dyDescent="0.3">
      <c r="A5" s="5"/>
      <c r="B5" s="5"/>
      <c r="C5" s="4"/>
      <c r="D5" s="2"/>
    </row>
    <row r="6" spans="1:14" x14ac:dyDescent="0.3">
      <c r="A6" s="15">
        <v>36647</v>
      </c>
      <c r="B6" s="23">
        <v>31</v>
      </c>
      <c r="C6" s="7">
        <v>6.1911722728867018E-2</v>
      </c>
      <c r="D6" s="6">
        <f ca="1">1/((1+C6/2)^(2*(A6-$B$1)/365.25))</f>
        <v>0.98722831127057631</v>
      </c>
      <c r="E6" s="89">
        <v>37500</v>
      </c>
      <c r="F6" s="26">
        <f>+E6*$B6</f>
        <v>1162500</v>
      </c>
      <c r="G6" s="89">
        <v>112500</v>
      </c>
      <c r="H6" s="26">
        <f>+G6*$B6</f>
        <v>3487500</v>
      </c>
      <c r="I6" s="89">
        <v>75000</v>
      </c>
      <c r="J6" s="26">
        <f>+I6*$B6</f>
        <v>2325000</v>
      </c>
      <c r="K6" s="9">
        <f ca="1">+J6*D6</f>
        <v>2295305.82370409</v>
      </c>
      <c r="L6" s="28">
        <v>-5.0000000000000001E-3</v>
      </c>
      <c r="M6" s="16">
        <f ca="1">+($D$1-L6)*K6</f>
        <v>80335.703829643142</v>
      </c>
      <c r="N6" s="16">
        <f ca="1">+($D$2-$D$1)*K6</f>
        <v>45906.116474081806</v>
      </c>
    </row>
    <row r="7" spans="1:14" x14ac:dyDescent="0.3">
      <c r="A7" s="15">
        <v>36678</v>
      </c>
      <c r="B7" s="23">
        <v>30</v>
      </c>
      <c r="C7" s="7">
        <v>6.2730365471494021E-2</v>
      </c>
      <c r="D7" s="6">
        <f ca="1">1/((1+C7/2)^(2*(A7-$B$1)/365.25))</f>
        <v>0.98190210814857359</v>
      </c>
      <c r="E7" s="26">
        <f>+E$6</f>
        <v>37500</v>
      </c>
      <c r="F7" s="26">
        <f>+E7*$B7</f>
        <v>1125000</v>
      </c>
      <c r="G7" s="26">
        <f>+G$6</f>
        <v>112500</v>
      </c>
      <c r="H7" s="26">
        <f>+G7*$B7</f>
        <v>3375000</v>
      </c>
      <c r="I7" s="26">
        <f>+I$6</f>
        <v>75000</v>
      </c>
      <c r="J7" s="26">
        <f>+I7*$B7</f>
        <v>2250000</v>
      </c>
      <c r="K7" s="9">
        <f ca="1">+J7*D7</f>
        <v>2209279.7433342906</v>
      </c>
      <c r="L7" s="28">
        <v>-5.0000000000000001E-3</v>
      </c>
      <c r="M7" s="16">
        <f ca="1">+($D$1-L7)*K7</f>
        <v>77324.791016700168</v>
      </c>
      <c r="N7" s="16">
        <f ca="1">+($D$2-$D$1)*K7</f>
        <v>44185.594866685817</v>
      </c>
    </row>
    <row r="8" spans="1:14" x14ac:dyDescent="0.3">
      <c r="A8" s="15">
        <v>36708</v>
      </c>
      <c r="B8" s="23">
        <v>31</v>
      </c>
      <c r="C8" s="7">
        <v>6.3565520369294012E-2</v>
      </c>
      <c r="D8" s="6">
        <f ca="1">1/((1+C8/2)^(2*(A8-$B$1)/365.25))</f>
        <v>0.97663451661957434</v>
      </c>
      <c r="E8" s="89">
        <v>50000</v>
      </c>
      <c r="F8" s="26">
        <f>+E8*$B8</f>
        <v>1550000</v>
      </c>
      <c r="G8" s="89">
        <v>150000</v>
      </c>
      <c r="H8" s="26">
        <f>+G8*$B8</f>
        <v>4650000</v>
      </c>
      <c r="I8" s="89">
        <v>100000</v>
      </c>
      <c r="J8" s="26">
        <f>+I8*$B8</f>
        <v>3100000</v>
      </c>
      <c r="K8" s="9">
        <f ca="1">+J8*D8</f>
        <v>3027567.0015206803</v>
      </c>
      <c r="L8" s="28">
        <v>-5.0000000000000001E-3</v>
      </c>
      <c r="M8" s="16">
        <f ca="1">+($D$1-L8)*K8</f>
        <v>105964.84505322379</v>
      </c>
      <c r="N8" s="16">
        <f ca="1">+($D$2-$D$1)*K8</f>
        <v>60551.340030413616</v>
      </c>
    </row>
    <row r="9" spans="1:14" x14ac:dyDescent="0.3">
      <c r="A9" s="15">
        <v>36739</v>
      </c>
      <c r="B9" s="23">
        <v>31</v>
      </c>
      <c r="C9" s="7">
        <v>6.4257576439071012E-2</v>
      </c>
      <c r="D9" s="6">
        <f ca="1">1/((1+C9/2)^(2*(A9-$B$1)/365.25))</f>
        <v>0.97115990751017089</v>
      </c>
      <c r="E9" s="9">
        <f t="shared" ref="E9:I10" si="0">+E$8</f>
        <v>50000</v>
      </c>
      <c r="F9" s="26">
        <f>+E9*$B9</f>
        <v>1550000</v>
      </c>
      <c r="G9" s="9">
        <f t="shared" si="0"/>
        <v>150000</v>
      </c>
      <c r="H9" s="26">
        <f>+G9*$B9</f>
        <v>4650000</v>
      </c>
      <c r="I9" s="9">
        <f t="shared" si="0"/>
        <v>100000</v>
      </c>
      <c r="J9" s="26">
        <f>+I9*$B9</f>
        <v>3100000</v>
      </c>
      <c r="K9" s="9">
        <f ca="1">+J9*D9</f>
        <v>3010595.71328153</v>
      </c>
      <c r="L9" s="28">
        <v>-5.0000000000000001E-3</v>
      </c>
      <c r="M9" s="16">
        <f ca="1">+($D$1-L9)*K9</f>
        <v>105370.84996485354</v>
      </c>
      <c r="N9" s="16">
        <f ca="1">+($D$2-$D$1)*K9</f>
        <v>60211.914265630614</v>
      </c>
    </row>
    <row r="10" spans="1:14" x14ac:dyDescent="0.3">
      <c r="A10" s="15">
        <v>36770</v>
      </c>
      <c r="B10" s="23">
        <v>30</v>
      </c>
      <c r="C10" s="7">
        <v>6.4949632667654023E-2</v>
      </c>
      <c r="D10" s="6">
        <f ca="1">1/((1+C10/2)^(2*(A10-$B$1)/365.25))</f>
        <v>0.96560617806635796</v>
      </c>
      <c r="E10" s="20">
        <f t="shared" si="0"/>
        <v>50000</v>
      </c>
      <c r="F10" s="27">
        <f>+E10*$B10</f>
        <v>1500000</v>
      </c>
      <c r="G10" s="20">
        <f t="shared" si="0"/>
        <v>150000</v>
      </c>
      <c r="H10" s="27">
        <f>+G10*$B10</f>
        <v>4500000</v>
      </c>
      <c r="I10" s="20">
        <f t="shared" si="0"/>
        <v>100000</v>
      </c>
      <c r="J10" s="27">
        <f>+I10*$B10</f>
        <v>3000000</v>
      </c>
      <c r="K10" s="20">
        <f ca="1">+J10*D10</f>
        <v>2896818.5341990739</v>
      </c>
      <c r="L10" s="28">
        <v>-5.0000000000000001E-3</v>
      </c>
      <c r="M10" s="17">
        <f ca="1">+($D$1-L10)*K10</f>
        <v>101388.64869696758</v>
      </c>
      <c r="N10" s="17">
        <f ca="1">+($D$2-$D$1)*K10</f>
        <v>57936.370683981491</v>
      </c>
    </row>
    <row r="11" spans="1:14" x14ac:dyDescent="0.3">
      <c r="A11" s="15"/>
      <c r="B11" s="23"/>
      <c r="C11" s="7"/>
      <c r="D11" s="6"/>
      <c r="E11" s="88"/>
      <c r="F11" s="87"/>
      <c r="G11" s="88"/>
      <c r="H11" s="87"/>
      <c r="I11" s="88"/>
      <c r="J11" s="87"/>
      <c r="K11" s="88"/>
      <c r="L11" s="28"/>
      <c r="M11" s="93"/>
      <c r="N11" s="93"/>
    </row>
    <row r="12" spans="1:14" ht="15.6" x14ac:dyDescent="0.3">
      <c r="A12" s="19" t="s">
        <v>12</v>
      </c>
      <c r="E12" s="21">
        <f>SUM(E6:E10)</f>
        <v>225000</v>
      </c>
      <c r="F12" s="21">
        <f t="shared" ref="F12:K12" si="1">SUM(F6:F10)</f>
        <v>6887500</v>
      </c>
      <c r="G12" s="21">
        <f t="shared" si="1"/>
        <v>675000</v>
      </c>
      <c r="H12" s="21">
        <f t="shared" si="1"/>
        <v>20662500</v>
      </c>
      <c r="I12" s="21">
        <f t="shared" si="1"/>
        <v>450000</v>
      </c>
      <c r="J12" s="21">
        <f t="shared" si="1"/>
        <v>13775000</v>
      </c>
      <c r="K12" s="21">
        <f t="shared" ca="1" si="1"/>
        <v>13439566.816039665</v>
      </c>
      <c r="M12" s="18">
        <f ca="1">SUM(M6:M10)</f>
        <v>470384.8385613882</v>
      </c>
      <c r="N12" s="18">
        <f ca="1">SUM(N6:N10)</f>
        <v>268791.33632079337</v>
      </c>
    </row>
    <row r="17" spans="3:3" x14ac:dyDescent="0.3">
      <c r="C17" s="8"/>
    </row>
    <row r="18" spans="3:3" x14ac:dyDescent="0.3">
      <c r="C18" s="8"/>
    </row>
    <row r="19" spans="3:3" x14ac:dyDescent="0.3">
      <c r="C19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0"/>
  <sheetViews>
    <sheetView topLeftCell="A12" workbookViewId="0">
      <selection activeCell="D42" sqref="D42"/>
    </sheetView>
  </sheetViews>
  <sheetFormatPr defaultRowHeight="13.2" x14ac:dyDescent="0.25"/>
  <cols>
    <col min="2" max="2" width="9.109375" style="137" customWidth="1"/>
    <col min="3" max="3" width="12.33203125" bestFit="1" customWidth="1"/>
    <col min="4" max="4" width="9.33203125" bestFit="1" customWidth="1"/>
    <col min="5" max="5" width="9.88671875" customWidth="1"/>
    <col min="6" max="7" width="9.6640625" bestFit="1" customWidth="1"/>
    <col min="8" max="8" width="10.6640625" bestFit="1" customWidth="1"/>
    <col min="10" max="10" width="10.88671875" customWidth="1"/>
    <col min="11" max="11" width="10.33203125" customWidth="1"/>
    <col min="12" max="12" width="10.109375" bestFit="1" customWidth="1"/>
  </cols>
  <sheetData>
    <row r="1" spans="1:10" s="104" customFormat="1" ht="15.6" x14ac:dyDescent="0.3">
      <c r="A1" s="281" t="s">
        <v>85</v>
      </c>
      <c r="B1" s="281"/>
      <c r="C1" s="281"/>
      <c r="D1" s="281"/>
      <c r="E1" s="281"/>
      <c r="F1" s="281"/>
      <c r="G1" s="281"/>
      <c r="H1" s="281"/>
      <c r="I1" s="281"/>
      <c r="J1" s="281"/>
    </row>
    <row r="2" spans="1:10" s="104" customFormat="1" ht="13.8" thickBot="1" x14ac:dyDescent="0.3">
      <c r="A2" s="138" t="s">
        <v>8</v>
      </c>
      <c r="B2" s="139" t="s">
        <v>14</v>
      </c>
      <c r="C2" s="138" t="s">
        <v>1</v>
      </c>
      <c r="D2" s="138" t="s">
        <v>2</v>
      </c>
      <c r="E2" s="140" t="s">
        <v>3</v>
      </c>
      <c r="F2" s="138" t="s">
        <v>39</v>
      </c>
      <c r="G2" s="138" t="s">
        <v>40</v>
      </c>
      <c r="H2" s="140" t="s">
        <v>41</v>
      </c>
      <c r="J2" s="140" t="s">
        <v>84</v>
      </c>
    </row>
    <row r="3" spans="1:10" s="104" customFormat="1" x14ac:dyDescent="0.25">
      <c r="A3" s="133">
        <v>36647</v>
      </c>
      <c r="B3" s="137">
        <v>31</v>
      </c>
      <c r="C3" s="112">
        <v>37500</v>
      </c>
      <c r="D3" s="112">
        <v>112500</v>
      </c>
      <c r="E3" s="141">
        <v>75000</v>
      </c>
      <c r="F3" s="112">
        <f>+C3*$B3</f>
        <v>1162500</v>
      </c>
      <c r="G3" s="112">
        <f>+D3*$B3</f>
        <v>3487500</v>
      </c>
      <c r="H3" s="141">
        <f>+E3*$B3</f>
        <v>2325000</v>
      </c>
      <c r="J3" s="141">
        <f>0.05*H3</f>
        <v>116250</v>
      </c>
    </row>
    <row r="4" spans="1:10" s="104" customFormat="1" x14ac:dyDescent="0.25">
      <c r="A4" s="133">
        <v>36678</v>
      </c>
      <c r="B4" s="137">
        <v>30</v>
      </c>
      <c r="C4" s="112">
        <v>37500</v>
      </c>
      <c r="D4" s="112">
        <v>112500</v>
      </c>
      <c r="E4" s="141">
        <v>75000</v>
      </c>
      <c r="F4" s="112">
        <f t="shared" ref="F4:F16" si="0">+C4*$B4</f>
        <v>1125000</v>
      </c>
      <c r="G4" s="112">
        <f t="shared" ref="G4:G16" si="1">+D4*$B4</f>
        <v>3375000</v>
      </c>
      <c r="H4" s="141">
        <f t="shared" ref="H4:H16" si="2">+E4*$B4</f>
        <v>2250000</v>
      </c>
      <c r="J4" s="141">
        <f t="shared" ref="J4:J16" si="3">0.05*H4</f>
        <v>112500</v>
      </c>
    </row>
    <row r="5" spans="1:10" s="104" customFormat="1" x14ac:dyDescent="0.25">
      <c r="A5" s="133">
        <v>36708</v>
      </c>
      <c r="B5" s="137">
        <v>31</v>
      </c>
      <c r="C5" s="112">
        <v>50000</v>
      </c>
      <c r="D5" s="112">
        <v>150000</v>
      </c>
      <c r="E5" s="141">
        <v>100000</v>
      </c>
      <c r="F5" s="112">
        <f t="shared" si="0"/>
        <v>1550000</v>
      </c>
      <c r="G5" s="112">
        <f t="shared" si="1"/>
        <v>4650000</v>
      </c>
      <c r="H5" s="141">
        <f t="shared" si="2"/>
        <v>3100000</v>
      </c>
      <c r="J5" s="141">
        <f t="shared" si="3"/>
        <v>155000</v>
      </c>
    </row>
    <row r="6" spans="1:10" s="104" customFormat="1" x14ac:dyDescent="0.25">
      <c r="A6" s="133">
        <v>36739</v>
      </c>
      <c r="B6" s="137">
        <v>31</v>
      </c>
      <c r="C6" s="112">
        <v>50000</v>
      </c>
      <c r="D6" s="112">
        <v>150000</v>
      </c>
      <c r="E6" s="141">
        <v>100000</v>
      </c>
      <c r="F6" s="112">
        <f t="shared" si="0"/>
        <v>1550000</v>
      </c>
      <c r="G6" s="112">
        <f t="shared" si="1"/>
        <v>4650000</v>
      </c>
      <c r="H6" s="141">
        <f t="shared" si="2"/>
        <v>3100000</v>
      </c>
      <c r="J6" s="141">
        <f t="shared" si="3"/>
        <v>155000</v>
      </c>
    </row>
    <row r="7" spans="1:10" s="104" customFormat="1" x14ac:dyDescent="0.25">
      <c r="A7" s="133">
        <v>36770</v>
      </c>
      <c r="B7" s="137">
        <v>30</v>
      </c>
      <c r="C7" s="112">
        <v>50000</v>
      </c>
      <c r="D7" s="112">
        <v>150000</v>
      </c>
      <c r="E7" s="141">
        <v>100000</v>
      </c>
      <c r="F7" s="112">
        <f t="shared" si="0"/>
        <v>1500000</v>
      </c>
      <c r="G7" s="112">
        <f t="shared" si="1"/>
        <v>4500000</v>
      </c>
      <c r="H7" s="141">
        <f t="shared" si="2"/>
        <v>3000000</v>
      </c>
      <c r="J7" s="141">
        <f t="shared" si="3"/>
        <v>150000</v>
      </c>
    </row>
    <row r="8" spans="1:10" s="104" customFormat="1" x14ac:dyDescent="0.25">
      <c r="A8" s="133">
        <v>36800</v>
      </c>
      <c r="B8" s="137">
        <v>31</v>
      </c>
      <c r="C8" s="112">
        <v>0</v>
      </c>
      <c r="D8" s="112">
        <v>67500</v>
      </c>
      <c r="E8" s="141">
        <v>45000</v>
      </c>
      <c r="F8" s="112">
        <f t="shared" si="0"/>
        <v>0</v>
      </c>
      <c r="G8" s="112">
        <f t="shared" si="1"/>
        <v>2092500</v>
      </c>
      <c r="H8" s="141">
        <f t="shared" si="2"/>
        <v>1395000</v>
      </c>
      <c r="J8" s="141">
        <f t="shared" si="3"/>
        <v>69750</v>
      </c>
    </row>
    <row r="9" spans="1:10" s="104" customFormat="1" x14ac:dyDescent="0.25">
      <c r="A9" s="133">
        <v>36831</v>
      </c>
      <c r="B9" s="137">
        <v>30</v>
      </c>
      <c r="C9" s="112">
        <v>0</v>
      </c>
      <c r="D9" s="112">
        <v>67500</v>
      </c>
      <c r="E9" s="141">
        <v>45000</v>
      </c>
      <c r="F9" s="112">
        <f t="shared" si="0"/>
        <v>0</v>
      </c>
      <c r="G9" s="112">
        <f t="shared" si="1"/>
        <v>2025000</v>
      </c>
      <c r="H9" s="141">
        <f t="shared" si="2"/>
        <v>1350000</v>
      </c>
      <c r="J9" s="141">
        <f t="shared" si="3"/>
        <v>67500</v>
      </c>
    </row>
    <row r="10" spans="1:10" s="104" customFormat="1" x14ac:dyDescent="0.25">
      <c r="A10" s="133">
        <v>36861</v>
      </c>
      <c r="B10" s="137">
        <v>31</v>
      </c>
      <c r="C10" s="112">
        <v>0</v>
      </c>
      <c r="D10" s="112">
        <v>67500</v>
      </c>
      <c r="E10" s="141">
        <v>45000</v>
      </c>
      <c r="F10" s="112">
        <f t="shared" si="0"/>
        <v>0</v>
      </c>
      <c r="G10" s="112">
        <f t="shared" si="1"/>
        <v>2092500</v>
      </c>
      <c r="H10" s="141">
        <f t="shared" si="2"/>
        <v>1395000</v>
      </c>
      <c r="J10" s="141">
        <f t="shared" si="3"/>
        <v>69750</v>
      </c>
    </row>
    <row r="11" spans="1:10" s="104" customFormat="1" x14ac:dyDescent="0.25">
      <c r="A11" s="133">
        <v>36892</v>
      </c>
      <c r="B11" s="137">
        <v>31</v>
      </c>
      <c r="C11" s="112">
        <v>0</v>
      </c>
      <c r="D11" s="112">
        <v>67500</v>
      </c>
      <c r="E11" s="141">
        <v>45000</v>
      </c>
      <c r="F11" s="112">
        <f t="shared" si="0"/>
        <v>0</v>
      </c>
      <c r="G11" s="112">
        <f t="shared" si="1"/>
        <v>2092500</v>
      </c>
      <c r="H11" s="141">
        <f t="shared" si="2"/>
        <v>1395000</v>
      </c>
      <c r="J11" s="141">
        <f t="shared" si="3"/>
        <v>69750</v>
      </c>
    </row>
    <row r="12" spans="1:10" s="104" customFormat="1" x14ac:dyDescent="0.25">
      <c r="A12" s="133">
        <v>36923</v>
      </c>
      <c r="B12" s="137">
        <v>28</v>
      </c>
      <c r="C12" s="112">
        <v>0</v>
      </c>
      <c r="D12" s="112">
        <v>67500</v>
      </c>
      <c r="E12" s="141">
        <v>45000</v>
      </c>
      <c r="F12" s="112">
        <f t="shared" si="0"/>
        <v>0</v>
      </c>
      <c r="G12" s="112">
        <f t="shared" si="1"/>
        <v>1890000</v>
      </c>
      <c r="H12" s="141">
        <f t="shared" si="2"/>
        <v>1260000</v>
      </c>
      <c r="J12" s="141">
        <f t="shared" si="3"/>
        <v>63000</v>
      </c>
    </row>
    <row r="13" spans="1:10" s="104" customFormat="1" x14ac:dyDescent="0.25">
      <c r="A13" s="133">
        <v>36951</v>
      </c>
      <c r="B13" s="137">
        <v>31</v>
      </c>
      <c r="C13" s="112">
        <v>0</v>
      </c>
      <c r="D13" s="112">
        <v>67500</v>
      </c>
      <c r="E13" s="141">
        <v>45000</v>
      </c>
      <c r="F13" s="112">
        <f t="shared" si="0"/>
        <v>0</v>
      </c>
      <c r="G13" s="112">
        <f t="shared" si="1"/>
        <v>2092500</v>
      </c>
      <c r="H13" s="141">
        <f t="shared" si="2"/>
        <v>1395000</v>
      </c>
      <c r="J13" s="141">
        <f t="shared" si="3"/>
        <v>69750</v>
      </c>
    </row>
    <row r="14" spans="1:10" s="104" customFormat="1" x14ac:dyDescent="0.25">
      <c r="A14" s="133">
        <v>36982</v>
      </c>
      <c r="B14" s="137">
        <v>30</v>
      </c>
      <c r="C14" s="112">
        <v>0</v>
      </c>
      <c r="D14" s="112">
        <v>67500</v>
      </c>
      <c r="E14" s="141">
        <v>45000</v>
      </c>
      <c r="F14" s="112">
        <f t="shared" si="0"/>
        <v>0</v>
      </c>
      <c r="G14" s="112">
        <f t="shared" si="1"/>
        <v>2025000</v>
      </c>
      <c r="H14" s="141">
        <f t="shared" si="2"/>
        <v>1350000</v>
      </c>
      <c r="J14" s="141">
        <f t="shared" si="3"/>
        <v>67500</v>
      </c>
    </row>
    <row r="15" spans="1:10" s="104" customFormat="1" x14ac:dyDescent="0.25">
      <c r="A15" s="133">
        <v>37012</v>
      </c>
      <c r="B15" s="137">
        <v>31</v>
      </c>
      <c r="C15" s="112">
        <f>+C3</f>
        <v>37500</v>
      </c>
      <c r="D15" s="112">
        <f>+D3</f>
        <v>112500</v>
      </c>
      <c r="E15" s="141">
        <f>+E3</f>
        <v>75000</v>
      </c>
      <c r="F15" s="112">
        <f t="shared" si="0"/>
        <v>1162500</v>
      </c>
      <c r="G15" s="112">
        <f t="shared" si="1"/>
        <v>3487500</v>
      </c>
      <c r="H15" s="141">
        <f t="shared" si="2"/>
        <v>2325000</v>
      </c>
      <c r="J15" s="141">
        <f t="shared" si="3"/>
        <v>116250</v>
      </c>
    </row>
    <row r="16" spans="1:10" x14ac:dyDescent="0.25">
      <c r="A16" s="133">
        <v>37043</v>
      </c>
      <c r="B16" s="137">
        <v>30</v>
      </c>
      <c r="C16" s="112">
        <f>+C3</f>
        <v>37500</v>
      </c>
      <c r="D16" s="112">
        <f>+D3</f>
        <v>112500</v>
      </c>
      <c r="E16" s="141">
        <f>+E3</f>
        <v>75000</v>
      </c>
      <c r="F16" s="112">
        <f t="shared" si="0"/>
        <v>1125000</v>
      </c>
      <c r="G16" s="112">
        <f t="shared" si="1"/>
        <v>3375000</v>
      </c>
      <c r="H16" s="141">
        <f t="shared" si="2"/>
        <v>2250000</v>
      </c>
      <c r="I16" s="104"/>
      <c r="J16" s="141">
        <f t="shared" si="3"/>
        <v>112500</v>
      </c>
    </row>
    <row r="17" spans="1:12" x14ac:dyDescent="0.25">
      <c r="H17" s="111">
        <f>SUM(H3:H16)</f>
        <v>27890000</v>
      </c>
    </row>
    <row r="20" spans="1:12" ht="15.6" x14ac:dyDescent="0.3">
      <c r="A20" s="281" t="s">
        <v>87</v>
      </c>
      <c r="B20" s="281"/>
      <c r="C20" s="281"/>
      <c r="D20" s="281"/>
      <c r="E20" s="281"/>
      <c r="F20" s="281"/>
      <c r="G20" s="281"/>
      <c r="H20" s="281"/>
      <c r="J20" s="282" t="s">
        <v>88</v>
      </c>
      <c r="K20" s="282"/>
      <c r="L20" s="282"/>
    </row>
    <row r="21" spans="1:12" ht="40.200000000000003" thickBot="1" x14ac:dyDescent="0.3">
      <c r="A21" s="138" t="s">
        <v>8</v>
      </c>
      <c r="B21" s="139" t="s">
        <v>14</v>
      </c>
      <c r="C21" s="144" t="s">
        <v>71</v>
      </c>
      <c r="D21" s="144" t="s">
        <v>72</v>
      </c>
      <c r="E21" s="144" t="s">
        <v>73</v>
      </c>
      <c r="F21" s="144" t="s">
        <v>74</v>
      </c>
      <c r="G21" s="144" t="s">
        <v>75</v>
      </c>
      <c r="H21" s="153" t="s">
        <v>86</v>
      </c>
      <c r="J21" s="144" t="s">
        <v>82</v>
      </c>
      <c r="K21" s="144" t="s">
        <v>37</v>
      </c>
      <c r="L21" s="153" t="s">
        <v>86</v>
      </c>
    </row>
    <row r="22" spans="1:12" x14ac:dyDescent="0.25">
      <c r="A22" s="133">
        <v>36647</v>
      </c>
      <c r="B22" s="137">
        <v>31</v>
      </c>
      <c r="C22" s="145">
        <f>+$E3*$B22*'Historical Flow'!$D$19</f>
        <v>745720.61500256089</v>
      </c>
      <c r="D22" s="145">
        <f>+$E3*$B22*'Historical Flow'!$F$19</f>
        <v>156623.66983968666</v>
      </c>
      <c r="E22" s="145">
        <f>+$E3*$B22*'Historical Flow'!$H$19</f>
        <v>1297616.0207320307</v>
      </c>
      <c r="F22" s="145">
        <f>+$E3*$B22*'Historical Flow'!$J$19</f>
        <v>72883.395581341174</v>
      </c>
      <c r="G22" s="145">
        <f>+$E3*$B22*'Historical Flow'!$L$19</f>
        <v>52156.298844380464</v>
      </c>
      <c r="H22" s="146">
        <f>SUM(C22:G22)</f>
        <v>2325000</v>
      </c>
      <c r="J22" s="145">
        <f>+C22+E22</f>
        <v>2043336.6357345916</v>
      </c>
      <c r="K22" s="145">
        <f>+H22-J22</f>
        <v>281663.36426540837</v>
      </c>
      <c r="L22" s="146">
        <f t="shared" ref="L22:L34" si="4">SUM(J22:K22)</f>
        <v>2325000</v>
      </c>
    </row>
    <row r="23" spans="1:12" x14ac:dyDescent="0.25">
      <c r="A23" s="133">
        <v>36678</v>
      </c>
      <c r="B23" s="137">
        <v>30</v>
      </c>
      <c r="C23" s="145">
        <f>+$E4*$B23*'Historical Flow'!$D$19</f>
        <v>721665.11129280087</v>
      </c>
      <c r="D23" s="145">
        <f>+$E4*$B23*'Historical Flow'!$F$19</f>
        <v>151571.29339324514</v>
      </c>
      <c r="E23" s="145">
        <f>+$E4*$B23*'Historical Flow'!$H$19</f>
        <v>1255757.4394180942</v>
      </c>
      <c r="F23" s="145">
        <f>+$E4*$B23*'Historical Flow'!$J$19</f>
        <v>70532.318304523709</v>
      </c>
      <c r="G23" s="145">
        <f>+$E4*$B23*'Historical Flow'!$L$19</f>
        <v>50473.837591335934</v>
      </c>
      <c r="H23" s="147">
        <f t="shared" ref="H23:H35" si="5">SUM(C23:G23)</f>
        <v>2250000</v>
      </c>
      <c r="J23" s="145">
        <f t="shared" ref="J23:J35" si="6">+C23+E23</f>
        <v>1977422.5507108951</v>
      </c>
      <c r="K23" s="145">
        <f t="shared" ref="K23:K35" si="7">+H23-J23</f>
        <v>272577.4492891049</v>
      </c>
      <c r="L23" s="147">
        <f t="shared" si="4"/>
        <v>2250000</v>
      </c>
    </row>
    <row r="24" spans="1:12" x14ac:dyDescent="0.25">
      <c r="A24" s="133">
        <v>36708</v>
      </c>
      <c r="B24" s="137">
        <v>31</v>
      </c>
      <c r="C24" s="145">
        <f>+$E5*$B24*'Historical Flow'!$D$19</f>
        <v>994294.1533367479</v>
      </c>
      <c r="D24" s="145">
        <f>+$E5*$B24*'Historical Flow'!$F$19</f>
        <v>208831.55978624886</v>
      </c>
      <c r="E24" s="145">
        <f>+$E5*$B24*'Historical Flow'!$H$19</f>
        <v>1730154.6943093743</v>
      </c>
      <c r="F24" s="145">
        <f>+$E5*$B24*'Historical Flow'!$J$19</f>
        <v>97177.86077512156</v>
      </c>
      <c r="G24" s="145">
        <f>+$E5*$B24*'Historical Flow'!$L$19</f>
        <v>69541.731792507286</v>
      </c>
      <c r="H24" s="147">
        <f t="shared" si="5"/>
        <v>3099999.9999999995</v>
      </c>
      <c r="J24" s="145">
        <f t="shared" si="6"/>
        <v>2724448.8476461223</v>
      </c>
      <c r="K24" s="145">
        <f t="shared" si="7"/>
        <v>375551.1523538772</v>
      </c>
      <c r="L24" s="147">
        <f t="shared" si="4"/>
        <v>3099999.9999999995</v>
      </c>
    </row>
    <row r="25" spans="1:12" x14ac:dyDescent="0.25">
      <c r="A25" s="133">
        <v>36739</v>
      </c>
      <c r="B25" s="137">
        <v>31</v>
      </c>
      <c r="C25" s="145">
        <f>+$E6*$B25*'Historical Flow'!$D$19</f>
        <v>994294.1533367479</v>
      </c>
      <c r="D25" s="145">
        <f>+$E6*$B25*'Historical Flow'!$F$19</f>
        <v>208831.55978624886</v>
      </c>
      <c r="E25" s="145">
        <f>+$E6*$B25*'Historical Flow'!$H$19</f>
        <v>1730154.6943093743</v>
      </c>
      <c r="F25" s="145">
        <f>+$E6*$B25*'Historical Flow'!$J$19</f>
        <v>97177.86077512156</v>
      </c>
      <c r="G25" s="145">
        <f>+$E6*$B25*'Historical Flow'!$L$19</f>
        <v>69541.731792507286</v>
      </c>
      <c r="H25" s="147">
        <f t="shared" si="5"/>
        <v>3099999.9999999995</v>
      </c>
      <c r="J25" s="145">
        <f t="shared" si="6"/>
        <v>2724448.8476461223</v>
      </c>
      <c r="K25" s="145">
        <f t="shared" si="7"/>
        <v>375551.1523538772</v>
      </c>
      <c r="L25" s="147">
        <f t="shared" si="4"/>
        <v>3099999.9999999995</v>
      </c>
    </row>
    <row r="26" spans="1:12" x14ac:dyDescent="0.25">
      <c r="A26" s="133">
        <v>36770</v>
      </c>
      <c r="B26" s="137">
        <v>30</v>
      </c>
      <c r="C26" s="145">
        <f>+$E7*$B26*'Historical Flow'!$D$19</f>
        <v>962220.14839040115</v>
      </c>
      <c r="D26" s="145">
        <f>+$E7*$B26*'Historical Flow'!$F$19</f>
        <v>202095.0578576602</v>
      </c>
      <c r="E26" s="145">
        <f>+$E7*$B26*'Historical Flow'!$H$19</f>
        <v>1674343.2525574591</v>
      </c>
      <c r="F26" s="145">
        <f>+$E7*$B26*'Historical Flow'!$J$19</f>
        <v>94043.091072698284</v>
      </c>
      <c r="G26" s="145">
        <f>+$E7*$B26*'Historical Flow'!$L$19</f>
        <v>67298.45012178125</v>
      </c>
      <c r="H26" s="147">
        <f t="shared" si="5"/>
        <v>2999999.9999999995</v>
      </c>
      <c r="J26" s="145">
        <f t="shared" si="6"/>
        <v>2636563.4009478604</v>
      </c>
      <c r="K26" s="145">
        <f t="shared" si="7"/>
        <v>363436.59905213909</v>
      </c>
      <c r="L26" s="147">
        <f t="shared" si="4"/>
        <v>2999999.9999999995</v>
      </c>
    </row>
    <row r="27" spans="1:12" x14ac:dyDescent="0.25">
      <c r="A27" s="133">
        <v>36800</v>
      </c>
      <c r="B27" s="137">
        <v>31</v>
      </c>
      <c r="C27" s="145">
        <f>+$E8*$B27*'Historical Flow'!$D$19</f>
        <v>447432.36900153657</v>
      </c>
      <c r="D27" s="145">
        <f>+$E8*$B27*'Historical Flow'!$F$19</f>
        <v>93974.201903811991</v>
      </c>
      <c r="E27" s="145">
        <f>+$E8*$B27*'Historical Flow'!$H$19</f>
        <v>778569.61243921844</v>
      </c>
      <c r="F27" s="145">
        <f>+$E8*$B27*'Historical Flow'!$J$19</f>
        <v>43730.037348804704</v>
      </c>
      <c r="G27" s="145">
        <f>+$E8*$B27*'Historical Flow'!$L$19</f>
        <v>31293.779306628279</v>
      </c>
      <c r="H27" s="147">
        <f t="shared" si="5"/>
        <v>1395000</v>
      </c>
      <c r="J27" s="145">
        <f t="shared" si="6"/>
        <v>1226001.9814407551</v>
      </c>
      <c r="K27" s="145">
        <f t="shared" si="7"/>
        <v>168998.01855924493</v>
      </c>
      <c r="L27" s="147">
        <f t="shared" si="4"/>
        <v>1395000</v>
      </c>
    </row>
    <row r="28" spans="1:12" x14ac:dyDescent="0.25">
      <c r="A28" s="133">
        <v>36831</v>
      </c>
      <c r="B28" s="137">
        <v>30</v>
      </c>
      <c r="C28" s="145">
        <f>+$E9*$B28*'Historical Flow'!$D$19</f>
        <v>432999.06677568052</v>
      </c>
      <c r="D28" s="145">
        <f>+$E9*$B28*'Historical Flow'!$F$19</f>
        <v>90942.776035947085</v>
      </c>
      <c r="E28" s="145">
        <f>+$E9*$B28*'Historical Flow'!$H$19</f>
        <v>753454.46365085663</v>
      </c>
      <c r="F28" s="145">
        <f>+$E9*$B28*'Historical Flow'!$J$19</f>
        <v>42319.390982714227</v>
      </c>
      <c r="G28" s="145">
        <f>+$E9*$B28*'Historical Flow'!$L$19</f>
        <v>30284.302554801561</v>
      </c>
      <c r="H28" s="147">
        <f t="shared" si="5"/>
        <v>1350000</v>
      </c>
      <c r="J28" s="145">
        <f t="shared" si="6"/>
        <v>1186453.5304265372</v>
      </c>
      <c r="K28" s="145">
        <f t="shared" si="7"/>
        <v>163546.46957346285</v>
      </c>
      <c r="L28" s="147">
        <f t="shared" si="4"/>
        <v>1350000</v>
      </c>
    </row>
    <row r="29" spans="1:12" x14ac:dyDescent="0.25">
      <c r="A29" s="133">
        <v>36861</v>
      </c>
      <c r="B29" s="137">
        <v>31</v>
      </c>
      <c r="C29" s="145">
        <f>+$E10*$B29*'Historical Flow'!$D$19</f>
        <v>447432.36900153657</v>
      </c>
      <c r="D29" s="145">
        <f>+$E10*$B29*'Historical Flow'!$F$19</f>
        <v>93974.201903811991</v>
      </c>
      <c r="E29" s="145">
        <f>+$E10*$B29*'Historical Flow'!$H$19</f>
        <v>778569.61243921844</v>
      </c>
      <c r="F29" s="145">
        <f>+$E10*$B29*'Historical Flow'!$J$19</f>
        <v>43730.037348804704</v>
      </c>
      <c r="G29" s="145">
        <f>+$E10*$B29*'Historical Flow'!$L$19</f>
        <v>31293.779306628279</v>
      </c>
      <c r="H29" s="147">
        <f t="shared" si="5"/>
        <v>1395000</v>
      </c>
      <c r="J29" s="145">
        <f t="shared" si="6"/>
        <v>1226001.9814407551</v>
      </c>
      <c r="K29" s="145">
        <f t="shared" si="7"/>
        <v>168998.01855924493</v>
      </c>
      <c r="L29" s="147">
        <f t="shared" si="4"/>
        <v>1395000</v>
      </c>
    </row>
    <row r="30" spans="1:12" x14ac:dyDescent="0.25">
      <c r="A30" s="133">
        <v>36892</v>
      </c>
      <c r="B30" s="137">
        <v>31</v>
      </c>
      <c r="C30" s="145">
        <f>+$E11*$B30*'Historical Flow'!$D$19</f>
        <v>447432.36900153657</v>
      </c>
      <c r="D30" s="145">
        <f>+$E11*$B30*'Historical Flow'!$F$19</f>
        <v>93974.201903811991</v>
      </c>
      <c r="E30" s="145">
        <f>+$E11*$B30*'Historical Flow'!$H$19</f>
        <v>778569.61243921844</v>
      </c>
      <c r="F30" s="145">
        <f>+$E11*$B30*'Historical Flow'!$J$19</f>
        <v>43730.037348804704</v>
      </c>
      <c r="G30" s="145">
        <f>+$E11*$B30*'Historical Flow'!$L$19</f>
        <v>31293.779306628279</v>
      </c>
      <c r="H30" s="147">
        <f t="shared" si="5"/>
        <v>1395000</v>
      </c>
      <c r="J30" s="145">
        <f t="shared" si="6"/>
        <v>1226001.9814407551</v>
      </c>
      <c r="K30" s="145">
        <f t="shared" si="7"/>
        <v>168998.01855924493</v>
      </c>
      <c r="L30" s="147">
        <f t="shared" si="4"/>
        <v>1395000</v>
      </c>
    </row>
    <row r="31" spans="1:12" x14ac:dyDescent="0.25">
      <c r="A31" s="133">
        <v>36923</v>
      </c>
      <c r="B31" s="137">
        <v>28</v>
      </c>
      <c r="C31" s="145">
        <f>+$E12*$B31*'Historical Flow'!$D$19</f>
        <v>404132.46232396853</v>
      </c>
      <c r="D31" s="145">
        <f>+$E12*$B31*'Historical Flow'!$F$19</f>
        <v>84879.924300217273</v>
      </c>
      <c r="E31" s="145">
        <f>+$E12*$B31*'Historical Flow'!$H$19</f>
        <v>703224.16607413278</v>
      </c>
      <c r="F31" s="145">
        <f>+$E12*$B31*'Historical Flow'!$J$19</f>
        <v>39498.098250533279</v>
      </c>
      <c r="G31" s="145">
        <f>+$E12*$B31*'Historical Flow'!$L$19</f>
        <v>28265.349051148121</v>
      </c>
      <c r="H31" s="147">
        <f t="shared" si="5"/>
        <v>1260000</v>
      </c>
      <c r="J31" s="145">
        <f t="shared" si="6"/>
        <v>1107356.6283981013</v>
      </c>
      <c r="K31" s="145">
        <f t="shared" si="7"/>
        <v>152643.37160189869</v>
      </c>
      <c r="L31" s="147">
        <f t="shared" si="4"/>
        <v>1260000</v>
      </c>
    </row>
    <row r="32" spans="1:12" x14ac:dyDescent="0.25">
      <c r="A32" s="133">
        <v>36951</v>
      </c>
      <c r="B32" s="137">
        <v>31</v>
      </c>
      <c r="C32" s="145">
        <f>+$E13*$B32*'Historical Flow'!$D$19</f>
        <v>447432.36900153657</v>
      </c>
      <c r="D32" s="145">
        <f>+$E13*$B32*'Historical Flow'!$F$19</f>
        <v>93974.201903811991</v>
      </c>
      <c r="E32" s="145">
        <f>+$E13*$B32*'Historical Flow'!$H$19</f>
        <v>778569.61243921844</v>
      </c>
      <c r="F32" s="145">
        <f>+$E13*$B32*'Historical Flow'!$J$19</f>
        <v>43730.037348804704</v>
      </c>
      <c r="G32" s="145">
        <f>+$E13*$B32*'Historical Flow'!$L$19</f>
        <v>31293.779306628279</v>
      </c>
      <c r="H32" s="147">
        <f t="shared" si="5"/>
        <v>1395000</v>
      </c>
      <c r="J32" s="145">
        <f t="shared" si="6"/>
        <v>1226001.9814407551</v>
      </c>
      <c r="K32" s="145">
        <f t="shared" si="7"/>
        <v>168998.01855924493</v>
      </c>
      <c r="L32" s="147">
        <f t="shared" si="4"/>
        <v>1395000</v>
      </c>
    </row>
    <row r="33" spans="1:12" x14ac:dyDescent="0.25">
      <c r="A33" s="133">
        <v>36982</v>
      </c>
      <c r="B33" s="137">
        <v>30</v>
      </c>
      <c r="C33" s="145">
        <f>+$E14*$B33*'Historical Flow'!$D$19</f>
        <v>432999.06677568052</v>
      </c>
      <c r="D33" s="145">
        <f>+$E14*$B33*'Historical Flow'!$F$19</f>
        <v>90942.776035947085</v>
      </c>
      <c r="E33" s="145">
        <f>+$E14*$B33*'Historical Flow'!$H$19</f>
        <v>753454.46365085663</v>
      </c>
      <c r="F33" s="145">
        <f>+$E14*$B33*'Historical Flow'!$J$19</f>
        <v>42319.390982714227</v>
      </c>
      <c r="G33" s="145">
        <f>+$E14*$B33*'Historical Flow'!$L$19</f>
        <v>30284.302554801561</v>
      </c>
      <c r="H33" s="147">
        <f t="shared" si="5"/>
        <v>1350000</v>
      </c>
      <c r="J33" s="145">
        <f t="shared" si="6"/>
        <v>1186453.5304265372</v>
      </c>
      <c r="K33" s="145">
        <f t="shared" si="7"/>
        <v>163546.46957346285</v>
      </c>
      <c r="L33" s="147">
        <f t="shared" si="4"/>
        <v>1350000</v>
      </c>
    </row>
    <row r="34" spans="1:12" x14ac:dyDescent="0.25">
      <c r="A34" s="133">
        <v>37012</v>
      </c>
      <c r="B34" s="137">
        <v>31</v>
      </c>
      <c r="C34" s="145">
        <f>+$E15*$B34*'Historical Flow'!$D$19</f>
        <v>745720.61500256089</v>
      </c>
      <c r="D34" s="145">
        <f>+$E15*$B34*'Historical Flow'!$F$19</f>
        <v>156623.66983968666</v>
      </c>
      <c r="E34" s="145">
        <f>+$E15*$B34*'Historical Flow'!$H$19</f>
        <v>1297616.0207320307</v>
      </c>
      <c r="F34" s="145">
        <f>+$E15*$B34*'Historical Flow'!$J$19</f>
        <v>72883.395581341174</v>
      </c>
      <c r="G34" s="145">
        <f>+$E15*$B34*'Historical Flow'!$L$19</f>
        <v>52156.298844380464</v>
      </c>
      <c r="H34" s="147">
        <f t="shared" si="5"/>
        <v>2325000</v>
      </c>
      <c r="J34" s="145">
        <f t="shared" si="6"/>
        <v>2043336.6357345916</v>
      </c>
      <c r="K34" s="145">
        <f t="shared" si="7"/>
        <v>281663.36426540837</v>
      </c>
      <c r="L34" s="147">
        <f t="shared" si="4"/>
        <v>2325000</v>
      </c>
    </row>
    <row r="35" spans="1:12" x14ac:dyDescent="0.25">
      <c r="A35" s="133">
        <v>37043</v>
      </c>
      <c r="B35" s="137">
        <v>30</v>
      </c>
      <c r="C35" s="145">
        <f>+$E16*$B35*'Historical Flow'!$D$19</f>
        <v>721665.11129280087</v>
      </c>
      <c r="D35" s="145">
        <f>+$E16*$B35*'Historical Flow'!$F$19</f>
        <v>151571.29339324514</v>
      </c>
      <c r="E35" s="145">
        <f>+$E16*$B35*'Historical Flow'!$H$19</f>
        <v>1255757.4394180942</v>
      </c>
      <c r="F35" s="145">
        <f>+$E16*$B35*'Historical Flow'!$J$19</f>
        <v>70532.318304523709</v>
      </c>
      <c r="G35" s="145">
        <f>+$E16*$B35*'Historical Flow'!$L$19</f>
        <v>50473.837591335934</v>
      </c>
      <c r="H35" s="147">
        <f t="shared" si="5"/>
        <v>2250000</v>
      </c>
      <c r="J35" s="145">
        <f t="shared" si="6"/>
        <v>1977422.5507108951</v>
      </c>
      <c r="K35" s="145">
        <f t="shared" si="7"/>
        <v>272577.4492891049</v>
      </c>
      <c r="L35" s="147">
        <f>SUM(J35:K35)</f>
        <v>2250000</v>
      </c>
    </row>
    <row r="36" spans="1:12" x14ac:dyDescent="0.25">
      <c r="H36" s="148"/>
      <c r="L36" s="148"/>
    </row>
    <row r="37" spans="1:12" x14ac:dyDescent="0.25">
      <c r="A37" s="150" t="s">
        <v>12</v>
      </c>
      <c r="B37" s="151"/>
      <c r="C37" s="152">
        <f>SUM(C22:C35)</f>
        <v>8945439.9795360975</v>
      </c>
      <c r="D37" s="152">
        <f>SUM(D22:D35)</f>
        <v>1878810.3878833808</v>
      </c>
      <c r="E37" s="152">
        <f>SUM(E22:E35)</f>
        <v>15565811.104609177</v>
      </c>
      <c r="F37" s="152">
        <f>SUM(F22:F35)</f>
        <v>874287.27000585163</v>
      </c>
      <c r="G37" s="152">
        <f>SUM(G22:G35)</f>
        <v>625651.25796549302</v>
      </c>
      <c r="H37" s="149">
        <f>SUM(C37:G37)</f>
        <v>27890000</v>
      </c>
      <c r="J37" s="155">
        <f>SUM(J22:J35)</f>
        <v>24511251.084145274</v>
      </c>
      <c r="K37" s="152">
        <f>SUM(K22:K35)</f>
        <v>3378748.9158547241</v>
      </c>
      <c r="L37" s="149">
        <f>SUM(L22:L35)</f>
        <v>27890000</v>
      </c>
    </row>
    <row r="38" spans="1:12" x14ac:dyDescent="0.25">
      <c r="C38" s="154"/>
      <c r="D38" s="154"/>
      <c r="E38" s="154"/>
      <c r="F38" s="154"/>
      <c r="G38" s="154"/>
    </row>
    <row r="39" spans="1:12" x14ac:dyDescent="0.25">
      <c r="C39" s="154"/>
      <c r="D39" s="154"/>
      <c r="E39" s="154"/>
      <c r="F39" s="154"/>
      <c r="G39" s="154"/>
    </row>
    <row r="40" spans="1:12" x14ac:dyDescent="0.25">
      <c r="C40" s="109"/>
      <c r="D40" s="109"/>
      <c r="E40" s="109"/>
      <c r="F40" s="109"/>
      <c r="G40" s="109"/>
    </row>
  </sheetData>
  <mergeCells count="3">
    <mergeCell ref="A1:J1"/>
    <mergeCell ref="A20:H20"/>
    <mergeCell ref="J20:L20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Z267"/>
  <sheetViews>
    <sheetView workbookViewId="0">
      <selection activeCell="C33" sqref="C33"/>
    </sheetView>
  </sheetViews>
  <sheetFormatPr defaultColWidth="9.109375" defaultRowHeight="13.8" x14ac:dyDescent="0.3"/>
  <cols>
    <col min="1" max="1" width="13.109375" style="29" customWidth="1"/>
    <col min="2" max="2" width="9.88671875" style="29" customWidth="1"/>
    <col min="3" max="3" width="10.109375" style="29" customWidth="1"/>
    <col min="4" max="4" width="8.5546875" style="29" bestFit="1" customWidth="1"/>
    <col min="5" max="5" width="14" style="29" bestFit="1" customWidth="1"/>
    <col min="6" max="6" width="6.88671875" style="29" bestFit="1" customWidth="1"/>
    <col min="7" max="8" width="5.6640625" style="29" bestFit="1" customWidth="1"/>
    <col min="9" max="9" width="7.6640625" style="29" customWidth="1"/>
    <col min="10" max="10" width="7.44140625" style="29" customWidth="1"/>
    <col min="11" max="11" width="7.6640625" style="29" customWidth="1"/>
    <col min="12" max="12" width="10.5546875" style="29" customWidth="1"/>
    <col min="13" max="13" width="11" style="29" customWidth="1"/>
    <col min="14" max="14" width="8.5546875" style="29" customWidth="1"/>
    <col min="15" max="15" width="7.6640625" style="29" customWidth="1"/>
    <col min="16" max="17" width="9.109375" style="29"/>
    <col min="18" max="18" width="7.109375" style="29" customWidth="1"/>
    <col min="19" max="19" width="4.88671875" style="29" customWidth="1"/>
    <col min="20" max="20" width="12.88671875" style="29" customWidth="1"/>
    <col min="21" max="21" width="14.44140625" style="29" customWidth="1"/>
    <col min="22" max="22" width="10.6640625" style="29" customWidth="1"/>
    <col min="23" max="16384" width="9.109375" style="29"/>
  </cols>
  <sheetData>
    <row r="1" spans="1:26" ht="14.4" thickBot="1" x14ac:dyDescent="0.35"/>
    <row r="2" spans="1:26" ht="20.25" customHeight="1" thickBot="1" x14ac:dyDescent="0.35">
      <c r="A2" s="30" t="s">
        <v>15</v>
      </c>
      <c r="B2" s="31">
        <f ca="1">+'Summer ONLY'!B1</f>
        <v>36570</v>
      </c>
      <c r="C2" s="32"/>
      <c r="D2" s="32"/>
      <c r="E2" s="33"/>
      <c r="I2" s="34" t="s">
        <v>46</v>
      </c>
      <c r="J2" s="35"/>
      <c r="K2" s="36"/>
      <c r="M2" s="83" t="s">
        <v>13</v>
      </c>
      <c r="N2" s="84">
        <v>712988</v>
      </c>
    </row>
    <row r="3" spans="1:26" ht="14.4" thickBot="1" x14ac:dyDescent="0.35">
      <c r="A3" s="37"/>
      <c r="B3" s="38"/>
      <c r="C3" s="38"/>
      <c r="D3" s="38"/>
    </row>
    <row r="4" spans="1:26" s="42" customFormat="1" ht="28.2" thickBot="1" x14ac:dyDescent="0.35">
      <c r="A4" s="101" t="s">
        <v>16</v>
      </c>
      <c r="B4" s="102" t="s">
        <v>17</v>
      </c>
      <c r="C4" s="102" t="s">
        <v>18</v>
      </c>
      <c r="D4" s="102" t="s">
        <v>19</v>
      </c>
      <c r="E4" s="102" t="s">
        <v>20</v>
      </c>
      <c r="F4" s="103" t="s">
        <v>21</v>
      </c>
      <c r="G4" s="39" t="s">
        <v>22</v>
      </c>
      <c r="H4" s="39" t="s">
        <v>23</v>
      </c>
      <c r="I4" s="39" t="s">
        <v>24</v>
      </c>
      <c r="J4" s="39" t="s">
        <v>25</v>
      </c>
      <c r="K4" s="39" t="s">
        <v>26</v>
      </c>
      <c r="L4" s="39" t="s">
        <v>27</v>
      </c>
      <c r="M4" s="39" t="s">
        <v>28</v>
      </c>
      <c r="N4" s="39" t="s">
        <v>29</v>
      </c>
      <c r="O4" s="39" t="s">
        <v>30</v>
      </c>
      <c r="P4" s="39" t="s">
        <v>31</v>
      </c>
      <c r="Q4" s="39" t="s">
        <v>32</v>
      </c>
      <c r="R4" s="39" t="s">
        <v>33</v>
      </c>
      <c r="S4" s="39" t="s">
        <v>34</v>
      </c>
      <c r="T4" s="40" t="s">
        <v>35</v>
      </c>
      <c r="U4" s="41" t="s">
        <v>36</v>
      </c>
    </row>
    <row r="5" spans="1:26" x14ac:dyDescent="0.3">
      <c r="A5" s="43">
        <v>36647</v>
      </c>
      <c r="B5" s="44">
        <f>-VLOOKUP(A5,'Deal Volumes'!$A$3:$J$16,10)</f>
        <v>-116250</v>
      </c>
      <c r="C5" s="43">
        <f>+A5</f>
        <v>36647</v>
      </c>
      <c r="D5" s="45">
        <f t="shared" ref="D5:D18" si="0">EOMONTH(C5,0)</f>
        <v>36677</v>
      </c>
      <c r="E5" s="29" t="s">
        <v>37</v>
      </c>
      <c r="F5" s="46" t="s">
        <v>38</v>
      </c>
      <c r="G5" s="94">
        <v>2.5710000000000002</v>
      </c>
      <c r="H5" s="48">
        <f>G5</f>
        <v>2.5710000000000002</v>
      </c>
      <c r="I5" s="49">
        <f ca="1">+A5-$B$2</f>
        <v>77</v>
      </c>
      <c r="J5" s="46">
        <f>+C5-A5</f>
        <v>0</v>
      </c>
      <c r="K5" s="50">
        <f>+D5-C5+1</f>
        <v>31</v>
      </c>
      <c r="L5" s="46">
        <v>1</v>
      </c>
      <c r="M5" s="142">
        <v>6.1739896749392023E-2</v>
      </c>
      <c r="N5" s="52">
        <f>+O5</f>
        <v>0.45</v>
      </c>
      <c r="O5" s="95">
        <v>0.45</v>
      </c>
      <c r="P5" s="52">
        <v>1</v>
      </c>
      <c r="Q5" s="53">
        <v>0</v>
      </c>
      <c r="R5" s="46">
        <f>IF(F5="Call",1,0)</f>
        <v>1</v>
      </c>
      <c r="S5" s="42">
        <v>0</v>
      </c>
      <c r="T5" s="96">
        <f ca="1">_xll.OSTRIP(G5,H5,I5,J5,K5,L5,M5,N5,O5,P5,Q5,R5,S5)</f>
        <v>8.7325998636640173E-2</v>
      </c>
      <c r="U5" s="97">
        <f ca="1">T5*B5</f>
        <v>-10151.647341509421</v>
      </c>
      <c r="V5" s="205"/>
      <c r="W5" s="55"/>
      <c r="X5" s="46"/>
      <c r="Y5" s="46"/>
      <c r="Z5" s="46"/>
    </row>
    <row r="6" spans="1:26" x14ac:dyDescent="0.3">
      <c r="A6" s="43">
        <v>36678</v>
      </c>
      <c r="B6" s="44">
        <f>-VLOOKUP(A6,'Deal Volumes'!$A$3:$J$16,10)</f>
        <v>-112500</v>
      </c>
      <c r="C6" s="43">
        <f>+A6</f>
        <v>36678</v>
      </c>
      <c r="D6" s="45">
        <f t="shared" si="0"/>
        <v>36707</v>
      </c>
      <c r="E6" s="29" t="s">
        <v>37</v>
      </c>
      <c r="F6" s="46" t="s">
        <v>38</v>
      </c>
      <c r="G6" s="94">
        <v>2.5905</v>
      </c>
      <c r="H6" s="48">
        <f>G6</f>
        <v>2.5905</v>
      </c>
      <c r="I6" s="49">
        <f ca="1">+A6-$B$2</f>
        <v>108</v>
      </c>
      <c r="J6" s="46">
        <f>+C6-A6</f>
        <v>0</v>
      </c>
      <c r="K6" s="50">
        <f>+D6-C6+1</f>
        <v>30</v>
      </c>
      <c r="L6" s="46">
        <v>1</v>
      </c>
      <c r="M6" s="142">
        <v>6.2588347760123994E-2</v>
      </c>
      <c r="N6" s="52">
        <f t="shared" ref="N6:N18" si="1">+O6</f>
        <v>0.5</v>
      </c>
      <c r="O6" s="95">
        <v>0.5</v>
      </c>
      <c r="P6" s="52">
        <v>1</v>
      </c>
      <c r="Q6" s="53">
        <v>0</v>
      </c>
      <c r="R6" s="46">
        <f>IF(F6="Call",1,0)</f>
        <v>1</v>
      </c>
      <c r="S6" s="42">
        <v>0</v>
      </c>
      <c r="T6" s="96">
        <f ca="1">_xll.OSTRIP(G6,H6,I6,J6,K6,L6,M6,N6,O6,P6,Q6,R6,S6)</f>
        <v>9.5613553181489994E-2</v>
      </c>
      <c r="U6" s="97">
        <f ca="1">T6*B6</f>
        <v>-10756.524732917624</v>
      </c>
      <c r="V6" s="205"/>
      <c r="W6" s="55"/>
      <c r="X6" s="46"/>
      <c r="Y6" s="46"/>
      <c r="Z6" s="46"/>
    </row>
    <row r="7" spans="1:26" x14ac:dyDescent="0.3">
      <c r="A7" s="43">
        <v>36708</v>
      </c>
      <c r="B7" s="44">
        <f>-VLOOKUP(A7,'Deal Volumes'!$A$3:$J$16,10)</f>
        <v>-155000</v>
      </c>
      <c r="C7" s="43">
        <f>+A7</f>
        <v>36708</v>
      </c>
      <c r="D7" s="45">
        <f t="shared" si="0"/>
        <v>36738</v>
      </c>
      <c r="E7" s="29" t="s">
        <v>37</v>
      </c>
      <c r="F7" s="46" t="s">
        <v>38</v>
      </c>
      <c r="G7" s="94">
        <v>2.6070000000000002</v>
      </c>
      <c r="H7" s="48">
        <f>G7</f>
        <v>2.6070000000000002</v>
      </c>
      <c r="I7" s="49">
        <f ca="1">+A7-$B$2</f>
        <v>138</v>
      </c>
      <c r="J7" s="46">
        <f>+C7-A7</f>
        <v>0</v>
      </c>
      <c r="K7" s="50">
        <f>+D7-C7+1</f>
        <v>31</v>
      </c>
      <c r="L7" s="46">
        <v>1</v>
      </c>
      <c r="M7" s="142">
        <v>6.3435677173907024E-2</v>
      </c>
      <c r="N7" s="52">
        <f t="shared" si="1"/>
        <v>0.5</v>
      </c>
      <c r="O7" s="95">
        <v>0.5</v>
      </c>
      <c r="P7" s="52">
        <v>1</v>
      </c>
      <c r="Q7" s="53">
        <v>0</v>
      </c>
      <c r="R7" s="46">
        <f>IF(F7="Call",1,0)</f>
        <v>1</v>
      </c>
      <c r="S7" s="42">
        <v>0</v>
      </c>
      <c r="T7" s="96">
        <f ca="1">_xll.OSTRIP(G7,H7,I7,J7,K7,L7,M7,N7,O7,P7,Q7,R7,S7)</f>
        <v>9.7297333508275158E-2</v>
      </c>
      <c r="U7" s="97">
        <f ca="1">T7*B7</f>
        <v>-15081.086693782649</v>
      </c>
      <c r="V7" s="205"/>
      <c r="W7" s="55"/>
      <c r="X7" s="46"/>
      <c r="Y7" s="46"/>
      <c r="Z7" s="46"/>
    </row>
    <row r="8" spans="1:26" x14ac:dyDescent="0.3">
      <c r="A8" s="43">
        <v>36739</v>
      </c>
      <c r="B8" s="44">
        <f>-VLOOKUP(A8,'Deal Volumes'!$A$3:$J$16,10)</f>
        <v>-155000</v>
      </c>
      <c r="C8" s="43">
        <f>+A8</f>
        <v>36739</v>
      </c>
      <c r="D8" s="45">
        <f t="shared" si="0"/>
        <v>36769</v>
      </c>
      <c r="E8" s="29" t="s">
        <v>37</v>
      </c>
      <c r="F8" s="46" t="s">
        <v>38</v>
      </c>
      <c r="G8" s="94">
        <v>2.6234999999999999</v>
      </c>
      <c r="H8" s="48">
        <f>G8</f>
        <v>2.6234999999999999</v>
      </c>
      <c r="I8" s="49">
        <f ca="1">+A8-$B$2</f>
        <v>169</v>
      </c>
      <c r="J8" s="46">
        <f>+C8-A8</f>
        <v>0</v>
      </c>
      <c r="K8" s="50">
        <f>+D8-C8+1</f>
        <v>31</v>
      </c>
      <c r="L8" s="46">
        <v>1</v>
      </c>
      <c r="M8" s="142">
        <v>6.4112455868492998E-2</v>
      </c>
      <c r="N8" s="52">
        <f t="shared" si="1"/>
        <v>0.55000000000000004</v>
      </c>
      <c r="O8" s="95">
        <v>0.55000000000000004</v>
      </c>
      <c r="P8" s="52">
        <v>1</v>
      </c>
      <c r="Q8" s="53">
        <v>0</v>
      </c>
      <c r="R8" s="46">
        <f>IF(F8="Call",1,0)</f>
        <v>1</v>
      </c>
      <c r="S8" s="42">
        <v>0</v>
      </c>
      <c r="T8" s="96">
        <f ca="1">_xll.OSTRIP(G8,H8,I8,J8,K8,L8,M8,N8,O8,P8,Q8,R8,S8)</f>
        <v>0.10707668551082269</v>
      </c>
      <c r="U8" s="97">
        <f ca="1">T8*B8</f>
        <v>-16596.886254177516</v>
      </c>
      <c r="V8" s="205"/>
      <c r="W8" s="55"/>
      <c r="X8" s="46"/>
      <c r="Y8" s="46"/>
      <c r="Z8" s="46"/>
    </row>
    <row r="9" spans="1:26" x14ac:dyDescent="0.3">
      <c r="A9" s="43">
        <v>36770</v>
      </c>
      <c r="B9" s="44">
        <f>-VLOOKUP(A9,'Deal Volumes'!$A$3:$J$16,10)</f>
        <v>-150000</v>
      </c>
      <c r="C9" s="43">
        <f>+A9</f>
        <v>36770</v>
      </c>
      <c r="D9" s="45">
        <f t="shared" si="0"/>
        <v>36799</v>
      </c>
      <c r="E9" s="29" t="s">
        <v>37</v>
      </c>
      <c r="F9" s="46" t="s">
        <v>38</v>
      </c>
      <c r="G9" s="94">
        <v>2.6230000000000002</v>
      </c>
      <c r="H9" s="48">
        <f>G9</f>
        <v>2.6230000000000002</v>
      </c>
      <c r="I9" s="49">
        <f ca="1">+A9-$B$2</f>
        <v>200</v>
      </c>
      <c r="J9" s="46">
        <f>+C9-A9</f>
        <v>0</v>
      </c>
      <c r="K9" s="50">
        <f>+D9-C9+1</f>
        <v>30</v>
      </c>
      <c r="L9" s="46">
        <v>1</v>
      </c>
      <c r="M9" s="142">
        <v>6.4789234714962021E-2</v>
      </c>
      <c r="N9" s="52">
        <f t="shared" si="1"/>
        <v>0.55000000000000004</v>
      </c>
      <c r="O9" s="95">
        <v>0.55000000000000004</v>
      </c>
      <c r="P9" s="52">
        <v>1</v>
      </c>
      <c r="Q9" s="53">
        <v>0</v>
      </c>
      <c r="R9" s="46">
        <f>IF(F9="Call",1,0)</f>
        <v>1</v>
      </c>
      <c r="S9" s="42">
        <v>0</v>
      </c>
      <c r="T9" s="96">
        <f ca="1">_xll.OSTRIP(G9,H9,I9,J9,K9,L9,M9,N9,O9,P9,Q9,R9,S9)</f>
        <v>0.10467938967740886</v>
      </c>
      <c r="U9" s="136">
        <f ca="1">T9*B9</f>
        <v>-15701.908451611329</v>
      </c>
      <c r="V9" s="205"/>
      <c r="W9" s="55"/>
      <c r="X9" s="46"/>
      <c r="Y9" s="46"/>
      <c r="Z9" s="46"/>
    </row>
    <row r="10" spans="1:26" s="46" customFormat="1" x14ac:dyDescent="0.3">
      <c r="A10" s="43">
        <v>36800</v>
      </c>
      <c r="B10" s="44">
        <f>-VLOOKUP(A10,'Deal Volumes'!$A$3:$J$16,10)</f>
        <v>-69750</v>
      </c>
      <c r="C10" s="43">
        <f t="shared" ref="C10:C18" si="2">+A10</f>
        <v>36800</v>
      </c>
      <c r="D10" s="45">
        <f t="shared" si="0"/>
        <v>36830</v>
      </c>
      <c r="E10" s="29" t="s">
        <v>37</v>
      </c>
      <c r="F10" s="46" t="s">
        <v>38</v>
      </c>
      <c r="G10" s="94">
        <v>2.6480000000000001</v>
      </c>
      <c r="H10" s="48">
        <f t="shared" ref="H10:H18" si="3">G10</f>
        <v>2.6480000000000001</v>
      </c>
      <c r="I10" s="49">
        <f t="shared" ref="I10:I18" ca="1" si="4">+A10-$B$2</f>
        <v>230</v>
      </c>
      <c r="J10" s="46">
        <f t="shared" ref="J10:J18" si="5">+C10-A10</f>
        <v>0</v>
      </c>
      <c r="K10" s="50">
        <f t="shared" ref="K10:K18" si="6">+D10-C10+1</f>
        <v>31</v>
      </c>
      <c r="L10" s="46">
        <v>1</v>
      </c>
      <c r="M10" s="142">
        <v>6.5417688435194007E-2</v>
      </c>
      <c r="N10" s="52">
        <f t="shared" si="1"/>
        <v>0.5</v>
      </c>
      <c r="O10" s="95">
        <v>0.5</v>
      </c>
      <c r="P10" s="52">
        <v>1</v>
      </c>
      <c r="Q10" s="53">
        <v>0</v>
      </c>
      <c r="R10" s="46">
        <f t="shared" ref="R10:R18" si="7">IF(F10="Call",1,0)</f>
        <v>1</v>
      </c>
      <c r="S10" s="42">
        <v>0</v>
      </c>
      <c r="T10" s="96">
        <f ca="1">_xll.OSTRIP(G10,H10,I10,J10,K10,L10,M10,N10,O10,P10,Q10,R10,S10)</f>
        <v>9.7129683498926409E-2</v>
      </c>
      <c r="U10" s="136">
        <f t="shared" ref="U10:U18" ca="1" si="8">T10*B10</f>
        <v>-6774.7954240501167</v>
      </c>
      <c r="V10" s="205"/>
      <c r="W10" s="55"/>
    </row>
    <row r="11" spans="1:26" s="46" customFormat="1" x14ac:dyDescent="0.3">
      <c r="A11" s="43">
        <v>36831</v>
      </c>
      <c r="B11" s="44">
        <f>-VLOOKUP(A11,'Deal Volumes'!$A$3:$J$16,10)</f>
        <v>-67500</v>
      </c>
      <c r="C11" s="43">
        <f t="shared" si="2"/>
        <v>36831</v>
      </c>
      <c r="D11" s="45">
        <f t="shared" si="0"/>
        <v>36860</v>
      </c>
      <c r="E11" s="29" t="s">
        <v>37</v>
      </c>
      <c r="F11" s="46" t="s">
        <v>38</v>
      </c>
      <c r="G11" s="94">
        <v>2.7429999999999999</v>
      </c>
      <c r="H11" s="48">
        <f t="shared" si="3"/>
        <v>2.7429999999999999</v>
      </c>
      <c r="I11" s="49">
        <f t="shared" ca="1" si="4"/>
        <v>261</v>
      </c>
      <c r="J11" s="46">
        <f t="shared" si="5"/>
        <v>0</v>
      </c>
      <c r="K11" s="50">
        <f t="shared" si="6"/>
        <v>30</v>
      </c>
      <c r="L11" s="46">
        <v>1</v>
      </c>
      <c r="M11" s="142">
        <v>6.6017878160483018E-2</v>
      </c>
      <c r="N11" s="52">
        <f t="shared" si="1"/>
        <v>0.85</v>
      </c>
      <c r="O11" s="95">
        <v>0.85</v>
      </c>
      <c r="P11" s="52">
        <v>1</v>
      </c>
      <c r="Q11" s="53">
        <v>0</v>
      </c>
      <c r="R11" s="46">
        <f t="shared" si="7"/>
        <v>1</v>
      </c>
      <c r="S11" s="42">
        <v>0</v>
      </c>
      <c r="T11" s="96">
        <f ca="1">_xll.OSTRIP(G11,H11,I11,J11,K11,L11,M11,N11,O11,P11,Q11,R11,S11)</f>
        <v>0.16705381277578685</v>
      </c>
      <c r="U11" s="136">
        <f t="shared" ca="1" si="8"/>
        <v>-11276.132362365612</v>
      </c>
      <c r="V11" s="205"/>
      <c r="W11" s="55"/>
    </row>
    <row r="12" spans="1:26" s="46" customFormat="1" x14ac:dyDescent="0.3">
      <c r="A12" s="43">
        <v>36861</v>
      </c>
      <c r="B12" s="44">
        <f>-VLOOKUP(A12,'Deal Volumes'!$A$3:$J$16,10)</f>
        <v>-69750</v>
      </c>
      <c r="C12" s="43">
        <f t="shared" si="2"/>
        <v>36861</v>
      </c>
      <c r="D12" s="45">
        <f t="shared" si="0"/>
        <v>36891</v>
      </c>
      <c r="E12" s="29" t="s">
        <v>37</v>
      </c>
      <c r="F12" s="46" t="s">
        <v>38</v>
      </c>
      <c r="G12" s="94">
        <v>2.8454999999999999</v>
      </c>
      <c r="H12" s="48">
        <f t="shared" si="3"/>
        <v>2.8454999999999999</v>
      </c>
      <c r="I12" s="49">
        <f t="shared" ca="1" si="4"/>
        <v>291</v>
      </c>
      <c r="J12" s="46">
        <f t="shared" si="5"/>
        <v>0</v>
      </c>
      <c r="K12" s="50">
        <f t="shared" si="6"/>
        <v>31</v>
      </c>
      <c r="L12" s="46">
        <v>1</v>
      </c>
      <c r="M12" s="142">
        <v>6.6598707040522009E-2</v>
      </c>
      <c r="N12" s="52">
        <f t="shared" si="1"/>
        <v>1.05</v>
      </c>
      <c r="O12" s="95">
        <v>1.05</v>
      </c>
      <c r="P12" s="52">
        <v>1</v>
      </c>
      <c r="Q12" s="53">
        <v>0</v>
      </c>
      <c r="R12" s="46">
        <f t="shared" si="7"/>
        <v>1</v>
      </c>
      <c r="S12" s="42">
        <v>0</v>
      </c>
      <c r="T12" s="96">
        <f ca="1">_xll.OSTRIP(G12,H12,I12,J12,K12,L12,M12,N12,O12,P12,Q12,R12,S12)</f>
        <v>0.21618883699086744</v>
      </c>
      <c r="U12" s="136">
        <f t="shared" ca="1" si="8"/>
        <v>-15079.171380113004</v>
      </c>
      <c r="V12" s="205"/>
      <c r="W12" s="55"/>
    </row>
    <row r="13" spans="1:26" s="46" customFormat="1" x14ac:dyDescent="0.3">
      <c r="A13" s="43">
        <v>36892</v>
      </c>
      <c r="B13" s="44">
        <f>-VLOOKUP(A13,'Deal Volumes'!$A$3:$J$16,10)</f>
        <v>-69750</v>
      </c>
      <c r="C13" s="43">
        <f t="shared" si="2"/>
        <v>36892</v>
      </c>
      <c r="D13" s="45">
        <f t="shared" si="0"/>
        <v>36922</v>
      </c>
      <c r="E13" s="29" t="s">
        <v>37</v>
      </c>
      <c r="F13" s="46" t="s">
        <v>38</v>
      </c>
      <c r="G13" s="94">
        <v>2.8679999999999999</v>
      </c>
      <c r="H13" s="48">
        <f t="shared" si="3"/>
        <v>2.8679999999999999</v>
      </c>
      <c r="I13" s="49">
        <f t="shared" ca="1" si="4"/>
        <v>322</v>
      </c>
      <c r="J13" s="46">
        <f t="shared" si="5"/>
        <v>0</v>
      </c>
      <c r="K13" s="50">
        <f t="shared" si="6"/>
        <v>31</v>
      </c>
      <c r="L13" s="46">
        <v>1</v>
      </c>
      <c r="M13" s="142">
        <v>6.7170475814310016E-2</v>
      </c>
      <c r="N13" s="52">
        <f t="shared" si="1"/>
        <v>1.05</v>
      </c>
      <c r="O13" s="95">
        <v>1.05</v>
      </c>
      <c r="P13" s="52">
        <v>1</v>
      </c>
      <c r="Q13" s="53">
        <v>0</v>
      </c>
      <c r="R13" s="46">
        <f t="shared" si="7"/>
        <v>1</v>
      </c>
      <c r="S13" s="42">
        <v>0</v>
      </c>
      <c r="T13" s="96">
        <f ca="1">_xll.OSTRIP(G13,H13,I13,J13,K13,L13,M13,N13,O13,P13,Q13,R13,S13)</f>
        <v>0.2165545050820499</v>
      </c>
      <c r="U13" s="136">
        <f t="shared" ca="1" si="8"/>
        <v>-15104.676729472982</v>
      </c>
      <c r="V13" s="205"/>
      <c r="W13" s="55"/>
    </row>
    <row r="14" spans="1:26" s="46" customFormat="1" x14ac:dyDescent="0.3">
      <c r="A14" s="43">
        <v>36923</v>
      </c>
      <c r="B14" s="44">
        <f>-VLOOKUP(A14,'Deal Volumes'!$A$3:$J$16,10)</f>
        <v>-63000</v>
      </c>
      <c r="C14" s="43">
        <f t="shared" si="2"/>
        <v>36923</v>
      </c>
      <c r="D14" s="45">
        <f t="shared" si="0"/>
        <v>36950</v>
      </c>
      <c r="E14" s="29" t="s">
        <v>37</v>
      </c>
      <c r="F14" s="46" t="s">
        <v>38</v>
      </c>
      <c r="G14" s="94">
        <v>2.7334999999999998</v>
      </c>
      <c r="H14" s="48">
        <f t="shared" si="3"/>
        <v>2.7334999999999998</v>
      </c>
      <c r="I14" s="49">
        <f t="shared" ca="1" si="4"/>
        <v>353</v>
      </c>
      <c r="J14" s="46">
        <f t="shared" si="5"/>
        <v>0</v>
      </c>
      <c r="K14" s="50">
        <f t="shared" si="6"/>
        <v>28</v>
      </c>
      <c r="L14" s="46">
        <v>1</v>
      </c>
      <c r="M14" s="142">
        <v>6.7697244476728993E-2</v>
      </c>
      <c r="N14" s="52">
        <f t="shared" si="1"/>
        <v>1.05</v>
      </c>
      <c r="O14" s="95">
        <v>1.05</v>
      </c>
      <c r="P14" s="52">
        <v>1</v>
      </c>
      <c r="Q14" s="53">
        <v>0</v>
      </c>
      <c r="R14" s="46">
        <f t="shared" si="7"/>
        <v>1</v>
      </c>
      <c r="S14" s="42">
        <v>0</v>
      </c>
      <c r="T14" s="96">
        <f ca="1">_xll.OSTRIP(G14,H14,I14,J14,K14,L14,M14,N14,O14,P14,Q14,R14,S14)</f>
        <v>0.19483500650113153</v>
      </c>
      <c r="U14" s="136">
        <f t="shared" ca="1" si="8"/>
        <v>-12274.605409571286</v>
      </c>
      <c r="V14" s="205"/>
      <c r="W14" s="55"/>
    </row>
    <row r="15" spans="1:26" s="46" customFormat="1" x14ac:dyDescent="0.3">
      <c r="A15" s="43">
        <v>36951</v>
      </c>
      <c r="B15" s="44">
        <f>-VLOOKUP(A15,'Deal Volumes'!$A$3:$J$16,10)</f>
        <v>-69750</v>
      </c>
      <c r="C15" s="43">
        <f t="shared" si="2"/>
        <v>36951</v>
      </c>
      <c r="D15" s="45">
        <f t="shared" si="0"/>
        <v>36981</v>
      </c>
      <c r="E15" s="29" t="s">
        <v>37</v>
      </c>
      <c r="F15" s="46" t="s">
        <v>38</v>
      </c>
      <c r="G15" s="94">
        <v>2.613</v>
      </c>
      <c r="H15" s="48">
        <f t="shared" si="3"/>
        <v>2.613</v>
      </c>
      <c r="I15" s="49">
        <f t="shared" ca="1" si="4"/>
        <v>381</v>
      </c>
      <c r="J15" s="46">
        <f t="shared" si="5"/>
        <v>0</v>
      </c>
      <c r="K15" s="50">
        <f t="shared" si="6"/>
        <v>31</v>
      </c>
      <c r="L15" s="46">
        <v>1</v>
      </c>
      <c r="M15" s="142">
        <v>6.8173035605607016E-2</v>
      </c>
      <c r="N15" s="52">
        <f t="shared" si="1"/>
        <v>0.8</v>
      </c>
      <c r="O15" s="95">
        <v>0.8</v>
      </c>
      <c r="P15" s="52">
        <v>1</v>
      </c>
      <c r="Q15" s="53">
        <v>0</v>
      </c>
      <c r="R15" s="46">
        <f t="shared" si="7"/>
        <v>1</v>
      </c>
      <c r="S15" s="42">
        <v>0</v>
      </c>
      <c r="T15" s="96">
        <f ca="1">_xll.OSTRIP(G15,H15,I15,J15,K15,L15,M15,N15,O15,P15,Q15,R15,S15)</f>
        <v>0.14868670375795834</v>
      </c>
      <c r="U15" s="136">
        <f t="shared" ca="1" si="8"/>
        <v>-10370.897587117594</v>
      </c>
      <c r="V15" s="205"/>
      <c r="W15" s="55"/>
    </row>
    <row r="16" spans="1:26" s="46" customFormat="1" x14ac:dyDescent="0.3">
      <c r="A16" s="43">
        <v>36982</v>
      </c>
      <c r="B16" s="44">
        <f>-VLOOKUP(A16,'Deal Volumes'!$A$3:$J$16,10)</f>
        <v>-67500</v>
      </c>
      <c r="C16" s="43">
        <f t="shared" si="2"/>
        <v>36982</v>
      </c>
      <c r="D16" s="45">
        <f t="shared" si="0"/>
        <v>37011</v>
      </c>
      <c r="E16" s="29" t="s">
        <v>37</v>
      </c>
      <c r="F16" s="46" t="s">
        <v>38</v>
      </c>
      <c r="G16" s="94">
        <v>2.5230000000000001</v>
      </c>
      <c r="H16" s="48">
        <f t="shared" si="3"/>
        <v>2.5230000000000001</v>
      </c>
      <c r="I16" s="49">
        <f t="shared" ca="1" si="4"/>
        <v>412</v>
      </c>
      <c r="J16" s="46">
        <f t="shared" si="5"/>
        <v>0</v>
      </c>
      <c r="K16" s="50">
        <f t="shared" si="6"/>
        <v>30</v>
      </c>
      <c r="L16" s="46">
        <v>1</v>
      </c>
      <c r="M16" s="142">
        <v>6.8656219094093002E-2</v>
      </c>
      <c r="N16" s="52">
        <f t="shared" si="1"/>
        <v>0.45</v>
      </c>
      <c r="O16" s="95">
        <v>0.45</v>
      </c>
      <c r="P16" s="52">
        <v>1</v>
      </c>
      <c r="Q16" s="53">
        <v>0</v>
      </c>
      <c r="R16" s="46">
        <f t="shared" si="7"/>
        <v>1</v>
      </c>
      <c r="S16" s="42">
        <v>0</v>
      </c>
      <c r="T16" s="96">
        <f ca="1">_xll.OSTRIP(G16,H16,I16,J16,K16,L16,M16,N16,O16,P16,Q16,R16,S16)</f>
        <v>7.8996990347259419E-2</v>
      </c>
      <c r="U16" s="136">
        <f t="shared" ca="1" si="8"/>
        <v>-5332.2968484400108</v>
      </c>
      <c r="V16" s="205"/>
      <c r="W16" s="55"/>
    </row>
    <row r="17" spans="1:26" s="46" customFormat="1" x14ac:dyDescent="0.3">
      <c r="A17" s="43">
        <v>37012</v>
      </c>
      <c r="B17" s="44">
        <f>-VLOOKUP(A17,'Deal Volumes'!$A$3:$J$16,10)</f>
        <v>-116250</v>
      </c>
      <c r="C17" s="43">
        <f t="shared" si="2"/>
        <v>37012</v>
      </c>
      <c r="D17" s="45">
        <f t="shared" si="0"/>
        <v>37042</v>
      </c>
      <c r="E17" s="29" t="s">
        <v>37</v>
      </c>
      <c r="F17" s="46" t="s">
        <v>38</v>
      </c>
      <c r="G17" s="94">
        <v>2.488</v>
      </c>
      <c r="H17" s="48">
        <f t="shared" si="3"/>
        <v>2.488</v>
      </c>
      <c r="I17" s="49">
        <f t="shared" ca="1" si="4"/>
        <v>442</v>
      </c>
      <c r="J17" s="46">
        <f t="shared" si="5"/>
        <v>0</v>
      </c>
      <c r="K17" s="50">
        <f t="shared" si="6"/>
        <v>31</v>
      </c>
      <c r="L17" s="46">
        <v>1</v>
      </c>
      <c r="M17" s="142">
        <v>6.9045363608288002E-2</v>
      </c>
      <c r="N17" s="52">
        <f t="shared" si="1"/>
        <v>0.5</v>
      </c>
      <c r="O17" s="95">
        <v>0.5</v>
      </c>
      <c r="P17" s="52">
        <v>1</v>
      </c>
      <c r="Q17" s="53">
        <v>0</v>
      </c>
      <c r="R17" s="46">
        <f t="shared" si="7"/>
        <v>1</v>
      </c>
      <c r="S17" s="42">
        <v>0</v>
      </c>
      <c r="T17" s="96">
        <f ca="1">_xll.OSTRIP(G17,H17,I17,J17,K17,L17,M17,N17,O17,P17,Q17,R17,S17)</f>
        <v>8.7459314480054576E-2</v>
      </c>
      <c r="U17" s="136">
        <f t="shared" ca="1" si="8"/>
        <v>-10167.145308306344</v>
      </c>
      <c r="V17" s="205"/>
      <c r="W17" s="55"/>
    </row>
    <row r="18" spans="1:26" s="46" customFormat="1" x14ac:dyDescent="0.3">
      <c r="A18" s="43">
        <v>37043</v>
      </c>
      <c r="B18" s="44">
        <f>-VLOOKUP(A18,'Deal Volumes'!$A$3:$J$16,10)</f>
        <v>-112500</v>
      </c>
      <c r="C18" s="43">
        <f t="shared" si="2"/>
        <v>37043</v>
      </c>
      <c r="D18" s="45">
        <f t="shared" si="0"/>
        <v>37072</v>
      </c>
      <c r="E18" s="29" t="s">
        <v>37</v>
      </c>
      <c r="F18" s="46" t="s">
        <v>38</v>
      </c>
      <c r="G18" s="94">
        <v>2.4954999999999998</v>
      </c>
      <c r="H18" s="48">
        <f t="shared" si="3"/>
        <v>2.4954999999999998</v>
      </c>
      <c r="I18" s="49">
        <f t="shared" ca="1" si="4"/>
        <v>473</v>
      </c>
      <c r="J18" s="46">
        <f t="shared" si="5"/>
        <v>0</v>
      </c>
      <c r="K18" s="50">
        <f t="shared" si="6"/>
        <v>30</v>
      </c>
      <c r="L18" s="46">
        <v>1</v>
      </c>
      <c r="M18" s="142">
        <v>6.944747965891801E-2</v>
      </c>
      <c r="N18" s="52">
        <f t="shared" si="1"/>
        <v>0.5</v>
      </c>
      <c r="O18" s="95">
        <v>0.5</v>
      </c>
      <c r="P18" s="52">
        <v>1</v>
      </c>
      <c r="Q18" s="53">
        <v>0</v>
      </c>
      <c r="R18" s="46">
        <f t="shared" si="7"/>
        <v>1</v>
      </c>
      <c r="S18" s="42">
        <v>0</v>
      </c>
      <c r="T18" s="96">
        <f ca="1">_xll.OSTRIP(G18,H18,I18,J18,K18,L18,M18,N18,O18,P18,Q18,R18,S18)</f>
        <v>8.5728101358325245E-2</v>
      </c>
      <c r="U18" s="98">
        <f t="shared" ca="1" si="8"/>
        <v>-9644.411402811591</v>
      </c>
      <c r="V18" s="205"/>
      <c r="W18" s="55"/>
    </row>
    <row r="19" spans="1:26" s="46" customFormat="1" x14ac:dyDescent="0.3">
      <c r="A19" s="43"/>
      <c r="B19" s="44"/>
      <c r="C19" s="45"/>
      <c r="D19" s="45"/>
      <c r="G19" s="47"/>
      <c r="H19" s="48"/>
      <c r="I19" s="49"/>
      <c r="K19" s="50"/>
      <c r="N19" s="52"/>
      <c r="O19" s="52"/>
      <c r="P19" s="52"/>
      <c r="Q19" s="53"/>
      <c r="S19" s="42"/>
      <c r="T19" s="96"/>
      <c r="U19" s="97">
        <f ca="1">SUBTOTAL(9,U5:U18)</f>
        <v>-164312.18592624707</v>
      </c>
      <c r="V19" s="97"/>
      <c r="W19" s="97"/>
    </row>
    <row r="20" spans="1:26" s="46" customFormat="1" x14ac:dyDescent="0.3">
      <c r="A20" s="43"/>
      <c r="B20" s="44"/>
      <c r="C20" s="45"/>
      <c r="D20" s="45"/>
      <c r="G20" s="47"/>
      <c r="H20" s="48"/>
      <c r="I20" s="49"/>
      <c r="K20" s="50"/>
      <c r="N20" s="52"/>
      <c r="O20" s="52"/>
      <c r="P20" s="52"/>
      <c r="Q20" s="53"/>
      <c r="S20" s="42"/>
      <c r="T20" s="96"/>
      <c r="U20" s="97"/>
      <c r="V20" s="55"/>
    </row>
    <row r="21" spans="1:26" x14ac:dyDescent="0.3">
      <c r="A21" s="43">
        <f>+A5</f>
        <v>36647</v>
      </c>
      <c r="B21" s="44">
        <f>+B5</f>
        <v>-116250</v>
      </c>
      <c r="C21" s="43">
        <f>+C5</f>
        <v>36647</v>
      </c>
      <c r="D21" s="45">
        <f t="shared" ref="D21:D34" si="9">EOMONTH(C21,0)</f>
        <v>36677</v>
      </c>
      <c r="E21" s="29" t="s">
        <v>37</v>
      </c>
      <c r="F21" s="46" t="s">
        <v>42</v>
      </c>
      <c r="G21" s="47">
        <f>+G5</f>
        <v>2.5710000000000002</v>
      </c>
      <c r="H21" s="48">
        <f>+H5</f>
        <v>2.5710000000000002</v>
      </c>
      <c r="I21" s="49">
        <f ca="1">+A21-$B$2</f>
        <v>77</v>
      </c>
      <c r="J21" s="46">
        <f>+C21-A21</f>
        <v>0</v>
      </c>
      <c r="K21" s="50">
        <f>+D21-C21+1</f>
        <v>31</v>
      </c>
      <c r="L21" s="46">
        <f t="shared" ref="L21:Q21" si="10">+L5</f>
        <v>1</v>
      </c>
      <c r="M21" s="51">
        <f t="shared" si="10"/>
        <v>6.1739896749392023E-2</v>
      </c>
      <c r="N21" s="52">
        <f t="shared" si="10"/>
        <v>0.45</v>
      </c>
      <c r="O21" s="52">
        <f t="shared" si="10"/>
        <v>0.45</v>
      </c>
      <c r="P21" s="52">
        <f t="shared" si="10"/>
        <v>1</v>
      </c>
      <c r="Q21" s="53">
        <f t="shared" si="10"/>
        <v>0</v>
      </c>
      <c r="R21" s="46">
        <f>IF(F21="Call",1,0)</f>
        <v>0</v>
      </c>
      <c r="S21" s="42">
        <v>0</v>
      </c>
      <c r="T21" s="96">
        <f ca="1">_xll.OSTRIP(G21,H21,I21,J21,K21,L21,M21,N21,O21,P21,Q21,R21,S21)</f>
        <v>8.7325998636640173E-2</v>
      </c>
      <c r="U21" s="97">
        <f ca="1">T21*B21</f>
        <v>-10151.647341509421</v>
      </c>
      <c r="V21" s="55"/>
      <c r="W21" s="46"/>
      <c r="X21" s="46"/>
      <c r="Y21" s="46"/>
      <c r="Z21" s="46"/>
    </row>
    <row r="22" spans="1:26" x14ac:dyDescent="0.3">
      <c r="A22" s="43">
        <f t="shared" ref="A22:C34" si="11">+A6</f>
        <v>36678</v>
      </c>
      <c r="B22" s="44">
        <f t="shared" ref="B22:C25" si="12">+B6</f>
        <v>-112500</v>
      </c>
      <c r="C22" s="43">
        <f t="shared" si="12"/>
        <v>36678</v>
      </c>
      <c r="D22" s="45">
        <f t="shared" si="9"/>
        <v>36707</v>
      </c>
      <c r="E22" s="29" t="s">
        <v>37</v>
      </c>
      <c r="F22" s="46" t="s">
        <v>42</v>
      </c>
      <c r="G22" s="47">
        <f t="shared" ref="G22:H25" si="13">+G6</f>
        <v>2.5905</v>
      </c>
      <c r="H22" s="48">
        <f t="shared" si="13"/>
        <v>2.5905</v>
      </c>
      <c r="I22" s="49">
        <f ca="1">+A22-$B$2</f>
        <v>108</v>
      </c>
      <c r="J22" s="46">
        <f>+C22-A22</f>
        <v>0</v>
      </c>
      <c r="K22" s="50">
        <f>+D22-C22+1</f>
        <v>30</v>
      </c>
      <c r="L22" s="46">
        <f t="shared" ref="L22:L34" si="14">+L6</f>
        <v>1</v>
      </c>
      <c r="M22" s="51">
        <f t="shared" ref="M22:Q25" si="15">+M6</f>
        <v>6.2588347760123994E-2</v>
      </c>
      <c r="N22" s="52">
        <f t="shared" si="15"/>
        <v>0.5</v>
      </c>
      <c r="O22" s="52">
        <f t="shared" si="15"/>
        <v>0.5</v>
      </c>
      <c r="P22" s="52">
        <f t="shared" si="15"/>
        <v>1</v>
      </c>
      <c r="Q22" s="53">
        <f t="shared" si="15"/>
        <v>0</v>
      </c>
      <c r="R22" s="46">
        <f>IF(F22="Call",1,0)</f>
        <v>0</v>
      </c>
      <c r="S22" s="42">
        <v>0</v>
      </c>
      <c r="T22" s="96">
        <f ca="1">_xll.OSTRIP(G22,H22,I22,J22,K22,L22,M22,N22,O22,P22,Q22,R22,S22)</f>
        <v>9.5613553181489994E-2</v>
      </c>
      <c r="U22" s="97">
        <f ca="1">T22*B22</f>
        <v>-10756.524732917624</v>
      </c>
      <c r="V22" s="55"/>
      <c r="W22" s="46"/>
      <c r="X22" s="46"/>
      <c r="Y22" s="46"/>
      <c r="Z22" s="46"/>
    </row>
    <row r="23" spans="1:26" x14ac:dyDescent="0.3">
      <c r="A23" s="43">
        <f t="shared" si="11"/>
        <v>36708</v>
      </c>
      <c r="B23" s="44">
        <f t="shared" si="12"/>
        <v>-155000</v>
      </c>
      <c r="C23" s="43">
        <f t="shared" si="12"/>
        <v>36708</v>
      </c>
      <c r="D23" s="45">
        <f t="shared" si="9"/>
        <v>36738</v>
      </c>
      <c r="E23" s="29" t="s">
        <v>37</v>
      </c>
      <c r="F23" s="46" t="s">
        <v>42</v>
      </c>
      <c r="G23" s="47">
        <f t="shared" si="13"/>
        <v>2.6070000000000002</v>
      </c>
      <c r="H23" s="48">
        <f t="shared" si="13"/>
        <v>2.6070000000000002</v>
      </c>
      <c r="I23" s="49">
        <f ca="1">+A23-$B$2</f>
        <v>138</v>
      </c>
      <c r="J23" s="46">
        <f>+C23-A23</f>
        <v>0</v>
      </c>
      <c r="K23" s="50">
        <f>+D23-C23+1</f>
        <v>31</v>
      </c>
      <c r="L23" s="46">
        <f t="shared" si="14"/>
        <v>1</v>
      </c>
      <c r="M23" s="51">
        <f t="shared" si="15"/>
        <v>6.3435677173907024E-2</v>
      </c>
      <c r="N23" s="52">
        <f t="shared" si="15"/>
        <v>0.5</v>
      </c>
      <c r="O23" s="52">
        <f t="shared" si="15"/>
        <v>0.5</v>
      </c>
      <c r="P23" s="52">
        <f t="shared" si="15"/>
        <v>1</v>
      </c>
      <c r="Q23" s="53">
        <f t="shared" si="15"/>
        <v>0</v>
      </c>
      <c r="R23" s="46">
        <f>IF(F23="Call",1,0)</f>
        <v>0</v>
      </c>
      <c r="S23" s="42">
        <v>0</v>
      </c>
      <c r="T23" s="96">
        <f ca="1">_xll.OSTRIP(G23,H23,I23,J23,K23,L23,M23,N23,O23,P23,Q23,R23,S23)</f>
        <v>9.7297333508275158E-2</v>
      </c>
      <c r="U23" s="97">
        <f ca="1">T23*B23</f>
        <v>-15081.086693782649</v>
      </c>
      <c r="V23" s="55"/>
      <c r="W23" s="46"/>
      <c r="X23" s="46"/>
      <c r="Y23" s="46"/>
      <c r="Z23" s="46"/>
    </row>
    <row r="24" spans="1:26" x14ac:dyDescent="0.3">
      <c r="A24" s="43">
        <f t="shared" si="11"/>
        <v>36739</v>
      </c>
      <c r="B24" s="44">
        <f t="shared" si="12"/>
        <v>-155000</v>
      </c>
      <c r="C24" s="43">
        <f t="shared" si="12"/>
        <v>36739</v>
      </c>
      <c r="D24" s="45">
        <f t="shared" si="9"/>
        <v>36769</v>
      </c>
      <c r="E24" s="29" t="s">
        <v>37</v>
      </c>
      <c r="F24" s="46" t="s">
        <v>42</v>
      </c>
      <c r="G24" s="47">
        <f t="shared" si="13"/>
        <v>2.6234999999999999</v>
      </c>
      <c r="H24" s="48">
        <f t="shared" si="13"/>
        <v>2.6234999999999999</v>
      </c>
      <c r="I24" s="49">
        <f ca="1">+A24-$B$2</f>
        <v>169</v>
      </c>
      <c r="J24" s="46">
        <f>+C24-A24</f>
        <v>0</v>
      </c>
      <c r="K24" s="50">
        <f>+D24-C24+1</f>
        <v>31</v>
      </c>
      <c r="L24" s="46">
        <f t="shared" si="14"/>
        <v>1</v>
      </c>
      <c r="M24" s="51">
        <f t="shared" si="15"/>
        <v>6.4112455868492998E-2</v>
      </c>
      <c r="N24" s="52">
        <f t="shared" si="15"/>
        <v>0.55000000000000004</v>
      </c>
      <c r="O24" s="52">
        <f t="shared" si="15"/>
        <v>0.55000000000000004</v>
      </c>
      <c r="P24" s="52">
        <f t="shared" si="15"/>
        <v>1</v>
      </c>
      <c r="Q24" s="53">
        <f t="shared" si="15"/>
        <v>0</v>
      </c>
      <c r="R24" s="46">
        <f>IF(F24="Call",1,0)</f>
        <v>0</v>
      </c>
      <c r="S24" s="42">
        <v>0</v>
      </c>
      <c r="T24" s="96">
        <f ca="1">_xll.OSTRIP(G24,H24,I24,J24,K24,L24,M24,N24,O24,P24,Q24,R24,S24)</f>
        <v>0.10707668551082269</v>
      </c>
      <c r="U24" s="97">
        <f ca="1">T24*B24</f>
        <v>-16596.886254177516</v>
      </c>
      <c r="V24" s="46"/>
      <c r="W24" s="46"/>
      <c r="X24" s="46"/>
      <c r="Y24" s="46"/>
      <c r="Z24" s="46"/>
    </row>
    <row r="25" spans="1:26" x14ac:dyDescent="0.3">
      <c r="A25" s="43">
        <f t="shared" si="11"/>
        <v>36770</v>
      </c>
      <c r="B25" s="44">
        <f t="shared" si="12"/>
        <v>-150000</v>
      </c>
      <c r="C25" s="43">
        <f t="shared" si="12"/>
        <v>36770</v>
      </c>
      <c r="D25" s="45">
        <f t="shared" si="9"/>
        <v>36799</v>
      </c>
      <c r="E25" s="29" t="s">
        <v>37</v>
      </c>
      <c r="F25" s="46" t="s">
        <v>42</v>
      </c>
      <c r="G25" s="47">
        <f t="shared" si="13"/>
        <v>2.6230000000000002</v>
      </c>
      <c r="H25" s="48">
        <f t="shared" si="13"/>
        <v>2.6230000000000002</v>
      </c>
      <c r="I25" s="49">
        <f ca="1">+A25-$B$2</f>
        <v>200</v>
      </c>
      <c r="J25" s="46">
        <f>+C25-A25</f>
        <v>0</v>
      </c>
      <c r="K25" s="50">
        <f>+D25-C25+1</f>
        <v>30</v>
      </c>
      <c r="L25" s="46">
        <f t="shared" si="14"/>
        <v>1</v>
      </c>
      <c r="M25" s="51">
        <f t="shared" si="15"/>
        <v>6.4789234714962021E-2</v>
      </c>
      <c r="N25" s="52">
        <f t="shared" si="15"/>
        <v>0.55000000000000004</v>
      </c>
      <c r="O25" s="52">
        <f t="shared" si="15"/>
        <v>0.55000000000000004</v>
      </c>
      <c r="P25" s="52">
        <f t="shared" si="15"/>
        <v>1</v>
      </c>
      <c r="Q25" s="53">
        <f t="shared" si="15"/>
        <v>0</v>
      </c>
      <c r="R25" s="46">
        <f>IF(F25="Call",1,0)</f>
        <v>0</v>
      </c>
      <c r="S25" s="42">
        <v>0</v>
      </c>
      <c r="T25" s="96">
        <f ca="1">_xll.OSTRIP(G25,H25,I25,J25,K25,L25,M25,N25,O25,P25,Q25,R25,S25)</f>
        <v>0.10467938967740886</v>
      </c>
      <c r="U25" s="136">
        <f ca="1">T25*B25</f>
        <v>-15701.908451611329</v>
      </c>
      <c r="V25" s="46"/>
      <c r="W25" s="46"/>
      <c r="X25" s="46"/>
      <c r="Y25" s="46"/>
      <c r="Z25" s="46"/>
    </row>
    <row r="26" spans="1:26" s="46" customFormat="1" x14ac:dyDescent="0.3">
      <c r="A26" s="43">
        <f t="shared" si="11"/>
        <v>36800</v>
      </c>
      <c r="B26" s="44">
        <f t="shared" si="11"/>
        <v>-69750</v>
      </c>
      <c r="C26" s="43">
        <f t="shared" si="11"/>
        <v>36800</v>
      </c>
      <c r="D26" s="45">
        <f t="shared" si="9"/>
        <v>36830</v>
      </c>
      <c r="E26" s="29" t="s">
        <v>37</v>
      </c>
      <c r="F26" s="46" t="s">
        <v>42</v>
      </c>
      <c r="G26" s="47">
        <f t="shared" ref="G26:H34" si="16">+G10</f>
        <v>2.6480000000000001</v>
      </c>
      <c r="H26" s="48">
        <f t="shared" si="16"/>
        <v>2.6480000000000001</v>
      </c>
      <c r="I26" s="49">
        <f t="shared" ref="I26:I34" ca="1" si="17">+A26-$B$2</f>
        <v>230</v>
      </c>
      <c r="J26" s="46">
        <f t="shared" ref="J26:J34" si="18">+C26-A26</f>
        <v>0</v>
      </c>
      <c r="K26" s="50">
        <f t="shared" ref="K26:K34" si="19">+D26-C26+1</f>
        <v>31</v>
      </c>
      <c r="L26" s="46">
        <f t="shared" si="14"/>
        <v>1</v>
      </c>
      <c r="M26" s="51">
        <f t="shared" ref="M26:Q34" si="20">+M10</f>
        <v>6.5417688435194007E-2</v>
      </c>
      <c r="N26" s="52">
        <f t="shared" si="20"/>
        <v>0.5</v>
      </c>
      <c r="O26" s="52">
        <f t="shared" si="20"/>
        <v>0.5</v>
      </c>
      <c r="P26" s="52">
        <f t="shared" si="20"/>
        <v>1</v>
      </c>
      <c r="Q26" s="53">
        <f t="shared" si="20"/>
        <v>0</v>
      </c>
      <c r="R26" s="46">
        <f t="shared" ref="R26:R34" si="21">IF(F26="Call",1,0)</f>
        <v>0</v>
      </c>
      <c r="S26" s="42">
        <v>0</v>
      </c>
      <c r="T26" s="96">
        <f ca="1">_xll.OSTRIP(G26,H26,I26,J26,K26,L26,M26,N26,O26,P26,Q26,R26,S26)</f>
        <v>9.7129683498926409E-2</v>
      </c>
      <c r="U26" s="136">
        <f t="shared" ref="U26:U34" ca="1" si="22">T26*B26</f>
        <v>-6774.7954240501167</v>
      </c>
    </row>
    <row r="27" spans="1:26" s="46" customFormat="1" x14ac:dyDescent="0.3">
      <c r="A27" s="43">
        <f t="shared" si="11"/>
        <v>36831</v>
      </c>
      <c r="B27" s="44">
        <f t="shared" si="11"/>
        <v>-67500</v>
      </c>
      <c r="C27" s="43">
        <f t="shared" si="11"/>
        <v>36831</v>
      </c>
      <c r="D27" s="45">
        <f t="shared" si="9"/>
        <v>36860</v>
      </c>
      <c r="E27" s="29" t="s">
        <v>37</v>
      </c>
      <c r="F27" s="46" t="s">
        <v>42</v>
      </c>
      <c r="G27" s="47">
        <f t="shared" si="16"/>
        <v>2.7429999999999999</v>
      </c>
      <c r="H27" s="48">
        <f t="shared" si="16"/>
        <v>2.7429999999999999</v>
      </c>
      <c r="I27" s="49">
        <f t="shared" ca="1" si="17"/>
        <v>261</v>
      </c>
      <c r="J27" s="46">
        <f t="shared" si="18"/>
        <v>0</v>
      </c>
      <c r="K27" s="50">
        <f t="shared" si="19"/>
        <v>30</v>
      </c>
      <c r="L27" s="46">
        <f t="shared" si="14"/>
        <v>1</v>
      </c>
      <c r="M27" s="51">
        <f t="shared" si="20"/>
        <v>6.6017878160483018E-2</v>
      </c>
      <c r="N27" s="52">
        <f t="shared" si="20"/>
        <v>0.85</v>
      </c>
      <c r="O27" s="52">
        <f t="shared" si="20"/>
        <v>0.85</v>
      </c>
      <c r="P27" s="52">
        <f t="shared" si="20"/>
        <v>1</v>
      </c>
      <c r="Q27" s="53">
        <f t="shared" si="20"/>
        <v>0</v>
      </c>
      <c r="R27" s="46">
        <f t="shared" si="21"/>
        <v>0</v>
      </c>
      <c r="S27" s="42">
        <v>0</v>
      </c>
      <c r="T27" s="96">
        <f ca="1">_xll.OSTRIP(G27,H27,I27,J27,K27,L27,M27,N27,O27,P27,Q27,R27,S27)</f>
        <v>0.16705381277578685</v>
      </c>
      <c r="U27" s="136">
        <f t="shared" ca="1" si="22"/>
        <v>-11276.132362365612</v>
      </c>
    </row>
    <row r="28" spans="1:26" s="46" customFormat="1" x14ac:dyDescent="0.3">
      <c r="A28" s="43">
        <f t="shared" si="11"/>
        <v>36861</v>
      </c>
      <c r="B28" s="44">
        <f t="shared" si="11"/>
        <v>-69750</v>
      </c>
      <c r="C28" s="43">
        <f t="shared" si="11"/>
        <v>36861</v>
      </c>
      <c r="D28" s="45">
        <f t="shared" si="9"/>
        <v>36891</v>
      </c>
      <c r="E28" s="29" t="s">
        <v>37</v>
      </c>
      <c r="F28" s="46" t="s">
        <v>42</v>
      </c>
      <c r="G28" s="47">
        <f t="shared" si="16"/>
        <v>2.8454999999999999</v>
      </c>
      <c r="H28" s="48">
        <f t="shared" si="16"/>
        <v>2.8454999999999999</v>
      </c>
      <c r="I28" s="49">
        <f t="shared" ca="1" si="17"/>
        <v>291</v>
      </c>
      <c r="J28" s="46">
        <f t="shared" si="18"/>
        <v>0</v>
      </c>
      <c r="K28" s="50">
        <f t="shared" si="19"/>
        <v>31</v>
      </c>
      <c r="L28" s="46">
        <f t="shared" si="14"/>
        <v>1</v>
      </c>
      <c r="M28" s="51">
        <f t="shared" si="20"/>
        <v>6.6598707040522009E-2</v>
      </c>
      <c r="N28" s="52">
        <f t="shared" si="20"/>
        <v>1.05</v>
      </c>
      <c r="O28" s="52">
        <f t="shared" si="20"/>
        <v>1.05</v>
      </c>
      <c r="P28" s="52">
        <f t="shared" si="20"/>
        <v>1</v>
      </c>
      <c r="Q28" s="53">
        <f t="shared" si="20"/>
        <v>0</v>
      </c>
      <c r="R28" s="46">
        <f t="shared" si="21"/>
        <v>0</v>
      </c>
      <c r="S28" s="42">
        <v>0</v>
      </c>
      <c r="T28" s="96">
        <f ca="1">_xll.OSTRIP(G28,H28,I28,J28,K28,L28,M28,N28,O28,P28,Q28,R28,S28)</f>
        <v>0.21618883699086744</v>
      </c>
      <c r="U28" s="136">
        <f t="shared" ca="1" si="22"/>
        <v>-15079.171380113004</v>
      </c>
    </row>
    <row r="29" spans="1:26" s="46" customFormat="1" x14ac:dyDescent="0.3">
      <c r="A29" s="43">
        <f t="shared" si="11"/>
        <v>36892</v>
      </c>
      <c r="B29" s="44">
        <f t="shared" si="11"/>
        <v>-69750</v>
      </c>
      <c r="C29" s="43">
        <f t="shared" si="11"/>
        <v>36892</v>
      </c>
      <c r="D29" s="45">
        <f t="shared" si="9"/>
        <v>36922</v>
      </c>
      <c r="E29" s="29" t="s">
        <v>37</v>
      </c>
      <c r="F29" s="46" t="s">
        <v>42</v>
      </c>
      <c r="G29" s="47">
        <f t="shared" si="16"/>
        <v>2.8679999999999999</v>
      </c>
      <c r="H29" s="48">
        <f t="shared" si="16"/>
        <v>2.8679999999999999</v>
      </c>
      <c r="I29" s="49">
        <f t="shared" ca="1" si="17"/>
        <v>322</v>
      </c>
      <c r="J29" s="46">
        <f t="shared" si="18"/>
        <v>0</v>
      </c>
      <c r="K29" s="50">
        <f t="shared" si="19"/>
        <v>31</v>
      </c>
      <c r="L29" s="46">
        <f t="shared" si="14"/>
        <v>1</v>
      </c>
      <c r="M29" s="51">
        <f t="shared" si="20"/>
        <v>6.7170475814310016E-2</v>
      </c>
      <c r="N29" s="52">
        <f t="shared" si="20"/>
        <v>1.05</v>
      </c>
      <c r="O29" s="52">
        <f t="shared" si="20"/>
        <v>1.05</v>
      </c>
      <c r="P29" s="52">
        <f t="shared" si="20"/>
        <v>1</v>
      </c>
      <c r="Q29" s="53">
        <f t="shared" si="20"/>
        <v>0</v>
      </c>
      <c r="R29" s="46">
        <f t="shared" si="21"/>
        <v>0</v>
      </c>
      <c r="S29" s="42">
        <v>0</v>
      </c>
      <c r="T29" s="96">
        <f ca="1">_xll.OSTRIP(G29,H29,I29,J29,K29,L29,M29,N29,O29,P29,Q29,R29,S29)</f>
        <v>0.2165545050820499</v>
      </c>
      <c r="U29" s="136">
        <f t="shared" ca="1" si="22"/>
        <v>-15104.676729472982</v>
      </c>
    </row>
    <row r="30" spans="1:26" s="46" customFormat="1" x14ac:dyDescent="0.3">
      <c r="A30" s="43">
        <f t="shared" si="11"/>
        <v>36923</v>
      </c>
      <c r="B30" s="44">
        <f t="shared" si="11"/>
        <v>-63000</v>
      </c>
      <c r="C30" s="43">
        <f t="shared" si="11"/>
        <v>36923</v>
      </c>
      <c r="D30" s="45">
        <f t="shared" si="9"/>
        <v>36950</v>
      </c>
      <c r="E30" s="29" t="s">
        <v>37</v>
      </c>
      <c r="F30" s="46" t="s">
        <v>42</v>
      </c>
      <c r="G30" s="47">
        <f t="shared" si="16"/>
        <v>2.7334999999999998</v>
      </c>
      <c r="H30" s="48">
        <f t="shared" si="16"/>
        <v>2.7334999999999998</v>
      </c>
      <c r="I30" s="49">
        <f t="shared" ca="1" si="17"/>
        <v>353</v>
      </c>
      <c r="J30" s="46">
        <f t="shared" si="18"/>
        <v>0</v>
      </c>
      <c r="K30" s="50">
        <f t="shared" si="19"/>
        <v>28</v>
      </c>
      <c r="L30" s="46">
        <f t="shared" si="14"/>
        <v>1</v>
      </c>
      <c r="M30" s="51">
        <f t="shared" si="20"/>
        <v>6.7697244476728993E-2</v>
      </c>
      <c r="N30" s="52">
        <f t="shared" si="20"/>
        <v>1.05</v>
      </c>
      <c r="O30" s="52">
        <f t="shared" si="20"/>
        <v>1.05</v>
      </c>
      <c r="P30" s="52">
        <f t="shared" si="20"/>
        <v>1</v>
      </c>
      <c r="Q30" s="53">
        <f t="shared" si="20"/>
        <v>0</v>
      </c>
      <c r="R30" s="46">
        <f t="shared" si="21"/>
        <v>0</v>
      </c>
      <c r="S30" s="42">
        <v>0</v>
      </c>
      <c r="T30" s="96">
        <f ca="1">_xll.OSTRIP(G30,H30,I30,J30,K30,L30,M30,N30,O30,P30,Q30,R30,S30)</f>
        <v>0.19483500650113156</v>
      </c>
      <c r="U30" s="136">
        <f t="shared" ca="1" si="22"/>
        <v>-12274.605409571288</v>
      </c>
    </row>
    <row r="31" spans="1:26" s="46" customFormat="1" x14ac:dyDescent="0.3">
      <c r="A31" s="43">
        <f t="shared" si="11"/>
        <v>36951</v>
      </c>
      <c r="B31" s="44">
        <f t="shared" si="11"/>
        <v>-69750</v>
      </c>
      <c r="C31" s="43">
        <f t="shared" si="11"/>
        <v>36951</v>
      </c>
      <c r="D31" s="45">
        <f t="shared" si="9"/>
        <v>36981</v>
      </c>
      <c r="E31" s="29" t="s">
        <v>37</v>
      </c>
      <c r="F31" s="46" t="s">
        <v>42</v>
      </c>
      <c r="G31" s="47">
        <f t="shared" si="16"/>
        <v>2.613</v>
      </c>
      <c r="H31" s="48">
        <f t="shared" si="16"/>
        <v>2.613</v>
      </c>
      <c r="I31" s="49">
        <f t="shared" ca="1" si="17"/>
        <v>381</v>
      </c>
      <c r="J31" s="46">
        <f t="shared" si="18"/>
        <v>0</v>
      </c>
      <c r="K31" s="50">
        <f t="shared" si="19"/>
        <v>31</v>
      </c>
      <c r="L31" s="46">
        <f t="shared" si="14"/>
        <v>1</v>
      </c>
      <c r="M31" s="51">
        <f t="shared" si="20"/>
        <v>6.8173035605607016E-2</v>
      </c>
      <c r="N31" s="52">
        <f t="shared" si="20"/>
        <v>0.8</v>
      </c>
      <c r="O31" s="52">
        <f t="shared" si="20"/>
        <v>0.8</v>
      </c>
      <c r="P31" s="52">
        <f t="shared" si="20"/>
        <v>1</v>
      </c>
      <c r="Q31" s="53">
        <f t="shared" si="20"/>
        <v>0</v>
      </c>
      <c r="R31" s="46">
        <f t="shared" si="21"/>
        <v>0</v>
      </c>
      <c r="S31" s="42">
        <v>0</v>
      </c>
      <c r="T31" s="96">
        <f ca="1">_xll.OSTRIP(G31,H31,I31,J31,K31,L31,M31,N31,O31,P31,Q31,R31,S31)</f>
        <v>0.14868670375795837</v>
      </c>
      <c r="U31" s="136">
        <f t="shared" ca="1" si="22"/>
        <v>-10370.897587117595</v>
      </c>
    </row>
    <row r="32" spans="1:26" s="46" customFormat="1" x14ac:dyDescent="0.3">
      <c r="A32" s="43">
        <f t="shared" si="11"/>
        <v>36982</v>
      </c>
      <c r="B32" s="44">
        <f t="shared" si="11"/>
        <v>-67500</v>
      </c>
      <c r="C32" s="43">
        <f t="shared" si="11"/>
        <v>36982</v>
      </c>
      <c r="D32" s="45">
        <f t="shared" si="9"/>
        <v>37011</v>
      </c>
      <c r="E32" s="29" t="s">
        <v>37</v>
      </c>
      <c r="F32" s="46" t="s">
        <v>42</v>
      </c>
      <c r="G32" s="47">
        <f t="shared" si="16"/>
        <v>2.5230000000000001</v>
      </c>
      <c r="H32" s="48">
        <f t="shared" si="16"/>
        <v>2.5230000000000001</v>
      </c>
      <c r="I32" s="49">
        <f t="shared" ca="1" si="17"/>
        <v>412</v>
      </c>
      <c r="J32" s="46">
        <f t="shared" si="18"/>
        <v>0</v>
      </c>
      <c r="K32" s="50">
        <f t="shared" si="19"/>
        <v>30</v>
      </c>
      <c r="L32" s="46">
        <f t="shared" si="14"/>
        <v>1</v>
      </c>
      <c r="M32" s="51">
        <f t="shared" si="20"/>
        <v>6.8656219094093002E-2</v>
      </c>
      <c r="N32" s="52">
        <f t="shared" si="20"/>
        <v>0.45</v>
      </c>
      <c r="O32" s="52">
        <f t="shared" si="20"/>
        <v>0.45</v>
      </c>
      <c r="P32" s="52">
        <f t="shared" si="20"/>
        <v>1</v>
      </c>
      <c r="Q32" s="53">
        <f t="shared" si="20"/>
        <v>0</v>
      </c>
      <c r="R32" s="46">
        <f t="shared" si="21"/>
        <v>0</v>
      </c>
      <c r="S32" s="42">
        <v>0</v>
      </c>
      <c r="T32" s="96">
        <f ca="1">_xll.OSTRIP(G32,H32,I32,J32,K32,L32,M32,N32,O32,P32,Q32,R32,S32)</f>
        <v>7.8996990347259419E-2</v>
      </c>
      <c r="U32" s="136">
        <f t="shared" ca="1" si="22"/>
        <v>-5332.2968484400108</v>
      </c>
    </row>
    <row r="33" spans="1:22" s="46" customFormat="1" x14ac:dyDescent="0.3">
      <c r="A33" s="43">
        <f t="shared" si="11"/>
        <v>37012</v>
      </c>
      <c r="B33" s="44">
        <f t="shared" si="11"/>
        <v>-116250</v>
      </c>
      <c r="C33" s="43">
        <f t="shared" si="11"/>
        <v>37012</v>
      </c>
      <c r="D33" s="45">
        <f t="shared" si="9"/>
        <v>37042</v>
      </c>
      <c r="E33" s="29" t="s">
        <v>37</v>
      </c>
      <c r="F33" s="46" t="s">
        <v>42</v>
      </c>
      <c r="G33" s="47">
        <f t="shared" si="16"/>
        <v>2.488</v>
      </c>
      <c r="H33" s="48">
        <f t="shared" si="16"/>
        <v>2.488</v>
      </c>
      <c r="I33" s="49">
        <f t="shared" ca="1" si="17"/>
        <v>442</v>
      </c>
      <c r="J33" s="46">
        <f t="shared" si="18"/>
        <v>0</v>
      </c>
      <c r="K33" s="50">
        <f t="shared" si="19"/>
        <v>31</v>
      </c>
      <c r="L33" s="46">
        <f t="shared" si="14"/>
        <v>1</v>
      </c>
      <c r="M33" s="51">
        <f t="shared" si="20"/>
        <v>6.9045363608288002E-2</v>
      </c>
      <c r="N33" s="52">
        <f t="shared" si="20"/>
        <v>0.5</v>
      </c>
      <c r="O33" s="52">
        <f t="shared" si="20"/>
        <v>0.5</v>
      </c>
      <c r="P33" s="52">
        <f t="shared" si="20"/>
        <v>1</v>
      </c>
      <c r="Q33" s="53">
        <f t="shared" si="20"/>
        <v>0</v>
      </c>
      <c r="R33" s="46">
        <f t="shared" si="21"/>
        <v>0</v>
      </c>
      <c r="S33" s="42">
        <v>0</v>
      </c>
      <c r="T33" s="96">
        <f ca="1">_xll.OSTRIP(G33,H33,I33,J33,K33,L33,M33,N33,O33,P33,Q33,R33,S33)</f>
        <v>8.7459314480054576E-2</v>
      </c>
      <c r="U33" s="136">
        <f t="shared" ca="1" si="22"/>
        <v>-10167.145308306344</v>
      </c>
    </row>
    <row r="34" spans="1:22" s="46" customFormat="1" x14ac:dyDescent="0.3">
      <c r="A34" s="43">
        <f t="shared" si="11"/>
        <v>37043</v>
      </c>
      <c r="B34" s="44">
        <f t="shared" si="11"/>
        <v>-112500</v>
      </c>
      <c r="C34" s="43">
        <f t="shared" si="11"/>
        <v>37043</v>
      </c>
      <c r="D34" s="45">
        <f t="shared" si="9"/>
        <v>37072</v>
      </c>
      <c r="E34" s="29" t="s">
        <v>37</v>
      </c>
      <c r="F34" s="46" t="s">
        <v>42</v>
      </c>
      <c r="G34" s="47">
        <f t="shared" si="16"/>
        <v>2.4954999999999998</v>
      </c>
      <c r="H34" s="48">
        <f t="shared" si="16"/>
        <v>2.4954999999999998</v>
      </c>
      <c r="I34" s="49">
        <f t="shared" ca="1" si="17"/>
        <v>473</v>
      </c>
      <c r="J34" s="46">
        <f t="shared" si="18"/>
        <v>0</v>
      </c>
      <c r="K34" s="50">
        <f t="shared" si="19"/>
        <v>30</v>
      </c>
      <c r="L34" s="46">
        <f t="shared" si="14"/>
        <v>1</v>
      </c>
      <c r="M34" s="51">
        <f t="shared" si="20"/>
        <v>6.944747965891801E-2</v>
      </c>
      <c r="N34" s="52">
        <f t="shared" si="20"/>
        <v>0.5</v>
      </c>
      <c r="O34" s="52">
        <f t="shared" si="20"/>
        <v>0.5</v>
      </c>
      <c r="P34" s="52">
        <f t="shared" si="20"/>
        <v>1</v>
      </c>
      <c r="Q34" s="53">
        <f t="shared" si="20"/>
        <v>0</v>
      </c>
      <c r="R34" s="46">
        <f t="shared" si="21"/>
        <v>0</v>
      </c>
      <c r="S34" s="42">
        <v>0</v>
      </c>
      <c r="T34" s="96">
        <f ca="1">_xll.OSTRIP(G34,H34,I34,J34,K34,L34,M34,N34,O34,P34,Q34,R34,S34)</f>
        <v>8.5728101358325245E-2</v>
      </c>
      <c r="U34" s="98">
        <f t="shared" ca="1" si="22"/>
        <v>-9644.411402811591</v>
      </c>
    </row>
    <row r="35" spans="1:22" s="46" customFormat="1" x14ac:dyDescent="0.3">
      <c r="B35" s="56"/>
      <c r="C35" s="44"/>
      <c r="E35" s="45"/>
      <c r="H35" s="57"/>
      <c r="J35" s="49"/>
      <c r="L35" s="50"/>
      <c r="O35" s="58"/>
      <c r="P35" s="52"/>
      <c r="Q35" s="52"/>
      <c r="R35" s="53"/>
      <c r="U35" s="97">
        <f ca="1">SUBTOTAL(9,U21:U34)</f>
        <v>-164312.1859262471</v>
      </c>
    </row>
    <row r="36" spans="1:22" s="46" customFormat="1" ht="14.4" thickBot="1" x14ac:dyDescent="0.35">
      <c r="A36" s="59"/>
      <c r="B36" s="56"/>
      <c r="C36" s="44"/>
      <c r="D36" s="45"/>
      <c r="E36" s="45"/>
      <c r="H36" s="57"/>
      <c r="J36" s="49"/>
      <c r="L36" s="50"/>
      <c r="O36" s="58"/>
      <c r="P36" s="52"/>
      <c r="Q36" s="52"/>
      <c r="R36" s="53"/>
      <c r="U36" s="99"/>
      <c r="V36" s="54"/>
    </row>
    <row r="37" spans="1:22" s="46" customFormat="1" ht="14.4" thickBot="1" x14ac:dyDescent="0.35">
      <c r="B37" s="56"/>
      <c r="C37" s="44"/>
      <c r="E37" s="45"/>
      <c r="H37" s="57"/>
      <c r="L37" s="50"/>
      <c r="O37" s="58"/>
      <c r="Q37" s="52"/>
      <c r="S37" s="60" t="s">
        <v>43</v>
      </c>
      <c r="T37" s="61"/>
      <c r="U37" s="100">
        <f ca="1">SUBTOTAL(9,U5:U35)</f>
        <v>-328624.37185249414</v>
      </c>
    </row>
    <row r="38" spans="1:22" x14ac:dyDescent="0.3">
      <c r="B38" s="62"/>
      <c r="C38" s="63"/>
      <c r="E38" s="64"/>
      <c r="H38" s="65"/>
      <c r="L38" s="66"/>
      <c r="O38" s="67"/>
      <c r="Q38" s="68"/>
      <c r="R38" s="46"/>
      <c r="S38" s="85"/>
      <c r="T38" s="37"/>
      <c r="U38" s="143">
        <f ca="1">+U37/'Deal Volumes'!H17</f>
        <v>-1.1782874573413199E-2</v>
      </c>
      <c r="V38" s="66"/>
    </row>
    <row r="39" spans="1:22" x14ac:dyDescent="0.3">
      <c r="B39" s="62"/>
      <c r="C39" s="63"/>
      <c r="E39" s="64"/>
      <c r="H39" s="65"/>
      <c r="L39" s="66"/>
      <c r="O39" s="67"/>
      <c r="Q39" s="68"/>
      <c r="R39" s="46"/>
      <c r="S39" s="85"/>
      <c r="T39" s="37"/>
      <c r="U39" s="86"/>
      <c r="V39" s="66"/>
    </row>
    <row r="40" spans="1:22" x14ac:dyDescent="0.3">
      <c r="B40" s="62"/>
      <c r="C40" s="63"/>
      <c r="E40" s="64"/>
      <c r="H40" s="65"/>
      <c r="L40" s="66"/>
      <c r="O40" s="67"/>
      <c r="Q40" s="68"/>
      <c r="R40" s="69"/>
      <c r="U40" s="70"/>
      <c r="V40" s="66"/>
    </row>
    <row r="41" spans="1:22" x14ac:dyDescent="0.3">
      <c r="B41" s="62"/>
      <c r="C41" s="63"/>
      <c r="E41" s="64"/>
      <c r="H41" s="65"/>
      <c r="L41" s="66"/>
      <c r="O41" s="67"/>
      <c r="Q41" s="68"/>
      <c r="R41" s="71" t="s">
        <v>44</v>
      </c>
      <c r="S41" s="72">
        <v>0</v>
      </c>
      <c r="T41" s="73" t="s">
        <v>47</v>
      </c>
      <c r="U41" s="74"/>
      <c r="V41" s="66"/>
    </row>
    <row r="42" spans="1:22" x14ac:dyDescent="0.3">
      <c r="B42" s="62"/>
      <c r="C42" s="63"/>
      <c r="E42" s="64"/>
      <c r="H42" s="65"/>
      <c r="L42" s="66"/>
      <c r="O42" s="67"/>
      <c r="Q42" s="68"/>
      <c r="R42" s="75"/>
      <c r="S42" s="76">
        <v>1</v>
      </c>
      <c r="T42" s="77" t="s">
        <v>48</v>
      </c>
      <c r="U42" s="78"/>
      <c r="V42" s="66"/>
    </row>
    <row r="43" spans="1:22" x14ac:dyDescent="0.3">
      <c r="B43" s="62"/>
      <c r="C43" s="63"/>
      <c r="E43" s="64"/>
      <c r="H43" s="65"/>
      <c r="L43" s="66"/>
      <c r="O43" s="67"/>
      <c r="Q43" s="68"/>
      <c r="R43" s="75"/>
      <c r="S43" s="76">
        <v>2</v>
      </c>
      <c r="T43" s="77" t="s">
        <v>49</v>
      </c>
      <c r="U43" s="78"/>
      <c r="V43" s="66"/>
    </row>
    <row r="44" spans="1:22" x14ac:dyDescent="0.3">
      <c r="B44" s="62"/>
      <c r="C44" s="63"/>
      <c r="E44" s="64"/>
      <c r="H44" s="65"/>
      <c r="L44" s="66"/>
      <c r="O44" s="67"/>
      <c r="Q44" s="68"/>
      <c r="R44" s="75"/>
      <c r="S44" s="76">
        <v>3</v>
      </c>
      <c r="T44" s="77" t="s">
        <v>50</v>
      </c>
      <c r="U44" s="78"/>
      <c r="V44" s="66"/>
    </row>
    <row r="45" spans="1:22" x14ac:dyDescent="0.3">
      <c r="B45" s="62"/>
      <c r="C45" s="63"/>
      <c r="E45" s="64"/>
      <c r="H45" s="65"/>
      <c r="L45" s="66"/>
      <c r="O45" s="67"/>
      <c r="Q45" s="68"/>
      <c r="R45" s="75"/>
      <c r="S45" s="76">
        <v>4</v>
      </c>
      <c r="T45" s="77" t="s">
        <v>51</v>
      </c>
      <c r="U45" s="78"/>
      <c r="V45" s="66"/>
    </row>
    <row r="46" spans="1:22" x14ac:dyDescent="0.3">
      <c r="B46" s="62"/>
      <c r="C46" s="63"/>
      <c r="E46" s="64"/>
      <c r="H46" s="65"/>
      <c r="L46" s="66"/>
      <c r="O46" s="67"/>
      <c r="Q46" s="68"/>
      <c r="R46" s="75"/>
      <c r="S46" s="76">
        <v>5</v>
      </c>
      <c r="T46" s="77" t="s">
        <v>52</v>
      </c>
      <c r="U46" s="78"/>
      <c r="V46" s="66"/>
    </row>
    <row r="47" spans="1:22" x14ac:dyDescent="0.3">
      <c r="B47" s="62"/>
      <c r="C47" s="63"/>
      <c r="E47" s="64"/>
      <c r="H47" s="65"/>
      <c r="L47" s="66"/>
      <c r="O47" s="67"/>
      <c r="Q47" s="68"/>
      <c r="R47" s="79"/>
      <c r="S47" s="80">
        <v>6</v>
      </c>
      <c r="T47" s="81" t="s">
        <v>53</v>
      </c>
      <c r="U47" s="82"/>
      <c r="V47" s="66"/>
    </row>
    <row r="48" spans="1:22" x14ac:dyDescent="0.3">
      <c r="B48" s="62"/>
      <c r="C48" s="63"/>
      <c r="E48" s="64"/>
      <c r="H48" s="65"/>
      <c r="L48" s="66"/>
      <c r="O48" s="67"/>
      <c r="Q48" s="68"/>
      <c r="R48" s="69"/>
      <c r="U48" s="70"/>
      <c r="V48" s="66"/>
    </row>
    <row r="49" spans="2:22" x14ac:dyDescent="0.3">
      <c r="B49" s="62"/>
      <c r="C49" s="63"/>
      <c r="E49" s="64"/>
      <c r="H49" s="65"/>
      <c r="L49" s="66"/>
      <c r="O49" s="67"/>
      <c r="Q49" s="68"/>
      <c r="R49" s="69"/>
      <c r="U49" s="70"/>
      <c r="V49" s="66"/>
    </row>
    <row r="50" spans="2:22" x14ac:dyDescent="0.3">
      <c r="B50" s="62"/>
      <c r="C50" s="63"/>
      <c r="E50" s="64"/>
      <c r="H50" s="65"/>
      <c r="L50" s="66"/>
      <c r="O50" s="67"/>
      <c r="Q50" s="68"/>
      <c r="R50" s="69"/>
      <c r="U50" s="70"/>
      <c r="V50" s="66"/>
    </row>
    <row r="51" spans="2:22" x14ac:dyDescent="0.3">
      <c r="B51" s="62"/>
      <c r="C51" s="63"/>
      <c r="E51" s="64"/>
      <c r="H51" s="65"/>
      <c r="L51" s="66"/>
      <c r="O51" s="67"/>
      <c r="Q51" s="68"/>
      <c r="R51" s="69"/>
      <c r="U51" s="70"/>
      <c r="V51" s="66"/>
    </row>
    <row r="52" spans="2:22" x14ac:dyDescent="0.3">
      <c r="B52" s="62"/>
      <c r="C52" s="63"/>
      <c r="E52" s="64"/>
      <c r="H52" s="65"/>
      <c r="L52" s="66"/>
      <c r="O52" s="67"/>
      <c r="Q52" s="68"/>
      <c r="R52" s="69"/>
      <c r="U52" s="70"/>
      <c r="V52" s="66"/>
    </row>
    <row r="53" spans="2:22" x14ac:dyDescent="0.3">
      <c r="B53" s="62"/>
      <c r="C53" s="63"/>
      <c r="E53" s="64"/>
      <c r="H53" s="65"/>
      <c r="L53" s="66"/>
      <c r="O53" s="67"/>
      <c r="Q53" s="68"/>
      <c r="R53" s="69"/>
      <c r="U53" s="70"/>
      <c r="V53" s="66"/>
    </row>
    <row r="54" spans="2:22" x14ac:dyDescent="0.3">
      <c r="B54" s="62"/>
      <c r="C54" s="63"/>
      <c r="E54" s="64"/>
      <c r="H54" s="65"/>
      <c r="L54" s="66"/>
      <c r="O54" s="67"/>
      <c r="Q54" s="68"/>
      <c r="R54" s="69"/>
      <c r="U54" s="70"/>
      <c r="V54" s="66"/>
    </row>
    <row r="55" spans="2:22" x14ac:dyDescent="0.3">
      <c r="B55" s="62"/>
      <c r="C55" s="63"/>
      <c r="E55" s="64"/>
      <c r="H55" s="65"/>
      <c r="L55" s="66"/>
      <c r="O55" s="67"/>
      <c r="Q55" s="68"/>
      <c r="R55" s="69"/>
      <c r="U55" s="70"/>
      <c r="V55" s="66"/>
    </row>
    <row r="56" spans="2:22" x14ac:dyDescent="0.3">
      <c r="B56" s="62"/>
      <c r="C56" s="63"/>
      <c r="E56" s="64"/>
      <c r="H56" s="65"/>
      <c r="L56" s="66"/>
      <c r="O56" s="67"/>
      <c r="Q56" s="68"/>
      <c r="R56" s="69"/>
      <c r="U56" s="70"/>
      <c r="V56" s="66"/>
    </row>
    <row r="57" spans="2:22" x14ac:dyDescent="0.3">
      <c r="B57" s="62"/>
      <c r="C57" s="63"/>
      <c r="E57" s="64"/>
      <c r="H57" s="65"/>
      <c r="L57" s="66"/>
      <c r="O57" s="67"/>
      <c r="Q57" s="68"/>
      <c r="R57" s="69"/>
      <c r="U57" s="70"/>
      <c r="V57" s="66"/>
    </row>
    <row r="58" spans="2:22" x14ac:dyDescent="0.3">
      <c r="B58" s="62"/>
      <c r="C58" s="63"/>
      <c r="E58" s="64"/>
      <c r="H58" s="65"/>
      <c r="L58" s="66"/>
      <c r="O58" s="67"/>
      <c r="Q58" s="68"/>
      <c r="R58" s="69"/>
      <c r="U58" s="70"/>
      <c r="V58" s="66"/>
    </row>
    <row r="59" spans="2:22" x14ac:dyDescent="0.3">
      <c r="H59" s="65"/>
      <c r="R59" s="69"/>
      <c r="U59" s="70"/>
    </row>
    <row r="60" spans="2:22" x14ac:dyDescent="0.3">
      <c r="H60" s="65"/>
      <c r="R60" s="69"/>
      <c r="U60" s="70"/>
    </row>
    <row r="61" spans="2:22" x14ac:dyDescent="0.3">
      <c r="H61" s="65"/>
    </row>
    <row r="62" spans="2:22" x14ac:dyDescent="0.3">
      <c r="H62" s="65"/>
    </row>
    <row r="63" spans="2:22" x14ac:dyDescent="0.3">
      <c r="H63" s="65"/>
    </row>
    <row r="64" spans="2:22" x14ac:dyDescent="0.3">
      <c r="H64" s="65"/>
    </row>
    <row r="65" spans="8:8" x14ac:dyDescent="0.3">
      <c r="H65" s="65"/>
    </row>
    <row r="66" spans="8:8" x14ac:dyDescent="0.3">
      <c r="H66" s="65"/>
    </row>
    <row r="67" spans="8:8" x14ac:dyDescent="0.3">
      <c r="H67" s="65"/>
    </row>
    <row r="68" spans="8:8" x14ac:dyDescent="0.3">
      <c r="H68" s="65"/>
    </row>
    <row r="69" spans="8:8" x14ac:dyDescent="0.3">
      <c r="H69" s="65"/>
    </row>
    <row r="70" spans="8:8" x14ac:dyDescent="0.3">
      <c r="H70" s="65"/>
    </row>
    <row r="71" spans="8:8" x14ac:dyDescent="0.3">
      <c r="H71" s="65"/>
    </row>
    <row r="72" spans="8:8" x14ac:dyDescent="0.3">
      <c r="H72" s="65"/>
    </row>
    <row r="73" spans="8:8" x14ac:dyDescent="0.3">
      <c r="H73" s="65"/>
    </row>
    <row r="74" spans="8:8" x14ac:dyDescent="0.3">
      <c r="H74" s="65"/>
    </row>
    <row r="75" spans="8:8" x14ac:dyDescent="0.3">
      <c r="H75" s="65"/>
    </row>
    <row r="76" spans="8:8" x14ac:dyDescent="0.3">
      <c r="H76" s="65"/>
    </row>
    <row r="77" spans="8:8" x14ac:dyDescent="0.3">
      <c r="H77" s="65"/>
    </row>
    <row r="78" spans="8:8" x14ac:dyDescent="0.3">
      <c r="H78" s="65"/>
    </row>
    <row r="79" spans="8:8" x14ac:dyDescent="0.3">
      <c r="H79" s="65"/>
    </row>
    <row r="80" spans="8:8" x14ac:dyDescent="0.3">
      <c r="H80" s="65"/>
    </row>
    <row r="81" spans="8:8" x14ac:dyDescent="0.3">
      <c r="H81" s="65"/>
    </row>
    <row r="82" spans="8:8" x14ac:dyDescent="0.3">
      <c r="H82" s="65"/>
    </row>
    <row r="83" spans="8:8" x14ac:dyDescent="0.3">
      <c r="H83" s="65"/>
    </row>
    <row r="84" spans="8:8" x14ac:dyDescent="0.3">
      <c r="H84" s="65"/>
    </row>
    <row r="85" spans="8:8" x14ac:dyDescent="0.3">
      <c r="H85" s="65"/>
    </row>
    <row r="86" spans="8:8" x14ac:dyDescent="0.3">
      <c r="H86" s="65"/>
    </row>
    <row r="87" spans="8:8" x14ac:dyDescent="0.3">
      <c r="H87" s="65"/>
    </row>
    <row r="88" spans="8:8" x14ac:dyDescent="0.3">
      <c r="H88" s="65"/>
    </row>
    <row r="89" spans="8:8" x14ac:dyDescent="0.3">
      <c r="H89" s="65"/>
    </row>
    <row r="90" spans="8:8" x14ac:dyDescent="0.3">
      <c r="H90" s="65"/>
    </row>
    <row r="91" spans="8:8" x14ac:dyDescent="0.3">
      <c r="H91" s="65"/>
    </row>
    <row r="92" spans="8:8" x14ac:dyDescent="0.3">
      <c r="H92" s="65"/>
    </row>
    <row r="93" spans="8:8" x14ac:dyDescent="0.3">
      <c r="H93" s="65"/>
    </row>
    <row r="94" spans="8:8" x14ac:dyDescent="0.3">
      <c r="H94" s="65"/>
    </row>
    <row r="95" spans="8:8" x14ac:dyDescent="0.3">
      <c r="H95" s="65"/>
    </row>
    <row r="96" spans="8:8" x14ac:dyDescent="0.3">
      <c r="H96" s="65"/>
    </row>
    <row r="97" spans="8:8" x14ac:dyDescent="0.3">
      <c r="H97" s="65"/>
    </row>
    <row r="98" spans="8:8" x14ac:dyDescent="0.3">
      <c r="H98" s="65"/>
    </row>
    <row r="99" spans="8:8" x14ac:dyDescent="0.3">
      <c r="H99" s="65"/>
    </row>
    <row r="100" spans="8:8" x14ac:dyDescent="0.3">
      <c r="H100" s="65"/>
    </row>
    <row r="101" spans="8:8" x14ac:dyDescent="0.3">
      <c r="H101" s="65"/>
    </row>
    <row r="102" spans="8:8" x14ac:dyDescent="0.3">
      <c r="H102" s="65"/>
    </row>
    <row r="103" spans="8:8" x14ac:dyDescent="0.3">
      <c r="H103" s="65"/>
    </row>
    <row r="104" spans="8:8" x14ac:dyDescent="0.3">
      <c r="H104" s="65"/>
    </row>
    <row r="105" spans="8:8" x14ac:dyDescent="0.3">
      <c r="H105" s="65"/>
    </row>
    <row r="106" spans="8:8" x14ac:dyDescent="0.3">
      <c r="H106" s="65"/>
    </row>
    <row r="107" spans="8:8" x14ac:dyDescent="0.3">
      <c r="H107" s="65"/>
    </row>
    <row r="108" spans="8:8" x14ac:dyDescent="0.3">
      <c r="H108" s="65"/>
    </row>
    <row r="109" spans="8:8" x14ac:dyDescent="0.3">
      <c r="H109" s="65"/>
    </row>
    <row r="110" spans="8:8" x14ac:dyDescent="0.3">
      <c r="H110" s="65"/>
    </row>
    <row r="111" spans="8:8" x14ac:dyDescent="0.3">
      <c r="H111" s="65"/>
    </row>
    <row r="112" spans="8:8" x14ac:dyDescent="0.3">
      <c r="H112" s="65"/>
    </row>
    <row r="113" spans="8:8" x14ac:dyDescent="0.3">
      <c r="H113" s="65"/>
    </row>
    <row r="114" spans="8:8" x14ac:dyDescent="0.3">
      <c r="H114" s="65"/>
    </row>
    <row r="115" spans="8:8" x14ac:dyDescent="0.3">
      <c r="H115" s="65"/>
    </row>
    <row r="116" spans="8:8" x14ac:dyDescent="0.3">
      <c r="H116" s="65"/>
    </row>
    <row r="117" spans="8:8" x14ac:dyDescent="0.3">
      <c r="H117" s="65"/>
    </row>
    <row r="118" spans="8:8" x14ac:dyDescent="0.3">
      <c r="H118" s="65"/>
    </row>
    <row r="119" spans="8:8" x14ac:dyDescent="0.3">
      <c r="H119" s="65"/>
    </row>
    <row r="120" spans="8:8" x14ac:dyDescent="0.3">
      <c r="H120" s="65"/>
    </row>
    <row r="121" spans="8:8" x14ac:dyDescent="0.3">
      <c r="H121" s="65"/>
    </row>
    <row r="122" spans="8:8" x14ac:dyDescent="0.3">
      <c r="H122" s="65"/>
    </row>
    <row r="123" spans="8:8" x14ac:dyDescent="0.3">
      <c r="H123" s="65"/>
    </row>
    <row r="124" spans="8:8" x14ac:dyDescent="0.3">
      <c r="H124" s="65"/>
    </row>
    <row r="125" spans="8:8" x14ac:dyDescent="0.3">
      <c r="H125" s="65"/>
    </row>
    <row r="126" spans="8:8" x14ac:dyDescent="0.3">
      <c r="H126" s="65"/>
    </row>
    <row r="127" spans="8:8" x14ac:dyDescent="0.3">
      <c r="H127" s="65"/>
    </row>
    <row r="128" spans="8:8" x14ac:dyDescent="0.3">
      <c r="H128" s="65"/>
    </row>
    <row r="129" spans="8:8" x14ac:dyDescent="0.3">
      <c r="H129" s="65"/>
    </row>
    <row r="130" spans="8:8" x14ac:dyDescent="0.3">
      <c r="H130" s="65"/>
    </row>
    <row r="131" spans="8:8" x14ac:dyDescent="0.3">
      <c r="H131" s="65"/>
    </row>
    <row r="132" spans="8:8" x14ac:dyDescent="0.3">
      <c r="H132" s="65"/>
    </row>
    <row r="133" spans="8:8" x14ac:dyDescent="0.3">
      <c r="H133" s="65"/>
    </row>
    <row r="134" spans="8:8" x14ac:dyDescent="0.3">
      <c r="H134" s="65"/>
    </row>
    <row r="135" spans="8:8" x14ac:dyDescent="0.3">
      <c r="H135" s="65"/>
    </row>
    <row r="136" spans="8:8" x14ac:dyDescent="0.3">
      <c r="H136" s="65"/>
    </row>
    <row r="137" spans="8:8" x14ac:dyDescent="0.3">
      <c r="H137" s="65"/>
    </row>
    <row r="138" spans="8:8" x14ac:dyDescent="0.3">
      <c r="H138" s="65"/>
    </row>
    <row r="139" spans="8:8" x14ac:dyDescent="0.3">
      <c r="H139" s="65"/>
    </row>
    <row r="140" spans="8:8" x14ac:dyDescent="0.3">
      <c r="H140" s="65"/>
    </row>
    <row r="141" spans="8:8" x14ac:dyDescent="0.3">
      <c r="H141" s="65"/>
    </row>
    <row r="142" spans="8:8" x14ac:dyDescent="0.3">
      <c r="H142" s="65"/>
    </row>
    <row r="143" spans="8:8" x14ac:dyDescent="0.3">
      <c r="H143" s="65"/>
    </row>
    <row r="144" spans="8:8" x14ac:dyDescent="0.3">
      <c r="H144" s="65"/>
    </row>
    <row r="145" spans="8:8" x14ac:dyDescent="0.3">
      <c r="H145" s="65"/>
    </row>
    <row r="146" spans="8:8" x14ac:dyDescent="0.3">
      <c r="H146" s="65"/>
    </row>
    <row r="147" spans="8:8" x14ac:dyDescent="0.3">
      <c r="H147" s="65"/>
    </row>
    <row r="148" spans="8:8" x14ac:dyDescent="0.3">
      <c r="H148" s="65"/>
    </row>
    <row r="149" spans="8:8" x14ac:dyDescent="0.3">
      <c r="H149" s="65"/>
    </row>
    <row r="150" spans="8:8" x14ac:dyDescent="0.3">
      <c r="H150" s="65"/>
    </row>
    <row r="151" spans="8:8" x14ac:dyDescent="0.3">
      <c r="H151" s="65"/>
    </row>
    <row r="152" spans="8:8" x14ac:dyDescent="0.3">
      <c r="H152" s="65"/>
    </row>
    <row r="153" spans="8:8" x14ac:dyDescent="0.3">
      <c r="H153" s="65"/>
    </row>
    <row r="154" spans="8:8" x14ac:dyDescent="0.3">
      <c r="H154" s="65"/>
    </row>
    <row r="155" spans="8:8" x14ac:dyDescent="0.3">
      <c r="H155" s="65"/>
    </row>
    <row r="156" spans="8:8" x14ac:dyDescent="0.3">
      <c r="H156" s="65"/>
    </row>
    <row r="157" spans="8:8" x14ac:dyDescent="0.3">
      <c r="H157" s="65"/>
    </row>
    <row r="158" spans="8:8" x14ac:dyDescent="0.3">
      <c r="H158" s="65"/>
    </row>
    <row r="159" spans="8:8" x14ac:dyDescent="0.3">
      <c r="H159" s="65"/>
    </row>
    <row r="160" spans="8:8" x14ac:dyDescent="0.3">
      <c r="H160" s="65"/>
    </row>
    <row r="161" spans="8:8" x14ac:dyDescent="0.3">
      <c r="H161" s="65"/>
    </row>
    <row r="162" spans="8:8" x14ac:dyDescent="0.3">
      <c r="H162" s="65"/>
    </row>
    <row r="163" spans="8:8" x14ac:dyDescent="0.3">
      <c r="H163" s="65"/>
    </row>
    <row r="164" spans="8:8" x14ac:dyDescent="0.3">
      <c r="H164" s="65"/>
    </row>
    <row r="165" spans="8:8" x14ac:dyDescent="0.3">
      <c r="H165" s="65"/>
    </row>
    <row r="166" spans="8:8" x14ac:dyDescent="0.3">
      <c r="H166" s="65"/>
    </row>
    <row r="167" spans="8:8" x14ac:dyDescent="0.3">
      <c r="H167" s="65"/>
    </row>
    <row r="168" spans="8:8" x14ac:dyDescent="0.3">
      <c r="H168" s="65"/>
    </row>
    <row r="169" spans="8:8" x14ac:dyDescent="0.3">
      <c r="H169" s="65"/>
    </row>
    <row r="170" spans="8:8" x14ac:dyDescent="0.3">
      <c r="H170" s="65"/>
    </row>
    <row r="171" spans="8:8" x14ac:dyDescent="0.3">
      <c r="H171" s="65"/>
    </row>
    <row r="172" spans="8:8" x14ac:dyDescent="0.3">
      <c r="H172" s="65"/>
    </row>
    <row r="173" spans="8:8" x14ac:dyDescent="0.3">
      <c r="H173" s="65"/>
    </row>
    <row r="174" spans="8:8" x14ac:dyDescent="0.3">
      <c r="H174" s="65"/>
    </row>
    <row r="175" spans="8:8" x14ac:dyDescent="0.3">
      <c r="H175" s="65"/>
    </row>
    <row r="176" spans="8:8" x14ac:dyDescent="0.3">
      <c r="H176" s="65"/>
    </row>
    <row r="177" spans="8:8" x14ac:dyDescent="0.3">
      <c r="H177" s="65"/>
    </row>
    <row r="178" spans="8:8" x14ac:dyDescent="0.3">
      <c r="H178" s="65"/>
    </row>
    <row r="179" spans="8:8" x14ac:dyDescent="0.3">
      <c r="H179" s="65"/>
    </row>
    <row r="180" spans="8:8" x14ac:dyDescent="0.3">
      <c r="H180" s="65"/>
    </row>
    <row r="181" spans="8:8" x14ac:dyDescent="0.3">
      <c r="H181" s="65"/>
    </row>
    <row r="182" spans="8:8" x14ac:dyDescent="0.3">
      <c r="H182" s="65"/>
    </row>
    <row r="183" spans="8:8" x14ac:dyDescent="0.3">
      <c r="H183" s="65"/>
    </row>
    <row r="184" spans="8:8" x14ac:dyDescent="0.3">
      <c r="H184" s="65"/>
    </row>
    <row r="185" spans="8:8" x14ac:dyDescent="0.3">
      <c r="H185" s="65"/>
    </row>
    <row r="186" spans="8:8" x14ac:dyDescent="0.3">
      <c r="H186" s="65"/>
    </row>
    <row r="187" spans="8:8" x14ac:dyDescent="0.3">
      <c r="H187" s="65"/>
    </row>
    <row r="188" spans="8:8" x14ac:dyDescent="0.3">
      <c r="H188" s="65"/>
    </row>
    <row r="189" spans="8:8" x14ac:dyDescent="0.3">
      <c r="H189" s="65"/>
    </row>
    <row r="190" spans="8:8" x14ac:dyDescent="0.3">
      <c r="H190" s="65"/>
    </row>
    <row r="191" spans="8:8" x14ac:dyDescent="0.3">
      <c r="H191" s="65"/>
    </row>
    <row r="192" spans="8:8" x14ac:dyDescent="0.3">
      <c r="H192" s="65"/>
    </row>
    <row r="193" spans="8:8" x14ac:dyDescent="0.3">
      <c r="H193" s="65"/>
    </row>
    <row r="194" spans="8:8" x14ac:dyDescent="0.3">
      <c r="H194" s="65"/>
    </row>
    <row r="195" spans="8:8" x14ac:dyDescent="0.3">
      <c r="H195" s="65"/>
    </row>
    <row r="196" spans="8:8" x14ac:dyDescent="0.3">
      <c r="H196" s="65"/>
    </row>
    <row r="197" spans="8:8" x14ac:dyDescent="0.3">
      <c r="H197" s="65"/>
    </row>
    <row r="198" spans="8:8" x14ac:dyDescent="0.3">
      <c r="H198" s="65"/>
    </row>
    <row r="199" spans="8:8" x14ac:dyDescent="0.3">
      <c r="H199" s="65"/>
    </row>
    <row r="200" spans="8:8" x14ac:dyDescent="0.3">
      <c r="H200" s="65"/>
    </row>
    <row r="201" spans="8:8" x14ac:dyDescent="0.3">
      <c r="H201" s="65"/>
    </row>
    <row r="202" spans="8:8" x14ac:dyDescent="0.3">
      <c r="H202" s="65"/>
    </row>
    <row r="203" spans="8:8" x14ac:dyDescent="0.3">
      <c r="H203" s="65"/>
    </row>
    <row r="204" spans="8:8" x14ac:dyDescent="0.3">
      <c r="H204" s="65"/>
    </row>
    <row r="205" spans="8:8" x14ac:dyDescent="0.3">
      <c r="H205" s="65"/>
    </row>
    <row r="206" spans="8:8" x14ac:dyDescent="0.3">
      <c r="H206" s="65"/>
    </row>
    <row r="207" spans="8:8" x14ac:dyDescent="0.3">
      <c r="H207" s="65"/>
    </row>
    <row r="208" spans="8:8" x14ac:dyDescent="0.3">
      <c r="H208" s="65"/>
    </row>
    <row r="209" spans="8:8" x14ac:dyDescent="0.3">
      <c r="H209" s="65"/>
    </row>
    <row r="210" spans="8:8" x14ac:dyDescent="0.3">
      <c r="H210" s="65"/>
    </row>
    <row r="211" spans="8:8" x14ac:dyDescent="0.3">
      <c r="H211" s="65"/>
    </row>
    <row r="212" spans="8:8" x14ac:dyDescent="0.3">
      <c r="H212" s="65"/>
    </row>
    <row r="213" spans="8:8" x14ac:dyDescent="0.3">
      <c r="H213" s="65"/>
    </row>
    <row r="214" spans="8:8" x14ac:dyDescent="0.3">
      <c r="H214" s="65"/>
    </row>
    <row r="215" spans="8:8" x14ac:dyDescent="0.3">
      <c r="H215" s="65"/>
    </row>
    <row r="216" spans="8:8" x14ac:dyDescent="0.3">
      <c r="H216" s="65"/>
    </row>
    <row r="217" spans="8:8" x14ac:dyDescent="0.3">
      <c r="H217" s="65"/>
    </row>
    <row r="218" spans="8:8" x14ac:dyDescent="0.3">
      <c r="H218" s="65"/>
    </row>
    <row r="219" spans="8:8" x14ac:dyDescent="0.3">
      <c r="H219" s="65"/>
    </row>
    <row r="220" spans="8:8" x14ac:dyDescent="0.3">
      <c r="H220" s="65"/>
    </row>
    <row r="221" spans="8:8" x14ac:dyDescent="0.3">
      <c r="H221" s="65"/>
    </row>
    <row r="222" spans="8:8" x14ac:dyDescent="0.3">
      <c r="H222" s="65"/>
    </row>
    <row r="223" spans="8:8" x14ac:dyDescent="0.3">
      <c r="H223" s="65"/>
    </row>
    <row r="224" spans="8:8" x14ac:dyDescent="0.3">
      <c r="H224" s="65"/>
    </row>
    <row r="225" spans="8:8" x14ac:dyDescent="0.3">
      <c r="H225" s="65"/>
    </row>
    <row r="226" spans="8:8" x14ac:dyDescent="0.3">
      <c r="H226" s="65"/>
    </row>
    <row r="227" spans="8:8" x14ac:dyDescent="0.3">
      <c r="H227" s="65"/>
    </row>
    <row r="228" spans="8:8" x14ac:dyDescent="0.3">
      <c r="H228" s="65"/>
    </row>
    <row r="229" spans="8:8" x14ac:dyDescent="0.3">
      <c r="H229" s="65"/>
    </row>
    <row r="230" spans="8:8" x14ac:dyDescent="0.3">
      <c r="H230" s="65"/>
    </row>
    <row r="231" spans="8:8" x14ac:dyDescent="0.3">
      <c r="H231" s="65"/>
    </row>
    <row r="232" spans="8:8" x14ac:dyDescent="0.3">
      <c r="H232" s="65"/>
    </row>
    <row r="233" spans="8:8" x14ac:dyDescent="0.3">
      <c r="H233" s="65"/>
    </row>
    <row r="234" spans="8:8" x14ac:dyDescent="0.3">
      <c r="H234" s="65"/>
    </row>
    <row r="235" spans="8:8" x14ac:dyDescent="0.3">
      <c r="H235" s="65"/>
    </row>
    <row r="236" spans="8:8" x14ac:dyDescent="0.3">
      <c r="H236" s="65"/>
    </row>
    <row r="237" spans="8:8" x14ac:dyDescent="0.3">
      <c r="H237" s="65"/>
    </row>
    <row r="238" spans="8:8" x14ac:dyDescent="0.3">
      <c r="H238" s="65"/>
    </row>
    <row r="239" spans="8:8" x14ac:dyDescent="0.3">
      <c r="H239" s="65"/>
    </row>
    <row r="240" spans="8:8" x14ac:dyDescent="0.3">
      <c r="H240" s="65"/>
    </row>
    <row r="241" spans="8:8" x14ac:dyDescent="0.3">
      <c r="H241" s="65"/>
    </row>
    <row r="242" spans="8:8" x14ac:dyDescent="0.3">
      <c r="H242" s="65"/>
    </row>
    <row r="243" spans="8:8" x14ac:dyDescent="0.3">
      <c r="H243" s="65"/>
    </row>
    <row r="244" spans="8:8" x14ac:dyDescent="0.3">
      <c r="H244" s="65"/>
    </row>
    <row r="245" spans="8:8" x14ac:dyDescent="0.3">
      <c r="H245" s="65"/>
    </row>
    <row r="246" spans="8:8" x14ac:dyDescent="0.3">
      <c r="H246" s="65"/>
    </row>
    <row r="247" spans="8:8" x14ac:dyDescent="0.3">
      <c r="H247" s="65"/>
    </row>
    <row r="248" spans="8:8" x14ac:dyDescent="0.3">
      <c r="H248" s="65"/>
    </row>
    <row r="249" spans="8:8" x14ac:dyDescent="0.3">
      <c r="H249" s="65"/>
    </row>
    <row r="250" spans="8:8" x14ac:dyDescent="0.3">
      <c r="H250" s="65"/>
    </row>
    <row r="251" spans="8:8" x14ac:dyDescent="0.3">
      <c r="H251" s="65"/>
    </row>
    <row r="252" spans="8:8" x14ac:dyDescent="0.3">
      <c r="H252" s="65"/>
    </row>
    <row r="253" spans="8:8" x14ac:dyDescent="0.3">
      <c r="H253" s="65"/>
    </row>
    <row r="254" spans="8:8" x14ac:dyDescent="0.3">
      <c r="H254" s="65"/>
    </row>
    <row r="255" spans="8:8" x14ac:dyDescent="0.3">
      <c r="H255" s="65"/>
    </row>
    <row r="256" spans="8:8" x14ac:dyDescent="0.3">
      <c r="H256" s="65"/>
    </row>
    <row r="257" spans="8:8" x14ac:dyDescent="0.3">
      <c r="H257" s="65"/>
    </row>
    <row r="258" spans="8:8" x14ac:dyDescent="0.3">
      <c r="H258" s="65"/>
    </row>
    <row r="259" spans="8:8" x14ac:dyDescent="0.3">
      <c r="H259" s="65"/>
    </row>
    <row r="260" spans="8:8" x14ac:dyDescent="0.3">
      <c r="H260" s="65"/>
    </row>
    <row r="261" spans="8:8" x14ac:dyDescent="0.3">
      <c r="H261" s="65"/>
    </row>
    <row r="262" spans="8:8" x14ac:dyDescent="0.3">
      <c r="H262" s="65"/>
    </row>
    <row r="263" spans="8:8" x14ac:dyDescent="0.3">
      <c r="H263" s="65"/>
    </row>
    <row r="264" spans="8:8" x14ac:dyDescent="0.3">
      <c r="H264" s="65"/>
    </row>
    <row r="265" spans="8:8" x14ac:dyDescent="0.3">
      <c r="H265" s="65"/>
    </row>
    <row r="266" spans="8:8" x14ac:dyDescent="0.3">
      <c r="H266" s="65"/>
    </row>
    <row r="267" spans="8:8" x14ac:dyDescent="0.3">
      <c r="H267" s="65"/>
    </row>
  </sheetData>
  <pageMargins left="0.75" right="0.75" top="1" bottom="1" header="0.5" footer="0.5"/>
  <pageSetup scale="6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5"/>
  <sheetViews>
    <sheetView workbookViewId="0">
      <selection activeCell="C31" sqref="C31"/>
    </sheetView>
  </sheetViews>
  <sheetFormatPr defaultRowHeight="13.2" x14ac:dyDescent="0.25"/>
  <cols>
    <col min="1" max="1" width="9.109375" style="107" customWidth="1"/>
    <col min="2" max="2" width="16.33203125" bestFit="1" customWidth="1"/>
    <col min="3" max="3" width="16.109375" bestFit="1" customWidth="1"/>
    <col min="4" max="4" width="12.88671875" bestFit="1" customWidth="1"/>
    <col min="5" max="5" width="16.5546875" bestFit="1" customWidth="1"/>
    <col min="9" max="9" width="15.33203125" customWidth="1"/>
  </cols>
  <sheetData>
    <row r="1" spans="1:9" s="107" customFormat="1" x14ac:dyDescent="0.25">
      <c r="B1" s="107" t="s">
        <v>81</v>
      </c>
      <c r="C1" s="107" t="s">
        <v>82</v>
      </c>
      <c r="D1" s="107" t="s">
        <v>83</v>
      </c>
      <c r="E1" s="107" t="s">
        <v>37</v>
      </c>
      <c r="G1" s="107" t="s">
        <v>69</v>
      </c>
      <c r="I1" s="107" t="s">
        <v>116</v>
      </c>
    </row>
    <row r="2" spans="1:9" x14ac:dyDescent="0.25">
      <c r="A2" s="133">
        <v>36647</v>
      </c>
      <c r="B2" s="135">
        <v>-5.0000000000000001E-3</v>
      </c>
      <c r="C2" s="135">
        <v>-5.0000000000000001E-3</v>
      </c>
      <c r="D2" s="135">
        <v>-2.5000000000000001E-2</v>
      </c>
      <c r="E2" s="135">
        <v>-5.0000000000000001E-3</v>
      </c>
    </row>
    <row r="3" spans="1:9" x14ac:dyDescent="0.25">
      <c r="A3" s="133">
        <v>36678</v>
      </c>
      <c r="B3" s="135">
        <v>-5.0000000000000001E-3</v>
      </c>
      <c r="C3" s="135">
        <v>-5.0000000000000001E-3</v>
      </c>
      <c r="D3" s="135">
        <v>-0.02</v>
      </c>
      <c r="E3" s="135">
        <v>-5.0000000000000001E-3</v>
      </c>
    </row>
    <row r="4" spans="1:9" x14ac:dyDescent="0.25">
      <c r="A4" s="133">
        <v>36708</v>
      </c>
      <c r="B4" s="135">
        <v>0</v>
      </c>
      <c r="C4" s="135">
        <v>0</v>
      </c>
      <c r="D4" s="135">
        <v>-1.7500000000000002E-2</v>
      </c>
      <c r="E4" s="135">
        <v>-5.0000000000000001E-3</v>
      </c>
    </row>
    <row r="5" spans="1:9" x14ac:dyDescent="0.25">
      <c r="A5" s="133">
        <v>36739</v>
      </c>
      <c r="B5" s="135">
        <v>0</v>
      </c>
      <c r="C5" s="135">
        <v>0</v>
      </c>
      <c r="D5" s="135">
        <v>-1.7500000000000002E-2</v>
      </c>
      <c r="E5" s="135">
        <v>-5.0000000000000001E-3</v>
      </c>
    </row>
    <row r="6" spans="1:9" x14ac:dyDescent="0.25">
      <c r="A6" s="133">
        <v>36770</v>
      </c>
      <c r="B6" s="135">
        <v>0</v>
      </c>
      <c r="C6" s="135">
        <v>0</v>
      </c>
      <c r="D6" s="135">
        <v>-0.02</v>
      </c>
      <c r="E6" s="135">
        <v>-5.0000000000000001E-3</v>
      </c>
    </row>
    <row r="7" spans="1:9" x14ac:dyDescent="0.25">
      <c r="A7" s="133">
        <v>36800</v>
      </c>
      <c r="B7" s="135">
        <v>-5.0000000000000001E-3</v>
      </c>
      <c r="C7" s="135">
        <v>-5.0000000000000001E-3</v>
      </c>
      <c r="D7" s="135">
        <v>-2.5000000000000001E-2</v>
      </c>
      <c r="E7" s="135">
        <v>-5.0000000000000001E-3</v>
      </c>
    </row>
    <row r="8" spans="1:9" x14ac:dyDescent="0.25">
      <c r="A8" s="133">
        <v>36831</v>
      </c>
      <c r="B8" s="135">
        <v>-5.0000000000000001E-3</v>
      </c>
      <c r="C8" s="135">
        <v>-5.0000000000000001E-3</v>
      </c>
      <c r="D8" s="135">
        <v>-0.03</v>
      </c>
      <c r="E8" s="135">
        <v>-5.0000000000000001E-3</v>
      </c>
    </row>
    <row r="9" spans="1:9" x14ac:dyDescent="0.25">
      <c r="A9" s="133">
        <v>36861</v>
      </c>
      <c r="B9" s="135">
        <v>0</v>
      </c>
      <c r="C9" s="135">
        <v>0</v>
      </c>
      <c r="D9" s="135">
        <v>-3.5000000000000003E-2</v>
      </c>
      <c r="E9" s="135">
        <v>-5.0000000000000001E-3</v>
      </c>
    </row>
    <row r="10" spans="1:9" x14ac:dyDescent="0.25">
      <c r="A10" s="133">
        <v>36892</v>
      </c>
      <c r="B10" s="135">
        <v>0</v>
      </c>
      <c r="C10" s="135">
        <v>0</v>
      </c>
      <c r="D10" s="135">
        <v>-3.5000000000000003E-2</v>
      </c>
      <c r="E10" s="135">
        <v>-5.0000000000000001E-3</v>
      </c>
    </row>
    <row r="11" spans="1:9" x14ac:dyDescent="0.25">
      <c r="A11" s="133">
        <v>36923</v>
      </c>
      <c r="B11" s="135">
        <v>0</v>
      </c>
      <c r="C11" s="135">
        <v>0</v>
      </c>
      <c r="D11" s="135">
        <v>-3.5000000000000003E-2</v>
      </c>
      <c r="E11" s="135">
        <v>-5.0000000000000001E-3</v>
      </c>
    </row>
    <row r="12" spans="1:9" x14ac:dyDescent="0.25">
      <c r="A12" s="133">
        <v>36951</v>
      </c>
      <c r="B12" s="135">
        <v>0</v>
      </c>
      <c r="C12" s="135">
        <v>0</v>
      </c>
      <c r="D12" s="135">
        <v>-3.5000000000000003E-2</v>
      </c>
      <c r="E12" s="135">
        <v>-5.0000000000000001E-3</v>
      </c>
    </row>
    <row r="13" spans="1:9" x14ac:dyDescent="0.25">
      <c r="A13" s="133">
        <v>36982</v>
      </c>
      <c r="B13" s="135">
        <v>-5.0000000000000001E-3</v>
      </c>
      <c r="C13" s="135">
        <v>-5.0000000000000001E-3</v>
      </c>
      <c r="D13" s="135">
        <v>-0.03</v>
      </c>
      <c r="E13" s="135">
        <v>-5.0000000000000001E-3</v>
      </c>
    </row>
    <row r="14" spans="1:9" x14ac:dyDescent="0.25">
      <c r="A14" s="133">
        <v>37012</v>
      </c>
      <c r="B14" s="135">
        <v>-5.0000000000000001E-3</v>
      </c>
      <c r="C14" s="135">
        <v>-5.0000000000000001E-3</v>
      </c>
      <c r="D14" s="135">
        <v>-2.5000000000000001E-2</v>
      </c>
      <c r="E14" s="135">
        <v>-5.0000000000000001E-3</v>
      </c>
    </row>
    <row r="15" spans="1:9" x14ac:dyDescent="0.25">
      <c r="A15" s="133">
        <v>37043</v>
      </c>
      <c r="B15" s="135">
        <v>-5.0000000000000001E-3</v>
      </c>
      <c r="C15" s="135">
        <v>-5.0000000000000001E-3</v>
      </c>
      <c r="D15" s="135">
        <v>-0.02</v>
      </c>
      <c r="E15" s="135">
        <v>-5.0000000000000001E-3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E29"/>
  <sheetViews>
    <sheetView workbookViewId="0">
      <selection activeCell="E5" sqref="E4:E5"/>
    </sheetView>
  </sheetViews>
  <sheetFormatPr defaultRowHeight="13.2" x14ac:dyDescent="0.25"/>
  <cols>
    <col min="1" max="1" width="13" bestFit="1" customWidth="1"/>
    <col min="2" max="2" width="13" customWidth="1"/>
    <col min="3" max="3" width="9.88671875" customWidth="1"/>
    <col min="4" max="4" width="11.88671875" customWidth="1"/>
    <col min="5" max="5" width="22" bestFit="1" customWidth="1"/>
  </cols>
  <sheetData>
    <row r="2" spans="1:5" s="105" customFormat="1" x14ac:dyDescent="0.25">
      <c r="A2" s="105" t="s">
        <v>55</v>
      </c>
      <c r="B2" s="105" t="s">
        <v>60</v>
      </c>
      <c r="C2" s="105" t="s">
        <v>56</v>
      </c>
      <c r="D2" s="105" t="s">
        <v>57</v>
      </c>
      <c r="E2" s="105" t="s">
        <v>58</v>
      </c>
    </row>
    <row r="3" spans="1:5" s="105" customFormat="1" x14ac:dyDescent="0.25"/>
    <row r="4" spans="1:5" s="104" customFormat="1" x14ac:dyDescent="0.25">
      <c r="A4" s="104" t="s">
        <v>54</v>
      </c>
      <c r="B4" s="104">
        <v>1412</v>
      </c>
      <c r="C4" s="104">
        <v>6</v>
      </c>
      <c r="D4" s="104" t="s">
        <v>64</v>
      </c>
      <c r="E4" s="104" t="s">
        <v>66</v>
      </c>
    </row>
    <row r="5" spans="1:5" s="104" customFormat="1" x14ac:dyDescent="0.25">
      <c r="A5" s="104" t="s">
        <v>59</v>
      </c>
      <c r="B5" s="104">
        <v>1401</v>
      </c>
      <c r="C5" s="104">
        <v>4</v>
      </c>
      <c r="D5" s="104" t="s">
        <v>65</v>
      </c>
      <c r="E5" s="104" t="s">
        <v>66</v>
      </c>
    </row>
    <row r="6" spans="1:5" s="104" customFormat="1" x14ac:dyDescent="0.25">
      <c r="A6" s="104" t="s">
        <v>61</v>
      </c>
      <c r="B6" s="104">
        <v>1480</v>
      </c>
      <c r="C6" s="104">
        <v>16</v>
      </c>
      <c r="D6" s="104" t="s">
        <v>67</v>
      </c>
      <c r="E6" s="104" t="s">
        <v>69</v>
      </c>
    </row>
    <row r="7" spans="1:5" s="104" customFormat="1" x14ac:dyDescent="0.25">
      <c r="A7" s="104" t="s">
        <v>62</v>
      </c>
      <c r="B7" s="104">
        <v>1393</v>
      </c>
      <c r="C7" s="104">
        <v>17</v>
      </c>
      <c r="D7" s="104" t="s">
        <v>68</v>
      </c>
      <c r="E7" s="104" t="s">
        <v>69</v>
      </c>
    </row>
    <row r="8" spans="1:5" s="104" customFormat="1" x14ac:dyDescent="0.25">
      <c r="A8" s="104" t="s">
        <v>63</v>
      </c>
      <c r="B8" s="104">
        <v>1396</v>
      </c>
      <c r="C8" s="104">
        <v>10</v>
      </c>
      <c r="D8" s="104" t="s">
        <v>70</v>
      </c>
      <c r="E8" s="104" t="s">
        <v>69</v>
      </c>
    </row>
    <row r="9" spans="1:5" s="104" customFormat="1" x14ac:dyDescent="0.25"/>
    <row r="16" spans="1:5" s="104" customFormat="1" x14ac:dyDescent="0.25">
      <c r="A16" s="113"/>
      <c r="B16" s="134"/>
    </row>
    <row r="17" spans="1:2" s="104" customFormat="1" x14ac:dyDescent="0.25">
      <c r="A17" s="113"/>
      <c r="B17" s="134"/>
    </row>
    <row r="18" spans="1:2" s="104" customFormat="1" x14ac:dyDescent="0.25">
      <c r="A18" s="113"/>
      <c r="B18" s="134"/>
    </row>
    <row r="19" spans="1:2" s="104" customFormat="1" x14ac:dyDescent="0.25">
      <c r="A19" s="113"/>
      <c r="B19" s="134"/>
    </row>
    <row r="20" spans="1:2" s="104" customFormat="1" x14ac:dyDescent="0.25">
      <c r="A20" s="113"/>
      <c r="B20" s="134"/>
    </row>
    <row r="21" spans="1:2" s="104" customFormat="1" x14ac:dyDescent="0.25">
      <c r="A21" s="113"/>
      <c r="B21" s="134"/>
    </row>
    <row r="22" spans="1:2" s="104" customFormat="1" x14ac:dyDescent="0.25">
      <c r="A22" s="113"/>
      <c r="B22" s="134"/>
    </row>
    <row r="23" spans="1:2" s="104" customFormat="1" x14ac:dyDescent="0.25">
      <c r="A23" s="113"/>
      <c r="B23" s="134"/>
    </row>
    <row r="24" spans="1:2" s="104" customFormat="1" x14ac:dyDescent="0.25">
      <c r="A24" s="113"/>
      <c r="B24" s="134"/>
    </row>
    <row r="25" spans="1:2" s="104" customFormat="1" x14ac:dyDescent="0.25">
      <c r="A25" s="113"/>
      <c r="B25" s="134"/>
    </row>
    <row r="26" spans="1:2" s="104" customFormat="1" x14ac:dyDescent="0.25">
      <c r="A26" s="113"/>
      <c r="B26" s="134"/>
    </row>
    <row r="27" spans="1:2" s="104" customFormat="1" x14ac:dyDescent="0.25">
      <c r="A27" s="113"/>
      <c r="B27" s="134"/>
    </row>
    <row r="28" spans="1:2" s="104" customFormat="1" x14ac:dyDescent="0.25">
      <c r="A28" s="113"/>
      <c r="B28" s="134"/>
    </row>
    <row r="29" spans="1:2" s="104" customFormat="1" x14ac:dyDescent="0.25">
      <c r="A29" s="113"/>
      <c r="B29" s="134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D14"/>
  <sheetViews>
    <sheetView zoomScale="75" workbookViewId="0">
      <selection activeCell="A20" sqref="A20"/>
    </sheetView>
  </sheetViews>
  <sheetFormatPr defaultColWidth="9.109375" defaultRowHeight="13.2" x14ac:dyDescent="0.25"/>
  <cols>
    <col min="1" max="1" width="14" style="156" customWidth="1"/>
    <col min="2" max="2" width="11.33203125" style="156" customWidth="1"/>
    <col min="3" max="3" width="13.33203125" style="156" bestFit="1" customWidth="1"/>
    <col min="4" max="4" width="14.5546875" style="156" bestFit="1" customWidth="1"/>
    <col min="5" max="5" width="15.88671875" style="156" customWidth="1"/>
    <col min="6" max="7" width="14.5546875" style="156" bestFit="1" customWidth="1"/>
    <col min="8" max="8" width="14.44140625" style="156" customWidth="1"/>
    <col min="9" max="9" width="14.5546875" style="156" bestFit="1" customWidth="1"/>
    <col min="10" max="11" width="14.5546875" style="156" customWidth="1"/>
    <col min="12" max="12" width="12.88671875" style="156" customWidth="1"/>
    <col min="13" max="13" width="13.6640625" style="156" customWidth="1"/>
    <col min="14" max="14" width="12.5546875" style="156" customWidth="1"/>
    <col min="15" max="15" width="18" style="156" bestFit="1" customWidth="1"/>
    <col min="16" max="16" width="14.5546875" style="156" customWidth="1"/>
    <col min="17" max="20" width="18" style="156" bestFit="1" customWidth="1"/>
    <col min="21" max="21" width="9.88671875" style="156" customWidth="1"/>
    <col min="22" max="22" width="18" style="156" bestFit="1" customWidth="1"/>
    <col min="23" max="23" width="15.44140625" style="156" bestFit="1" customWidth="1"/>
    <col min="24" max="24" width="14.6640625" style="156" bestFit="1" customWidth="1"/>
    <col min="25" max="25" width="9.109375" style="156"/>
    <col min="26" max="26" width="10.44140625" style="156" customWidth="1"/>
    <col min="27" max="27" width="9.109375" style="156"/>
    <col min="28" max="28" width="10.88671875" style="156" customWidth="1"/>
    <col min="29" max="16384" width="9.109375" style="156"/>
  </cols>
  <sheetData>
    <row r="1" spans="1:30" x14ac:dyDescent="0.25">
      <c r="A1" s="188" t="s">
        <v>95</v>
      </c>
      <c r="B1" s="189">
        <f ca="1">TODAY()</f>
        <v>36570</v>
      </c>
      <c r="E1" s="162" t="s">
        <v>89</v>
      </c>
      <c r="F1" s="191">
        <v>0</v>
      </c>
      <c r="G1" s="190" t="s">
        <v>6</v>
      </c>
      <c r="H1" s="191">
        <v>4.4555940312761541E-2</v>
      </c>
      <c r="P1" s="204" t="s">
        <v>101</v>
      </c>
      <c r="Q1" s="221">
        <v>0.04</v>
      </c>
      <c r="R1" s="221">
        <v>3.5000000000000003E-2</v>
      </c>
    </row>
    <row r="2" spans="1:30" x14ac:dyDescent="0.25">
      <c r="E2" s="162" t="s">
        <v>90</v>
      </c>
      <c r="F2" s="191">
        <v>-5.0000000000000001E-3</v>
      </c>
      <c r="G2" s="161"/>
    </row>
    <row r="3" spans="1:30" x14ac:dyDescent="0.25">
      <c r="F3" s="157"/>
      <c r="G3" s="157"/>
      <c r="H3" s="157"/>
      <c r="I3" s="157"/>
      <c r="J3" s="161"/>
      <c r="K3" s="161"/>
    </row>
    <row r="4" spans="1:30" x14ac:dyDescent="0.25">
      <c r="A4" s="229"/>
      <c r="B4" s="230"/>
      <c r="C4" s="230"/>
      <c r="D4" s="286" t="s">
        <v>93</v>
      </c>
      <c r="E4" s="286"/>
      <c r="F4" s="286"/>
      <c r="G4" s="286" t="s">
        <v>94</v>
      </c>
      <c r="H4" s="286"/>
      <c r="I4" s="286"/>
      <c r="J4" s="286" t="s">
        <v>91</v>
      </c>
      <c r="K4" s="286"/>
      <c r="L4" s="230"/>
      <c r="M4" s="286" t="s">
        <v>97</v>
      </c>
      <c r="N4" s="286"/>
      <c r="O4" s="286"/>
      <c r="P4" s="286" t="s">
        <v>98</v>
      </c>
      <c r="Q4" s="286"/>
      <c r="R4" s="231" t="s">
        <v>103</v>
      </c>
      <c r="S4" s="286" t="s">
        <v>102</v>
      </c>
      <c r="T4" s="286"/>
      <c r="U4" s="286"/>
      <c r="V4" s="286"/>
      <c r="W4" s="230"/>
      <c r="X4" s="236"/>
      <c r="Z4" s="283" t="s">
        <v>113</v>
      </c>
      <c r="AA4" s="284"/>
      <c r="AB4" s="284"/>
      <c r="AC4" s="284"/>
      <c r="AD4" s="285"/>
    </row>
    <row r="5" spans="1:30" s="158" customFormat="1" ht="26.4" x14ac:dyDescent="0.25">
      <c r="A5" s="227" t="s">
        <v>8</v>
      </c>
      <c r="B5" s="228" t="s">
        <v>45</v>
      </c>
      <c r="C5" s="228" t="s">
        <v>0</v>
      </c>
      <c r="D5" s="228" t="s">
        <v>96</v>
      </c>
      <c r="E5" s="228" t="s">
        <v>69</v>
      </c>
      <c r="F5" s="228" t="s">
        <v>92</v>
      </c>
      <c r="G5" s="228" t="str">
        <f>+D5</f>
        <v>IF-A/S EAST OFFER</v>
      </c>
      <c r="H5" s="228" t="str">
        <f>+E5</f>
        <v>HSC</v>
      </c>
      <c r="I5" s="228" t="s">
        <v>92</v>
      </c>
      <c r="J5" s="228" t="str">
        <f>+D5</f>
        <v>IF-A/S EAST OFFER</v>
      </c>
      <c r="K5" s="228" t="str">
        <f>+E5</f>
        <v>HSC</v>
      </c>
      <c r="L5" s="228" t="s">
        <v>108</v>
      </c>
      <c r="M5" s="228" t="str">
        <f>+D5</f>
        <v>IF-A/S EAST OFFER</v>
      </c>
      <c r="N5" s="228" t="str">
        <f>+E5</f>
        <v>HSC</v>
      </c>
      <c r="O5" s="228" t="s">
        <v>92</v>
      </c>
      <c r="P5" s="228" t="s">
        <v>99</v>
      </c>
      <c r="Q5" s="228" t="s">
        <v>100</v>
      </c>
      <c r="R5" s="228" t="s">
        <v>100</v>
      </c>
      <c r="S5" s="228" t="s">
        <v>104</v>
      </c>
      <c r="T5" s="228" t="s">
        <v>105</v>
      </c>
      <c r="U5" s="228" t="s">
        <v>106</v>
      </c>
      <c r="V5" s="228" t="s">
        <v>100</v>
      </c>
      <c r="W5" s="228" t="s">
        <v>107</v>
      </c>
      <c r="X5" s="237" t="s">
        <v>109</v>
      </c>
      <c r="Z5" s="240" t="s">
        <v>111</v>
      </c>
      <c r="AA5" s="241" t="s">
        <v>98</v>
      </c>
      <c r="AB5" s="241" t="s">
        <v>110</v>
      </c>
      <c r="AC5" s="241" t="s">
        <v>103</v>
      </c>
      <c r="AD5" s="242" t="s">
        <v>112</v>
      </c>
    </row>
    <row r="6" spans="1:30" x14ac:dyDescent="0.25">
      <c r="A6" s="159"/>
      <c r="B6" s="159"/>
      <c r="L6" s="184"/>
      <c r="P6" s="198"/>
      <c r="Z6" s="243">
        <f ca="1">+$AD$6-SUM($AA$6:AC6)</f>
        <v>-1.3435329643625579E-2</v>
      </c>
      <c r="AA6" s="244">
        <f ca="1">+$Q$13/$I$13</f>
        <v>1.2829601978538684E-2</v>
      </c>
      <c r="AB6" s="244">
        <f ca="1">+$V$13/$I$13</f>
        <v>1.0161667977848433E-2</v>
      </c>
      <c r="AC6" s="244">
        <f>+$R$1</f>
        <v>3.5000000000000003E-2</v>
      </c>
      <c r="AD6" s="245">
        <f>+$H$1</f>
        <v>4.4555940312761541E-2</v>
      </c>
    </row>
    <row r="7" spans="1:30" s="159" customFormat="1" ht="15" x14ac:dyDescent="0.25">
      <c r="A7" s="160">
        <v>36647</v>
      </c>
      <c r="B7" s="178">
        <f>+'GD Options'!M5</f>
        <v>6.1739896749392023E-2</v>
      </c>
      <c r="C7" s="179">
        <f ca="1">1/((1+B7/2)^(2*(A7-$B$1)/365.25))</f>
        <v>0.98726300033478798</v>
      </c>
      <c r="D7" s="163">
        <f>-'Deal Volumes'!J22</f>
        <v>-2043336.6357345916</v>
      </c>
      <c r="E7" s="164">
        <f>-'Deal Volumes'!K22</f>
        <v>-281663.36426540837</v>
      </c>
      <c r="F7" s="165">
        <f>+D7+E7</f>
        <v>-2325000</v>
      </c>
      <c r="G7" s="163">
        <f t="shared" ref="G7:H11" ca="1" si="0">+D7*$C7</f>
        <v>-2017310.6576893246</v>
      </c>
      <c r="H7" s="164">
        <f t="shared" ca="1" si="0"/>
        <v>-278075.81808905734</v>
      </c>
      <c r="I7" s="165">
        <f ca="1">SUM(G7:H7)</f>
        <v>-2295386.4757783818</v>
      </c>
      <c r="J7" s="172">
        <f>+Curves!C2</f>
        <v>-5.0000000000000001E-3</v>
      </c>
      <c r="K7" s="173">
        <f>+Curves!E2</f>
        <v>-5.0000000000000001E-3</v>
      </c>
      <c r="L7" s="185">
        <f ca="1">+G7*(J7-$H$1)+H7*(K7-$H$1)</f>
        <v>113750.03518839355</v>
      </c>
      <c r="M7" s="192">
        <f ca="1">-G7*(J7-$F$1)</f>
        <v>-10086.553288446623</v>
      </c>
      <c r="N7" s="193">
        <f ca="1">-H7*(K7-$F$2)</f>
        <v>0</v>
      </c>
      <c r="O7" s="192">
        <f ca="1">SUM(M7:N7)</f>
        <v>-10086.553288446623</v>
      </c>
      <c r="P7" s="200">
        <f ca="1">-'Deal Volumes'!C22*C7</f>
        <v>-736222.37177893159</v>
      </c>
      <c r="Q7" s="201">
        <f ca="1">+P7*$Q$1</f>
        <v>-29448.894871157263</v>
      </c>
      <c r="R7" s="165">
        <f ca="1">+$R$1*I7</f>
        <v>-80338.526652243367</v>
      </c>
      <c r="S7" s="206">
        <f>+'GD Options'!B21</f>
        <v>-116250</v>
      </c>
      <c r="T7" s="207">
        <f>+'GD Options'!B5</f>
        <v>-116250</v>
      </c>
      <c r="U7" s="208">
        <f ca="1">+'GD Options'!T5</f>
        <v>8.7325998636640173E-2</v>
      </c>
      <c r="V7" s="215">
        <f ca="1">+(S7+T7)*U7</f>
        <v>-20303.294683018841</v>
      </c>
      <c r="W7" s="218">
        <f ca="1">+O7+R7+V7</f>
        <v>-110728.37462370883</v>
      </c>
      <c r="X7" s="232">
        <f ca="1">+L7+W7</f>
        <v>3021.6605646847165</v>
      </c>
    </row>
    <row r="8" spans="1:30" s="159" customFormat="1" ht="15" x14ac:dyDescent="0.25">
      <c r="A8" s="160">
        <v>36678</v>
      </c>
      <c r="B8" s="180">
        <f>+'GD Options'!M6</f>
        <v>6.2588347760123994E-2</v>
      </c>
      <c r="C8" s="181">
        <f ca="1">1/((1+B8/2)^(2*(A8-$B$1)/365.25))</f>
        <v>0.98194208932412297</v>
      </c>
      <c r="D8" s="166">
        <f>-'Deal Volumes'!J23</f>
        <v>-1977422.5507108951</v>
      </c>
      <c r="E8" s="167">
        <f>-'Deal Volumes'!K23</f>
        <v>-272577.4492891049</v>
      </c>
      <c r="F8" s="168">
        <f>+D8+E8</f>
        <v>-2250000</v>
      </c>
      <c r="G8" s="166">
        <f t="shared" ca="1" si="0"/>
        <v>-1941714.4309216929</v>
      </c>
      <c r="H8" s="167">
        <f t="shared" ca="1" si="0"/>
        <v>-267655.27005758387</v>
      </c>
      <c r="I8" s="168">
        <f ca="1">SUM(G8:H8)</f>
        <v>-2209369.7009792766</v>
      </c>
      <c r="J8" s="174">
        <f>+Curves!C3</f>
        <v>-5.0000000000000001E-3</v>
      </c>
      <c r="K8" s="175">
        <f>+Curves!E3</f>
        <v>-5.0000000000000001E-3</v>
      </c>
      <c r="L8" s="186">
        <f ca="1">+G8*(J8-$H$1)+H8*(K8-$H$1)</f>
        <v>109487.39303055283</v>
      </c>
      <c r="M8" s="194">
        <f ca="1">-G8*(J8-$F$1)</f>
        <v>-9708.5721546084642</v>
      </c>
      <c r="N8" s="195">
        <f ca="1">-H8*(K8-$F$2)</f>
        <v>0</v>
      </c>
      <c r="O8" s="194">
        <f ca="1">SUM(M8:N8)</f>
        <v>-9708.5721546084642</v>
      </c>
      <c r="P8" s="238">
        <f ca="1">-'Deal Volumes'!C23*C8</f>
        <v>-708633.34717517858</v>
      </c>
      <c r="Q8" s="202">
        <f ca="1">+P8*$Q$1</f>
        <v>-28345.333887007146</v>
      </c>
      <c r="R8" s="168">
        <f ca="1">+$R$1*I8</f>
        <v>-77327.939534274687</v>
      </c>
      <c r="S8" s="209">
        <f>+'GD Options'!B22</f>
        <v>-112500</v>
      </c>
      <c r="T8" s="210">
        <f>+'GD Options'!B6</f>
        <v>-112500</v>
      </c>
      <c r="U8" s="211">
        <f ca="1">+'GD Options'!T6</f>
        <v>9.5613553181489994E-2</v>
      </c>
      <c r="V8" s="216">
        <f ca="1">+(S8+T8)*U8</f>
        <v>-21513.049465835247</v>
      </c>
      <c r="W8" s="219">
        <f ca="1">+O8+R8+V8</f>
        <v>-108549.56115471839</v>
      </c>
      <c r="X8" s="233">
        <f ca="1">+L8+W8</f>
        <v>937.83187583443942</v>
      </c>
    </row>
    <row r="9" spans="1:30" s="159" customFormat="1" ht="15" x14ac:dyDescent="0.25">
      <c r="A9" s="160">
        <v>36708</v>
      </c>
      <c r="B9" s="180">
        <f>+'GD Options'!M7</f>
        <v>6.3435677173907024E-2</v>
      </c>
      <c r="C9" s="181">
        <f ca="1">1/((1+B9/2)^(2*(A9-$B$1)/365.25))</f>
        <v>0.97668095486980122</v>
      </c>
      <c r="D9" s="166">
        <f>-'Deal Volumes'!J24</f>
        <v>-2724448.8476461223</v>
      </c>
      <c r="E9" s="167">
        <f>-'Deal Volumes'!K24</f>
        <v>-375551.1523538772</v>
      </c>
      <c r="F9" s="168">
        <f>+D9+E9</f>
        <v>-3099999.9999999995</v>
      </c>
      <c r="G9" s="166">
        <f t="shared" ca="1" si="0"/>
        <v>-2660917.3020129441</v>
      </c>
      <c r="H9" s="167">
        <f t="shared" ca="1" si="0"/>
        <v>-366793.65808343899</v>
      </c>
      <c r="I9" s="168">
        <f ca="1">SUM(G9:H9)</f>
        <v>-3027710.960096383</v>
      </c>
      <c r="J9" s="174">
        <f>+Curves!C4</f>
        <v>0</v>
      </c>
      <c r="K9" s="175">
        <f>+Curves!E4</f>
        <v>-5.0000000000000001E-3</v>
      </c>
      <c r="L9" s="186">
        <f ca="1">+G9*(J9-$H$1)+H9*(K9-$H$1)</f>
        <v>136736.47711276557</v>
      </c>
      <c r="M9" s="194">
        <f ca="1">-G9*(J9-$F$1)</f>
        <v>0</v>
      </c>
      <c r="N9" s="195">
        <f ca="1">-H9*(K9-$F$2)</f>
        <v>0</v>
      </c>
      <c r="O9" s="194">
        <f ca="1">SUM(M9:N9)</f>
        <v>0</v>
      </c>
      <c r="P9" s="238">
        <f ca="1">-'Deal Volumes'!C24*C9</f>
        <v>-971108.16310239548</v>
      </c>
      <c r="Q9" s="202">
        <f ca="1">+P9*$Q$1</f>
        <v>-38844.326524095821</v>
      </c>
      <c r="R9" s="168">
        <f ca="1">+$R$1*I9</f>
        <v>-105969.88360337341</v>
      </c>
      <c r="S9" s="209">
        <f>+'GD Options'!B23</f>
        <v>-155000</v>
      </c>
      <c r="T9" s="210">
        <f>+'GD Options'!B7</f>
        <v>-155000</v>
      </c>
      <c r="U9" s="211">
        <f ca="1">+'GD Options'!T7</f>
        <v>9.7297333508275158E-2</v>
      </c>
      <c r="V9" s="216">
        <f ca="1">+(S9+T9)*U9</f>
        <v>-30162.173387565297</v>
      </c>
      <c r="W9" s="219">
        <f ca="1">+O9+R9+V9</f>
        <v>-136132.0569909387</v>
      </c>
      <c r="X9" s="233">
        <f ca="1">+L9+W9</f>
        <v>604.42012182687176</v>
      </c>
    </row>
    <row r="10" spans="1:30" s="159" customFormat="1" ht="15" x14ac:dyDescent="0.25">
      <c r="A10" s="160">
        <v>36739</v>
      </c>
      <c r="B10" s="180">
        <f>+'GD Options'!M8</f>
        <v>6.4112455868492998E-2</v>
      </c>
      <c r="C10" s="181">
        <f ca="1">1/((1+B10/2)^(2*(A10-$B$1)/365.25))</f>
        <v>0.97122309217767211</v>
      </c>
      <c r="D10" s="166">
        <f>-'Deal Volumes'!J25</f>
        <v>-2724448.8476461223</v>
      </c>
      <c r="E10" s="167">
        <f>-'Deal Volumes'!K25</f>
        <v>-375551.1523538772</v>
      </c>
      <c r="F10" s="168">
        <f>+D10+E10</f>
        <v>-3099999.9999999995</v>
      </c>
      <c r="G10" s="166">
        <f t="shared" ca="1" si="0"/>
        <v>-2646047.6342907622</v>
      </c>
      <c r="H10" s="167">
        <f t="shared" ca="1" si="0"/>
        <v>-364743.95146002067</v>
      </c>
      <c r="I10" s="168">
        <f ca="1">SUM(G10:H10)</f>
        <v>-3010791.5857507829</v>
      </c>
      <c r="J10" s="174">
        <f>+Curves!C5</f>
        <v>0</v>
      </c>
      <c r="K10" s="175">
        <f>+Curves!E5</f>
        <v>-5.0000000000000001E-3</v>
      </c>
      <c r="L10" s="186">
        <f ca="1">+G10*(J10-$H$1)+H10*(K10-$H$1)</f>
        <v>135972.36994617665</v>
      </c>
      <c r="M10" s="194">
        <f ca="1">-G10*(J10-$F$1)</f>
        <v>0</v>
      </c>
      <c r="N10" s="195">
        <f ca="1">-H10*(K10-$F$2)</f>
        <v>0</v>
      </c>
      <c r="O10" s="194">
        <f ca="1">SUM(M10:N10)</f>
        <v>0</v>
      </c>
      <c r="P10" s="238">
        <f ca="1">-'Deal Volumes'!C25*C10</f>
        <v>-965681.44213789678</v>
      </c>
      <c r="Q10" s="202">
        <f ca="1">+P10*$Q$1</f>
        <v>-38627.25768551587</v>
      </c>
      <c r="R10" s="168">
        <f ca="1">+$R$1*I10</f>
        <v>-105377.70550127741</v>
      </c>
      <c r="S10" s="209">
        <f>+'GD Options'!B24</f>
        <v>-155000</v>
      </c>
      <c r="T10" s="210">
        <f>+'GD Options'!B8</f>
        <v>-155000</v>
      </c>
      <c r="U10" s="211">
        <f ca="1">+'GD Options'!T8</f>
        <v>0.10707668551082269</v>
      </c>
      <c r="V10" s="216">
        <f ca="1">+(S10+T10)*U10</f>
        <v>-33193.772508355032</v>
      </c>
      <c r="W10" s="219">
        <f ca="1">+O10+R10+V10</f>
        <v>-138571.47800963244</v>
      </c>
      <c r="X10" s="233">
        <f ca="1">+L10+W10</f>
        <v>-2599.1080634557875</v>
      </c>
    </row>
    <row r="11" spans="1:30" s="159" customFormat="1" ht="15" x14ac:dyDescent="0.25">
      <c r="A11" s="160">
        <v>36770</v>
      </c>
      <c r="B11" s="182">
        <f>+'GD Options'!M9</f>
        <v>6.4789234714962021E-2</v>
      </c>
      <c r="C11" s="183">
        <f ca="1">1/((1+B11/2)^(2*(A11-$B$1)/365.25))</f>
        <v>0.96568832559467488</v>
      </c>
      <c r="D11" s="169">
        <f>-'Deal Volumes'!J26</f>
        <v>-2636563.4009478604</v>
      </c>
      <c r="E11" s="170">
        <f>-'Deal Volumes'!K26</f>
        <v>-363436.59905213909</v>
      </c>
      <c r="F11" s="171">
        <f>+D11+E11</f>
        <v>-2999999.9999999995</v>
      </c>
      <c r="G11" s="169">
        <f t="shared" ca="1" si="0"/>
        <v>-2546098.4959855406</v>
      </c>
      <c r="H11" s="170">
        <f t="shared" ca="1" si="0"/>
        <v>-350966.48079848342</v>
      </c>
      <c r="I11" s="171">
        <f ca="1">SUM(G11:H11)</f>
        <v>-2897064.9767840239</v>
      </c>
      <c r="J11" s="176">
        <f>+Curves!C6</f>
        <v>0</v>
      </c>
      <c r="K11" s="177">
        <f>+Curves!E6</f>
        <v>-5.0000000000000001E-3</v>
      </c>
      <c r="L11" s="187">
        <f ca="1">+G11*(J11-$H$1)+H11*(K11-$H$1)</f>
        <v>130836.28659177329</v>
      </c>
      <c r="M11" s="196">
        <f ca="1">-G11*(J11-$F$1)</f>
        <v>0</v>
      </c>
      <c r="N11" s="197">
        <f ca="1">-H11*(K11-$F$2)</f>
        <v>0</v>
      </c>
      <c r="O11" s="196">
        <f ca="1">SUM(M11:N11)</f>
        <v>0</v>
      </c>
      <c r="P11" s="239">
        <f ca="1">-'Deal Volumes'!C26*C11</f>
        <v>-929204.7639525861</v>
      </c>
      <c r="Q11" s="203">
        <f ca="1">+P11*$Q$1</f>
        <v>-37168.190558103444</v>
      </c>
      <c r="R11" s="171">
        <f ca="1">+$R$1*I11</f>
        <v>-101397.27418744085</v>
      </c>
      <c r="S11" s="212">
        <f>+'GD Options'!B25</f>
        <v>-150000</v>
      </c>
      <c r="T11" s="213">
        <f>+'GD Options'!B9</f>
        <v>-150000</v>
      </c>
      <c r="U11" s="214">
        <f ca="1">+'GD Options'!T9</f>
        <v>0.10467938967740886</v>
      </c>
      <c r="V11" s="217">
        <f ca="1">+(S11+T11)*U11</f>
        <v>-31403.816903222658</v>
      </c>
      <c r="W11" s="220">
        <f ca="1">+O11+R11+V11</f>
        <v>-132801.09109066351</v>
      </c>
      <c r="X11" s="234">
        <f ca="1">+L11+W11</f>
        <v>-1964.8044988902257</v>
      </c>
    </row>
    <row r="12" spans="1:30" s="159" customFormat="1" x14ac:dyDescent="0.25">
      <c r="P12" s="199"/>
    </row>
    <row r="13" spans="1:30" s="226" customFormat="1" ht="17.399999999999999" x14ac:dyDescent="0.3">
      <c r="A13" s="223" t="s">
        <v>12</v>
      </c>
      <c r="B13" s="224"/>
      <c r="C13" s="224"/>
      <c r="D13" s="225">
        <f t="shared" ref="D13:I13" si="1">SUM(D7:D11)</f>
        <v>-12106220.282685593</v>
      </c>
      <c r="E13" s="225">
        <f t="shared" si="1"/>
        <v>-1668779.7173144068</v>
      </c>
      <c r="F13" s="225">
        <f t="shared" si="1"/>
        <v>-13775000</v>
      </c>
      <c r="G13" s="225">
        <f t="shared" ca="1" si="1"/>
        <v>-11812088.520900264</v>
      </c>
      <c r="H13" s="225">
        <f t="shared" ca="1" si="1"/>
        <v>-1628235.1784885842</v>
      </c>
      <c r="I13" s="225">
        <f t="shared" ca="1" si="1"/>
        <v>-13440323.699388849</v>
      </c>
      <c r="J13" s="224"/>
      <c r="K13" s="224"/>
      <c r="L13" s="222">
        <f t="shared" ref="L13:T13" ca="1" si="2">SUM(L7:L11)</f>
        <v>626782.56186966191</v>
      </c>
      <c r="M13" s="222">
        <f t="shared" ca="1" si="2"/>
        <v>-19795.125443055087</v>
      </c>
      <c r="N13" s="222">
        <f t="shared" ca="1" si="2"/>
        <v>0</v>
      </c>
      <c r="O13" s="222">
        <f t="shared" ca="1" si="2"/>
        <v>-19795.125443055087</v>
      </c>
      <c r="P13" s="225">
        <f t="shared" ca="1" si="2"/>
        <v>-4310850.0881469883</v>
      </c>
      <c r="Q13" s="222">
        <f t="shared" ca="1" si="2"/>
        <v>-172434.00352587953</v>
      </c>
      <c r="R13" s="222">
        <f t="shared" ca="1" si="2"/>
        <v>-470411.32947860972</v>
      </c>
      <c r="S13" s="225">
        <f t="shared" si="2"/>
        <v>-688750</v>
      </c>
      <c r="T13" s="225">
        <f t="shared" si="2"/>
        <v>-688750</v>
      </c>
      <c r="U13" s="224"/>
      <c r="V13" s="222">
        <f ca="1">SUM(V7:V11)</f>
        <v>-136576.10694799706</v>
      </c>
      <c r="W13" s="222">
        <f ca="1">SUM(W7:W11)</f>
        <v>-626782.56186966179</v>
      </c>
      <c r="X13" s="235">
        <f ca="1">SUM(X7:X11)</f>
        <v>1.4551915228366852E-11</v>
      </c>
    </row>
    <row r="14" spans="1:30" s="159" customFormat="1" ht="15" x14ac:dyDescent="0.25">
      <c r="A14" s="188" t="s">
        <v>117</v>
      </c>
      <c r="B14" s="267"/>
      <c r="C14" s="267"/>
      <c r="D14" s="267"/>
      <c r="E14" s="267"/>
      <c r="F14" s="267"/>
      <c r="G14" s="267"/>
      <c r="H14" s="267"/>
      <c r="I14" s="267"/>
      <c r="J14" s="267"/>
      <c r="K14" s="267"/>
      <c r="L14" s="268">
        <f ca="1">-L13/$I$13</f>
        <v>4.6634484100867499E-2</v>
      </c>
      <c r="M14" s="268"/>
      <c r="N14" s="268"/>
      <c r="O14" s="268">
        <f ca="1">-O13/$I$13</f>
        <v>-1.4728161230190609E-3</v>
      </c>
      <c r="P14" s="268"/>
      <c r="Q14" s="268">
        <f ca="1">-Q13/$I$13</f>
        <v>-1.2829601978538684E-2</v>
      </c>
      <c r="R14" s="268">
        <f ca="1">-R13/$I$13</f>
        <v>-3.5000000000000003E-2</v>
      </c>
      <c r="S14" s="268"/>
      <c r="T14" s="268"/>
      <c r="U14" s="268"/>
      <c r="V14" s="268">
        <f ca="1">-V13/$I$13</f>
        <v>-1.0161667977848433E-2</v>
      </c>
      <c r="W14" s="268">
        <f ca="1">-W13/$I$13</f>
        <v>-4.6634484100867492E-2</v>
      </c>
      <c r="X14" s="269">
        <f ca="1">-X13/$I$13</f>
        <v>1.0827057111004365E-18</v>
      </c>
      <c r="Z14" s="156"/>
      <c r="AA14" s="156"/>
      <c r="AB14" s="156"/>
      <c r="AC14" s="156"/>
      <c r="AD14" s="156"/>
    </row>
  </sheetData>
  <mergeCells count="7">
    <mergeCell ref="Z4:AD4"/>
    <mergeCell ref="P4:Q4"/>
    <mergeCell ref="S4:V4"/>
    <mergeCell ref="D4:F4"/>
    <mergeCell ref="G4:I4"/>
    <mergeCell ref="J4:K4"/>
    <mergeCell ref="M4:O4"/>
  </mergeCells>
  <pageMargins left="0.75" right="0.75" top="1" bottom="1" header="0.5" footer="0.5"/>
  <pageSetup paperSize="5" scale="4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3"/>
  <sheetViews>
    <sheetView tabSelected="1" zoomScale="75" workbookViewId="0">
      <selection activeCell="G6" sqref="G6"/>
    </sheetView>
  </sheetViews>
  <sheetFormatPr defaultColWidth="9.109375" defaultRowHeight="13.2" x14ac:dyDescent="0.25"/>
  <cols>
    <col min="1" max="1" width="14" style="156" customWidth="1"/>
    <col min="2" max="2" width="11.33203125" style="156" customWidth="1"/>
    <col min="3" max="3" width="13.33203125" style="156" bestFit="1" customWidth="1"/>
    <col min="4" max="5" width="15.88671875" style="156" customWidth="1"/>
    <col min="6" max="7" width="14.5546875" style="156" bestFit="1" customWidth="1"/>
    <col min="8" max="8" width="14.44140625" style="156" customWidth="1"/>
    <col min="9" max="9" width="14.5546875" style="156" bestFit="1" customWidth="1"/>
    <col min="10" max="11" width="14.5546875" style="156" customWidth="1"/>
    <col min="12" max="12" width="12.88671875" style="156" customWidth="1"/>
    <col min="13" max="13" width="13.6640625" style="156" customWidth="1"/>
    <col min="14" max="14" width="12.5546875" style="156" customWidth="1"/>
    <col min="15" max="15" width="13.109375" style="156" customWidth="1"/>
    <col min="16" max="16" width="14.5546875" style="156" customWidth="1"/>
    <col min="17" max="17" width="18" style="156" bestFit="1" customWidth="1"/>
    <col min="18" max="18" width="10.33203125" style="156" bestFit="1" customWidth="1"/>
    <col min="19" max="19" width="11.6640625" style="156" customWidth="1"/>
    <col min="20" max="20" width="13" style="156" customWidth="1"/>
    <col min="21" max="21" width="9.88671875" style="156" customWidth="1"/>
    <col min="22" max="22" width="12.88671875" style="156" customWidth="1"/>
    <col min="23" max="23" width="15.44140625" style="156" bestFit="1" customWidth="1"/>
    <col min="24" max="24" width="14.6640625" style="156" bestFit="1" customWidth="1"/>
    <col min="25" max="25" width="9.109375" style="156"/>
    <col min="26" max="26" width="10.44140625" style="156" customWidth="1"/>
    <col min="27" max="27" width="9.109375" style="156"/>
    <col min="28" max="28" width="10.88671875" style="156" customWidth="1"/>
    <col min="29" max="16384" width="9.109375" style="156"/>
  </cols>
  <sheetData>
    <row r="1" spans="1:22" x14ac:dyDescent="0.25">
      <c r="A1" s="188" t="s">
        <v>95</v>
      </c>
      <c r="B1" s="189">
        <f ca="1">TODAY()</f>
        <v>36570</v>
      </c>
      <c r="D1" s="162" t="s">
        <v>89</v>
      </c>
      <c r="E1" s="191">
        <v>0</v>
      </c>
      <c r="F1" s="190" t="s">
        <v>6</v>
      </c>
      <c r="G1" s="191">
        <v>8.7187296470203499E-2</v>
      </c>
      <c r="H1" s="190" t="s">
        <v>101</v>
      </c>
      <c r="I1" s="221">
        <v>0.04</v>
      </c>
      <c r="J1" s="221">
        <v>3.5000000000000003E-2</v>
      </c>
    </row>
    <row r="2" spans="1:22" x14ac:dyDescent="0.25">
      <c r="F2" s="157"/>
      <c r="G2" s="157"/>
      <c r="H2" s="157"/>
      <c r="I2" s="157"/>
      <c r="J2" s="161"/>
      <c r="K2" s="161"/>
    </row>
    <row r="3" spans="1:22" x14ac:dyDescent="0.25">
      <c r="F3" s="157"/>
      <c r="G3" s="157"/>
      <c r="H3" s="157"/>
      <c r="I3" s="157"/>
      <c r="J3" s="161"/>
      <c r="K3" s="161"/>
    </row>
    <row r="4" spans="1:22" s="158" customFormat="1" ht="26.4" x14ac:dyDescent="0.25">
      <c r="A4" s="279" t="s">
        <v>8</v>
      </c>
      <c r="B4" s="273" t="s">
        <v>45</v>
      </c>
      <c r="C4" s="280" t="s">
        <v>0</v>
      </c>
      <c r="D4" s="273" t="s">
        <v>118</v>
      </c>
      <c r="E4" s="280" t="s">
        <v>119</v>
      </c>
      <c r="F4" s="279" t="s">
        <v>120</v>
      </c>
      <c r="G4" s="279" t="s">
        <v>108</v>
      </c>
      <c r="H4" s="274" t="s">
        <v>97</v>
      </c>
      <c r="I4" s="279" t="s">
        <v>98</v>
      </c>
      <c r="J4" s="274" t="s">
        <v>103</v>
      </c>
      <c r="K4" s="273" t="s">
        <v>104</v>
      </c>
      <c r="L4" s="274" t="s">
        <v>105</v>
      </c>
      <c r="M4" s="274" t="s">
        <v>106</v>
      </c>
      <c r="N4" s="280" t="s">
        <v>100</v>
      </c>
      <c r="O4" s="279" t="s">
        <v>107</v>
      </c>
      <c r="P4" s="275" t="s">
        <v>109</v>
      </c>
      <c r="R4" s="240" t="s">
        <v>111</v>
      </c>
      <c r="S4" s="241" t="s">
        <v>98</v>
      </c>
      <c r="T4" s="241" t="s">
        <v>110</v>
      </c>
      <c r="U4" s="241" t="s">
        <v>103</v>
      </c>
      <c r="V4" s="242" t="s">
        <v>112</v>
      </c>
    </row>
    <row r="5" spans="1:22" x14ac:dyDescent="0.25">
      <c r="A5" s="159"/>
      <c r="B5" s="159"/>
      <c r="G5" s="184"/>
      <c r="R5" s="243">
        <f ca="1">+$V$5-SUM($S$5:U5)</f>
        <v>0</v>
      </c>
      <c r="S5" s="244">
        <f ca="1">-I13</f>
        <v>3.9999999999999994E-2</v>
      </c>
      <c r="T5" s="244">
        <f ca="1">-N13</f>
        <v>1.2187296470203491E-2</v>
      </c>
      <c r="U5" s="244">
        <f>+$J$1</f>
        <v>3.5000000000000003E-2</v>
      </c>
      <c r="V5" s="278">
        <f>+$G$1</f>
        <v>8.7187296470203499E-2</v>
      </c>
    </row>
    <row r="6" spans="1:22" s="159" customFormat="1" ht="15" x14ac:dyDescent="0.25">
      <c r="A6" s="160">
        <v>36647</v>
      </c>
      <c r="B6" s="178">
        <f>+'GD Options'!M5</f>
        <v>6.1739896749392023E-2</v>
      </c>
      <c r="C6" s="179">
        <f ca="1">1/((1+B6/2)^(2*(A6-$B$1)/365.25))</f>
        <v>0.98726300033478798</v>
      </c>
      <c r="D6" s="163">
        <f>-75000*31</f>
        <v>-2325000</v>
      </c>
      <c r="E6" s="165">
        <f ca="1">+C6*D6</f>
        <v>-2295386.4757783823</v>
      </c>
      <c r="F6" s="172">
        <f>+Curves!C2</f>
        <v>-5.0000000000000001E-3</v>
      </c>
      <c r="G6" s="185">
        <f ca="1">+E6*(F6-$G$1)</f>
        <v>211605.47355627731</v>
      </c>
      <c r="H6" s="193">
        <f ca="1">-E6*(F6-$E$1)</f>
        <v>-11476.932378891912</v>
      </c>
      <c r="I6" s="270">
        <f ca="1">+$I$1*E6</f>
        <v>-91815.459031135295</v>
      </c>
      <c r="J6" s="165">
        <f ca="1">+$J$1*E6</f>
        <v>-80338.526652243381</v>
      </c>
      <c r="K6" s="207">
        <f>+'GD Options'!B21</f>
        <v>-116250</v>
      </c>
      <c r="L6" s="207">
        <f>+'GD Options'!B5</f>
        <v>-116250</v>
      </c>
      <c r="M6" s="208">
        <f ca="1">+'GD Options'!T5</f>
        <v>8.7325998636640173E-2</v>
      </c>
      <c r="N6" s="246">
        <f ca="1">+(K6+L6)*M6</f>
        <v>-20303.294683018841</v>
      </c>
      <c r="O6" s="218">
        <f ca="1">+N6+J6+I6+H6</f>
        <v>-203934.21274528943</v>
      </c>
      <c r="P6" s="232">
        <f ca="1">+G6+O6</f>
        <v>7671.2608109878784</v>
      </c>
    </row>
    <row r="7" spans="1:22" s="159" customFormat="1" ht="15" x14ac:dyDescent="0.25">
      <c r="A7" s="160">
        <v>36678</v>
      </c>
      <c r="B7" s="180">
        <f>+'GD Options'!M6</f>
        <v>6.2588347760123994E-2</v>
      </c>
      <c r="C7" s="181">
        <f ca="1">1/((1+B7/2)^(2*(A7-$B$1)/365.25))</f>
        <v>0.98194208932412297</v>
      </c>
      <c r="D7" s="166">
        <f>-75000*30</f>
        <v>-2250000</v>
      </c>
      <c r="E7" s="168">
        <f ca="1">+C7*D7</f>
        <v>-2209369.7009792766</v>
      </c>
      <c r="F7" s="174">
        <f>+Curves!C3</f>
        <v>-5.0000000000000001E-3</v>
      </c>
      <c r="G7" s="186">
        <f ca="1">+E7*(F7-$G$1)</f>
        <v>203675.81963646144</v>
      </c>
      <c r="H7" s="195">
        <f ca="1">-E7*(F7-$E$1)</f>
        <v>-11046.848504896383</v>
      </c>
      <c r="I7" s="271">
        <f ca="1">+$I$1*E7</f>
        <v>-88374.788039171064</v>
      </c>
      <c r="J7" s="168">
        <f ca="1">+$J$1*E7</f>
        <v>-77327.939534274687</v>
      </c>
      <c r="K7" s="210">
        <f>+'GD Options'!B22</f>
        <v>-112500</v>
      </c>
      <c r="L7" s="210">
        <f>+'GD Options'!B6</f>
        <v>-112500</v>
      </c>
      <c r="M7" s="211">
        <f ca="1">+'GD Options'!T6</f>
        <v>9.5613553181489994E-2</v>
      </c>
      <c r="N7" s="247">
        <f ca="1">+(K7+L7)*M7</f>
        <v>-21513.049465835247</v>
      </c>
      <c r="O7" s="219">
        <f ca="1">+N7+J7+I7+H7</f>
        <v>-198262.62554417737</v>
      </c>
      <c r="P7" s="233">
        <f ca="1">+G7+O7</f>
        <v>5413.1940922840731</v>
      </c>
    </row>
    <row r="8" spans="1:22" s="159" customFormat="1" ht="15" x14ac:dyDescent="0.25">
      <c r="A8" s="160">
        <v>36708</v>
      </c>
      <c r="B8" s="180">
        <f>+'GD Options'!M7</f>
        <v>6.3435677173907024E-2</v>
      </c>
      <c r="C8" s="181">
        <f ca="1">1/((1+B8/2)^(2*(A8-$B$1)/365.25))</f>
        <v>0.97668095486980122</v>
      </c>
      <c r="D8" s="166">
        <f>-75000*31</f>
        <v>-2325000</v>
      </c>
      <c r="E8" s="168">
        <f ca="1">+C8*D8</f>
        <v>-2270783.2200722881</v>
      </c>
      <c r="F8" s="174">
        <f>+Curves!C4</f>
        <v>0</v>
      </c>
      <c r="G8" s="186">
        <f ca="1">+E8*(F8-$G$1)</f>
        <v>197983.44982800595</v>
      </c>
      <c r="H8" s="195">
        <f ca="1">-E8*(F8-$E$1)</f>
        <v>0</v>
      </c>
      <c r="I8" s="271">
        <f ca="1">+$I$1*E8</f>
        <v>-90831.328802891527</v>
      </c>
      <c r="J8" s="168">
        <f ca="1">+$J$1*E8</f>
        <v>-79477.412702530084</v>
      </c>
      <c r="K8" s="210">
        <f>+'GD Options'!B23</f>
        <v>-155000</v>
      </c>
      <c r="L8" s="210">
        <f>+'GD Options'!B7</f>
        <v>-155000</v>
      </c>
      <c r="M8" s="211">
        <f ca="1">+'GD Options'!T7</f>
        <v>9.7297333508275158E-2</v>
      </c>
      <c r="N8" s="247">
        <f ca="1">+(K8+L8)*M8</f>
        <v>-30162.173387565297</v>
      </c>
      <c r="O8" s="219">
        <f ca="1">+N8+J8+I8+H8</f>
        <v>-200470.91489298691</v>
      </c>
      <c r="P8" s="233">
        <f ca="1">+G8+O8</f>
        <v>-2487.4650649809628</v>
      </c>
    </row>
    <row r="9" spans="1:22" s="159" customFormat="1" ht="15" x14ac:dyDescent="0.25">
      <c r="A9" s="160">
        <v>36739</v>
      </c>
      <c r="B9" s="180">
        <f>+'GD Options'!M8</f>
        <v>6.4112455868492998E-2</v>
      </c>
      <c r="C9" s="181">
        <f ca="1">1/((1+B9/2)^(2*(A9-$B$1)/365.25))</f>
        <v>0.97122309217767211</v>
      </c>
      <c r="D9" s="166">
        <f>-75000*31</f>
        <v>-2325000</v>
      </c>
      <c r="E9" s="168">
        <f ca="1">+C9*D9</f>
        <v>-2258093.6893130876</v>
      </c>
      <c r="F9" s="174">
        <f>+Curves!C5</f>
        <v>0</v>
      </c>
      <c r="G9" s="186">
        <f ca="1">+E9*(F9-$G$1)</f>
        <v>196877.08394763575</v>
      </c>
      <c r="H9" s="195">
        <f ca="1">-E9*(F9-$E$1)</f>
        <v>0</v>
      </c>
      <c r="I9" s="271">
        <f ca="1">+$I$1*E9</f>
        <v>-90323.747572523513</v>
      </c>
      <c r="J9" s="168">
        <f ca="1">+$J$1*E9</f>
        <v>-79033.27912595807</v>
      </c>
      <c r="K9" s="210">
        <f>+'GD Options'!B24</f>
        <v>-155000</v>
      </c>
      <c r="L9" s="210">
        <f>+'GD Options'!B8</f>
        <v>-155000</v>
      </c>
      <c r="M9" s="211">
        <f ca="1">+'GD Options'!T8</f>
        <v>0.10707668551082269</v>
      </c>
      <c r="N9" s="247">
        <f ca="1">+(K9+L9)*M9</f>
        <v>-33193.772508355032</v>
      </c>
      <c r="O9" s="219">
        <f ca="1">+N9+J9+I9+H9</f>
        <v>-202550.79920683661</v>
      </c>
      <c r="P9" s="233">
        <f ca="1">+G9+O9</f>
        <v>-5673.7152592008642</v>
      </c>
    </row>
    <row r="10" spans="1:22" s="159" customFormat="1" ht="15" x14ac:dyDescent="0.25">
      <c r="A10" s="160">
        <v>36770</v>
      </c>
      <c r="B10" s="182">
        <f>+'GD Options'!M9</f>
        <v>6.4789234714962021E-2</v>
      </c>
      <c r="C10" s="183">
        <f ca="1">1/((1+B10/2)^(2*(A10-$B$1)/365.25))</f>
        <v>0.96568832559467488</v>
      </c>
      <c r="D10" s="169">
        <f>-75000*30</f>
        <v>-2250000</v>
      </c>
      <c r="E10" s="171">
        <f ca="1">+C10*D10</f>
        <v>-2172798.7325880183</v>
      </c>
      <c r="F10" s="176">
        <f>+Curves!C6</f>
        <v>0</v>
      </c>
      <c r="G10" s="187">
        <f ca="1">+E10*(F10-$G$1)</f>
        <v>189440.44726823395</v>
      </c>
      <c r="H10" s="197">
        <f ca="1">-E10*(F10-$E$1)</f>
        <v>0</v>
      </c>
      <c r="I10" s="272">
        <f ca="1">+$I$1*E10</f>
        <v>-86911.949303520727</v>
      </c>
      <c r="J10" s="171">
        <f ca="1">+$J$1*E10</f>
        <v>-76047.955640580651</v>
      </c>
      <c r="K10" s="213">
        <f>+'GD Options'!B25</f>
        <v>-150000</v>
      </c>
      <c r="L10" s="213">
        <f>+'GD Options'!B9</f>
        <v>-150000</v>
      </c>
      <c r="M10" s="214">
        <f ca="1">+'GD Options'!T9</f>
        <v>0.10467938967740886</v>
      </c>
      <c r="N10" s="248">
        <f ca="1">+(K10+L10)*M10</f>
        <v>-31403.816903222658</v>
      </c>
      <c r="O10" s="220">
        <f ca="1">+N10+J10+I10+H10</f>
        <v>-194363.72184732405</v>
      </c>
      <c r="P10" s="234">
        <f ca="1">+G10+O10</f>
        <v>-4923.2745790900954</v>
      </c>
    </row>
    <row r="11" spans="1:22" s="159" customFormat="1" x14ac:dyDescent="0.25"/>
    <row r="12" spans="1:22" s="226" customFormat="1" ht="17.399999999999999" x14ac:dyDescent="0.3">
      <c r="A12" s="223" t="s">
        <v>12</v>
      </c>
      <c r="B12" s="224"/>
      <c r="C12" s="224"/>
      <c r="D12" s="225">
        <f>SUM(D6:D10)</f>
        <v>-11475000</v>
      </c>
      <c r="E12" s="225">
        <f ca="1">SUM(E6:E10)</f>
        <v>-11206431.818731055</v>
      </c>
      <c r="F12" s="224"/>
      <c r="G12" s="222">
        <f t="shared" ref="G12:L12" ca="1" si="0">SUM(G6:G10)</f>
        <v>999582.27423661447</v>
      </c>
      <c r="H12" s="222">
        <f t="shared" ca="1" si="0"/>
        <v>-22523.780883788295</v>
      </c>
      <c r="I12" s="222">
        <f t="shared" ca="1" si="0"/>
        <v>-448257.27274924214</v>
      </c>
      <c r="J12" s="222">
        <f t="shared" ca="1" si="0"/>
        <v>-392225.11365558684</v>
      </c>
      <c r="K12" s="225">
        <f t="shared" si="0"/>
        <v>-688750</v>
      </c>
      <c r="L12" s="225">
        <f t="shared" si="0"/>
        <v>-688750</v>
      </c>
      <c r="M12" s="224"/>
      <c r="N12" s="222">
        <f ca="1">SUM(N6:N10)</f>
        <v>-136576.10694799706</v>
      </c>
      <c r="O12" s="222">
        <f ca="1">SUM(O6:O10)</f>
        <v>-999582.27423661435</v>
      </c>
      <c r="P12" s="235">
        <f ca="1">SUM(P6:P10)</f>
        <v>2.9103830456733704E-11</v>
      </c>
    </row>
    <row r="13" spans="1:22" s="159" customFormat="1" x14ac:dyDescent="0.25">
      <c r="A13" s="188" t="s">
        <v>117</v>
      </c>
      <c r="B13" s="267"/>
      <c r="C13" s="267"/>
      <c r="D13" s="267"/>
      <c r="E13" s="267"/>
      <c r="F13" s="267"/>
      <c r="G13" s="268">
        <f ca="1">-G12/$E$12</f>
        <v>8.9197194111854311E-2</v>
      </c>
      <c r="H13" s="268"/>
      <c r="I13" s="268">
        <f ca="1">-I12/$E$12</f>
        <v>-3.9999999999999994E-2</v>
      </c>
      <c r="J13" s="268">
        <f ca="1">-J12/$E$12</f>
        <v>-3.4999999999999996E-2</v>
      </c>
      <c r="K13" s="268"/>
      <c r="L13" s="268"/>
      <c r="M13" s="268"/>
      <c r="N13" s="268">
        <f ca="1">-N12/$E$12</f>
        <v>-1.2187296470203491E-2</v>
      </c>
      <c r="O13" s="268">
        <f ca="1">-O12/$E$12</f>
        <v>-8.9197194111854311E-2</v>
      </c>
      <c r="P13" s="276">
        <f ca="1">-P12/$E$12</f>
        <v>2.5970648755554769E-18</v>
      </c>
      <c r="R13" s="156"/>
      <c r="S13" s="156"/>
      <c r="T13" s="156"/>
      <c r="U13" s="156"/>
      <c r="V13" s="156"/>
    </row>
    <row r="23" spans="10:10" x14ac:dyDescent="0.25">
      <c r="J23" s="277"/>
    </row>
  </sheetData>
  <pageMargins left="0.75" right="0.75" top="1" bottom="1" header="0.5" footer="0.5"/>
  <pageSetup paperSize="5" scale="4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D23"/>
  <sheetViews>
    <sheetView zoomScale="75" workbookViewId="0">
      <pane xSplit="2988"/>
      <selection activeCell="A23" sqref="A23:IV23"/>
      <selection pane="topRight" activeCell="A8" sqref="A8"/>
    </sheetView>
  </sheetViews>
  <sheetFormatPr defaultColWidth="9.109375" defaultRowHeight="13.2" x14ac:dyDescent="0.25"/>
  <cols>
    <col min="1" max="1" width="14" style="156" customWidth="1"/>
    <col min="2" max="2" width="10.6640625" style="156" customWidth="1"/>
    <col min="3" max="3" width="13.33203125" style="156" bestFit="1" customWidth="1"/>
    <col min="4" max="4" width="14.5546875" style="156" bestFit="1" customWidth="1"/>
    <col min="5" max="5" width="15.88671875" style="156" customWidth="1"/>
    <col min="6" max="7" width="14.5546875" style="156" bestFit="1" customWidth="1"/>
    <col min="8" max="8" width="14.44140625" style="156" customWidth="1"/>
    <col min="9" max="9" width="14.5546875" style="156" bestFit="1" customWidth="1"/>
    <col min="10" max="11" width="14.5546875" style="156" customWidth="1"/>
    <col min="12" max="12" width="13.88671875" style="156" bestFit="1" customWidth="1"/>
    <col min="13" max="13" width="13.6640625" style="156" customWidth="1"/>
    <col min="14" max="14" width="12.5546875" style="156" customWidth="1"/>
    <col min="15" max="15" width="12.88671875" style="156" bestFit="1" customWidth="1"/>
    <col min="16" max="16" width="14.5546875" style="156" customWidth="1"/>
    <col min="17" max="17" width="12.88671875" style="156" bestFit="1" customWidth="1"/>
    <col min="18" max="18" width="15.88671875" style="156" bestFit="1" customWidth="1"/>
    <col min="19" max="20" width="16.33203125" style="156" bestFit="1" customWidth="1"/>
    <col min="21" max="21" width="9.88671875" style="156" customWidth="1"/>
    <col min="22" max="22" width="12.88671875" style="156" bestFit="1" customWidth="1"/>
    <col min="23" max="23" width="14.6640625" style="156" bestFit="1" customWidth="1"/>
    <col min="24" max="24" width="16.88671875" style="156" customWidth="1"/>
    <col min="25" max="25" width="9.109375" style="156"/>
    <col min="26" max="26" width="10.5546875" style="156" bestFit="1" customWidth="1"/>
    <col min="27" max="27" width="9.5546875" style="156" customWidth="1"/>
    <col min="28" max="28" width="9.33203125" style="156" customWidth="1"/>
    <col min="29" max="29" width="8.44140625" style="156" customWidth="1"/>
    <col min="30" max="30" width="9" style="156" customWidth="1"/>
    <col min="31" max="16384" width="9.109375" style="156"/>
  </cols>
  <sheetData>
    <row r="1" spans="1:30" x14ac:dyDescent="0.25">
      <c r="A1" s="188" t="s">
        <v>95</v>
      </c>
      <c r="B1" s="189">
        <f ca="1">TODAY()</f>
        <v>36570</v>
      </c>
      <c r="E1" s="162" t="s">
        <v>89</v>
      </c>
      <c r="F1" s="191">
        <v>-2.5000000000000001E-3</v>
      </c>
      <c r="G1" s="190" t="s">
        <v>6</v>
      </c>
      <c r="H1" s="191">
        <v>5.7723437473017211E-2</v>
      </c>
      <c r="J1" s="159" t="s">
        <v>115</v>
      </c>
      <c r="K1" s="159">
        <v>713964</v>
      </c>
      <c r="P1" s="204" t="s">
        <v>101</v>
      </c>
      <c r="Q1" s="221">
        <v>0.04</v>
      </c>
      <c r="R1" s="221">
        <v>0.04</v>
      </c>
    </row>
    <row r="2" spans="1:30" x14ac:dyDescent="0.25">
      <c r="E2" s="162" t="s">
        <v>90</v>
      </c>
      <c r="F2" s="191">
        <v>-7.4999999999999997E-3</v>
      </c>
      <c r="G2" s="161"/>
    </row>
    <row r="3" spans="1:30" x14ac:dyDescent="0.25">
      <c r="F3" s="157"/>
      <c r="G3" s="157"/>
      <c r="H3" s="157"/>
      <c r="I3" s="157"/>
      <c r="J3" s="161"/>
      <c r="K3" s="161"/>
    </row>
    <row r="4" spans="1:30" x14ac:dyDescent="0.25">
      <c r="A4" s="229"/>
      <c r="B4" s="230"/>
      <c r="C4" s="230"/>
      <c r="D4" s="286" t="s">
        <v>93</v>
      </c>
      <c r="E4" s="286"/>
      <c r="F4" s="286"/>
      <c r="G4" s="286" t="s">
        <v>94</v>
      </c>
      <c r="H4" s="286"/>
      <c r="I4" s="286"/>
      <c r="J4" s="286" t="s">
        <v>91</v>
      </c>
      <c r="K4" s="286"/>
      <c r="L4" s="230"/>
      <c r="M4" s="286" t="s">
        <v>97</v>
      </c>
      <c r="N4" s="286"/>
      <c r="O4" s="286"/>
      <c r="P4" s="286" t="s">
        <v>98</v>
      </c>
      <c r="Q4" s="286"/>
      <c r="R4" s="231" t="s">
        <v>103</v>
      </c>
      <c r="S4" s="286" t="s">
        <v>102</v>
      </c>
      <c r="T4" s="286"/>
      <c r="U4" s="286"/>
      <c r="V4" s="286"/>
      <c r="W4" s="230"/>
      <c r="X4" s="236"/>
      <c r="Z4" s="283" t="s">
        <v>113</v>
      </c>
      <c r="AA4" s="284"/>
      <c r="AB4" s="284"/>
      <c r="AC4" s="284"/>
      <c r="AD4" s="285"/>
    </row>
    <row r="5" spans="1:30" s="158" customFormat="1" ht="25.5" customHeight="1" x14ac:dyDescent="0.25">
      <c r="A5" s="227" t="s">
        <v>8</v>
      </c>
      <c r="B5" s="228" t="s">
        <v>45</v>
      </c>
      <c r="C5" s="228" t="s">
        <v>0</v>
      </c>
      <c r="D5" s="228" t="s">
        <v>96</v>
      </c>
      <c r="E5" s="228" t="s">
        <v>69</v>
      </c>
      <c r="F5" s="228" t="s">
        <v>92</v>
      </c>
      <c r="G5" s="228" t="str">
        <f>+D5</f>
        <v>IF-A/S EAST OFFER</v>
      </c>
      <c r="H5" s="228" t="str">
        <f>+E5</f>
        <v>HSC</v>
      </c>
      <c r="I5" s="228" t="s">
        <v>92</v>
      </c>
      <c r="J5" s="228" t="str">
        <f>+D5</f>
        <v>IF-A/S EAST OFFER</v>
      </c>
      <c r="K5" s="228" t="str">
        <f>+E5</f>
        <v>HSC</v>
      </c>
      <c r="L5" s="228" t="s">
        <v>108</v>
      </c>
      <c r="M5" s="228" t="str">
        <f>+D5</f>
        <v>IF-A/S EAST OFFER</v>
      </c>
      <c r="N5" s="228" t="str">
        <f>+E5</f>
        <v>HSC</v>
      </c>
      <c r="O5" s="228" t="s">
        <v>92</v>
      </c>
      <c r="P5" s="228" t="s">
        <v>99</v>
      </c>
      <c r="Q5" s="228" t="s">
        <v>100</v>
      </c>
      <c r="R5" s="228" t="s">
        <v>100</v>
      </c>
      <c r="S5" s="228" t="s">
        <v>104</v>
      </c>
      <c r="T5" s="228" t="s">
        <v>105</v>
      </c>
      <c r="U5" s="228" t="s">
        <v>106</v>
      </c>
      <c r="V5" s="228" t="s">
        <v>100</v>
      </c>
      <c r="W5" s="228" t="s">
        <v>107</v>
      </c>
      <c r="X5" s="237" t="s">
        <v>109</v>
      </c>
      <c r="Z5" s="240" t="s">
        <v>111</v>
      </c>
      <c r="AA5" s="241" t="s">
        <v>98</v>
      </c>
      <c r="AB5" s="241" t="s">
        <v>110</v>
      </c>
      <c r="AC5" s="241" t="s">
        <v>103</v>
      </c>
      <c r="AD5" s="242" t="s">
        <v>112</v>
      </c>
    </row>
    <row r="6" spans="1:30" x14ac:dyDescent="0.25">
      <c r="A6" s="159"/>
      <c r="B6" s="159"/>
      <c r="L6" s="184"/>
      <c r="P6" s="198"/>
      <c r="Z6" s="243">
        <f ca="1">+AD6-SUM(AA6:AC6)</f>
        <v>-3.1056901322861763E-3</v>
      </c>
      <c r="AA6" s="244">
        <f ca="1">+$Q$22/$I$22</f>
        <v>8.4949345446243812E-3</v>
      </c>
      <c r="AB6" s="244">
        <f ca="1">+$V$22/$I$22</f>
        <v>1.2334193060679007E-2</v>
      </c>
      <c r="AC6" s="244">
        <f>+$R$1</f>
        <v>0.04</v>
      </c>
      <c r="AD6" s="245">
        <f>+H1</f>
        <v>5.7723437473017211E-2</v>
      </c>
    </row>
    <row r="7" spans="1:30" s="159" customFormat="1" ht="15" x14ac:dyDescent="0.25">
      <c r="A7" s="160">
        <v>36647</v>
      </c>
      <c r="B7" s="178">
        <f>+'GD Options'!M5</f>
        <v>6.1739896749392023E-2</v>
      </c>
      <c r="C7" s="179">
        <f ca="1">1/((1+B7/2)^(2*(A7-$B$1)/365.25))</f>
        <v>0.98726300033478798</v>
      </c>
      <c r="D7" s="163">
        <f>-'Deal Volumes'!J22</f>
        <v>-2043336.6357345916</v>
      </c>
      <c r="E7" s="164">
        <f>-'Deal Volumes'!K22</f>
        <v>-281663.36426540837</v>
      </c>
      <c r="F7" s="165">
        <f>+D7+E7</f>
        <v>-2325000</v>
      </c>
      <c r="G7" s="163">
        <f ca="1">+D7*$C7</f>
        <v>-2017310.6576893246</v>
      </c>
      <c r="H7" s="164">
        <f ca="1">+E7*$C7</f>
        <v>-278075.81808905734</v>
      </c>
      <c r="I7" s="165">
        <f ca="1">SUM(G7:H7)</f>
        <v>-2295386.4757783818</v>
      </c>
      <c r="J7" s="172">
        <f>+Curves!C2</f>
        <v>-5.0000000000000001E-3</v>
      </c>
      <c r="K7" s="173">
        <f>+Curves!E2</f>
        <v>-5.0000000000000001E-3</v>
      </c>
      <c r="L7" s="185">
        <f ca="1">+G7*(J7-$H$1)+H7*(K7-$H$1)</f>
        <v>143974.53008989469</v>
      </c>
      <c r="M7" s="192">
        <f ca="1">-G7*(J7-$F$1)</f>
        <v>-5043.2766442233115</v>
      </c>
      <c r="N7" s="193">
        <f ca="1">-H7*(K7-$F$2)</f>
        <v>695.18954522264323</v>
      </c>
      <c r="O7" s="192">
        <f ca="1">SUM(M7:N7)</f>
        <v>-4348.0870990006679</v>
      </c>
      <c r="P7" s="200">
        <f ca="1">-'Deal Volumes'!C22*C7</f>
        <v>-736222.37177893159</v>
      </c>
      <c r="Q7" s="258">
        <f t="shared" ref="Q7:Q20" ca="1" si="0">+P7*$Q$1</f>
        <v>-29448.894871157263</v>
      </c>
      <c r="R7" s="259">
        <f ca="1">+$R$1*I7</f>
        <v>-91815.45903113528</v>
      </c>
      <c r="S7" s="206">
        <f>+'GD Options'!B21</f>
        <v>-116250</v>
      </c>
      <c r="T7" s="207">
        <f>+'GD Options'!B5</f>
        <v>-116250</v>
      </c>
      <c r="U7" s="264">
        <f ca="1">+'GD Options'!T5</f>
        <v>8.7325998636640173E-2</v>
      </c>
      <c r="V7" s="246">
        <f ca="1">+(S7+T7)*U7</f>
        <v>-20303.294683018841</v>
      </c>
      <c r="W7" s="218">
        <f ca="1">+O7+R7+V7+Q7</f>
        <v>-145915.73568431207</v>
      </c>
      <c r="X7" s="249">
        <f ca="1">+L7+W7</f>
        <v>-1941.2055944173771</v>
      </c>
      <c r="AB7" s="252"/>
    </row>
    <row r="8" spans="1:30" s="159" customFormat="1" ht="15" x14ac:dyDescent="0.25">
      <c r="A8" s="160">
        <v>36678</v>
      </c>
      <c r="B8" s="180">
        <f>+'GD Options'!M6</f>
        <v>6.2588347760123994E-2</v>
      </c>
      <c r="C8" s="181">
        <f t="shared" ref="C8:C20" ca="1" si="1">1/((1+B8/2)^(2*(A8-$B$1)/365.25))</f>
        <v>0.98194208932412297</v>
      </c>
      <c r="D8" s="166">
        <f>-'Deal Volumes'!J23</f>
        <v>-1977422.5507108951</v>
      </c>
      <c r="E8" s="167">
        <f>-'Deal Volumes'!K23</f>
        <v>-272577.4492891049</v>
      </c>
      <c r="F8" s="168">
        <f t="shared" ref="F8:F20" si="2">+D8+E8</f>
        <v>-2250000</v>
      </c>
      <c r="G8" s="166">
        <f t="shared" ref="G8:G20" ca="1" si="3">+D8*$C8</f>
        <v>-1941714.4309216929</v>
      </c>
      <c r="H8" s="167">
        <f t="shared" ref="H8:H20" ca="1" si="4">+E8*$C8</f>
        <v>-267655.27005758387</v>
      </c>
      <c r="I8" s="168">
        <f t="shared" ref="I8:I20" ca="1" si="5">SUM(G8:H8)</f>
        <v>-2209369.7009792766</v>
      </c>
      <c r="J8" s="174">
        <f>+Curves!C3</f>
        <v>-5.0000000000000001E-3</v>
      </c>
      <c r="K8" s="175">
        <f>+Curves!E3</f>
        <v>-5.0000000000000001E-3</v>
      </c>
      <c r="L8" s="186">
        <f t="shared" ref="L8:L20" ca="1" si="6">+G8*(J8-$H$1)+H8*(K8-$H$1)</f>
        <v>138579.2622941524</v>
      </c>
      <c r="M8" s="194">
        <f t="shared" ref="M8:M20" ca="1" si="7">-G8*(J8-$F$1)</f>
        <v>-4854.2860773042321</v>
      </c>
      <c r="N8" s="195">
        <f t="shared" ref="N8:N20" ca="1" si="8">-H8*(K8-$F$2)</f>
        <v>669.13817514395953</v>
      </c>
      <c r="O8" s="194">
        <f t="shared" ref="O8:O20" ca="1" si="9">SUM(M8:N8)</f>
        <v>-4185.1479021602727</v>
      </c>
      <c r="P8" s="238">
        <f ca="1">-'Deal Volumes'!C23*C8</f>
        <v>-708633.34717517858</v>
      </c>
      <c r="Q8" s="260">
        <f t="shared" ca="1" si="0"/>
        <v>-28345.333887007146</v>
      </c>
      <c r="R8" s="261">
        <f t="shared" ref="R8:R20" ca="1" si="10">+$R$1*I8</f>
        <v>-88374.788039171064</v>
      </c>
      <c r="S8" s="209">
        <f>+'GD Options'!B22</f>
        <v>-112500</v>
      </c>
      <c r="T8" s="210">
        <f>+'GD Options'!B6</f>
        <v>-112500</v>
      </c>
      <c r="U8" s="265">
        <f ca="1">+'GD Options'!T6</f>
        <v>9.5613553181489994E-2</v>
      </c>
      <c r="V8" s="247">
        <f t="shared" ref="V8:V20" ca="1" si="11">+(S8+T8)*U8</f>
        <v>-21513.049465835247</v>
      </c>
      <c r="W8" s="219">
        <f t="shared" ref="W8:W20" ca="1" si="12">+O8+R8+V8+Q8</f>
        <v>-142418.31929417374</v>
      </c>
      <c r="X8" s="250">
        <f t="shared" ref="X8:X20" ca="1" si="13">+L8+W8</f>
        <v>-3839.0570000213338</v>
      </c>
      <c r="Z8" s="156"/>
      <c r="AA8" s="156"/>
      <c r="AB8" s="156"/>
      <c r="AC8" s="156"/>
      <c r="AD8" s="156"/>
    </row>
    <row r="9" spans="1:30" s="159" customFormat="1" ht="15" x14ac:dyDescent="0.25">
      <c r="A9" s="160">
        <v>36708</v>
      </c>
      <c r="B9" s="180">
        <f>+'GD Options'!M7</f>
        <v>6.3435677173907024E-2</v>
      </c>
      <c r="C9" s="181">
        <f t="shared" ca="1" si="1"/>
        <v>0.97668095486980122</v>
      </c>
      <c r="D9" s="166">
        <f>-'Deal Volumes'!J24</f>
        <v>-2724448.8476461223</v>
      </c>
      <c r="E9" s="167">
        <f>-'Deal Volumes'!K24</f>
        <v>-375551.1523538772</v>
      </c>
      <c r="F9" s="168">
        <f t="shared" si="2"/>
        <v>-3099999.9999999995</v>
      </c>
      <c r="G9" s="166">
        <f t="shared" ca="1" si="3"/>
        <v>-2660917.3020129441</v>
      </c>
      <c r="H9" s="167">
        <f t="shared" ca="1" si="4"/>
        <v>-366793.65808343899</v>
      </c>
      <c r="I9" s="168">
        <f t="shared" ca="1" si="5"/>
        <v>-3027710.960096383</v>
      </c>
      <c r="J9" s="174">
        <f>+Curves!C4</f>
        <v>0</v>
      </c>
      <c r="K9" s="175">
        <f>+Curves!E4</f>
        <v>-5.0000000000000001E-3</v>
      </c>
      <c r="L9" s="186">
        <f t="shared" ca="1" si="6"/>
        <v>176603.85258190965</v>
      </c>
      <c r="M9" s="194">
        <f t="shared" ca="1" si="7"/>
        <v>6652.2932550323603</v>
      </c>
      <c r="N9" s="195">
        <f t="shared" ca="1" si="8"/>
        <v>916.98414520859728</v>
      </c>
      <c r="O9" s="194">
        <f t="shared" ca="1" si="9"/>
        <v>7569.2774002409578</v>
      </c>
      <c r="P9" s="238">
        <f ca="1">-'Deal Volumes'!C24*C9</f>
        <v>-971108.16310239548</v>
      </c>
      <c r="Q9" s="260">
        <f t="shared" ca="1" si="0"/>
        <v>-38844.326524095821</v>
      </c>
      <c r="R9" s="261">
        <f t="shared" ca="1" si="10"/>
        <v>-121108.43840385533</v>
      </c>
      <c r="S9" s="209">
        <f>+'GD Options'!B23</f>
        <v>-155000</v>
      </c>
      <c r="T9" s="210">
        <f>+'GD Options'!B7</f>
        <v>-155000</v>
      </c>
      <c r="U9" s="265">
        <f ca="1">+'GD Options'!T7</f>
        <v>9.7297333508275158E-2</v>
      </c>
      <c r="V9" s="247">
        <f t="shared" ca="1" si="11"/>
        <v>-30162.173387565297</v>
      </c>
      <c r="W9" s="219">
        <f t="shared" ca="1" si="12"/>
        <v>-182545.66091527548</v>
      </c>
      <c r="X9" s="250">
        <f t="shared" ca="1" si="13"/>
        <v>-5941.8083333658287</v>
      </c>
      <c r="Z9" s="156"/>
      <c r="AB9" s="156"/>
      <c r="AC9" s="156"/>
      <c r="AD9" s="156"/>
    </row>
    <row r="10" spans="1:30" s="159" customFormat="1" ht="15" x14ac:dyDescent="0.25">
      <c r="A10" s="160">
        <v>36739</v>
      </c>
      <c r="B10" s="180">
        <f>+'GD Options'!M8</f>
        <v>6.4112455868492998E-2</v>
      </c>
      <c r="C10" s="181">
        <f t="shared" ca="1" si="1"/>
        <v>0.97122309217767211</v>
      </c>
      <c r="D10" s="166">
        <f>-'Deal Volumes'!J25</f>
        <v>-2724448.8476461223</v>
      </c>
      <c r="E10" s="167">
        <f>-'Deal Volumes'!K25</f>
        <v>-375551.1523538772</v>
      </c>
      <c r="F10" s="168">
        <f t="shared" si="2"/>
        <v>-3099999.9999999995</v>
      </c>
      <c r="G10" s="166">
        <f t="shared" ca="1" si="3"/>
        <v>-2646047.6342907622</v>
      </c>
      <c r="H10" s="167">
        <f t="shared" ca="1" si="4"/>
        <v>-364743.95146002067</v>
      </c>
      <c r="I10" s="168">
        <f t="shared" ca="1" si="5"/>
        <v>-3010791.5857507829</v>
      </c>
      <c r="J10" s="174">
        <f>+Curves!C5</f>
        <v>0</v>
      </c>
      <c r="K10" s="175">
        <f>+Curves!E5</f>
        <v>-5.0000000000000001E-3</v>
      </c>
      <c r="L10" s="186">
        <f t="shared" ca="1" si="6"/>
        <v>175616.95960167176</v>
      </c>
      <c r="M10" s="194">
        <f t="shared" ca="1" si="7"/>
        <v>6615.1190857269057</v>
      </c>
      <c r="N10" s="195">
        <f t="shared" ca="1" si="8"/>
        <v>911.85987865005154</v>
      </c>
      <c r="O10" s="194">
        <f t="shared" ca="1" si="9"/>
        <v>7526.9789643769573</v>
      </c>
      <c r="P10" s="238">
        <f ca="1">-'Deal Volumes'!C25*C10</f>
        <v>-965681.44213789678</v>
      </c>
      <c r="Q10" s="260">
        <f t="shared" ca="1" si="0"/>
        <v>-38627.25768551587</v>
      </c>
      <c r="R10" s="261">
        <f t="shared" ca="1" si="10"/>
        <v>-120431.66343003132</v>
      </c>
      <c r="S10" s="209">
        <f>+'GD Options'!B24</f>
        <v>-155000</v>
      </c>
      <c r="T10" s="210">
        <f>+'GD Options'!B8</f>
        <v>-155000</v>
      </c>
      <c r="U10" s="265">
        <f ca="1">+'GD Options'!T8</f>
        <v>0.10707668551082269</v>
      </c>
      <c r="V10" s="247">
        <f t="shared" ca="1" si="11"/>
        <v>-33193.772508355032</v>
      </c>
      <c r="W10" s="219">
        <f t="shared" ca="1" si="12"/>
        <v>-184725.71465952526</v>
      </c>
      <c r="X10" s="250">
        <f t="shared" ca="1" si="13"/>
        <v>-9108.7550578535011</v>
      </c>
      <c r="Z10" s="156"/>
      <c r="AA10" s="156"/>
      <c r="AB10" s="156"/>
      <c r="AC10" s="156"/>
      <c r="AD10" s="156"/>
    </row>
    <row r="11" spans="1:30" s="159" customFormat="1" ht="15" x14ac:dyDescent="0.25">
      <c r="A11" s="160">
        <v>36770</v>
      </c>
      <c r="B11" s="180">
        <f>+'GD Options'!M9</f>
        <v>6.4789234714962021E-2</v>
      </c>
      <c r="C11" s="181">
        <f t="shared" ca="1" si="1"/>
        <v>0.96568832559467488</v>
      </c>
      <c r="D11" s="166">
        <f>-'Deal Volumes'!J26</f>
        <v>-2636563.4009478604</v>
      </c>
      <c r="E11" s="167">
        <f>-'Deal Volumes'!K26</f>
        <v>-363436.59905213909</v>
      </c>
      <c r="F11" s="168">
        <f t="shared" si="2"/>
        <v>-2999999.9999999995</v>
      </c>
      <c r="G11" s="166">
        <f t="shared" ca="1" si="3"/>
        <v>-2546098.4959855406</v>
      </c>
      <c r="H11" s="167">
        <f t="shared" ca="1" si="4"/>
        <v>-350966.48079848342</v>
      </c>
      <c r="I11" s="168">
        <f t="shared" ca="1" si="5"/>
        <v>-2897064.9767840239</v>
      </c>
      <c r="J11" s="174">
        <f>+Curves!C6</f>
        <v>0</v>
      </c>
      <c r="K11" s="175">
        <f>+Curves!E6</f>
        <v>-5.0000000000000001E-3</v>
      </c>
      <c r="L11" s="186">
        <f t="shared" ca="1" si="6"/>
        <v>168983.38144665307</v>
      </c>
      <c r="M11" s="194">
        <f t="shared" ca="1" si="7"/>
        <v>6365.2462399638516</v>
      </c>
      <c r="N11" s="195">
        <f t="shared" ca="1" si="8"/>
        <v>877.41620199620843</v>
      </c>
      <c r="O11" s="194">
        <f t="shared" ca="1" si="9"/>
        <v>7242.6624419600603</v>
      </c>
      <c r="P11" s="238">
        <f ca="1">-'Deal Volumes'!C26*C11</f>
        <v>-929204.7639525861</v>
      </c>
      <c r="Q11" s="260">
        <f t="shared" ca="1" si="0"/>
        <v>-37168.190558103444</v>
      </c>
      <c r="R11" s="261">
        <f t="shared" ca="1" si="10"/>
        <v>-115882.59907136096</v>
      </c>
      <c r="S11" s="209">
        <f>+'GD Options'!B25</f>
        <v>-150000</v>
      </c>
      <c r="T11" s="210">
        <f>+'GD Options'!B9</f>
        <v>-150000</v>
      </c>
      <c r="U11" s="265">
        <f ca="1">+'GD Options'!T9</f>
        <v>0.10467938967740886</v>
      </c>
      <c r="V11" s="247">
        <f t="shared" ca="1" si="11"/>
        <v>-31403.816903222658</v>
      </c>
      <c r="W11" s="219">
        <f t="shared" ca="1" si="12"/>
        <v>-177211.94409072702</v>
      </c>
      <c r="X11" s="250">
        <f t="shared" ca="1" si="13"/>
        <v>-8228.5626440739434</v>
      </c>
      <c r="Z11" s="156"/>
      <c r="AA11" s="156"/>
      <c r="AC11" s="156"/>
      <c r="AD11" s="156"/>
    </row>
    <row r="12" spans="1:30" s="159" customFormat="1" ht="15" x14ac:dyDescent="0.25">
      <c r="A12" s="160">
        <v>36800</v>
      </c>
      <c r="B12" s="180">
        <f>+'GD Options'!M10</f>
        <v>6.5417688435194007E-2</v>
      </c>
      <c r="C12" s="181">
        <f t="shared" ca="1" si="1"/>
        <v>0.9602760082420343</v>
      </c>
      <c r="D12" s="166">
        <f>-'Deal Volumes'!J27</f>
        <v>-1226001.9814407551</v>
      </c>
      <c r="E12" s="167">
        <f>-'Deal Volumes'!K27</f>
        <v>-168998.01855924493</v>
      </c>
      <c r="F12" s="168">
        <f t="shared" si="2"/>
        <v>-1395000</v>
      </c>
      <c r="G12" s="166">
        <f t="shared" ca="1" si="3"/>
        <v>-1177300.288834753</v>
      </c>
      <c r="H12" s="167">
        <f t="shared" ca="1" si="4"/>
        <v>-162284.74266288494</v>
      </c>
      <c r="I12" s="168">
        <f t="shared" ca="1" si="5"/>
        <v>-1339585.031497638</v>
      </c>
      <c r="J12" s="174">
        <f>+Curves!C7</f>
        <v>-5.0000000000000001E-3</v>
      </c>
      <c r="K12" s="175">
        <f>+Curves!E7</f>
        <v>-5.0000000000000001E-3</v>
      </c>
      <c r="L12" s="186">
        <f t="shared" ca="1" si="6"/>
        <v>84023.377962931889</v>
      </c>
      <c r="M12" s="194">
        <f t="shared" ca="1" si="7"/>
        <v>-2943.2507220868824</v>
      </c>
      <c r="N12" s="195">
        <f t="shared" ca="1" si="8"/>
        <v>405.71185665721225</v>
      </c>
      <c r="O12" s="194">
        <f t="shared" ca="1" si="9"/>
        <v>-2537.5388654296703</v>
      </c>
      <c r="P12" s="238">
        <f ca="1">-'Deal Volumes'!C27*C12</f>
        <v>-429658.56926307245</v>
      </c>
      <c r="Q12" s="260">
        <v>0</v>
      </c>
      <c r="R12" s="261">
        <f t="shared" ca="1" si="10"/>
        <v>-53583.40125990552</v>
      </c>
      <c r="S12" s="209">
        <f>+'GD Options'!B26</f>
        <v>-69750</v>
      </c>
      <c r="T12" s="210">
        <f>+'GD Options'!B10</f>
        <v>-69750</v>
      </c>
      <c r="U12" s="265">
        <f ca="1">+'GD Options'!T10</f>
        <v>9.7129683498926409E-2</v>
      </c>
      <c r="V12" s="247">
        <f t="shared" ca="1" si="11"/>
        <v>-13549.590848100233</v>
      </c>
      <c r="W12" s="219">
        <f t="shared" ca="1" si="12"/>
        <v>-69670.530973435423</v>
      </c>
      <c r="X12" s="250">
        <f t="shared" ca="1" si="13"/>
        <v>14352.846989496466</v>
      </c>
      <c r="Z12" s="156"/>
      <c r="AA12" s="156"/>
      <c r="AB12" s="156"/>
      <c r="AC12" s="156"/>
      <c r="AD12" s="156"/>
    </row>
    <row r="13" spans="1:30" s="159" customFormat="1" ht="15" x14ac:dyDescent="0.25">
      <c r="A13" s="160">
        <v>36831</v>
      </c>
      <c r="B13" s="180">
        <f>+'GD Options'!M11</f>
        <v>6.6017878160483018E-2</v>
      </c>
      <c r="C13" s="181">
        <f t="shared" ca="1" si="1"/>
        <v>0.95464750121976061</v>
      </c>
      <c r="D13" s="166">
        <f>-'Deal Volumes'!J28</f>
        <v>-1186453.5304265372</v>
      </c>
      <c r="E13" s="167">
        <f>-'Deal Volumes'!K28</f>
        <v>-163546.46957346285</v>
      </c>
      <c r="F13" s="168">
        <f t="shared" si="2"/>
        <v>-1350000</v>
      </c>
      <c r="G13" s="166">
        <f t="shared" ca="1" si="3"/>
        <v>-1132644.898135057</v>
      </c>
      <c r="H13" s="167">
        <f t="shared" ca="1" si="4"/>
        <v>-156129.22851161991</v>
      </c>
      <c r="I13" s="168">
        <f t="shared" ca="1" si="5"/>
        <v>-1288774.1266466768</v>
      </c>
      <c r="J13" s="174">
        <f>+Curves!C8</f>
        <v>-5.0000000000000001E-3</v>
      </c>
      <c r="K13" s="175">
        <f>+Curves!E8</f>
        <v>-5.0000000000000001E-3</v>
      </c>
      <c r="L13" s="186">
        <f t="shared" ca="1" si="6"/>
        <v>80836.343349565199</v>
      </c>
      <c r="M13" s="194">
        <f t="shared" ca="1" si="7"/>
        <v>-2831.6122453376424</v>
      </c>
      <c r="N13" s="195">
        <f t="shared" ca="1" si="8"/>
        <v>390.32307127904971</v>
      </c>
      <c r="O13" s="194">
        <f t="shared" ca="1" si="9"/>
        <v>-2441.2891740585928</v>
      </c>
      <c r="P13" s="238">
        <f ca="1">-'Deal Volumes'!C28*C13</f>
        <v>-413361.47712789167</v>
      </c>
      <c r="Q13" s="260">
        <v>0</v>
      </c>
      <c r="R13" s="261">
        <f t="shared" ca="1" si="10"/>
        <v>-51550.965065867073</v>
      </c>
      <c r="S13" s="209">
        <f>+'GD Options'!B27</f>
        <v>-67500</v>
      </c>
      <c r="T13" s="210">
        <f>+'GD Options'!B11</f>
        <v>-67500</v>
      </c>
      <c r="U13" s="265">
        <f ca="1">+'GD Options'!T11</f>
        <v>0.16705381277578685</v>
      </c>
      <c r="V13" s="247">
        <f t="shared" ca="1" si="11"/>
        <v>-22552.264724731223</v>
      </c>
      <c r="W13" s="219">
        <f t="shared" ca="1" si="12"/>
        <v>-76544.518964656891</v>
      </c>
      <c r="X13" s="250">
        <f t="shared" ca="1" si="13"/>
        <v>4291.8243849083083</v>
      </c>
      <c r="Z13" s="156"/>
      <c r="AA13" s="156"/>
      <c r="AB13" s="156"/>
      <c r="AC13" s="156"/>
      <c r="AD13" s="156"/>
    </row>
    <row r="14" spans="1:30" s="159" customFormat="1" ht="15" x14ac:dyDescent="0.25">
      <c r="A14" s="160">
        <v>36861</v>
      </c>
      <c r="B14" s="180">
        <f>+'GD Options'!M12</f>
        <v>6.6598707040522009E-2</v>
      </c>
      <c r="C14" s="181">
        <f t="shared" ca="1" si="1"/>
        <v>0.94914294847028047</v>
      </c>
      <c r="D14" s="166">
        <f>-'Deal Volumes'!J29</f>
        <v>-1226001.9814407551</v>
      </c>
      <c r="E14" s="167">
        <f>-'Deal Volumes'!K29</f>
        <v>-168998.01855924493</v>
      </c>
      <c r="F14" s="168">
        <f t="shared" si="2"/>
        <v>-1395000</v>
      </c>
      <c r="G14" s="166">
        <f t="shared" ca="1" si="3"/>
        <v>-1163651.1354950843</v>
      </c>
      <c r="H14" s="167">
        <f t="shared" ca="1" si="4"/>
        <v>-160403.27762095691</v>
      </c>
      <c r="I14" s="168">
        <f t="shared" ca="1" si="5"/>
        <v>-1324054.4131160413</v>
      </c>
      <c r="J14" s="174">
        <f>+Curves!C9</f>
        <v>0</v>
      </c>
      <c r="K14" s="175">
        <f>+Curves!E9</f>
        <v>-5.0000000000000001E-3</v>
      </c>
      <c r="L14" s="186">
        <f t="shared" ca="1" si="6"/>
        <v>77230.988514481098</v>
      </c>
      <c r="M14" s="194">
        <f t="shared" ca="1" si="7"/>
        <v>2909.127838737711</v>
      </c>
      <c r="N14" s="195">
        <f t="shared" ca="1" si="8"/>
        <v>401.00819405239224</v>
      </c>
      <c r="O14" s="194">
        <f ca="1">SUM(M14:N14)</f>
        <v>3310.1360327901034</v>
      </c>
      <c r="P14" s="238">
        <f ca="1">-'Deal Volumes'!C29*C14</f>
        <v>-424677.27795516094</v>
      </c>
      <c r="Q14" s="260">
        <v>1</v>
      </c>
      <c r="R14" s="261">
        <f ca="1">+$R$1*I14</f>
        <v>-52962.176524641654</v>
      </c>
      <c r="S14" s="209">
        <f>+'GD Options'!B28</f>
        <v>-69750</v>
      </c>
      <c r="T14" s="210">
        <f>+'GD Options'!B12</f>
        <v>-69750</v>
      </c>
      <c r="U14" s="265">
        <f ca="1">+'GD Options'!T12</f>
        <v>0.21618883699086744</v>
      </c>
      <c r="V14" s="247">
        <f ca="1">+(S14+T14)*U14</f>
        <v>-30158.342760226009</v>
      </c>
      <c r="W14" s="219">
        <f ca="1">+O14+R14+V14+Q14</f>
        <v>-79809.383252077561</v>
      </c>
      <c r="X14" s="250">
        <f ca="1">+L14+W14</f>
        <v>-2578.3947375964635</v>
      </c>
      <c r="Z14" s="156"/>
      <c r="AA14" s="156"/>
      <c r="AB14" s="156"/>
      <c r="AC14" s="156"/>
      <c r="AD14" s="156"/>
    </row>
    <row r="15" spans="1:30" s="159" customFormat="1" ht="15" x14ac:dyDescent="0.25">
      <c r="A15" s="160">
        <v>36892</v>
      </c>
      <c r="B15" s="180">
        <f>+'GD Options'!M13</f>
        <v>6.7170475814310016E-2</v>
      </c>
      <c r="C15" s="181">
        <f t="shared" ca="1" si="1"/>
        <v>0.94341972701339982</v>
      </c>
      <c r="D15" s="166">
        <f>-'Deal Volumes'!J30</f>
        <v>-1226001.9814407551</v>
      </c>
      <c r="E15" s="167">
        <f>-'Deal Volumes'!K30</f>
        <v>-168998.01855924493</v>
      </c>
      <c r="F15" s="168">
        <f t="shared" si="2"/>
        <v>-1395000</v>
      </c>
      <c r="G15" s="166">
        <f t="shared" ca="1" si="3"/>
        <v>-1156634.4546487245</v>
      </c>
      <c r="H15" s="167">
        <f t="shared" ca="1" si="4"/>
        <v>-159436.06453496832</v>
      </c>
      <c r="I15" s="168">
        <f t="shared" ca="1" si="5"/>
        <v>-1316070.5191836928</v>
      </c>
      <c r="J15" s="174">
        <f>+Curves!C10</f>
        <v>0</v>
      </c>
      <c r="K15" s="175">
        <f>+Curves!E10</f>
        <v>-5.0000000000000001E-3</v>
      </c>
      <c r="L15" s="186">
        <f t="shared" ca="1" si="6"/>
        <v>76765.29464685604</v>
      </c>
      <c r="M15" s="194">
        <f t="shared" ca="1" si="7"/>
        <v>2891.5861366218114</v>
      </c>
      <c r="N15" s="195">
        <f t="shared" ca="1" si="8"/>
        <v>398.59016133742074</v>
      </c>
      <c r="O15" s="194">
        <f t="shared" ca="1" si="9"/>
        <v>3290.1762979592322</v>
      </c>
      <c r="P15" s="238">
        <f ca="1">-'Deal Volumes'!C30*C15</f>
        <v>-422116.5234203884</v>
      </c>
      <c r="Q15" s="260">
        <v>0</v>
      </c>
      <c r="R15" s="261">
        <f t="shared" ca="1" si="10"/>
        <v>-52642.820767347708</v>
      </c>
      <c r="S15" s="209">
        <f>+'GD Options'!B29</f>
        <v>-69750</v>
      </c>
      <c r="T15" s="210">
        <f>+'GD Options'!B13</f>
        <v>-69750</v>
      </c>
      <c r="U15" s="265">
        <f ca="1">+'GD Options'!T13</f>
        <v>0.2165545050820499</v>
      </c>
      <c r="V15" s="247">
        <f t="shared" ca="1" si="11"/>
        <v>-30209.353458945963</v>
      </c>
      <c r="W15" s="219">
        <f t="shared" ca="1" si="12"/>
        <v>-79561.997928334444</v>
      </c>
      <c r="X15" s="250">
        <f t="shared" ca="1" si="13"/>
        <v>-2796.7032814784034</v>
      </c>
      <c r="Z15" s="156"/>
      <c r="AA15" s="156"/>
      <c r="AB15" s="156"/>
      <c r="AC15" s="156"/>
      <c r="AD15" s="156"/>
    </row>
    <row r="16" spans="1:30" s="159" customFormat="1" ht="15" x14ac:dyDescent="0.25">
      <c r="A16" s="160">
        <v>36923</v>
      </c>
      <c r="B16" s="180">
        <f>+'GD Options'!M14</f>
        <v>6.7697244476728993E-2</v>
      </c>
      <c r="C16" s="181">
        <f t="shared" ca="1" si="1"/>
        <v>0.93768253574941962</v>
      </c>
      <c r="D16" s="166">
        <f>-'Deal Volumes'!J31</f>
        <v>-1107356.6283981013</v>
      </c>
      <c r="E16" s="167">
        <f>-'Deal Volumes'!K31</f>
        <v>-152643.37160189869</v>
      </c>
      <c r="F16" s="168">
        <f t="shared" si="2"/>
        <v>-1260000</v>
      </c>
      <c r="G16" s="166">
        <f t="shared" ca="1" si="3"/>
        <v>-1038348.9712952594</v>
      </c>
      <c r="H16" s="167">
        <f t="shared" ca="1" si="4"/>
        <v>-143131.0237490093</v>
      </c>
      <c r="I16" s="168">
        <f t="shared" ca="1" si="5"/>
        <v>-1181479.9950442687</v>
      </c>
      <c r="J16" s="174">
        <f>+Curves!C11</f>
        <v>0</v>
      </c>
      <c r="K16" s="175">
        <f>+Curves!E11</f>
        <v>-5.0000000000000001E-3</v>
      </c>
      <c r="L16" s="186">
        <f t="shared" ca="1" si="6"/>
        <v>68914.741738303579</v>
      </c>
      <c r="M16" s="194">
        <f t="shared" ca="1" si="7"/>
        <v>2595.8724282381486</v>
      </c>
      <c r="N16" s="195">
        <f t="shared" ca="1" si="8"/>
        <v>357.82755937252318</v>
      </c>
      <c r="O16" s="194">
        <f t="shared" ca="1" si="9"/>
        <v>2953.699987610672</v>
      </c>
      <c r="P16" s="238">
        <f ca="1">-'Deal Volumes'!C31*C16</f>
        <v>-378947.9520505956</v>
      </c>
      <c r="Q16" s="260">
        <v>0</v>
      </c>
      <c r="R16" s="261">
        <f t="shared" ca="1" si="10"/>
        <v>-47259.199801770745</v>
      </c>
      <c r="S16" s="209">
        <f>+'GD Options'!B30</f>
        <v>-63000</v>
      </c>
      <c r="T16" s="210">
        <f>+'GD Options'!B14</f>
        <v>-63000</v>
      </c>
      <c r="U16" s="265">
        <f ca="1">+'GD Options'!T14</f>
        <v>0.19483500650113153</v>
      </c>
      <c r="V16" s="247">
        <f t="shared" ca="1" si="11"/>
        <v>-24549.210819142572</v>
      </c>
      <c r="W16" s="219">
        <f t="shared" ca="1" si="12"/>
        <v>-68854.710633302646</v>
      </c>
      <c r="X16" s="250">
        <f t="shared" ca="1" si="13"/>
        <v>60.031105000933167</v>
      </c>
      <c r="Z16" s="156"/>
      <c r="AA16" s="156"/>
      <c r="AB16" s="156"/>
      <c r="AC16" s="156"/>
      <c r="AD16" s="156"/>
    </row>
    <row r="17" spans="1:30" s="159" customFormat="1" ht="15" x14ac:dyDescent="0.25">
      <c r="A17" s="160">
        <v>36951</v>
      </c>
      <c r="B17" s="180">
        <f>+'GD Options'!M15</f>
        <v>6.8173035605607016E-2</v>
      </c>
      <c r="C17" s="181">
        <f t="shared" ca="1" si="1"/>
        <v>0.93246132873945553</v>
      </c>
      <c r="D17" s="166">
        <f>-'Deal Volumes'!J32</f>
        <v>-1226001.9814407551</v>
      </c>
      <c r="E17" s="167">
        <f>-'Deal Volumes'!K32</f>
        <v>-168998.01855924493</v>
      </c>
      <c r="F17" s="168">
        <f t="shared" si="2"/>
        <v>-1395000</v>
      </c>
      <c r="G17" s="166">
        <f t="shared" ca="1" si="3"/>
        <v>-1143199.4366514517</v>
      </c>
      <c r="H17" s="167">
        <f t="shared" ca="1" si="4"/>
        <v>-157584.11694008869</v>
      </c>
      <c r="I17" s="168">
        <f t="shared" ca="1" si="5"/>
        <v>-1300783.5535915405</v>
      </c>
      <c r="J17" s="174">
        <f>+Curves!C12</f>
        <v>0</v>
      </c>
      <c r="K17" s="175">
        <f>+Curves!E12</f>
        <v>-5.0000000000000001E-3</v>
      </c>
      <c r="L17" s="186">
        <f t="shared" ca="1" si="6"/>
        <v>75873.618706370864</v>
      </c>
      <c r="M17" s="194">
        <f t="shared" ca="1" si="7"/>
        <v>2857.9985916286296</v>
      </c>
      <c r="N17" s="195">
        <f t="shared" ca="1" si="8"/>
        <v>393.96029235022166</v>
      </c>
      <c r="O17" s="194">
        <f t="shared" ca="1" si="9"/>
        <v>3251.9588839788512</v>
      </c>
      <c r="P17" s="238">
        <f ca="1">-'Deal Volumes'!C32*C17</f>
        <v>-417213.38132021518</v>
      </c>
      <c r="Q17" s="260">
        <v>0</v>
      </c>
      <c r="R17" s="261">
        <f t="shared" ca="1" si="10"/>
        <v>-52031.342143661626</v>
      </c>
      <c r="S17" s="209">
        <f>+'GD Options'!B31</f>
        <v>-69750</v>
      </c>
      <c r="T17" s="210">
        <f>+'GD Options'!B15</f>
        <v>-69750</v>
      </c>
      <c r="U17" s="265">
        <f ca="1">+'GD Options'!T15</f>
        <v>0.14868670375795834</v>
      </c>
      <c r="V17" s="247">
        <f t="shared" ca="1" si="11"/>
        <v>-20741.795174235187</v>
      </c>
      <c r="W17" s="219">
        <f t="shared" ca="1" si="12"/>
        <v>-69521.178433917958</v>
      </c>
      <c r="X17" s="250">
        <f t="shared" ca="1" si="13"/>
        <v>6352.4402724529064</v>
      </c>
      <c r="Z17" s="156"/>
      <c r="AA17" s="156"/>
      <c r="AB17" s="156"/>
      <c r="AC17" s="156"/>
      <c r="AD17" s="156"/>
    </row>
    <row r="18" spans="1:30" s="159" customFormat="1" ht="15" x14ac:dyDescent="0.25">
      <c r="A18" s="160">
        <v>36982</v>
      </c>
      <c r="B18" s="180">
        <f>+'GD Options'!M16</f>
        <v>6.8656219094093002E-2</v>
      </c>
      <c r="C18" s="181">
        <f t="shared" ca="1" si="1"/>
        <v>0.92668252570982024</v>
      </c>
      <c r="D18" s="166">
        <f>-'Deal Volumes'!J33</f>
        <v>-1186453.5304265372</v>
      </c>
      <c r="E18" s="167">
        <f>-'Deal Volumes'!K33</f>
        <v>-163546.46957346285</v>
      </c>
      <c r="F18" s="168">
        <f t="shared" si="2"/>
        <v>-1350000</v>
      </c>
      <c r="G18" s="166">
        <f t="shared" ca="1" si="3"/>
        <v>-1099465.7542129965</v>
      </c>
      <c r="H18" s="167">
        <f t="shared" ca="1" si="4"/>
        <v>-151555.65549526081</v>
      </c>
      <c r="I18" s="168">
        <f t="shared" ca="1" si="5"/>
        <v>-1251021.4097082573</v>
      </c>
      <c r="J18" s="174">
        <f>+Curves!C13</f>
        <v>-5.0000000000000001E-3</v>
      </c>
      <c r="K18" s="175">
        <f>+Curves!E13</f>
        <v>-5.0000000000000001E-3</v>
      </c>
      <c r="L18" s="186">
        <f t="shared" ca="1" si="6"/>
        <v>78468.363169241726</v>
      </c>
      <c r="M18" s="194">
        <f t="shared" ca="1" si="7"/>
        <v>-2748.664385532491</v>
      </c>
      <c r="N18" s="195">
        <f t="shared" ca="1" si="8"/>
        <v>378.88913873815198</v>
      </c>
      <c r="O18" s="194">
        <f t="shared" ca="1" si="9"/>
        <v>-2369.7752467943392</v>
      </c>
      <c r="P18" s="238">
        <f ca="1">-'Deal Volumes'!C33*C18</f>
        <v>-401252.66882968275</v>
      </c>
      <c r="Q18" s="260">
        <v>0</v>
      </c>
      <c r="R18" s="261">
        <f t="shared" ca="1" si="10"/>
        <v>-50040.856388330292</v>
      </c>
      <c r="S18" s="209">
        <f>+'GD Options'!B32</f>
        <v>-67500</v>
      </c>
      <c r="T18" s="210">
        <f>+'GD Options'!B16</f>
        <v>-67500</v>
      </c>
      <c r="U18" s="265">
        <f ca="1">+'GD Options'!T16</f>
        <v>7.8996990347259419E-2</v>
      </c>
      <c r="V18" s="247">
        <f t="shared" ca="1" si="11"/>
        <v>-10664.593696880022</v>
      </c>
      <c r="W18" s="219">
        <f t="shared" ca="1" si="12"/>
        <v>-63075.225332004658</v>
      </c>
      <c r="X18" s="250">
        <f t="shared" ca="1" si="13"/>
        <v>15393.137837237067</v>
      </c>
      <c r="Z18" s="156"/>
      <c r="AA18" s="156"/>
      <c r="AB18" s="156"/>
      <c r="AC18" s="156"/>
      <c r="AD18" s="156"/>
    </row>
    <row r="19" spans="1:30" s="159" customFormat="1" ht="15" x14ac:dyDescent="0.25">
      <c r="A19" s="160">
        <v>37012</v>
      </c>
      <c r="B19" s="180">
        <f>+'GD Options'!M17</f>
        <v>6.9045363608288002E-2</v>
      </c>
      <c r="C19" s="181">
        <f t="shared" ca="1" si="1"/>
        <v>0.9211393285042121</v>
      </c>
      <c r="D19" s="166">
        <f>-'Deal Volumes'!J34</f>
        <v>-2043336.6357345916</v>
      </c>
      <c r="E19" s="167">
        <f>-'Deal Volumes'!K34</f>
        <v>-281663.36426540837</v>
      </c>
      <c r="F19" s="168">
        <f t="shared" si="2"/>
        <v>-2325000</v>
      </c>
      <c r="G19" s="166">
        <f t="shared" ca="1" si="3"/>
        <v>-1882197.7365486175</v>
      </c>
      <c r="H19" s="167">
        <f t="shared" ca="1" si="4"/>
        <v>-259451.20222367556</v>
      </c>
      <c r="I19" s="168">
        <f t="shared" ca="1" si="5"/>
        <v>-2141648.9387722928</v>
      </c>
      <c r="J19" s="174">
        <f>+Curves!C14</f>
        <v>-5.0000000000000001E-3</v>
      </c>
      <c r="K19" s="175">
        <f>+Curves!E14</f>
        <v>-5.0000000000000001E-3</v>
      </c>
      <c r="L19" s="186">
        <f t="shared" ca="1" si="6"/>
        <v>134331.5833002376</v>
      </c>
      <c r="M19" s="194">
        <f t="shared" ca="1" si="7"/>
        <v>-4705.4943413715437</v>
      </c>
      <c r="N19" s="195">
        <f t="shared" ca="1" si="8"/>
        <v>648.62800555918875</v>
      </c>
      <c r="O19" s="194">
        <f t="shared" ca="1" si="9"/>
        <v>-4056.8663358123549</v>
      </c>
      <c r="P19" s="238">
        <f ca="1">-'Deal Volumes'!C34*C19</f>
        <v>-686912.58655520703</v>
      </c>
      <c r="Q19" s="260">
        <f t="shared" ca="1" si="0"/>
        <v>-27476.503462208282</v>
      </c>
      <c r="R19" s="261">
        <f t="shared" ca="1" si="10"/>
        <v>-85665.957550891719</v>
      </c>
      <c r="S19" s="209">
        <f>+'GD Options'!B33</f>
        <v>-116250</v>
      </c>
      <c r="T19" s="210">
        <f>+'GD Options'!B17</f>
        <v>-116250</v>
      </c>
      <c r="U19" s="265">
        <f ca="1">+'GD Options'!T17</f>
        <v>8.7459314480054576E-2</v>
      </c>
      <c r="V19" s="247">
        <f t="shared" ca="1" si="11"/>
        <v>-20334.290616612689</v>
      </c>
      <c r="W19" s="219">
        <f t="shared" ca="1" si="12"/>
        <v>-137533.61796552505</v>
      </c>
      <c r="X19" s="250">
        <f t="shared" ca="1" si="13"/>
        <v>-3202.0346652874432</v>
      </c>
      <c r="Z19" s="156"/>
      <c r="AA19" s="156"/>
      <c r="AB19" s="156"/>
      <c r="AC19" s="156"/>
      <c r="AD19" s="156"/>
    </row>
    <row r="20" spans="1:30" s="159" customFormat="1" ht="15" x14ac:dyDescent="0.25">
      <c r="A20" s="160">
        <v>37043</v>
      </c>
      <c r="B20" s="182">
        <f>+'GD Options'!M18</f>
        <v>6.944747965891801E-2</v>
      </c>
      <c r="C20" s="183">
        <f t="shared" ca="1" si="1"/>
        <v>0.91538684756085376</v>
      </c>
      <c r="D20" s="169">
        <f>-'Deal Volumes'!J35</f>
        <v>-1977422.5507108951</v>
      </c>
      <c r="E20" s="170">
        <f>-'Deal Volumes'!K35</f>
        <v>-272577.4492891049</v>
      </c>
      <c r="F20" s="171">
        <f t="shared" si="2"/>
        <v>-2250000</v>
      </c>
      <c r="G20" s="169">
        <f t="shared" ca="1" si="3"/>
        <v>-1810106.5949909887</v>
      </c>
      <c r="H20" s="170">
        <f t="shared" ca="1" si="4"/>
        <v>-249513.81202093221</v>
      </c>
      <c r="I20" s="171">
        <f t="shared" ca="1" si="5"/>
        <v>-2059620.4070119211</v>
      </c>
      <c r="J20" s="176">
        <f>+Curves!C15</f>
        <v>-5.0000000000000001E-3</v>
      </c>
      <c r="K20" s="177">
        <f>+Curves!E15</f>
        <v>-5.0000000000000001E-3</v>
      </c>
      <c r="L20" s="187">
        <f t="shared" ca="1" si="6"/>
        <v>129186.4718173625</v>
      </c>
      <c r="M20" s="196">
        <f t="shared" ca="1" si="7"/>
        <v>-4525.2664874774719</v>
      </c>
      <c r="N20" s="197">
        <f t="shared" ca="1" si="8"/>
        <v>623.78453005233041</v>
      </c>
      <c r="O20" s="196">
        <f t="shared" ca="1" si="9"/>
        <v>-3901.4819574251414</v>
      </c>
      <c r="P20" s="239">
        <f ca="1">-'Deal Volumes'!C35*C20</f>
        <v>-660602.75122096972</v>
      </c>
      <c r="Q20" s="262">
        <f t="shared" ca="1" si="0"/>
        <v>-26424.110048838789</v>
      </c>
      <c r="R20" s="263">
        <f t="shared" ca="1" si="10"/>
        <v>-82384.816280476851</v>
      </c>
      <c r="S20" s="212">
        <f>+'GD Options'!B34</f>
        <v>-112500</v>
      </c>
      <c r="T20" s="213">
        <f>+'GD Options'!B18</f>
        <v>-112500</v>
      </c>
      <c r="U20" s="266">
        <f ca="1">+'GD Options'!T18</f>
        <v>8.5728101358325245E-2</v>
      </c>
      <c r="V20" s="248">
        <f t="shared" ca="1" si="11"/>
        <v>-19288.822805623182</v>
      </c>
      <c r="W20" s="220">
        <f t="shared" ca="1" si="12"/>
        <v>-131999.23109236395</v>
      </c>
      <c r="X20" s="251">
        <f t="shared" ca="1" si="13"/>
        <v>-2812.7592750014446</v>
      </c>
      <c r="Z20" s="156"/>
      <c r="AA20" s="156"/>
      <c r="AB20" s="156"/>
      <c r="AC20" s="156"/>
      <c r="AD20" s="156"/>
    </row>
    <row r="21" spans="1:30" s="159" customFormat="1" x14ac:dyDescent="0.25">
      <c r="P21" s="199"/>
      <c r="Z21" s="156"/>
      <c r="AA21" s="156"/>
      <c r="AB21" s="156"/>
      <c r="AC21" s="156"/>
      <c r="AD21" s="156"/>
    </row>
    <row r="22" spans="1:30" s="226" customFormat="1" ht="17.399999999999999" x14ac:dyDescent="0.3">
      <c r="A22" s="223" t="s">
        <v>12</v>
      </c>
      <c r="B22" s="224"/>
      <c r="C22" s="224"/>
      <c r="D22" s="225">
        <f t="shared" ref="D22:I22" si="14">SUM(D7:D20)</f>
        <v>-24511251.084145274</v>
      </c>
      <c r="E22" s="225">
        <f t="shared" si="14"/>
        <v>-3378748.9158547241</v>
      </c>
      <c r="F22" s="225">
        <f t="shared" si="14"/>
        <v>-27890000</v>
      </c>
      <c r="G22" s="225">
        <f t="shared" ca="1" si="14"/>
        <v>-23415637.791713197</v>
      </c>
      <c r="H22" s="225">
        <f t="shared" ca="1" si="14"/>
        <v>-3227724.3022479806</v>
      </c>
      <c r="I22" s="225">
        <f t="shared" ca="1" si="14"/>
        <v>-26643362.093961183</v>
      </c>
      <c r="J22" s="224"/>
      <c r="K22" s="224"/>
      <c r="L22" s="222">
        <f ca="1">SUM(L7:L20)</f>
        <v>1609388.769219632</v>
      </c>
      <c r="M22" s="222">
        <f t="shared" ref="M22:R22" ca="1" si="15">SUM(M7:M20)</f>
        <v>3235.3926726158443</v>
      </c>
      <c r="N22" s="222">
        <f t="shared" ca="1" si="15"/>
        <v>8069.3107556199511</v>
      </c>
      <c r="O22" s="222">
        <f t="shared" ca="1" si="15"/>
        <v>11304.703428235793</v>
      </c>
      <c r="P22" s="225">
        <f t="shared" ca="1" si="15"/>
        <v>-8545593.2758901715</v>
      </c>
      <c r="Q22" s="222">
        <f t="shared" ca="1" si="15"/>
        <v>-226333.61703692662</v>
      </c>
      <c r="R22" s="222">
        <f t="shared" ca="1" si="15"/>
        <v>-1065734.483758447</v>
      </c>
      <c r="S22" s="225">
        <f>SUM(S7:S20)</f>
        <v>-1394500</v>
      </c>
      <c r="T22" s="225">
        <f>SUM(T7:T20)</f>
        <v>-1394500</v>
      </c>
      <c r="U22" s="224"/>
      <c r="V22" s="222">
        <f ca="1">SUM(V7:V20)</f>
        <v>-328624.37185249414</v>
      </c>
      <c r="W22" s="222">
        <f ca="1">SUM(W7:W20)</f>
        <v>-1609387.7692196318</v>
      </c>
      <c r="X22" s="235">
        <f ca="1">SUM(X7:X20)</f>
        <v>0.99999999994179234</v>
      </c>
      <c r="Z22" s="156"/>
      <c r="AA22" s="156"/>
      <c r="AB22" s="156"/>
      <c r="AC22" s="156"/>
      <c r="AD22" s="156"/>
    </row>
    <row r="23" spans="1:30" s="159" customFormat="1" ht="15" x14ac:dyDescent="0.25">
      <c r="A23" s="188" t="s">
        <v>117</v>
      </c>
      <c r="B23" s="267"/>
      <c r="C23" s="267"/>
      <c r="D23" s="267"/>
      <c r="E23" s="267"/>
      <c r="F23" s="267"/>
      <c r="G23" s="267"/>
      <c r="H23" s="267"/>
      <c r="I23" s="267"/>
      <c r="J23" s="267"/>
      <c r="K23" s="267"/>
      <c r="L23" s="268">
        <f ca="1">-L22/$I$22</f>
        <v>6.04048679571264E-2</v>
      </c>
      <c r="M23" s="268"/>
      <c r="N23" s="268"/>
      <c r="O23" s="268">
        <f ca="1">-O22/$I$22</f>
        <v>4.2429718097769823E-4</v>
      </c>
      <c r="P23" s="268"/>
      <c r="Q23" s="268">
        <f ca="1">-Q22/$I$22</f>
        <v>-8.4949345446243812E-3</v>
      </c>
      <c r="R23" s="268">
        <f ca="1">-R22/$I$22</f>
        <v>-3.9999999999999987E-2</v>
      </c>
      <c r="S23" s="268"/>
      <c r="T23" s="268"/>
      <c r="U23" s="268"/>
      <c r="V23" s="268">
        <f ca="1">-V22/$I$22</f>
        <v>-1.2334193060679007E-2</v>
      </c>
      <c r="W23" s="268">
        <f ca="1">-W22/$I$22</f>
        <v>-6.0404830424325671E-2</v>
      </c>
      <c r="X23" s="269">
        <f ca="1">-X22/$I$22</f>
        <v>3.7532800718436582E-8</v>
      </c>
      <c r="Z23" s="156"/>
      <c r="AA23" s="156"/>
      <c r="AB23" s="156"/>
      <c r="AC23" s="156"/>
      <c r="AD23" s="156"/>
    </row>
  </sheetData>
  <mergeCells count="7">
    <mergeCell ref="Z4:AD4"/>
    <mergeCell ref="P4:Q4"/>
    <mergeCell ref="S4:V4"/>
    <mergeCell ref="D4:F4"/>
    <mergeCell ref="G4:I4"/>
    <mergeCell ref="J4:K4"/>
    <mergeCell ref="M4:O4"/>
  </mergeCells>
  <pageMargins left="0.75" right="0.75" top="1" bottom="1" header="0.5" footer="0.5"/>
  <pageSetup paperSize="5" scale="4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205"/>
  <sheetViews>
    <sheetView zoomScale="75" workbookViewId="0">
      <selection activeCell="H8" sqref="H8"/>
    </sheetView>
  </sheetViews>
  <sheetFormatPr defaultRowHeight="13.2" x14ac:dyDescent="0.25"/>
  <cols>
    <col min="1" max="1" width="10.88671875" style="104" bestFit="1" customWidth="1"/>
    <col min="3" max="3" width="11.88671875" style="112" customWidth="1"/>
    <col min="4" max="4" width="8.33203125" style="109" bestFit="1" customWidth="1"/>
    <col min="5" max="5" width="14.33203125" style="112" bestFit="1" customWidth="1"/>
    <col min="6" max="6" width="8.88671875" style="109" customWidth="1"/>
    <col min="7" max="7" width="14" style="112" bestFit="1" customWidth="1"/>
    <col min="8" max="8" width="9.109375" style="109" customWidth="1"/>
    <col min="9" max="9" width="9.6640625" style="112" customWidth="1"/>
    <col min="10" max="10" width="9.109375" style="109" customWidth="1"/>
    <col min="11" max="11" width="13.109375" style="112" bestFit="1" customWidth="1"/>
    <col min="12" max="12" width="9.109375" style="109" customWidth="1"/>
    <col min="14" max="14" width="12.6640625" style="112" bestFit="1" customWidth="1"/>
  </cols>
  <sheetData>
    <row r="1" spans="1:14" ht="39.6" x14ac:dyDescent="0.25">
      <c r="A1" s="105" t="s">
        <v>8</v>
      </c>
      <c r="B1" s="105"/>
      <c r="C1" s="110" t="s">
        <v>71</v>
      </c>
      <c r="D1" s="108" t="s">
        <v>77</v>
      </c>
      <c r="E1" s="110" t="s">
        <v>72</v>
      </c>
      <c r="F1" s="108" t="s">
        <v>77</v>
      </c>
      <c r="G1" s="110" t="s">
        <v>73</v>
      </c>
      <c r="H1" s="108" t="s">
        <v>77</v>
      </c>
      <c r="I1" s="110" t="s">
        <v>74</v>
      </c>
      <c r="J1" s="108" t="s">
        <v>77</v>
      </c>
      <c r="K1" s="110" t="s">
        <v>75</v>
      </c>
      <c r="L1" s="108" t="s">
        <v>77</v>
      </c>
      <c r="M1" s="106"/>
      <c r="N1" s="110" t="s">
        <v>76</v>
      </c>
    </row>
    <row r="2" spans="1:14" x14ac:dyDescent="0.25">
      <c r="A2" s="105"/>
      <c r="B2" s="105"/>
      <c r="C2" s="110"/>
      <c r="D2" s="108"/>
      <c r="E2" s="110"/>
      <c r="F2" s="108"/>
      <c r="G2" s="110"/>
      <c r="H2" s="108"/>
      <c r="I2" s="110"/>
      <c r="J2" s="108"/>
      <c r="K2" s="110"/>
      <c r="L2" s="108"/>
      <c r="M2" s="106"/>
      <c r="N2" s="110"/>
    </row>
    <row r="3" spans="1:14" s="104" customFormat="1" x14ac:dyDescent="0.25">
      <c r="A3" s="113">
        <v>35947</v>
      </c>
      <c r="C3" s="112">
        <v>311374</v>
      </c>
      <c r="D3" s="114">
        <f>+C3/$N3</f>
        <v>0.25472662050008793</v>
      </c>
      <c r="E3" s="112">
        <v>120420</v>
      </c>
      <c r="F3" s="114">
        <f>+E3/$N3</f>
        <v>9.8512334493633349E-2</v>
      </c>
      <c r="G3" s="112">
        <v>702668</v>
      </c>
      <c r="H3" s="114">
        <f>+G3/$N3</f>
        <v>0.57483362443092811</v>
      </c>
      <c r="I3" s="112">
        <v>40121</v>
      </c>
      <c r="J3" s="114">
        <f>+I3/$N3</f>
        <v>3.2821901446761864E-2</v>
      </c>
      <c r="K3" s="112">
        <v>47802</v>
      </c>
      <c r="L3" s="114">
        <f>+K3/$N3</f>
        <v>3.9105519128588784E-2</v>
      </c>
      <c r="N3" s="112">
        <f>+C3+E3+G3+I3+K3</f>
        <v>1222385</v>
      </c>
    </row>
    <row r="4" spans="1:14" s="104" customFormat="1" x14ac:dyDescent="0.25">
      <c r="A4" s="113">
        <v>35977</v>
      </c>
      <c r="C4" s="112">
        <v>1155964</v>
      </c>
      <c r="D4" s="114">
        <f>+C4/$N4</f>
        <v>0.24363540638534331</v>
      </c>
      <c r="E4" s="112">
        <v>385685</v>
      </c>
      <c r="F4" s="114">
        <f>+E4/$N4</f>
        <v>8.1288449909972221E-2</v>
      </c>
      <c r="G4" s="112">
        <v>2673292</v>
      </c>
      <c r="H4" s="114">
        <f>+G4/$N4</f>
        <v>0.56343327543650767</v>
      </c>
      <c r="I4" s="112">
        <v>431345</v>
      </c>
      <c r="J4" s="114">
        <f>+I4/$N4</f>
        <v>9.0911926640696347E-2</v>
      </c>
      <c r="K4" s="112">
        <v>98361</v>
      </c>
      <c r="L4" s="114">
        <f>+K4/$N4</f>
        <v>2.07309416274804E-2</v>
      </c>
      <c r="N4" s="112">
        <f t="shared" ref="N4:N17" si="0">+C4+E4+G4+I4+K4</f>
        <v>4744647</v>
      </c>
    </row>
    <row r="5" spans="1:14" s="104" customFormat="1" x14ac:dyDescent="0.25">
      <c r="A5" s="113">
        <v>36008</v>
      </c>
      <c r="C5" s="112">
        <v>1141059</v>
      </c>
      <c r="D5" s="114">
        <f>+C5/$N5</f>
        <v>0.27188981049712041</v>
      </c>
      <c r="E5" s="112">
        <v>202887</v>
      </c>
      <c r="F5" s="114">
        <f>+E5/$N5</f>
        <v>4.8343607107370672E-2</v>
      </c>
      <c r="G5" s="112">
        <v>2845097</v>
      </c>
      <c r="H5" s="114">
        <f>+G5/$N5</f>
        <v>0.67792540453729888</v>
      </c>
      <c r="I5" s="112">
        <v>6485</v>
      </c>
      <c r="J5" s="114">
        <f>+I5/$N5</f>
        <v>1.5452359790982112E-3</v>
      </c>
      <c r="K5" s="112">
        <v>1242</v>
      </c>
      <c r="L5" s="114">
        <f>+K5/$N5</f>
        <v>2.959418791117931E-4</v>
      </c>
      <c r="N5" s="112">
        <f t="shared" si="0"/>
        <v>4196770</v>
      </c>
    </row>
    <row r="6" spans="1:14" s="104" customFormat="1" x14ac:dyDescent="0.25">
      <c r="A6" s="113">
        <v>36039</v>
      </c>
      <c r="C6" s="112">
        <v>525361</v>
      </c>
      <c r="D6" s="114">
        <f>+C6/$N6</f>
        <v>0.18603573185211364</v>
      </c>
      <c r="E6" s="112">
        <v>99543</v>
      </c>
      <c r="F6" s="114">
        <f>+E6/$N6</f>
        <v>3.5249199799290296E-2</v>
      </c>
      <c r="G6" s="112">
        <v>2199075</v>
      </c>
      <c r="H6" s="114">
        <f>+G6/$N6</f>
        <v>0.77871506834859605</v>
      </c>
      <c r="I6" s="112">
        <v>0</v>
      </c>
      <c r="J6" s="114">
        <f>+I6/$N6</f>
        <v>0</v>
      </c>
      <c r="K6" s="112">
        <v>0</v>
      </c>
      <c r="L6" s="114">
        <f>+K6/$N6</f>
        <v>0</v>
      </c>
      <c r="N6" s="112">
        <f t="shared" si="0"/>
        <v>2823979</v>
      </c>
    </row>
    <row r="7" spans="1:14" s="104" customFormat="1" x14ac:dyDescent="0.25">
      <c r="A7" s="113">
        <v>36069</v>
      </c>
      <c r="C7" s="112">
        <v>1277301</v>
      </c>
      <c r="D7" s="114">
        <f>+C7/$N7</f>
        <v>0.28058920831859691</v>
      </c>
      <c r="E7" s="112">
        <v>373759</v>
      </c>
      <c r="F7" s="114">
        <f>+E7/$N7</f>
        <v>8.2104955614965044E-2</v>
      </c>
      <c r="G7" s="112">
        <v>2275284</v>
      </c>
      <c r="H7" s="114">
        <f>+G7/$N7</f>
        <v>0.4998196480390843</v>
      </c>
      <c r="I7" s="112">
        <v>254112</v>
      </c>
      <c r="J7" s="114">
        <f>+I7/$N7</f>
        <v>5.5821677822420319E-2</v>
      </c>
      <c r="K7" s="112">
        <v>371754</v>
      </c>
      <c r="L7" s="114">
        <f>+K7/$N7</f>
        <v>8.1664510204933427E-2</v>
      </c>
      <c r="N7" s="112">
        <f t="shared" si="0"/>
        <v>4552210</v>
      </c>
    </row>
    <row r="8" spans="1:14" s="104" customFormat="1" x14ac:dyDescent="0.25">
      <c r="A8" s="113"/>
      <c r="C8" s="112"/>
      <c r="D8" s="114"/>
      <c r="E8" s="112"/>
      <c r="F8" s="114"/>
      <c r="G8" s="112"/>
      <c r="H8" s="114"/>
      <c r="I8" s="112"/>
      <c r="J8" s="114"/>
      <c r="K8" s="112"/>
      <c r="L8" s="114"/>
      <c r="N8" s="112"/>
    </row>
    <row r="9" spans="1:14" s="104" customFormat="1" x14ac:dyDescent="0.25">
      <c r="A9" s="113">
        <v>36100</v>
      </c>
      <c r="C9" s="112">
        <v>224461</v>
      </c>
      <c r="D9" s="114">
        <f>+C9/$N9</f>
        <v>0.16818534322889545</v>
      </c>
      <c r="E9" s="112">
        <v>97886</v>
      </c>
      <c r="F9" s="114">
        <f>+E9/$N9</f>
        <v>7.3344547637690549E-2</v>
      </c>
      <c r="G9" s="112">
        <v>1010844</v>
      </c>
      <c r="H9" s="114">
        <f>+G9/$N9</f>
        <v>0.757410619621536</v>
      </c>
      <c r="I9" s="112"/>
      <c r="J9" s="114">
        <f>+I9/$N9</f>
        <v>0</v>
      </c>
      <c r="K9" s="112">
        <v>1414</v>
      </c>
      <c r="L9" s="114">
        <f>+K9/$N9</f>
        <v>1.0594895118780463E-3</v>
      </c>
      <c r="N9" s="112">
        <f t="shared" si="0"/>
        <v>1334605</v>
      </c>
    </row>
    <row r="10" spans="1:14" s="104" customFormat="1" x14ac:dyDescent="0.25">
      <c r="A10" s="113">
        <v>36130</v>
      </c>
      <c r="C10" s="112">
        <v>97956</v>
      </c>
      <c r="D10" s="114">
        <f>+C10/$N10</f>
        <v>7.1753543323813174E-2</v>
      </c>
      <c r="E10" s="112">
        <v>26736</v>
      </c>
      <c r="F10" s="114">
        <f>+E10/$N10</f>
        <v>1.9584331070128108E-2</v>
      </c>
      <c r="G10" s="112">
        <v>1229824</v>
      </c>
      <c r="H10" s="114">
        <f>+G10/$N10</f>
        <v>0.90085578897326568</v>
      </c>
      <c r="I10" s="112">
        <v>5480</v>
      </c>
      <c r="J10" s="114">
        <f>+I10/$N10</f>
        <v>4.0141432624290112E-3</v>
      </c>
      <c r="K10" s="112">
        <v>5177</v>
      </c>
      <c r="L10" s="114">
        <f>+K10/$N10</f>
        <v>3.792193370364049E-3</v>
      </c>
      <c r="N10" s="112">
        <f t="shared" si="0"/>
        <v>1365173</v>
      </c>
    </row>
    <row r="11" spans="1:14" s="104" customFormat="1" x14ac:dyDescent="0.25">
      <c r="A11" s="113">
        <v>36161</v>
      </c>
      <c r="C11" s="112">
        <v>199321</v>
      </c>
      <c r="D11" s="114">
        <f>+C11/$N11</f>
        <v>0.14131540643573165</v>
      </c>
      <c r="E11" s="112">
        <v>82543</v>
      </c>
      <c r="F11" s="114">
        <f>+E11/$N11</f>
        <v>5.8521669033491694E-2</v>
      </c>
      <c r="G11" s="112">
        <v>1107978</v>
      </c>
      <c r="H11" s="114">
        <f>+G11/$N11</f>
        <v>0.78553871088269223</v>
      </c>
      <c r="I11" s="112">
        <v>12918</v>
      </c>
      <c r="J11" s="114">
        <f>+I11/$N11</f>
        <v>9.1586557379141273E-3</v>
      </c>
      <c r="K11" s="112">
        <v>7709</v>
      </c>
      <c r="L11" s="114">
        <f>+K11/$N11</f>
        <v>5.4655579101703048E-3</v>
      </c>
      <c r="N11" s="112">
        <f t="shared" si="0"/>
        <v>1410469</v>
      </c>
    </row>
    <row r="12" spans="1:14" s="104" customFormat="1" x14ac:dyDescent="0.25">
      <c r="A12" s="113">
        <v>36192</v>
      </c>
      <c r="C12" s="112">
        <v>146406</v>
      </c>
      <c r="D12" s="114">
        <f>+C12/$N12</f>
        <v>0.1258914798005768</v>
      </c>
      <c r="E12" s="112">
        <v>294598</v>
      </c>
      <c r="F12" s="114">
        <f>+E12/$N12</f>
        <v>0.2533187039212213</v>
      </c>
      <c r="G12" s="112">
        <v>622978</v>
      </c>
      <c r="H12" s="114">
        <f>+G12/$N12</f>
        <v>0.53568584827946764</v>
      </c>
      <c r="I12" s="112">
        <v>76585</v>
      </c>
      <c r="J12" s="114">
        <f>+I12/$N12</f>
        <v>6.5853851485097439E-2</v>
      </c>
      <c r="K12" s="112">
        <v>22387</v>
      </c>
      <c r="L12" s="114">
        <f>+K12/$N12</f>
        <v>1.9250116513636825E-2</v>
      </c>
      <c r="N12" s="112">
        <f t="shared" si="0"/>
        <v>1162954</v>
      </c>
    </row>
    <row r="13" spans="1:14" s="104" customFormat="1" x14ac:dyDescent="0.25">
      <c r="A13" s="113"/>
      <c r="C13" s="112"/>
      <c r="D13" s="114"/>
      <c r="E13" s="112"/>
      <c r="F13" s="114"/>
      <c r="G13" s="112"/>
      <c r="H13" s="114"/>
      <c r="I13" s="112"/>
      <c r="J13" s="114"/>
      <c r="K13" s="112"/>
      <c r="L13" s="114"/>
      <c r="N13" s="112"/>
    </row>
    <row r="14" spans="1:14" s="104" customFormat="1" x14ac:dyDescent="0.25">
      <c r="A14" s="113">
        <v>36220</v>
      </c>
      <c r="C14" s="112">
        <v>953465</v>
      </c>
      <c r="D14" s="114">
        <f>+C14/$N14</f>
        <v>0.59551960446303209</v>
      </c>
      <c r="E14" s="112">
        <v>228319</v>
      </c>
      <c r="F14" s="114">
        <f>+E14/$N14</f>
        <v>0.14260454297891903</v>
      </c>
      <c r="G14" s="112">
        <v>414672</v>
      </c>
      <c r="H14" s="114">
        <f>+G14/$N14</f>
        <v>0.25899776648528727</v>
      </c>
      <c r="I14" s="112">
        <v>4608</v>
      </c>
      <c r="J14" s="114">
        <f>+I14/$N14</f>
        <v>2.8780860727616133E-3</v>
      </c>
      <c r="K14" s="112">
        <v>0</v>
      </c>
      <c r="L14" s="114">
        <f>+K14/$N14</f>
        <v>0</v>
      </c>
      <c r="N14" s="112">
        <f t="shared" si="0"/>
        <v>1601064</v>
      </c>
    </row>
    <row r="15" spans="1:14" s="104" customFormat="1" x14ac:dyDescent="0.25">
      <c r="A15" s="113">
        <v>36251</v>
      </c>
      <c r="C15" s="112">
        <v>1089146</v>
      </c>
      <c r="D15" s="114">
        <f>+C15/$N15</f>
        <v>0.74898017566010078</v>
      </c>
      <c r="E15" s="112">
        <v>62613</v>
      </c>
      <c r="F15" s="114">
        <f>+E15/$N15</f>
        <v>4.305749251120225E-2</v>
      </c>
      <c r="G15" s="112">
        <v>233440</v>
      </c>
      <c r="H15" s="114">
        <f>+G15/$N15</f>
        <v>0.16053121638980808</v>
      </c>
      <c r="I15" s="112">
        <v>39610</v>
      </c>
      <c r="J15" s="114">
        <f>+I15/$N15</f>
        <v>2.7238868579507788E-2</v>
      </c>
      <c r="K15" s="112">
        <v>29363</v>
      </c>
      <c r="L15" s="114">
        <f>+K15/$N15</f>
        <v>2.0192246859381147E-2</v>
      </c>
      <c r="N15" s="112">
        <f t="shared" si="0"/>
        <v>1454172</v>
      </c>
    </row>
    <row r="16" spans="1:14" s="104" customFormat="1" x14ac:dyDescent="0.25">
      <c r="A16" s="113">
        <v>36281</v>
      </c>
      <c r="C16" s="112">
        <v>1285236</v>
      </c>
      <c r="D16" s="114">
        <f>+C16/$N16</f>
        <v>0.58989008487349759</v>
      </c>
      <c r="E16" s="112">
        <v>45372</v>
      </c>
      <c r="F16" s="114">
        <f>+E16/$N16</f>
        <v>2.0824574576871743E-2</v>
      </c>
      <c r="G16" s="112">
        <v>791650</v>
      </c>
      <c r="H16" s="114">
        <f>+G16/$N16</f>
        <v>0.36334687613022382</v>
      </c>
      <c r="I16" s="112">
        <v>28581</v>
      </c>
      <c r="J16" s="114">
        <f>+I16/$N16</f>
        <v>1.3117939830326442E-2</v>
      </c>
      <c r="K16" s="112">
        <v>27933</v>
      </c>
      <c r="L16" s="114">
        <f>+K16/$N16</f>
        <v>1.2820524589080454E-2</v>
      </c>
      <c r="N16" s="112">
        <f t="shared" si="0"/>
        <v>2178772</v>
      </c>
    </row>
    <row r="17" spans="1:14" s="104" customFormat="1" x14ac:dyDescent="0.25">
      <c r="A17" s="113">
        <v>36312</v>
      </c>
      <c r="C17" s="115">
        <v>1296699</v>
      </c>
      <c r="D17" s="114">
        <f>+C17/$N17</f>
        <v>0.58752641537474493</v>
      </c>
      <c r="E17" s="115">
        <v>17717</v>
      </c>
      <c r="F17" s="114">
        <f>+E17/$N17</f>
        <v>8.0274647402322017E-3</v>
      </c>
      <c r="G17" s="115">
        <v>778530</v>
      </c>
      <c r="H17" s="114">
        <f>+G17/$N17</f>
        <v>0.35274719897347045</v>
      </c>
      <c r="I17" s="115">
        <v>48556</v>
      </c>
      <c r="J17" s="114">
        <f>+I17/$N17</f>
        <v>2.2000427720647669E-2</v>
      </c>
      <c r="K17" s="115">
        <v>65546</v>
      </c>
      <c r="L17" s="114">
        <f>+K17/$N17</f>
        <v>2.9698493190904774E-2</v>
      </c>
      <c r="N17" s="115">
        <f t="shared" si="0"/>
        <v>2207048</v>
      </c>
    </row>
    <row r="18" spans="1:14" x14ac:dyDescent="0.25">
      <c r="A18" s="113"/>
    </row>
    <row r="19" spans="1:14" x14ac:dyDescent="0.25">
      <c r="A19" s="116" t="s">
        <v>80</v>
      </c>
      <c r="B19" s="117"/>
      <c r="C19" s="118">
        <f>SUM(C3:C17)</f>
        <v>9703749</v>
      </c>
      <c r="D19" s="119">
        <f>+C19/$N19</f>
        <v>0.32074004946346707</v>
      </c>
      <c r="E19" s="118">
        <f>SUM(E3:E17)</f>
        <v>2038078</v>
      </c>
      <c r="F19" s="119">
        <f>+E19/$N19</f>
        <v>6.7365019285886729E-2</v>
      </c>
      <c r="G19" s="118">
        <f>SUM(G3:G17)</f>
        <v>16885332</v>
      </c>
      <c r="H19" s="119">
        <f>+G19/$N19</f>
        <v>0.55811441751915303</v>
      </c>
      <c r="I19" s="118">
        <f>SUM(I3:I17)</f>
        <v>948401</v>
      </c>
      <c r="J19" s="119">
        <f>+I19/$N19</f>
        <v>3.1347697024232762E-2</v>
      </c>
      <c r="K19" s="118">
        <f>SUM(K3:K17)</f>
        <v>678688</v>
      </c>
      <c r="L19" s="119">
        <f>+K19/$N19</f>
        <v>2.2432816707260415E-2</v>
      </c>
      <c r="M19" s="117"/>
      <c r="N19" s="120">
        <f>SUM(N3:N17)</f>
        <v>30254248</v>
      </c>
    </row>
    <row r="20" spans="1:14" x14ac:dyDescent="0.25">
      <c r="A20" s="121"/>
      <c r="B20" s="122"/>
      <c r="C20" s="122"/>
      <c r="D20" s="122"/>
      <c r="E20" s="122"/>
      <c r="F20" s="122"/>
      <c r="G20" s="122"/>
      <c r="H20" s="123"/>
      <c r="I20" s="124"/>
      <c r="J20" s="123"/>
      <c r="K20" s="124"/>
      <c r="L20" s="123"/>
      <c r="M20" s="122"/>
      <c r="N20" s="125">
        <f>+N19/13</f>
        <v>2327249.846153846</v>
      </c>
    </row>
    <row r="21" spans="1:14" x14ac:dyDescent="0.25">
      <c r="A21" s="126" t="s">
        <v>78</v>
      </c>
      <c r="B21" s="122"/>
      <c r="C21" s="124">
        <f>MAX(C3:C17)</f>
        <v>1296699</v>
      </c>
      <c r="D21" s="127">
        <f t="shared" ref="D21:L21" si="1">MAX(D3:D17)</f>
        <v>0.74898017566010078</v>
      </c>
      <c r="E21" s="124">
        <f t="shared" si="1"/>
        <v>385685</v>
      </c>
      <c r="F21" s="127">
        <f t="shared" si="1"/>
        <v>0.2533187039212213</v>
      </c>
      <c r="G21" s="124">
        <f t="shared" si="1"/>
        <v>2845097</v>
      </c>
      <c r="H21" s="127">
        <f t="shared" si="1"/>
        <v>0.90085578897326568</v>
      </c>
      <c r="I21" s="124">
        <f t="shared" si="1"/>
        <v>431345</v>
      </c>
      <c r="J21" s="127">
        <f t="shared" si="1"/>
        <v>9.0911926640696347E-2</v>
      </c>
      <c r="K21" s="124">
        <f t="shared" si="1"/>
        <v>371754</v>
      </c>
      <c r="L21" s="127">
        <f t="shared" si="1"/>
        <v>8.1664510204933427E-2</v>
      </c>
      <c r="M21" s="122"/>
      <c r="N21" s="125"/>
    </row>
    <row r="22" spans="1:14" x14ac:dyDescent="0.25">
      <c r="A22" s="128" t="s">
        <v>79</v>
      </c>
      <c r="B22" s="129"/>
      <c r="C22" s="130">
        <f>MIN(C3:C17)</f>
        <v>97956</v>
      </c>
      <c r="D22" s="131">
        <f t="shared" ref="D22:L22" si="2">MIN(D3:D17)</f>
        <v>7.1753543323813174E-2</v>
      </c>
      <c r="E22" s="130">
        <f t="shared" si="2"/>
        <v>17717</v>
      </c>
      <c r="F22" s="131">
        <f t="shared" si="2"/>
        <v>8.0274647402322017E-3</v>
      </c>
      <c r="G22" s="130">
        <f t="shared" si="2"/>
        <v>233440</v>
      </c>
      <c r="H22" s="131">
        <f t="shared" si="2"/>
        <v>0.16053121638980808</v>
      </c>
      <c r="I22" s="130">
        <f t="shared" si="2"/>
        <v>0</v>
      </c>
      <c r="J22" s="131">
        <f t="shared" si="2"/>
        <v>0</v>
      </c>
      <c r="K22" s="130">
        <f t="shared" si="2"/>
        <v>0</v>
      </c>
      <c r="L22" s="131">
        <f t="shared" si="2"/>
        <v>0</v>
      </c>
      <c r="M22" s="129"/>
      <c r="N22" s="132"/>
    </row>
    <row r="23" spans="1:14" x14ac:dyDescent="0.25">
      <c r="A23" s="113"/>
    </row>
    <row r="24" spans="1:14" x14ac:dyDescent="0.25">
      <c r="A24" s="253" t="s">
        <v>114</v>
      </c>
      <c r="B24" s="254"/>
      <c r="C24" s="255">
        <f>+SUM(C3:C6)+SUM(C16:C17)</f>
        <v>5715693</v>
      </c>
      <c r="D24" s="256">
        <f>+C24/$N$24</f>
        <v>0.3289872375911016</v>
      </c>
      <c r="E24" s="255">
        <f>+SUM(E3:E6)+SUM(E16:E17)</f>
        <v>871624</v>
      </c>
      <c r="F24" s="256">
        <f>+E24/$N$24</f>
        <v>5.0169449614964681E-2</v>
      </c>
      <c r="G24" s="255">
        <f>+SUM(G3:G6)+SUM(G16:G17)</f>
        <v>9990312</v>
      </c>
      <c r="H24" s="256">
        <f>+G24/$N$24</f>
        <v>0.57502828573074749</v>
      </c>
      <c r="I24" s="255">
        <f>+SUM(I3:I6)+SUM(I16:I17)</f>
        <v>555088</v>
      </c>
      <c r="J24" s="256">
        <f>+I24/$N$24</f>
        <v>3.1950083347718185E-2</v>
      </c>
      <c r="K24" s="255">
        <f>+SUM(K3:K6)+SUM(K16:K17)</f>
        <v>240884</v>
      </c>
      <c r="L24" s="256">
        <f>+K24/$N$24</f>
        <v>1.3864943715468083E-2</v>
      </c>
      <c r="M24" s="254"/>
      <c r="N24" s="257">
        <f>+SUM(N3:N6)+SUM(N16:N17)</f>
        <v>17373601</v>
      </c>
    </row>
    <row r="25" spans="1:14" x14ac:dyDescent="0.25">
      <c r="A25" s="113"/>
      <c r="D25"/>
      <c r="F25"/>
      <c r="G25"/>
      <c r="H25"/>
      <c r="I25"/>
      <c r="J25"/>
      <c r="K25"/>
      <c r="L25"/>
      <c r="N25"/>
    </row>
    <row r="26" spans="1:14" x14ac:dyDescent="0.25">
      <c r="A26" s="113"/>
    </row>
    <row r="27" spans="1:14" x14ac:dyDescent="0.25">
      <c r="A27" s="113"/>
    </row>
    <row r="28" spans="1:14" x14ac:dyDescent="0.25">
      <c r="A28" s="113"/>
    </row>
    <row r="29" spans="1:14" x14ac:dyDescent="0.25">
      <c r="A29" s="113"/>
    </row>
    <row r="30" spans="1:14" x14ac:dyDescent="0.25">
      <c r="A30" s="113"/>
    </row>
    <row r="31" spans="1:14" x14ac:dyDescent="0.25">
      <c r="A31" s="113"/>
    </row>
    <row r="32" spans="1:14" x14ac:dyDescent="0.25">
      <c r="A32" s="113"/>
    </row>
    <row r="33" spans="1:1" x14ac:dyDescent="0.25">
      <c r="A33" s="113"/>
    </row>
    <row r="34" spans="1:1" x14ac:dyDescent="0.25">
      <c r="A34" s="113"/>
    </row>
    <row r="35" spans="1:1" x14ac:dyDescent="0.25">
      <c r="A35" s="113"/>
    </row>
    <row r="36" spans="1:1" x14ac:dyDescent="0.25">
      <c r="A36" s="113"/>
    </row>
    <row r="37" spans="1:1" x14ac:dyDescent="0.25">
      <c r="A37" s="113"/>
    </row>
    <row r="38" spans="1:1" x14ac:dyDescent="0.25">
      <c r="A38" s="113"/>
    </row>
    <row r="39" spans="1:1" x14ac:dyDescent="0.25">
      <c r="A39" s="113"/>
    </row>
    <row r="40" spans="1:1" x14ac:dyDescent="0.25">
      <c r="A40" s="113"/>
    </row>
    <row r="41" spans="1:1" x14ac:dyDescent="0.25">
      <c r="A41" s="113"/>
    </row>
    <row r="42" spans="1:1" x14ac:dyDescent="0.25">
      <c r="A42" s="113"/>
    </row>
    <row r="43" spans="1:1" x14ac:dyDescent="0.25">
      <c r="A43" s="113"/>
    </row>
    <row r="44" spans="1:1" x14ac:dyDescent="0.25">
      <c r="A44" s="113"/>
    </row>
    <row r="45" spans="1:1" x14ac:dyDescent="0.25">
      <c r="A45" s="113"/>
    </row>
    <row r="46" spans="1:1" x14ac:dyDescent="0.25">
      <c r="A46" s="113"/>
    </row>
    <row r="47" spans="1:1" x14ac:dyDescent="0.25">
      <c r="A47" s="113"/>
    </row>
    <row r="48" spans="1:1" x14ac:dyDescent="0.25">
      <c r="A48" s="113"/>
    </row>
    <row r="49" spans="1:1" x14ac:dyDescent="0.25">
      <c r="A49" s="113"/>
    </row>
    <row r="50" spans="1:1" x14ac:dyDescent="0.25">
      <c r="A50" s="113"/>
    </row>
    <row r="51" spans="1:1" x14ac:dyDescent="0.25">
      <c r="A51" s="113"/>
    </row>
    <row r="52" spans="1:1" x14ac:dyDescent="0.25">
      <c r="A52" s="113"/>
    </row>
    <row r="53" spans="1:1" x14ac:dyDescent="0.25">
      <c r="A53" s="113"/>
    </row>
    <row r="54" spans="1:1" x14ac:dyDescent="0.25">
      <c r="A54" s="113"/>
    </row>
    <row r="55" spans="1:1" x14ac:dyDescent="0.25">
      <c r="A55" s="113"/>
    </row>
    <row r="56" spans="1:1" x14ac:dyDescent="0.25">
      <c r="A56" s="113"/>
    </row>
    <row r="57" spans="1:1" x14ac:dyDescent="0.25">
      <c r="A57" s="113"/>
    </row>
    <row r="58" spans="1:1" x14ac:dyDescent="0.25">
      <c r="A58" s="113"/>
    </row>
    <row r="59" spans="1:1" x14ac:dyDescent="0.25">
      <c r="A59" s="113"/>
    </row>
    <row r="60" spans="1:1" x14ac:dyDescent="0.25">
      <c r="A60" s="113"/>
    </row>
    <row r="61" spans="1:1" x14ac:dyDescent="0.25">
      <c r="A61" s="113"/>
    </row>
    <row r="62" spans="1:1" x14ac:dyDescent="0.25">
      <c r="A62" s="113"/>
    </row>
    <row r="63" spans="1:1" x14ac:dyDescent="0.25">
      <c r="A63" s="113"/>
    </row>
    <row r="64" spans="1:1" x14ac:dyDescent="0.25">
      <c r="A64" s="113"/>
    </row>
    <row r="65" spans="1:1" x14ac:dyDescent="0.25">
      <c r="A65" s="113"/>
    </row>
    <row r="66" spans="1:1" x14ac:dyDescent="0.25">
      <c r="A66" s="113"/>
    </row>
    <row r="67" spans="1:1" x14ac:dyDescent="0.25">
      <c r="A67" s="113"/>
    </row>
    <row r="68" spans="1:1" x14ac:dyDescent="0.25">
      <c r="A68" s="113"/>
    </row>
    <row r="69" spans="1:1" x14ac:dyDescent="0.25">
      <c r="A69" s="113"/>
    </row>
    <row r="70" spans="1:1" x14ac:dyDescent="0.25">
      <c r="A70" s="113"/>
    </row>
    <row r="71" spans="1:1" x14ac:dyDescent="0.25">
      <c r="A71" s="113"/>
    </row>
    <row r="72" spans="1:1" x14ac:dyDescent="0.25">
      <c r="A72" s="113"/>
    </row>
    <row r="73" spans="1:1" x14ac:dyDescent="0.25">
      <c r="A73" s="113"/>
    </row>
    <row r="74" spans="1:1" x14ac:dyDescent="0.25">
      <c r="A74" s="113"/>
    </row>
    <row r="75" spans="1:1" x14ac:dyDescent="0.25">
      <c r="A75" s="113"/>
    </row>
    <row r="76" spans="1:1" x14ac:dyDescent="0.25">
      <c r="A76" s="113"/>
    </row>
    <row r="77" spans="1:1" x14ac:dyDescent="0.25">
      <c r="A77" s="113"/>
    </row>
    <row r="78" spans="1:1" x14ac:dyDescent="0.25">
      <c r="A78" s="113"/>
    </row>
    <row r="79" spans="1:1" x14ac:dyDescent="0.25">
      <c r="A79" s="113"/>
    </row>
    <row r="80" spans="1:1" x14ac:dyDescent="0.25">
      <c r="A80" s="113"/>
    </row>
    <row r="81" spans="1:1" x14ac:dyDescent="0.25">
      <c r="A81" s="113"/>
    </row>
    <row r="82" spans="1:1" x14ac:dyDescent="0.25">
      <c r="A82" s="113"/>
    </row>
    <row r="83" spans="1:1" x14ac:dyDescent="0.25">
      <c r="A83" s="113"/>
    </row>
    <row r="84" spans="1:1" x14ac:dyDescent="0.25">
      <c r="A84" s="113"/>
    </row>
    <row r="85" spans="1:1" x14ac:dyDescent="0.25">
      <c r="A85" s="113"/>
    </row>
    <row r="86" spans="1:1" x14ac:dyDescent="0.25">
      <c r="A86" s="113"/>
    </row>
    <row r="87" spans="1:1" x14ac:dyDescent="0.25">
      <c r="A87" s="113"/>
    </row>
    <row r="88" spans="1:1" x14ac:dyDescent="0.25">
      <c r="A88" s="113"/>
    </row>
    <row r="89" spans="1:1" x14ac:dyDescent="0.25">
      <c r="A89" s="113"/>
    </row>
    <row r="90" spans="1:1" x14ac:dyDescent="0.25">
      <c r="A90" s="113"/>
    </row>
    <row r="91" spans="1:1" x14ac:dyDescent="0.25">
      <c r="A91" s="113"/>
    </row>
    <row r="92" spans="1:1" x14ac:dyDescent="0.25">
      <c r="A92" s="113"/>
    </row>
    <row r="93" spans="1:1" x14ac:dyDescent="0.25">
      <c r="A93" s="113"/>
    </row>
    <row r="94" spans="1:1" x14ac:dyDescent="0.25">
      <c r="A94" s="113"/>
    </row>
    <row r="95" spans="1:1" x14ac:dyDescent="0.25">
      <c r="A95" s="113"/>
    </row>
    <row r="96" spans="1:1" x14ac:dyDescent="0.25">
      <c r="A96" s="113"/>
    </row>
    <row r="97" spans="1:1" x14ac:dyDescent="0.25">
      <c r="A97" s="113"/>
    </row>
    <row r="98" spans="1:1" x14ac:dyDescent="0.25">
      <c r="A98" s="113"/>
    </row>
    <row r="99" spans="1:1" x14ac:dyDescent="0.25">
      <c r="A99" s="113"/>
    </row>
    <row r="100" spans="1:1" x14ac:dyDescent="0.25">
      <c r="A100" s="113"/>
    </row>
    <row r="101" spans="1:1" x14ac:dyDescent="0.25">
      <c r="A101" s="113"/>
    </row>
    <row r="102" spans="1:1" x14ac:dyDescent="0.25">
      <c r="A102" s="113"/>
    </row>
    <row r="103" spans="1:1" x14ac:dyDescent="0.25">
      <c r="A103" s="113"/>
    </row>
    <row r="104" spans="1:1" x14ac:dyDescent="0.25">
      <c r="A104" s="113"/>
    </row>
    <row r="105" spans="1:1" x14ac:dyDescent="0.25">
      <c r="A105" s="113"/>
    </row>
    <row r="106" spans="1:1" x14ac:dyDescent="0.25">
      <c r="A106" s="113"/>
    </row>
    <row r="107" spans="1:1" x14ac:dyDescent="0.25">
      <c r="A107" s="113"/>
    </row>
    <row r="108" spans="1:1" x14ac:dyDescent="0.25">
      <c r="A108" s="113"/>
    </row>
    <row r="109" spans="1:1" x14ac:dyDescent="0.25">
      <c r="A109" s="113"/>
    </row>
    <row r="110" spans="1:1" x14ac:dyDescent="0.25">
      <c r="A110" s="113"/>
    </row>
    <row r="111" spans="1:1" x14ac:dyDescent="0.25">
      <c r="A111" s="113"/>
    </row>
    <row r="112" spans="1:1" x14ac:dyDescent="0.25">
      <c r="A112" s="113"/>
    </row>
    <row r="113" spans="1:1" x14ac:dyDescent="0.25">
      <c r="A113" s="113"/>
    </row>
    <row r="114" spans="1:1" x14ac:dyDescent="0.25">
      <c r="A114" s="113"/>
    </row>
    <row r="115" spans="1:1" x14ac:dyDescent="0.25">
      <c r="A115" s="113"/>
    </row>
    <row r="116" spans="1:1" x14ac:dyDescent="0.25">
      <c r="A116" s="113"/>
    </row>
    <row r="117" spans="1:1" x14ac:dyDescent="0.25">
      <c r="A117" s="113"/>
    </row>
    <row r="118" spans="1:1" x14ac:dyDescent="0.25">
      <c r="A118" s="113"/>
    </row>
    <row r="119" spans="1:1" x14ac:dyDescent="0.25">
      <c r="A119" s="113"/>
    </row>
    <row r="120" spans="1:1" x14ac:dyDescent="0.25">
      <c r="A120" s="113"/>
    </row>
    <row r="121" spans="1:1" x14ac:dyDescent="0.25">
      <c r="A121" s="113"/>
    </row>
    <row r="122" spans="1:1" x14ac:dyDescent="0.25">
      <c r="A122" s="113"/>
    </row>
    <row r="123" spans="1:1" x14ac:dyDescent="0.25">
      <c r="A123" s="113"/>
    </row>
    <row r="124" spans="1:1" x14ac:dyDescent="0.25">
      <c r="A124" s="113"/>
    </row>
    <row r="125" spans="1:1" x14ac:dyDescent="0.25">
      <c r="A125" s="113"/>
    </row>
    <row r="126" spans="1:1" x14ac:dyDescent="0.25">
      <c r="A126" s="113"/>
    </row>
    <row r="127" spans="1:1" x14ac:dyDescent="0.25">
      <c r="A127" s="113"/>
    </row>
    <row r="128" spans="1:1" x14ac:dyDescent="0.25">
      <c r="A128" s="113"/>
    </row>
    <row r="129" spans="1:1" x14ac:dyDescent="0.25">
      <c r="A129" s="113"/>
    </row>
    <row r="130" spans="1:1" x14ac:dyDescent="0.25">
      <c r="A130" s="113"/>
    </row>
    <row r="131" spans="1:1" x14ac:dyDescent="0.25">
      <c r="A131" s="113"/>
    </row>
    <row r="132" spans="1:1" x14ac:dyDescent="0.25">
      <c r="A132" s="113"/>
    </row>
    <row r="133" spans="1:1" x14ac:dyDescent="0.25">
      <c r="A133" s="113"/>
    </row>
    <row r="134" spans="1:1" x14ac:dyDescent="0.25">
      <c r="A134" s="113"/>
    </row>
    <row r="135" spans="1:1" x14ac:dyDescent="0.25">
      <c r="A135" s="113"/>
    </row>
    <row r="136" spans="1:1" x14ac:dyDescent="0.25">
      <c r="A136" s="113"/>
    </row>
    <row r="137" spans="1:1" x14ac:dyDescent="0.25">
      <c r="A137" s="113"/>
    </row>
    <row r="138" spans="1:1" x14ac:dyDescent="0.25">
      <c r="A138" s="113"/>
    </row>
    <row r="139" spans="1:1" x14ac:dyDescent="0.25">
      <c r="A139" s="113"/>
    </row>
    <row r="140" spans="1:1" x14ac:dyDescent="0.25">
      <c r="A140" s="113"/>
    </row>
    <row r="141" spans="1:1" x14ac:dyDescent="0.25">
      <c r="A141" s="113"/>
    </row>
    <row r="142" spans="1:1" x14ac:dyDescent="0.25">
      <c r="A142" s="113"/>
    </row>
    <row r="143" spans="1:1" x14ac:dyDescent="0.25">
      <c r="A143" s="113"/>
    </row>
    <row r="144" spans="1:1" x14ac:dyDescent="0.25">
      <c r="A144" s="113"/>
    </row>
    <row r="145" spans="1:1" x14ac:dyDescent="0.25">
      <c r="A145" s="113"/>
    </row>
    <row r="146" spans="1:1" x14ac:dyDescent="0.25">
      <c r="A146" s="113"/>
    </row>
    <row r="147" spans="1:1" x14ac:dyDescent="0.25">
      <c r="A147" s="113"/>
    </row>
    <row r="148" spans="1:1" x14ac:dyDescent="0.25">
      <c r="A148" s="113"/>
    </row>
    <row r="149" spans="1:1" x14ac:dyDescent="0.25">
      <c r="A149" s="113"/>
    </row>
    <row r="150" spans="1:1" x14ac:dyDescent="0.25">
      <c r="A150" s="113"/>
    </row>
    <row r="151" spans="1:1" x14ac:dyDescent="0.25">
      <c r="A151" s="113"/>
    </row>
    <row r="152" spans="1:1" x14ac:dyDescent="0.25">
      <c r="A152" s="113"/>
    </row>
    <row r="153" spans="1:1" x14ac:dyDescent="0.25">
      <c r="A153" s="113"/>
    </row>
    <row r="154" spans="1:1" x14ac:dyDescent="0.25">
      <c r="A154" s="113"/>
    </row>
    <row r="155" spans="1:1" x14ac:dyDescent="0.25">
      <c r="A155" s="113"/>
    </row>
    <row r="156" spans="1:1" x14ac:dyDescent="0.25">
      <c r="A156" s="113"/>
    </row>
    <row r="157" spans="1:1" x14ac:dyDescent="0.25">
      <c r="A157" s="113"/>
    </row>
    <row r="158" spans="1:1" x14ac:dyDescent="0.25">
      <c r="A158" s="113"/>
    </row>
    <row r="159" spans="1:1" x14ac:dyDescent="0.25">
      <c r="A159" s="113"/>
    </row>
    <row r="160" spans="1:1" x14ac:dyDescent="0.25">
      <c r="A160" s="113"/>
    </row>
    <row r="161" spans="1:1" x14ac:dyDescent="0.25">
      <c r="A161" s="113"/>
    </row>
    <row r="162" spans="1:1" x14ac:dyDescent="0.25">
      <c r="A162" s="113"/>
    </row>
    <row r="163" spans="1:1" x14ac:dyDescent="0.25">
      <c r="A163" s="113"/>
    </row>
    <row r="164" spans="1:1" x14ac:dyDescent="0.25">
      <c r="A164" s="113"/>
    </row>
    <row r="165" spans="1:1" x14ac:dyDescent="0.25">
      <c r="A165" s="113"/>
    </row>
    <row r="166" spans="1:1" x14ac:dyDescent="0.25">
      <c r="A166" s="113"/>
    </row>
    <row r="167" spans="1:1" x14ac:dyDescent="0.25">
      <c r="A167" s="113"/>
    </row>
    <row r="168" spans="1:1" x14ac:dyDescent="0.25">
      <c r="A168" s="113"/>
    </row>
    <row r="169" spans="1:1" x14ac:dyDescent="0.25">
      <c r="A169" s="113"/>
    </row>
    <row r="170" spans="1:1" x14ac:dyDescent="0.25">
      <c r="A170" s="113"/>
    </row>
    <row r="171" spans="1:1" x14ac:dyDescent="0.25">
      <c r="A171" s="113"/>
    </row>
    <row r="172" spans="1:1" x14ac:dyDescent="0.25">
      <c r="A172" s="113"/>
    </row>
    <row r="173" spans="1:1" x14ac:dyDescent="0.25">
      <c r="A173" s="113"/>
    </row>
    <row r="174" spans="1:1" x14ac:dyDescent="0.25">
      <c r="A174" s="113"/>
    </row>
    <row r="175" spans="1:1" x14ac:dyDescent="0.25">
      <c r="A175" s="113"/>
    </row>
    <row r="176" spans="1:1" x14ac:dyDescent="0.25">
      <c r="A176" s="113"/>
    </row>
    <row r="177" spans="1:1" x14ac:dyDescent="0.25">
      <c r="A177" s="113"/>
    </row>
    <row r="178" spans="1:1" x14ac:dyDescent="0.25">
      <c r="A178" s="113"/>
    </row>
    <row r="179" spans="1:1" x14ac:dyDescent="0.25">
      <c r="A179" s="113"/>
    </row>
    <row r="180" spans="1:1" x14ac:dyDescent="0.25">
      <c r="A180" s="113"/>
    </row>
    <row r="181" spans="1:1" x14ac:dyDescent="0.25">
      <c r="A181" s="113"/>
    </row>
    <row r="182" spans="1:1" x14ac:dyDescent="0.25">
      <c r="A182" s="113"/>
    </row>
    <row r="183" spans="1:1" x14ac:dyDescent="0.25">
      <c r="A183" s="113"/>
    </row>
    <row r="184" spans="1:1" x14ac:dyDescent="0.25">
      <c r="A184" s="113"/>
    </row>
    <row r="185" spans="1:1" x14ac:dyDescent="0.25">
      <c r="A185" s="113"/>
    </row>
    <row r="186" spans="1:1" x14ac:dyDescent="0.25">
      <c r="A186" s="113"/>
    </row>
    <row r="187" spans="1:1" x14ac:dyDescent="0.25">
      <c r="A187" s="113"/>
    </row>
    <row r="188" spans="1:1" x14ac:dyDescent="0.25">
      <c r="A188" s="113"/>
    </row>
    <row r="189" spans="1:1" x14ac:dyDescent="0.25">
      <c r="A189" s="113"/>
    </row>
    <row r="190" spans="1:1" x14ac:dyDescent="0.25">
      <c r="A190" s="113"/>
    </row>
    <row r="191" spans="1:1" x14ac:dyDescent="0.25">
      <c r="A191" s="113"/>
    </row>
    <row r="192" spans="1:1" x14ac:dyDescent="0.25">
      <c r="A192" s="113"/>
    </row>
    <row r="193" spans="1:1" x14ac:dyDescent="0.25">
      <c r="A193" s="113"/>
    </row>
    <row r="194" spans="1:1" x14ac:dyDescent="0.25">
      <c r="A194" s="113"/>
    </row>
    <row r="195" spans="1:1" x14ac:dyDescent="0.25">
      <c r="A195" s="113"/>
    </row>
    <row r="196" spans="1:1" x14ac:dyDescent="0.25">
      <c r="A196" s="113"/>
    </row>
    <row r="197" spans="1:1" x14ac:dyDescent="0.25">
      <c r="A197" s="113"/>
    </row>
    <row r="198" spans="1:1" x14ac:dyDescent="0.25">
      <c r="A198" s="113"/>
    </row>
    <row r="199" spans="1:1" x14ac:dyDescent="0.25">
      <c r="A199" s="113"/>
    </row>
    <row r="200" spans="1:1" x14ac:dyDescent="0.25">
      <c r="A200" s="113"/>
    </row>
    <row r="201" spans="1:1" x14ac:dyDescent="0.25">
      <c r="A201" s="113"/>
    </row>
    <row r="202" spans="1:1" x14ac:dyDescent="0.25">
      <c r="A202" s="113"/>
    </row>
    <row r="203" spans="1:1" x14ac:dyDescent="0.25">
      <c r="A203" s="113"/>
    </row>
    <row r="204" spans="1:1" x14ac:dyDescent="0.25">
      <c r="A204" s="113"/>
    </row>
    <row r="205" spans="1:1" x14ac:dyDescent="0.25">
      <c r="A205" s="11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Summer ONLY</vt:lpstr>
      <vt:lpstr>Deal Volumes</vt:lpstr>
      <vt:lpstr>GD Options</vt:lpstr>
      <vt:lpstr>Curves</vt:lpstr>
      <vt:lpstr>Locations</vt:lpstr>
      <vt:lpstr>Model - Summer</vt:lpstr>
      <vt:lpstr>Model - PH Robinson Only</vt:lpstr>
      <vt:lpstr>Model - Term</vt:lpstr>
      <vt:lpstr>Historical Flow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cp:lastPrinted>2000-02-14T20:18:57Z</cp:lastPrinted>
  <dcterms:created xsi:type="dcterms:W3CDTF">2000-02-09T23:20:56Z</dcterms:created>
  <dcterms:modified xsi:type="dcterms:W3CDTF">2023-09-10T11:02:09Z</dcterms:modified>
</cp:coreProperties>
</file>