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68" windowWidth="14652" windowHeight="814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2" i="1" l="1"/>
  <c r="S2" i="1"/>
  <c r="P5" i="1"/>
  <c r="Q5" i="1"/>
  <c r="R5" i="1"/>
  <c r="S5" i="1"/>
  <c r="P6" i="1"/>
  <c r="Q6" i="1"/>
  <c r="R6" i="1"/>
  <c r="S6" i="1"/>
  <c r="P7" i="1"/>
  <c r="Q7" i="1"/>
  <c r="R7" i="1"/>
  <c r="S7" i="1"/>
  <c r="J9" i="1"/>
  <c r="S9" i="1"/>
  <c r="S11" i="1"/>
  <c r="S12" i="1"/>
  <c r="S14" i="1"/>
  <c r="S16" i="1"/>
  <c r="N18" i="1"/>
  <c r="P19" i="1"/>
  <c r="Q19" i="1"/>
  <c r="R19" i="1"/>
  <c r="S19" i="1"/>
  <c r="J21" i="1"/>
  <c r="S21" i="1"/>
  <c r="M22" i="1"/>
  <c r="S23" i="1"/>
  <c r="S24" i="1"/>
  <c r="S26" i="1"/>
  <c r="D31" i="1"/>
  <c r="I31" i="1"/>
  <c r="J31" i="1"/>
  <c r="K31" i="1"/>
  <c r="I32" i="1"/>
  <c r="J32" i="1"/>
  <c r="P32" i="1"/>
  <c r="Q32" i="1"/>
  <c r="R32" i="1"/>
  <c r="S32" i="1"/>
  <c r="I33" i="1"/>
  <c r="J33" i="1"/>
  <c r="P33" i="1"/>
  <c r="Q33" i="1"/>
  <c r="R33" i="1"/>
  <c r="S33" i="1"/>
  <c r="I34" i="1"/>
  <c r="J34" i="1"/>
  <c r="P34" i="1"/>
  <c r="Q34" i="1"/>
  <c r="R34" i="1"/>
  <c r="S34" i="1"/>
  <c r="I35" i="1"/>
  <c r="J35" i="1"/>
  <c r="P35" i="1"/>
  <c r="Q35" i="1"/>
  <c r="R35" i="1"/>
  <c r="S35" i="1"/>
  <c r="D36" i="1"/>
  <c r="I36" i="1"/>
  <c r="J36" i="1"/>
  <c r="P36" i="1"/>
  <c r="Q36" i="1"/>
  <c r="R36" i="1"/>
  <c r="S36" i="1"/>
  <c r="I37" i="1"/>
  <c r="J37" i="1"/>
  <c r="P37" i="1"/>
  <c r="Q37" i="1"/>
  <c r="R37" i="1"/>
  <c r="S37" i="1"/>
  <c r="P38" i="1"/>
  <c r="Q38" i="1"/>
  <c r="R38" i="1"/>
  <c r="S38" i="1"/>
  <c r="J40" i="1"/>
  <c r="S40" i="1"/>
  <c r="K42" i="1"/>
  <c r="S42" i="1"/>
  <c r="S43" i="1"/>
  <c r="K44" i="1"/>
  <c r="S44" i="1"/>
  <c r="S45" i="1"/>
  <c r="F49" i="1"/>
  <c r="H49" i="1"/>
  <c r="F50" i="1"/>
  <c r="H50" i="1"/>
  <c r="A51" i="1"/>
  <c r="B51" i="1"/>
  <c r="D51" i="1"/>
  <c r="F51" i="1"/>
  <c r="H51" i="1"/>
  <c r="A53" i="1"/>
  <c r="H53" i="1"/>
  <c r="A59" i="1"/>
  <c r="D59" i="1"/>
  <c r="G59" i="1"/>
  <c r="A60" i="1"/>
  <c r="D60" i="1"/>
  <c r="G60" i="1"/>
  <c r="A61" i="1"/>
  <c r="D61" i="1"/>
  <c r="G61" i="1"/>
  <c r="A62" i="1"/>
  <c r="D62" i="1"/>
  <c r="G62" i="1"/>
  <c r="A63" i="1"/>
  <c r="D63" i="1"/>
  <c r="G63" i="1"/>
  <c r="A64" i="1"/>
  <c r="D64" i="1"/>
  <c r="G64" i="1"/>
  <c r="A66" i="1"/>
  <c r="G66" i="1"/>
</calcChain>
</file>

<file path=xl/sharedStrings.xml><?xml version="1.0" encoding="utf-8"?>
<sst xmlns="http://schemas.openxmlformats.org/spreadsheetml/2006/main" count="114" uniqueCount="61">
  <si>
    <t>Days in Month</t>
  </si>
  <si>
    <t>San Jac - Booked Volume</t>
  </si>
  <si>
    <t>From Reliant HL&amp;P eyes</t>
  </si>
  <si>
    <t>META ID:</t>
  </si>
  <si>
    <t>Incremental Deal #1</t>
  </si>
  <si>
    <t>TAGG#</t>
  </si>
  <si>
    <t>Description</t>
  </si>
  <si>
    <t>Daily Volume</t>
  </si>
  <si>
    <t>Monthly Volume</t>
  </si>
  <si>
    <t>Price</t>
  </si>
  <si>
    <t>Basis</t>
  </si>
  <si>
    <t>Phys Prem</t>
  </si>
  <si>
    <t>Transport</t>
  </si>
  <si>
    <t>Contract Price</t>
  </si>
  <si>
    <t>Value to FT-Texas</t>
  </si>
  <si>
    <t>Deal #</t>
  </si>
  <si>
    <t>Volume</t>
  </si>
  <si>
    <t>CP</t>
  </si>
  <si>
    <t>Income/ (Loss)</t>
  </si>
  <si>
    <t>Increm #1 to avg gain/(loss) over</t>
  </si>
  <si>
    <t>Increm #2 to avg gain/(loss) over</t>
  </si>
  <si>
    <t>San Jac Vol to avg gain/(loss) over</t>
  </si>
  <si>
    <t>Total Value to FT-Texas</t>
  </si>
  <si>
    <t>Total Value to HL&amp;P</t>
  </si>
  <si>
    <t>Discount or Premium to Deal</t>
  </si>
  <si>
    <t>Add: Deal Price</t>
  </si>
  <si>
    <t>NX1</t>
  </si>
  <si>
    <t>Customer Price</t>
  </si>
  <si>
    <t>Incremental Deal #2</t>
  </si>
  <si>
    <t>Index</t>
  </si>
  <si>
    <t>Net Variance</t>
  </si>
  <si>
    <t>Discount or Premium to Index</t>
  </si>
  <si>
    <t>Sitara #</t>
  </si>
  <si>
    <t>SAN JACINCTO VOLUMES</t>
  </si>
  <si>
    <t>San Jac: Contract No. 078-41520-303</t>
  </si>
  <si>
    <t>EF3197.1</t>
  </si>
  <si>
    <t>Physical</t>
  </si>
  <si>
    <t>option template</t>
  </si>
  <si>
    <t>EU3900.3</t>
  </si>
  <si>
    <t>Swap</t>
  </si>
  <si>
    <t>EU3900.6</t>
  </si>
  <si>
    <t>N13784.1</t>
  </si>
  <si>
    <t>Liquidations from FT-Texas (desk perspective)</t>
  </si>
  <si>
    <t>Add: Physical Premium</t>
  </si>
  <si>
    <t>Total Liquidations from FT-Texas</t>
  </si>
  <si>
    <t>I+</t>
  </si>
  <si>
    <t>Fixed Price</t>
  </si>
  <si>
    <t>Desk Economics</t>
  </si>
  <si>
    <t>Xport</t>
  </si>
  <si>
    <t>Desk Price</t>
  </si>
  <si>
    <t>Income</t>
  </si>
  <si>
    <t xml:space="preserve">Note: HL&amp;P can nom up to 105% of booked volume </t>
  </si>
  <si>
    <t xml:space="preserve">HL&amp;P is only required to pull 95% of booked volume. </t>
  </si>
  <si>
    <t>28500/d is priced at I+.02. Excess volumes are priced</t>
  </si>
  <si>
    <t>at GDA +.02</t>
  </si>
  <si>
    <t>San Jac Contract</t>
  </si>
  <si>
    <t>Invoicing</t>
  </si>
  <si>
    <t>Incremental #1</t>
  </si>
  <si>
    <t xml:space="preserve">   Tier2</t>
  </si>
  <si>
    <t>Incremental #2</t>
  </si>
  <si>
    <t>San Jacinto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</si>
</sst>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_);_(&quot;$&quot;* \(#,##0\);_(&quot;$&quot;* &quot;-&quot;??_);_(@_)"/>
    <numFmt numFmtId="168" formatCode="0_);\(0\)"/>
    <numFmt numFmtId="169" formatCode="&quot;$&quot;#,##0.0000_);\(&quot;$&quot;#,##0.0000\)"/>
    <numFmt numFmtId="170" formatCode="&quot;$&quot;#,##0.000000_);\(&quot;$&quot;#,##0.000000\)"/>
    <numFmt numFmtId="171" formatCode="_(&quot;$&quot;* #,##0.00000_);_(&quot;$&quot;* \(#,##0.00000\);_(&quot;$&quot;* &quot;-&quot;??_);_(@_)"/>
    <numFmt numFmtId="172" formatCode="_(* #,##0_);_(* \(#,##0\);_(* &quot;-&quot;??_);_(@_)"/>
    <numFmt numFmtId="173" formatCode="0.00000"/>
    <numFmt numFmtId="174" formatCode="_(* #,##0.0000_);_(* \(#,##0.0000\);_(* &quot;-&quot;??_);_(@_)"/>
    <numFmt numFmtId="175" formatCode="#,##0.00000_);\(#,##0.00000\)"/>
    <numFmt numFmtId="176" formatCode="&quot;$&quot;#,##0.00000_);\(&quot;$&quot;#,##0.0000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2" fillId="0" borderId="0" xfId="0" quotePrefix="1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3" fontId="0" fillId="0" borderId="0" xfId="0" applyNumberFormat="1"/>
    <xf numFmtId="0" fontId="2" fillId="2" borderId="2" xfId="0" applyFont="1" applyFill="1" applyBorder="1"/>
    <xf numFmtId="0" fontId="0" fillId="2" borderId="3" xfId="0" applyFill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0" borderId="0" xfId="0" applyFont="1" applyAlignment="1">
      <alignment horizontal="center"/>
    </xf>
    <xf numFmtId="37" fontId="5" fillId="0" borderId="0" xfId="0" applyNumberFormat="1" applyFont="1" applyAlignment="1">
      <alignment horizontal="center"/>
    </xf>
    <xf numFmtId="165" fontId="5" fillId="0" borderId="0" xfId="1" applyNumberFormat="1" applyFont="1"/>
    <xf numFmtId="166" fontId="5" fillId="0" borderId="0" xfId="1" applyNumberFormat="1" applyFont="1"/>
    <xf numFmtId="166" fontId="5" fillId="0" borderId="0" xfId="1" applyNumberFormat="1" applyFont="1" applyAlignment="1">
      <alignment horizontal="center"/>
    </xf>
    <xf numFmtId="167" fontId="2" fillId="0" borderId="0" xfId="1" applyNumberFormat="1" applyFont="1"/>
    <xf numFmtId="43" fontId="1" fillId="0" borderId="0" xfId="1" applyNumberFormat="1"/>
    <xf numFmtId="0" fontId="2" fillId="4" borderId="6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4" fillId="0" borderId="0" xfId="0" applyFont="1"/>
    <xf numFmtId="168" fontId="4" fillId="0" borderId="0" xfId="0" applyNumberFormat="1" applyFont="1" applyAlignment="1">
      <alignment horizontal="center"/>
    </xf>
    <xf numFmtId="166" fontId="4" fillId="0" borderId="0" xfId="1" applyNumberFormat="1" applyFont="1"/>
    <xf numFmtId="167" fontId="4" fillId="0" borderId="0" xfId="1" applyNumberFormat="1" applyFont="1"/>
    <xf numFmtId="0" fontId="6" fillId="0" borderId="0" xfId="0" applyFont="1"/>
    <xf numFmtId="167" fontId="5" fillId="0" borderId="0" xfId="1" applyNumberFormat="1" applyFont="1" applyBorder="1"/>
    <xf numFmtId="0" fontId="0" fillId="4" borderId="9" xfId="0" applyFill="1" applyBorder="1"/>
    <xf numFmtId="0" fontId="0" fillId="4" borderId="0" xfId="0" applyFill="1" applyBorder="1"/>
    <xf numFmtId="37" fontId="2" fillId="3" borderId="10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6" fontId="1" fillId="0" borderId="0" xfId="1" applyNumberFormat="1"/>
    <xf numFmtId="167" fontId="1" fillId="0" borderId="0" xfId="1" applyNumberFormat="1"/>
    <xf numFmtId="167" fontId="2" fillId="0" borderId="0" xfId="1" applyNumberFormat="1" applyFont="1" applyBorder="1"/>
    <xf numFmtId="0" fontId="2" fillId="4" borderId="9" xfId="0" applyFont="1" applyFill="1" applyBorder="1"/>
    <xf numFmtId="0" fontId="5" fillId="4" borderId="0" xfId="0" applyFont="1" applyFill="1" applyBorder="1"/>
    <xf numFmtId="0" fontId="5" fillId="4" borderId="10" xfId="0" applyFont="1" applyFill="1" applyBorder="1"/>
    <xf numFmtId="167" fontId="2" fillId="0" borderId="1" xfId="1" applyNumberFormat="1" applyFont="1" applyBorder="1"/>
    <xf numFmtId="0" fontId="0" fillId="4" borderId="10" xfId="0" applyFill="1" applyBorder="1"/>
    <xf numFmtId="0" fontId="0" fillId="4" borderId="11" xfId="0" applyFill="1" applyBorder="1"/>
    <xf numFmtId="0" fontId="0" fillId="4" borderId="1" xfId="0" applyFill="1" applyBorder="1"/>
    <xf numFmtId="37" fontId="2" fillId="3" borderId="12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0" fontId="0" fillId="0" borderId="0" xfId="0" applyFill="1" applyBorder="1"/>
    <xf numFmtId="166" fontId="1" fillId="0" borderId="1" xfId="1" applyNumberFormat="1" applyBorder="1"/>
    <xf numFmtId="0" fontId="0" fillId="3" borderId="6" xfId="0" applyFill="1" applyBorder="1"/>
    <xf numFmtId="0" fontId="0" fillId="3" borderId="8" xfId="0" applyFill="1" applyBorder="1"/>
    <xf numFmtId="0" fontId="2" fillId="3" borderId="9" xfId="0" applyFont="1" applyFill="1" applyBorder="1"/>
    <xf numFmtId="165" fontId="1" fillId="3" borderId="10" xfId="1" applyNumberFormat="1" applyFill="1" applyBorder="1"/>
    <xf numFmtId="0" fontId="2" fillId="0" borderId="0" xfId="0" applyFont="1" applyAlignment="1">
      <alignment horizontal="right"/>
    </xf>
    <xf numFmtId="169" fontId="2" fillId="0" borderId="0" xfId="0" applyNumberFormat="1" applyFont="1" applyAlignment="1">
      <alignment horizontal="center"/>
    </xf>
    <xf numFmtId="170" fontId="0" fillId="0" borderId="0" xfId="0" applyNumberFormat="1"/>
    <xf numFmtId="165" fontId="1" fillId="3" borderId="12" xfId="1" applyNumberFormat="1" applyFill="1" applyBorder="1"/>
    <xf numFmtId="0" fontId="0" fillId="3" borderId="9" xfId="0" applyFill="1" applyBorder="1"/>
    <xf numFmtId="0" fontId="0" fillId="3" borderId="10" xfId="0" applyFill="1" applyBorder="1"/>
    <xf numFmtId="166" fontId="7" fillId="0" borderId="0" xfId="1" applyNumberFormat="1" applyFont="1"/>
    <xf numFmtId="5" fontId="8" fillId="5" borderId="13" xfId="1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7" fillId="0" borderId="0" xfId="0" applyFont="1"/>
    <xf numFmtId="37" fontId="7" fillId="0" borderId="0" xfId="0" applyNumberFormat="1" applyFont="1" applyAlignment="1">
      <alignment horizontal="center"/>
    </xf>
    <xf numFmtId="165" fontId="7" fillId="0" borderId="0" xfId="1" applyNumberFormat="1" applyFont="1"/>
    <xf numFmtId="168" fontId="0" fillId="0" borderId="0" xfId="0" applyNumberFormat="1"/>
    <xf numFmtId="5" fontId="2" fillId="0" borderId="0" xfId="0" applyNumberFormat="1" applyFont="1" applyFill="1" applyBorder="1"/>
    <xf numFmtId="0" fontId="2" fillId="0" borderId="0" xfId="0" applyFont="1" applyFill="1" applyBorder="1"/>
    <xf numFmtId="43" fontId="2" fillId="0" borderId="0" xfId="0" applyNumberFormat="1" applyFont="1" applyFill="1" applyBorder="1"/>
    <xf numFmtId="171" fontId="2" fillId="0" borderId="0" xfId="1" applyNumberFormat="1" applyFont="1" applyFill="1" applyBorder="1" applyAlignment="1">
      <alignment horizontal="center"/>
    </xf>
    <xf numFmtId="1" fontId="2" fillId="0" borderId="0" xfId="0" quotePrefix="1" applyNumberFormat="1" applyFont="1"/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vertical="top"/>
    </xf>
    <xf numFmtId="170" fontId="2" fillId="0" borderId="0" xfId="0" applyNumberFormat="1" applyFont="1" applyAlignment="1">
      <alignment horizontal="center"/>
    </xf>
    <xf numFmtId="168" fontId="0" fillId="2" borderId="3" xfId="0" applyNumberFormat="1" applyFill="1" applyBorder="1"/>
    <xf numFmtId="0" fontId="0" fillId="0" borderId="0" xfId="0" applyBorder="1"/>
    <xf numFmtId="0" fontId="0" fillId="2" borderId="4" xfId="0" applyFill="1" applyBorder="1"/>
    <xf numFmtId="168" fontId="2" fillId="0" borderId="1" xfId="0" applyNumberFormat="1" applyFont="1" applyBorder="1" applyAlignment="1">
      <alignment horizontal="center" wrapText="1"/>
    </xf>
    <xf numFmtId="37" fontId="0" fillId="0" borderId="0" xfId="0" applyNumberFormat="1" applyAlignment="1">
      <alignment horizontal="center"/>
    </xf>
    <xf numFmtId="165" fontId="1" fillId="0" borderId="0" xfId="1" applyNumberFormat="1"/>
    <xf numFmtId="167" fontId="1" fillId="0" borderId="0" xfId="1" applyNumberFormat="1" applyBorder="1"/>
    <xf numFmtId="167" fontId="0" fillId="0" borderId="0" xfId="0" applyNumberFormat="1" applyBorder="1"/>
    <xf numFmtId="0" fontId="0" fillId="0" borderId="0" xfId="0" applyFill="1" applyBorder="1" applyAlignment="1">
      <alignment horizontal="center"/>
    </xf>
    <xf numFmtId="0" fontId="9" fillId="0" borderId="0" xfId="0" applyFont="1" applyFill="1" applyBorder="1"/>
    <xf numFmtId="167" fontId="9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0" fontId="9" fillId="0" borderId="0" xfId="0" applyFont="1" applyBorder="1"/>
    <xf numFmtId="165" fontId="0" fillId="0" borderId="1" xfId="0" applyNumberFormat="1" applyBorder="1"/>
    <xf numFmtId="0" fontId="9" fillId="4" borderId="2" xfId="0" applyFont="1" applyFill="1" applyBorder="1"/>
    <xf numFmtId="0" fontId="10" fillId="4" borderId="3" xfId="0" applyFont="1" applyFill="1" applyBorder="1"/>
    <xf numFmtId="0" fontId="0" fillId="0" borderId="3" xfId="0" applyBorder="1"/>
    <xf numFmtId="172" fontId="11" fillId="4" borderId="4" xfId="1" applyNumberFormat="1" applyFont="1" applyFill="1" applyBorder="1"/>
    <xf numFmtId="173" fontId="2" fillId="0" borderId="0" xfId="0" applyNumberFormat="1" applyFont="1" applyAlignment="1">
      <alignment horizontal="left"/>
    </xf>
    <xf numFmtId="170" fontId="2" fillId="0" borderId="0" xfId="0" applyNumberFormat="1" applyFont="1"/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7" fontId="1" fillId="0" borderId="0" xfId="1" applyNumberFormat="1" applyFont="1" applyFill="1" applyBorder="1" applyAlignment="1">
      <alignment horizontal="center"/>
    </xf>
    <xf numFmtId="37" fontId="0" fillId="3" borderId="14" xfId="0" applyNumberFormat="1" applyFill="1" applyBorder="1" applyAlignment="1">
      <alignment horizontal="center"/>
    </xf>
    <xf numFmtId="165" fontId="0" fillId="0" borderId="0" xfId="0" applyNumberFormat="1"/>
    <xf numFmtId="165" fontId="1" fillId="0" borderId="0" xfId="1" applyNumberFormat="1" applyAlignment="1">
      <alignment horizontal="center"/>
    </xf>
    <xf numFmtId="165" fontId="1" fillId="0" borderId="0" xfId="1" applyNumberFormat="1" applyFont="1" applyAlignment="1">
      <alignment horizontal="center"/>
    </xf>
    <xf numFmtId="167" fontId="1" fillId="0" borderId="0" xfId="1" applyNumberFormat="1" applyAlignment="1">
      <alignment horizontal="center"/>
    </xf>
    <xf numFmtId="167" fontId="0" fillId="0" borderId="0" xfId="0" applyNumberFormat="1"/>
    <xf numFmtId="37" fontId="0" fillId="3" borderId="5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/>
    <xf numFmtId="37" fontId="0" fillId="3" borderId="15" xfId="0" applyNumberFormat="1" applyFill="1" applyBorder="1" applyAlignment="1">
      <alignment horizontal="center"/>
    </xf>
    <xf numFmtId="167" fontId="1" fillId="0" borderId="1" xfId="1" applyNumberFormat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5" fontId="1" fillId="0" borderId="0" xfId="1" applyNumberFormat="1" applyFill="1" applyBorder="1" applyAlignment="1">
      <alignment horizontal="center"/>
    </xf>
    <xf numFmtId="167" fontId="1" fillId="0" borderId="0" xfId="1" applyNumberFormat="1" applyFill="1" applyBorder="1"/>
    <xf numFmtId="37" fontId="0" fillId="0" borderId="16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5" fontId="2" fillId="0" borderId="0" xfId="1" applyNumberFormat="1" applyFont="1" applyFill="1" applyBorder="1"/>
    <xf numFmtId="37" fontId="0" fillId="0" borderId="0" xfId="0" applyNumberFormat="1"/>
    <xf numFmtId="174" fontId="0" fillId="0" borderId="0" xfId="0" applyNumberFormat="1" applyAlignment="1">
      <alignment horizontal="center"/>
    </xf>
    <xf numFmtId="165" fontId="2" fillId="0" borderId="0" xfId="0" applyNumberFormat="1" applyFont="1" applyFill="1" applyBorder="1"/>
    <xf numFmtId="165" fontId="1" fillId="0" borderId="0" xfId="1" applyNumberFormat="1" applyFill="1" applyBorder="1"/>
    <xf numFmtId="0" fontId="2" fillId="0" borderId="0" xfId="0" applyFont="1" applyFill="1" applyBorder="1" applyAlignment="1">
      <alignment horizontal="right"/>
    </xf>
    <xf numFmtId="175" fontId="2" fillId="0" borderId="0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0" fillId="0" borderId="0" xfId="0" applyFill="1"/>
    <xf numFmtId="167" fontId="5" fillId="0" borderId="0" xfId="1" applyNumberFormat="1" applyFont="1" applyFill="1" applyBorder="1"/>
    <xf numFmtId="0" fontId="0" fillId="0" borderId="0" xfId="0" applyFill="1" applyAlignment="1">
      <alignment horizontal="center"/>
    </xf>
    <xf numFmtId="37" fontId="0" fillId="0" borderId="0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5" fontId="0" fillId="0" borderId="0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5" fontId="0" fillId="0" borderId="1" xfId="0" applyNumberFormat="1" applyFill="1" applyBorder="1" applyAlignment="1">
      <alignment horizontal="center"/>
    </xf>
    <xf numFmtId="37" fontId="2" fillId="0" borderId="16" xfId="0" applyNumberFormat="1" applyFont="1" applyBorder="1" applyAlignment="1">
      <alignment horizontal="center"/>
    </xf>
    <xf numFmtId="5" fontId="2" fillId="0" borderId="16" xfId="0" applyNumberFormat="1" applyFont="1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3"/>
  <sheetViews>
    <sheetView tabSelected="1" topLeftCell="A29" workbookViewId="0">
      <selection activeCell="A57" sqref="A57"/>
    </sheetView>
  </sheetViews>
  <sheetFormatPr defaultRowHeight="13.2" x14ac:dyDescent="0.25"/>
  <cols>
    <col min="1" max="1" width="10.88671875" customWidth="1"/>
    <col min="2" max="2" width="10.5546875" customWidth="1"/>
    <col min="3" max="3" width="9.33203125" customWidth="1"/>
    <col min="4" max="4" width="11.109375" customWidth="1"/>
    <col min="6" max="6" width="9.44140625" style="3" customWidth="1"/>
    <col min="7" max="7" width="11.33203125" customWidth="1"/>
    <col min="8" max="8" width="12" customWidth="1"/>
    <col min="9" max="10" width="11.33203125" customWidth="1"/>
    <col min="11" max="11" width="11.44140625" customWidth="1"/>
    <col min="12" max="12" width="9.6640625" customWidth="1"/>
    <col min="13" max="13" width="12.88671875" customWidth="1"/>
    <col min="14" max="14" width="11.5546875" customWidth="1"/>
    <col min="15" max="15" width="8.33203125" customWidth="1"/>
    <col min="16" max="16" width="11.109375" customWidth="1"/>
    <col min="17" max="17" width="11.33203125" customWidth="1"/>
    <col min="18" max="18" width="8.6640625" customWidth="1"/>
    <col min="19" max="19" width="12" customWidth="1"/>
    <col min="20" max="20" width="10.33203125" customWidth="1"/>
    <col min="21" max="21" width="9.88671875" customWidth="1"/>
    <col min="22" max="22" width="11.5546875" customWidth="1"/>
    <col min="24" max="24" width="11.33203125" customWidth="1"/>
  </cols>
  <sheetData>
    <row r="1" spans="1:30" ht="39" customHeight="1" x14ac:dyDescent="0.25">
      <c r="A1" s="1"/>
      <c r="B1" s="2"/>
      <c r="G1" s="4" t="s">
        <v>0</v>
      </c>
      <c r="H1" s="4" t="s">
        <v>1</v>
      </c>
      <c r="N1" s="5"/>
      <c r="P1" s="138" t="s">
        <v>2</v>
      </c>
      <c r="Q1" s="138"/>
      <c r="R1" s="138"/>
      <c r="S1" s="138"/>
    </row>
    <row r="2" spans="1:30" ht="15" customHeight="1" x14ac:dyDescent="0.25">
      <c r="A2" s="6"/>
      <c r="B2" s="7"/>
      <c r="C2" s="7"/>
      <c r="D2" s="7"/>
      <c r="E2" s="8" t="s">
        <v>3</v>
      </c>
      <c r="F2" s="9">
        <v>37566</v>
      </c>
      <c r="G2" s="10">
        <v>31</v>
      </c>
      <c r="H2" s="11">
        <f>C31*-1*G2</f>
        <v>883500</v>
      </c>
      <c r="P2" s="6" t="s">
        <v>4</v>
      </c>
      <c r="Q2" s="7"/>
      <c r="R2" s="7"/>
      <c r="S2" s="12">
        <f>+I4</f>
        <v>0</v>
      </c>
    </row>
    <row r="3" spans="1:30" s="3" customFormat="1" ht="26.4" x14ac:dyDescent="0.25">
      <c r="A3" s="13" t="s">
        <v>5</v>
      </c>
      <c r="B3" s="13" t="s">
        <v>6</v>
      </c>
      <c r="C3" s="14" t="s">
        <v>7</v>
      </c>
      <c r="D3" s="14" t="s">
        <v>8</v>
      </c>
      <c r="E3" s="13" t="s">
        <v>9</v>
      </c>
      <c r="F3" s="13" t="s">
        <v>10</v>
      </c>
      <c r="G3" s="13" t="s">
        <v>11</v>
      </c>
      <c r="H3" s="13" t="s">
        <v>12</v>
      </c>
      <c r="I3" s="14" t="s">
        <v>13</v>
      </c>
      <c r="J3" s="14" t="s">
        <v>14</v>
      </c>
      <c r="K3" s="15"/>
      <c r="P3" s="13" t="s">
        <v>15</v>
      </c>
      <c r="Q3" s="13" t="s">
        <v>16</v>
      </c>
      <c r="R3" s="13" t="s">
        <v>17</v>
      </c>
      <c r="S3" s="14" t="s">
        <v>18</v>
      </c>
    </row>
    <row r="4" spans="1:30" x14ac:dyDescent="0.25">
      <c r="A4" s="1"/>
      <c r="B4" s="16"/>
      <c r="C4" s="17"/>
      <c r="D4" s="17"/>
      <c r="E4" s="18"/>
      <c r="F4" s="19"/>
      <c r="G4" s="20"/>
      <c r="H4" s="19"/>
      <c r="I4" s="19"/>
      <c r="J4" s="21"/>
      <c r="K4" s="22"/>
      <c r="L4" s="23" t="s">
        <v>19</v>
      </c>
      <c r="M4" s="24"/>
      <c r="N4" s="25"/>
      <c r="P4" s="26"/>
      <c r="Q4" s="27"/>
      <c r="R4" s="28"/>
      <c r="S4" s="29"/>
      <c r="T4" s="30"/>
      <c r="U4" s="30"/>
      <c r="V4" s="30"/>
    </row>
    <row r="5" spans="1:30" x14ac:dyDescent="0.25">
      <c r="A5" s="1"/>
      <c r="B5" s="16"/>
      <c r="C5" s="17"/>
      <c r="D5" s="17"/>
      <c r="E5" s="18"/>
      <c r="F5" s="19"/>
      <c r="G5" s="19"/>
      <c r="H5" s="19"/>
      <c r="I5" s="19"/>
      <c r="J5" s="21"/>
      <c r="K5" s="31"/>
      <c r="L5" s="32"/>
      <c r="M5" s="33"/>
      <c r="N5" s="34">
        <v>1</v>
      </c>
      <c r="P5">
        <f>A5</f>
        <v>0</v>
      </c>
      <c r="Q5" s="35">
        <f>D5*-1</f>
        <v>0</v>
      </c>
      <c r="R5" s="36">
        <f>I5</f>
        <v>0</v>
      </c>
      <c r="S5" s="37">
        <f>($N$18-R5)*Q5</f>
        <v>0</v>
      </c>
    </row>
    <row r="6" spans="1:30" x14ac:dyDescent="0.25">
      <c r="A6" s="1"/>
      <c r="B6" s="3"/>
      <c r="C6" s="17"/>
      <c r="D6" s="17"/>
      <c r="E6" s="18"/>
      <c r="F6" s="19"/>
      <c r="I6" s="19"/>
      <c r="J6" s="38"/>
      <c r="K6" s="31"/>
      <c r="L6" s="39" t="s">
        <v>20</v>
      </c>
      <c r="M6" s="40"/>
      <c r="N6" s="41"/>
      <c r="P6">
        <f>A6</f>
        <v>0</v>
      </c>
      <c r="Q6" s="35">
        <f>D6*-1</f>
        <v>0</v>
      </c>
      <c r="R6" s="36">
        <f>I6</f>
        <v>0</v>
      </c>
      <c r="S6" s="37">
        <f>($N$18-R6)*Q6</f>
        <v>0</v>
      </c>
    </row>
    <row r="7" spans="1:30" x14ac:dyDescent="0.25">
      <c r="A7" s="1"/>
      <c r="B7" s="16"/>
      <c r="C7" s="17"/>
      <c r="D7" s="17"/>
      <c r="E7" s="18"/>
      <c r="F7" s="19"/>
      <c r="G7" s="19"/>
      <c r="H7" s="19"/>
      <c r="I7" s="19"/>
      <c r="J7" s="42"/>
      <c r="K7" s="31"/>
      <c r="L7" s="32"/>
      <c r="M7" s="33"/>
      <c r="N7" s="34">
        <v>1</v>
      </c>
      <c r="P7">
        <f>A7</f>
        <v>0</v>
      </c>
      <c r="Q7" s="35">
        <f>D7*-1</f>
        <v>0</v>
      </c>
      <c r="R7" s="36">
        <f>I7</f>
        <v>0</v>
      </c>
      <c r="S7" s="37">
        <f>($N$18-R7)*Q7</f>
        <v>0</v>
      </c>
    </row>
    <row r="8" spans="1:30" x14ac:dyDescent="0.25">
      <c r="A8" s="1"/>
      <c r="B8" s="16"/>
      <c r="C8" s="17"/>
      <c r="D8" s="17"/>
      <c r="E8" s="18"/>
      <c r="F8" s="19"/>
      <c r="G8" s="19"/>
      <c r="H8" s="19"/>
      <c r="I8" s="19"/>
      <c r="J8" s="21"/>
      <c r="K8" s="31"/>
      <c r="L8" s="39" t="s">
        <v>21</v>
      </c>
      <c r="M8" s="33"/>
      <c r="N8" s="43"/>
      <c r="Q8" s="35"/>
      <c r="R8" s="36"/>
      <c r="S8" s="37"/>
    </row>
    <row r="9" spans="1:30" x14ac:dyDescent="0.25">
      <c r="A9" s="1"/>
      <c r="B9" s="16"/>
      <c r="C9" s="17"/>
      <c r="D9" s="17"/>
      <c r="E9" s="18"/>
      <c r="F9" s="19"/>
      <c r="G9" s="19"/>
      <c r="H9" s="1" t="s">
        <v>22</v>
      </c>
      <c r="I9" s="19"/>
      <c r="J9" s="21">
        <f>SUM(J4:J7)</f>
        <v>0</v>
      </c>
      <c r="K9" s="31"/>
      <c r="L9" s="44"/>
      <c r="M9" s="45"/>
      <c r="N9" s="46">
        <v>310000</v>
      </c>
      <c r="O9" s="47"/>
      <c r="P9" t="s">
        <v>23</v>
      </c>
      <c r="S9" s="21">
        <f>SUM(S5:S8)</f>
        <v>0</v>
      </c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1:30" x14ac:dyDescent="0.25">
      <c r="A10" s="1"/>
      <c r="B10" s="16"/>
      <c r="C10" s="17"/>
      <c r="D10" s="17"/>
      <c r="E10" s="18"/>
      <c r="F10" s="19"/>
      <c r="G10" s="19"/>
      <c r="H10" s="19"/>
      <c r="I10" s="19"/>
      <c r="J10" s="21"/>
      <c r="K10" s="31"/>
      <c r="O10" s="49"/>
      <c r="S10" s="21"/>
    </row>
    <row r="11" spans="1:30" x14ac:dyDescent="0.25">
      <c r="A11" s="1"/>
      <c r="B11" s="16"/>
      <c r="C11" s="17"/>
      <c r="D11" s="17"/>
      <c r="E11" s="18"/>
      <c r="F11" s="19"/>
      <c r="G11" s="19"/>
      <c r="H11" s="19"/>
      <c r="I11" s="19"/>
      <c r="J11" s="38"/>
      <c r="K11" s="31"/>
      <c r="O11" s="49"/>
      <c r="P11" t="s">
        <v>24</v>
      </c>
      <c r="S11" s="36">
        <f>(S9/N5)*-1</f>
        <v>0</v>
      </c>
    </row>
    <row r="12" spans="1:30" x14ac:dyDescent="0.25">
      <c r="O12" s="49"/>
      <c r="P12" t="s">
        <v>25</v>
      </c>
      <c r="S12" s="50">
        <f>+I4</f>
        <v>0</v>
      </c>
    </row>
    <row r="13" spans="1:30" x14ac:dyDescent="0.25">
      <c r="M13" s="51"/>
      <c r="N13" s="52"/>
      <c r="O13" s="49"/>
    </row>
    <row r="14" spans="1:30" x14ac:dyDescent="0.25">
      <c r="L14" s="31"/>
      <c r="M14" s="53" t="s">
        <v>26</v>
      </c>
      <c r="N14" s="54">
        <v>2.3439999999999999</v>
      </c>
      <c r="O14" s="49"/>
      <c r="P14" s="1" t="s">
        <v>27</v>
      </c>
      <c r="R14" s="55"/>
      <c r="S14" s="56">
        <f>S11+S12</f>
        <v>0</v>
      </c>
    </row>
    <row r="15" spans="1:30" x14ac:dyDescent="0.25">
      <c r="A15" s="1"/>
      <c r="B15" s="2"/>
      <c r="L15" s="31"/>
      <c r="M15" s="53" t="s">
        <v>10</v>
      </c>
      <c r="N15" s="54">
        <v>-4.0000000000000001E-3</v>
      </c>
      <c r="O15" s="49"/>
      <c r="P15" s="1"/>
      <c r="S15" s="57"/>
    </row>
    <row r="16" spans="1:30" x14ac:dyDescent="0.25">
      <c r="A16" s="6"/>
      <c r="B16" s="7"/>
      <c r="C16" s="7"/>
      <c r="D16" s="7"/>
      <c r="E16" s="8" t="s">
        <v>3</v>
      </c>
      <c r="F16" s="9">
        <v>37566</v>
      </c>
      <c r="K16" s="37"/>
      <c r="M16" s="53" t="s">
        <v>11</v>
      </c>
      <c r="N16" s="58">
        <v>-1.4999999999999999E-2</v>
      </c>
      <c r="O16" s="49"/>
      <c r="P16" s="6" t="s">
        <v>28</v>
      </c>
      <c r="Q16" s="7"/>
      <c r="R16" s="7"/>
      <c r="S16" s="12">
        <f>+I18</f>
        <v>0</v>
      </c>
    </row>
    <row r="17" spans="1:50" ht="26.4" x14ac:dyDescent="0.25">
      <c r="A17" s="13" t="s">
        <v>5</v>
      </c>
      <c r="B17" s="13" t="s">
        <v>6</v>
      </c>
      <c r="C17" s="14" t="s">
        <v>7</v>
      </c>
      <c r="D17" s="14" t="s">
        <v>8</v>
      </c>
      <c r="E17" s="13" t="s">
        <v>9</v>
      </c>
      <c r="F17" s="13" t="s">
        <v>10</v>
      </c>
      <c r="G17" s="13" t="s">
        <v>11</v>
      </c>
      <c r="H17" s="13" t="s">
        <v>12</v>
      </c>
      <c r="I17" s="14" t="s">
        <v>13</v>
      </c>
      <c r="J17" s="14" t="s">
        <v>14</v>
      </c>
      <c r="K17" s="37"/>
      <c r="M17" s="59"/>
      <c r="N17" s="54"/>
      <c r="O17" s="49"/>
      <c r="P17" s="13" t="s">
        <v>15</v>
      </c>
      <c r="Q17" s="13" t="s">
        <v>16</v>
      </c>
      <c r="R17" s="13" t="s">
        <v>17</v>
      </c>
      <c r="S17" s="14" t="s">
        <v>18</v>
      </c>
    </row>
    <row r="18" spans="1:50" x14ac:dyDescent="0.25">
      <c r="A18" s="1"/>
      <c r="B18" s="16"/>
      <c r="C18" s="17"/>
      <c r="D18" s="17"/>
      <c r="E18" s="18"/>
      <c r="F18" s="19"/>
      <c r="G18" s="20"/>
      <c r="H18" s="19"/>
      <c r="I18" s="19"/>
      <c r="J18" s="21"/>
      <c r="K18" s="37"/>
      <c r="M18" s="53" t="s">
        <v>29</v>
      </c>
      <c r="N18" s="54">
        <f>N14+N15</f>
        <v>2.34</v>
      </c>
    </row>
    <row r="19" spans="1:50" x14ac:dyDescent="0.25">
      <c r="A19" s="1"/>
      <c r="B19" s="3"/>
      <c r="C19" s="17"/>
      <c r="D19" s="17"/>
      <c r="E19" s="18"/>
      <c r="F19" s="19"/>
      <c r="I19" s="19"/>
      <c r="J19" s="38"/>
      <c r="K19" s="31"/>
      <c r="M19" s="59"/>
      <c r="N19" s="60"/>
      <c r="P19">
        <f>A19</f>
        <v>0</v>
      </c>
      <c r="Q19" s="35">
        <f>D19*-1</f>
        <v>0</v>
      </c>
      <c r="R19" s="36">
        <f>I19</f>
        <v>0</v>
      </c>
      <c r="S19" s="37">
        <f>($N$18-R19)*Q19</f>
        <v>0</v>
      </c>
    </row>
    <row r="20" spans="1:50" x14ac:dyDescent="0.25">
      <c r="A20" s="1"/>
      <c r="B20" s="16"/>
      <c r="C20" s="17"/>
      <c r="D20" s="17"/>
      <c r="E20" s="18"/>
      <c r="F20" s="19"/>
      <c r="G20" s="61"/>
      <c r="H20" s="61"/>
      <c r="I20" s="19"/>
      <c r="J20" s="38"/>
      <c r="K20" s="37"/>
      <c r="M20" s="32"/>
      <c r="N20" s="43"/>
      <c r="Q20" s="35"/>
      <c r="R20" s="36"/>
      <c r="S20" s="37"/>
    </row>
    <row r="21" spans="1:50" ht="13.8" thickBot="1" x14ac:dyDescent="0.3">
      <c r="A21" s="1"/>
      <c r="B21" s="16"/>
      <c r="C21" s="17"/>
      <c r="D21" s="17"/>
      <c r="E21" s="18"/>
      <c r="F21" s="19"/>
      <c r="G21" s="61"/>
      <c r="H21" s="1" t="s">
        <v>22</v>
      </c>
      <c r="I21" s="19"/>
      <c r="J21" s="38">
        <f>SUM(J18:J19)</f>
        <v>0</v>
      </c>
      <c r="K21" s="37"/>
      <c r="M21" s="39" t="s">
        <v>30</v>
      </c>
      <c r="N21" s="43"/>
      <c r="P21" t="s">
        <v>23</v>
      </c>
      <c r="S21" s="21">
        <f>+S19</f>
        <v>0</v>
      </c>
    </row>
    <row r="22" spans="1:50" ht="13.8" thickBot="1" x14ac:dyDescent="0.3">
      <c r="A22" s="1"/>
      <c r="B22" s="16"/>
      <c r="C22" s="17"/>
      <c r="D22" s="17"/>
      <c r="E22" s="18"/>
      <c r="F22" s="19"/>
      <c r="G22" s="19"/>
      <c r="H22" s="19"/>
      <c r="I22" s="19"/>
      <c r="J22" s="38"/>
      <c r="K22" s="37"/>
      <c r="M22" s="62">
        <f>+G66+K44-H53</f>
        <v>0</v>
      </c>
      <c r="N22" s="63"/>
      <c r="S22" s="21"/>
    </row>
    <row r="23" spans="1:50" s="3" customFormat="1" x14ac:dyDescent="0.25">
      <c r="A23" s="1"/>
      <c r="B23" s="16"/>
      <c r="C23" s="17"/>
      <c r="D23" s="17"/>
      <c r="E23" s="18"/>
      <c r="F23" s="19"/>
      <c r="G23" s="19"/>
      <c r="H23" s="19"/>
      <c r="I23" s="19"/>
      <c r="J23" s="38"/>
      <c r="K23" s="37"/>
      <c r="L23"/>
      <c r="M23"/>
      <c r="N23"/>
      <c r="O23"/>
      <c r="P23" t="s">
        <v>31</v>
      </c>
      <c r="Q23"/>
      <c r="R23"/>
      <c r="S23" s="36">
        <f>+S21/N7*-1</f>
        <v>0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25">
      <c r="A24" s="26"/>
      <c r="B24" s="64"/>
      <c r="C24" s="65"/>
      <c r="D24" s="65"/>
      <c r="E24" s="66"/>
      <c r="F24"/>
      <c r="H24" s="1"/>
      <c r="J24" s="37"/>
      <c r="K24" s="21"/>
      <c r="P24" t="s">
        <v>25</v>
      </c>
      <c r="S24" s="50">
        <f>+I18</f>
        <v>0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25">
      <c r="D25" s="67"/>
      <c r="F25"/>
      <c r="M25" s="68"/>
      <c r="N25" s="69"/>
      <c r="Y25" s="3"/>
      <c r="Z25" s="3"/>
      <c r="AA25" s="3"/>
      <c r="AB25" s="3"/>
      <c r="AC25" s="3"/>
      <c r="AD25" s="3"/>
    </row>
    <row r="26" spans="1:50" x14ac:dyDescent="0.25">
      <c r="C26" s="67"/>
      <c r="D26" s="67"/>
      <c r="M26" s="70"/>
      <c r="N26" s="71"/>
      <c r="P26" s="1" t="s">
        <v>27</v>
      </c>
      <c r="R26" s="55"/>
      <c r="S26" s="56">
        <f>S23+S24</f>
        <v>0</v>
      </c>
    </row>
    <row r="27" spans="1:50" x14ac:dyDescent="0.25">
      <c r="A27" s="1"/>
      <c r="B27" s="72"/>
      <c r="C27" s="67"/>
      <c r="D27" s="67"/>
      <c r="M27" s="49"/>
      <c r="N27" s="49"/>
      <c r="O27" s="73"/>
      <c r="P27" s="1"/>
      <c r="S27" s="56"/>
    </row>
    <row r="28" spans="1:50" x14ac:dyDescent="0.25">
      <c r="A28" s="1" t="s">
        <v>32</v>
      </c>
      <c r="B28" s="72">
        <v>93485</v>
      </c>
      <c r="C28" s="67"/>
      <c r="D28" s="67"/>
      <c r="M28" s="74"/>
      <c r="N28" s="49"/>
      <c r="O28" s="73"/>
      <c r="P28" s="1"/>
      <c r="S28" s="75"/>
      <c r="U28" s="3"/>
      <c r="V28" s="3"/>
      <c r="W28" s="3"/>
      <c r="X28" s="3"/>
    </row>
    <row r="29" spans="1:50" x14ac:dyDescent="0.25">
      <c r="A29" s="6" t="s">
        <v>33</v>
      </c>
      <c r="B29" s="7"/>
      <c r="C29" s="76"/>
      <c r="D29" s="76"/>
      <c r="E29" s="8" t="s">
        <v>3</v>
      </c>
      <c r="F29" s="9">
        <v>37566</v>
      </c>
      <c r="K29" s="77"/>
      <c r="M29" s="74"/>
      <c r="N29" s="49"/>
      <c r="P29" s="6" t="s">
        <v>34</v>
      </c>
      <c r="Q29" s="7"/>
      <c r="R29" s="7"/>
      <c r="S29" s="78"/>
    </row>
    <row r="30" spans="1:50" ht="26.4" x14ac:dyDescent="0.25">
      <c r="A30" s="13" t="s">
        <v>5</v>
      </c>
      <c r="B30" s="13" t="s">
        <v>6</v>
      </c>
      <c r="C30" s="79" t="s">
        <v>7</v>
      </c>
      <c r="D30" s="14" t="s">
        <v>8</v>
      </c>
      <c r="E30" s="13" t="s">
        <v>9</v>
      </c>
      <c r="F30" s="13" t="s">
        <v>10</v>
      </c>
      <c r="G30" s="13" t="s">
        <v>11</v>
      </c>
      <c r="H30" s="13" t="s">
        <v>12</v>
      </c>
      <c r="I30" s="14" t="s">
        <v>13</v>
      </c>
      <c r="J30" s="14" t="s">
        <v>14</v>
      </c>
      <c r="K30" s="15"/>
      <c r="M30" s="74"/>
      <c r="N30" s="49"/>
      <c r="P30" s="13" t="s">
        <v>15</v>
      </c>
      <c r="Q30" s="13" t="s">
        <v>16</v>
      </c>
      <c r="R30" s="13" t="s">
        <v>17</v>
      </c>
      <c r="S30" s="14" t="s">
        <v>18</v>
      </c>
    </row>
    <row r="31" spans="1:50" x14ac:dyDescent="0.25">
      <c r="A31" s="1" t="s">
        <v>35</v>
      </c>
      <c r="B31" s="3" t="s">
        <v>36</v>
      </c>
      <c r="C31" s="80">
        <v>-28500</v>
      </c>
      <c r="D31" s="17">
        <f>C31*$G$2</f>
        <v>-883500</v>
      </c>
      <c r="F31" s="81"/>
      <c r="G31" s="81">
        <v>0.02</v>
      </c>
      <c r="H31" s="81"/>
      <c r="I31" s="81">
        <f t="shared" ref="I31:I37" si="0">E31+F31+G31+H31</f>
        <v>0.02</v>
      </c>
      <c r="J31" s="38">
        <f>(N16-G31)*D31</f>
        <v>30922.500000000004</v>
      </c>
      <c r="K31" s="77">
        <f>+(883500-A51)/D31*J31</f>
        <v>4270.49</v>
      </c>
    </row>
    <row r="32" spans="1:50" x14ac:dyDescent="0.25">
      <c r="A32" s="1"/>
      <c r="B32" s="16"/>
      <c r="C32" s="17"/>
      <c r="D32" s="17"/>
      <c r="E32" s="18"/>
      <c r="F32" s="19"/>
      <c r="G32" s="19"/>
      <c r="H32" s="19"/>
      <c r="I32" s="81">
        <f t="shared" si="0"/>
        <v>0</v>
      </c>
      <c r="J32" s="38">
        <f>IF($N$18&gt;I32,($N$18-I32)*D32,0)</f>
        <v>0</v>
      </c>
      <c r="K32" s="82"/>
      <c r="L32" t="s">
        <v>37</v>
      </c>
      <c r="M32" s="74"/>
      <c r="N32" s="49"/>
      <c r="P32">
        <f t="shared" ref="P32:P38" si="1">A32</f>
        <v>0</v>
      </c>
      <c r="Q32" s="3">
        <f t="shared" ref="Q32:Q38" si="2">D32*-1</f>
        <v>0</v>
      </c>
      <c r="R32" s="36">
        <f t="shared" ref="R32:R38" si="3">I32</f>
        <v>0</v>
      </c>
      <c r="S32" s="37">
        <f>IF($N$18&gt;R32,($N$18-R32)*Q32,0)</f>
        <v>0</v>
      </c>
    </row>
    <row r="33" spans="1:50" x14ac:dyDescent="0.25">
      <c r="A33" s="1"/>
      <c r="B33" s="16"/>
      <c r="C33" s="17"/>
      <c r="D33" s="17"/>
      <c r="E33" s="18"/>
      <c r="F33" s="19"/>
      <c r="G33" s="19"/>
      <c r="H33" s="19"/>
      <c r="I33" s="19">
        <f t="shared" si="0"/>
        <v>0</v>
      </c>
      <c r="J33" s="38">
        <f>(($N$18)-(E33+F33))*D33</f>
        <v>0</v>
      </c>
      <c r="K33" s="82"/>
      <c r="M33" s="74"/>
      <c r="N33" s="49"/>
      <c r="P33">
        <f t="shared" si="1"/>
        <v>0</v>
      </c>
      <c r="Q33" s="80">
        <f t="shared" si="2"/>
        <v>0</v>
      </c>
      <c r="R33" s="36">
        <f t="shared" si="3"/>
        <v>0</v>
      </c>
      <c r="S33" s="37">
        <f t="shared" ref="S33:S38" si="4">($N$18-R33)*Q33</f>
        <v>0</v>
      </c>
    </row>
    <row r="34" spans="1:50" x14ac:dyDescent="0.25">
      <c r="A34" s="1" t="s">
        <v>38</v>
      </c>
      <c r="B34" s="16" t="s">
        <v>39</v>
      </c>
      <c r="C34" s="17"/>
      <c r="D34" s="17">
        <v>300000</v>
      </c>
      <c r="E34" s="18">
        <v>2.2400000000000002</v>
      </c>
      <c r="F34" s="19">
        <v>0</v>
      </c>
      <c r="G34" s="19"/>
      <c r="H34" s="19"/>
      <c r="I34" s="19">
        <f t="shared" si="0"/>
        <v>2.2400000000000002</v>
      </c>
      <c r="J34" s="38">
        <f>(($N$18)-(E34+F34))*D34</f>
        <v>29999.999999999894</v>
      </c>
      <c r="K34" s="82"/>
      <c r="M34" s="74"/>
      <c r="N34" s="49"/>
      <c r="P34" t="str">
        <f t="shared" si="1"/>
        <v>EU3900.3</v>
      </c>
      <c r="Q34" s="80">
        <f t="shared" si="2"/>
        <v>-300000</v>
      </c>
      <c r="R34" s="36">
        <f t="shared" si="3"/>
        <v>2.2400000000000002</v>
      </c>
      <c r="S34" s="37">
        <f t="shared" si="4"/>
        <v>-29999.999999999894</v>
      </c>
    </row>
    <row r="35" spans="1:50" x14ac:dyDescent="0.25">
      <c r="A35" s="1" t="s">
        <v>40</v>
      </c>
      <c r="B35" s="16" t="s">
        <v>39</v>
      </c>
      <c r="C35" s="17"/>
      <c r="D35" s="17">
        <v>-300000</v>
      </c>
      <c r="E35" s="18">
        <v>2.2949999999999999</v>
      </c>
      <c r="F35" s="19">
        <v>0</v>
      </c>
      <c r="G35" s="19"/>
      <c r="H35" s="19"/>
      <c r="I35" s="19">
        <f t="shared" si="0"/>
        <v>2.2949999999999999</v>
      </c>
      <c r="J35" s="38">
        <f>(($N$18)-(E35+F35))*D35</f>
        <v>-13499.999999999978</v>
      </c>
      <c r="K35" s="82"/>
      <c r="M35" s="69"/>
      <c r="N35" s="49"/>
      <c r="P35" t="str">
        <f t="shared" si="1"/>
        <v>EU3900.6</v>
      </c>
      <c r="Q35" s="80">
        <f t="shared" si="2"/>
        <v>300000</v>
      </c>
      <c r="R35" s="36">
        <f t="shared" si="3"/>
        <v>2.2949999999999999</v>
      </c>
      <c r="S35" s="37">
        <f t="shared" si="4"/>
        <v>13499.999999999978</v>
      </c>
    </row>
    <row r="36" spans="1:50" x14ac:dyDescent="0.25">
      <c r="A36" s="1" t="s">
        <v>41</v>
      </c>
      <c r="B36" s="16" t="s">
        <v>39</v>
      </c>
      <c r="C36" s="17">
        <v>10000</v>
      </c>
      <c r="D36" s="17">
        <f>+C36*$G$2</f>
        <v>310000</v>
      </c>
      <c r="E36" s="18">
        <v>2.9775</v>
      </c>
      <c r="F36" s="19">
        <v>-7.7499999999999999E-2</v>
      </c>
      <c r="G36" s="19"/>
      <c r="H36" s="19"/>
      <c r="I36" s="19">
        <f t="shared" si="0"/>
        <v>2.9</v>
      </c>
      <c r="J36" s="38">
        <f>(($N$18)-(E36+F36))*D36</f>
        <v>-173600.00000000003</v>
      </c>
      <c r="K36" s="82"/>
      <c r="L36" s="16"/>
      <c r="M36" s="49"/>
      <c r="N36" s="49"/>
      <c r="P36" t="str">
        <f t="shared" si="1"/>
        <v>N13784.1</v>
      </c>
      <c r="Q36" s="80">
        <f t="shared" si="2"/>
        <v>-310000</v>
      </c>
      <c r="R36" s="36">
        <f t="shared" si="3"/>
        <v>2.9</v>
      </c>
      <c r="S36" s="37">
        <f t="shared" si="4"/>
        <v>173600.00000000003</v>
      </c>
    </row>
    <row r="37" spans="1:50" x14ac:dyDescent="0.25">
      <c r="A37" s="1"/>
      <c r="B37" s="16"/>
      <c r="C37" s="17"/>
      <c r="D37" s="17"/>
      <c r="E37" s="18"/>
      <c r="F37" s="19"/>
      <c r="G37" s="19"/>
      <c r="H37" s="19"/>
      <c r="I37" s="19">
        <f t="shared" si="0"/>
        <v>0</v>
      </c>
      <c r="J37" s="38">
        <f>(($N$18)-(E37+F37))*D37</f>
        <v>0</v>
      </c>
      <c r="K37" s="82"/>
      <c r="L37" s="16"/>
      <c r="M37" s="49"/>
      <c r="N37" s="49"/>
      <c r="P37">
        <f t="shared" si="1"/>
        <v>0</v>
      </c>
      <c r="Q37" s="80">
        <f t="shared" si="2"/>
        <v>0</v>
      </c>
      <c r="R37" s="36">
        <f t="shared" si="3"/>
        <v>0</v>
      </c>
      <c r="S37" s="37">
        <f t="shared" si="4"/>
        <v>0</v>
      </c>
    </row>
    <row r="38" spans="1:50" x14ac:dyDescent="0.25">
      <c r="A38" s="1"/>
      <c r="B38" s="16"/>
      <c r="C38" s="17"/>
      <c r="D38" s="17"/>
      <c r="E38" s="18"/>
      <c r="F38" s="19"/>
      <c r="G38" s="61"/>
      <c r="H38" s="61"/>
      <c r="I38" s="19"/>
      <c r="J38" s="38"/>
      <c r="L38" s="73"/>
      <c r="M38" s="69"/>
      <c r="N38" s="69"/>
      <c r="P38">
        <f t="shared" si="1"/>
        <v>0</v>
      </c>
      <c r="Q38" s="35">
        <f t="shared" si="2"/>
        <v>0</v>
      </c>
      <c r="R38" s="36">
        <f t="shared" si="3"/>
        <v>0</v>
      </c>
      <c r="S38" s="37">
        <f t="shared" si="4"/>
        <v>0</v>
      </c>
      <c r="T38" s="82"/>
    </row>
    <row r="39" spans="1:50" x14ac:dyDescent="0.25">
      <c r="C39" s="67"/>
      <c r="H39" s="1"/>
      <c r="K39" s="21"/>
      <c r="L39" s="83"/>
      <c r="M39" s="69"/>
      <c r="N39" s="71"/>
    </row>
    <row r="40" spans="1:50" x14ac:dyDescent="0.25">
      <c r="C40" s="67"/>
      <c r="H40" s="1" t="s">
        <v>22</v>
      </c>
      <c r="J40" s="21">
        <f>SUM(J31:J38)</f>
        <v>-126177.50000000012</v>
      </c>
      <c r="M40" s="49"/>
      <c r="N40" s="49"/>
      <c r="P40" t="s">
        <v>23</v>
      </c>
      <c r="S40" s="21">
        <f>SUM(S32:S38)</f>
        <v>157100.00000000012</v>
      </c>
    </row>
    <row r="41" spans="1:50" x14ac:dyDescent="0.25">
      <c r="C41" s="49"/>
      <c r="D41" s="49"/>
      <c r="E41" s="49"/>
      <c r="F41" s="84"/>
      <c r="G41" s="85"/>
      <c r="H41" s="49"/>
      <c r="I41" s="49"/>
      <c r="J41" s="49"/>
      <c r="K41" s="86"/>
      <c r="M41" s="49"/>
      <c r="N41" s="49"/>
      <c r="O41" s="73"/>
    </row>
    <row r="42" spans="1:50" x14ac:dyDescent="0.25">
      <c r="C42" s="49"/>
      <c r="D42" s="49"/>
      <c r="F42" s="69" t="s">
        <v>42</v>
      </c>
      <c r="I42" s="49"/>
      <c r="J42" s="49"/>
      <c r="K42" s="86">
        <f>(J40+J21+J9)*-1</f>
        <v>126177.50000000012</v>
      </c>
      <c r="M42" s="87"/>
      <c r="N42" s="87"/>
      <c r="P42" t="s">
        <v>31</v>
      </c>
      <c r="S42" s="36">
        <f>(S40/N9)*-1</f>
        <v>-0.50677419354838749</v>
      </c>
      <c r="X42" s="30"/>
    </row>
    <row r="43" spans="1:50" x14ac:dyDescent="0.25">
      <c r="C43" s="49"/>
      <c r="D43" s="49"/>
      <c r="E43" s="49"/>
      <c r="F43" s="88"/>
      <c r="G43" s="77"/>
      <c r="H43" s="77"/>
      <c r="I43" s="77"/>
      <c r="J43" s="77"/>
      <c r="K43" s="86"/>
      <c r="M43" s="69"/>
      <c r="N43" s="49"/>
      <c r="O43" s="3"/>
      <c r="P43" t="s">
        <v>43</v>
      </c>
      <c r="S43" s="89">
        <f>G31</f>
        <v>0.02</v>
      </c>
      <c r="X43" s="30"/>
    </row>
    <row r="44" spans="1:50" s="73" customFormat="1" ht="13.8" x14ac:dyDescent="0.25">
      <c r="A44"/>
      <c r="B44"/>
      <c r="C44"/>
      <c r="D44"/>
      <c r="E44"/>
      <c r="F44" s="90" t="s">
        <v>44</v>
      </c>
      <c r="G44" s="91"/>
      <c r="H44" s="91"/>
      <c r="I44" s="91"/>
      <c r="J44" s="92"/>
      <c r="K44" s="93">
        <f>+K42+K43</f>
        <v>126177.50000000012</v>
      </c>
      <c r="L44"/>
      <c r="M44" s="69"/>
      <c r="N44" s="49"/>
      <c r="O44" s="49"/>
      <c r="P44" s="1" t="s">
        <v>27</v>
      </c>
      <c r="Q44"/>
      <c r="R44" s="55" t="s">
        <v>45</v>
      </c>
      <c r="S44" s="94">
        <f>S42+S43</f>
        <v>-0.48677419354838747</v>
      </c>
      <c r="T44"/>
      <c r="U44"/>
      <c r="V44"/>
      <c r="W44"/>
      <c r="X44" s="30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73" customFormat="1" x14ac:dyDescent="0.25">
      <c r="A45"/>
      <c r="B45"/>
      <c r="C45"/>
      <c r="D45"/>
      <c r="E45"/>
      <c r="F45" s="3"/>
      <c r="G45"/>
      <c r="H45"/>
      <c r="I45"/>
      <c r="J45" s="69"/>
      <c r="K45" s="69"/>
      <c r="L45"/>
      <c r="M45" s="69"/>
      <c r="N45" s="49"/>
      <c r="O45" s="49"/>
      <c r="P45" s="1" t="s">
        <v>46</v>
      </c>
      <c r="Q45"/>
      <c r="R45"/>
      <c r="S45" s="95">
        <f>S44+N18</f>
        <v>1.8532258064516123</v>
      </c>
      <c r="T45"/>
      <c r="U45"/>
      <c r="V45"/>
      <c r="W45"/>
      <c r="X45" s="30"/>
      <c r="Y45"/>
      <c r="Z45"/>
      <c r="AA45"/>
      <c r="AB45"/>
      <c r="AC45"/>
      <c r="AD45"/>
    </row>
    <row r="46" spans="1:50" s="73" customFormat="1" x14ac:dyDescent="0.25">
      <c r="A46" s="6" t="s">
        <v>47</v>
      </c>
      <c r="B46" s="7"/>
      <c r="C46" s="7"/>
      <c r="D46" s="7"/>
      <c r="E46" s="7"/>
      <c r="F46" s="96"/>
      <c r="G46" s="49"/>
      <c r="H46"/>
      <c r="I46"/>
      <c r="J46" s="69"/>
      <c r="K46" s="69"/>
      <c r="L46"/>
      <c r="M46" s="69"/>
      <c r="N46" s="49"/>
      <c r="O46" s="49"/>
      <c r="P46" s="84"/>
      <c r="Q46" s="49"/>
      <c r="R46" s="49"/>
      <c r="S46" s="69"/>
      <c r="T46"/>
      <c r="U46"/>
      <c r="V46"/>
      <c r="W46"/>
      <c r="X46" s="30"/>
      <c r="Y46"/>
      <c r="Z46"/>
      <c r="AA46"/>
      <c r="AB46"/>
      <c r="AC46"/>
      <c r="AD46"/>
    </row>
    <row r="47" spans="1:50" s="73" customFormat="1" ht="26.4" x14ac:dyDescent="0.25">
      <c r="A47" s="13" t="s">
        <v>16</v>
      </c>
      <c r="B47" s="13" t="s">
        <v>29</v>
      </c>
      <c r="C47" s="13"/>
      <c r="D47" s="14" t="s">
        <v>11</v>
      </c>
      <c r="E47" s="13" t="s">
        <v>48</v>
      </c>
      <c r="F47" s="14" t="s">
        <v>49</v>
      </c>
      <c r="G47" s="13"/>
      <c r="H47" s="13" t="s">
        <v>50</v>
      </c>
      <c r="J47" s="97"/>
      <c r="K47" s="98" t="s">
        <v>32</v>
      </c>
      <c r="L47"/>
      <c r="M47" s="69"/>
      <c r="N47" s="49"/>
      <c r="O47" s="49"/>
      <c r="P47" s="30" t="s">
        <v>51</v>
      </c>
      <c r="Q47" s="30"/>
      <c r="R47" s="30"/>
      <c r="S47" s="30"/>
      <c r="T47"/>
      <c r="U47"/>
      <c r="V47"/>
      <c r="W47"/>
      <c r="X47" s="30"/>
      <c r="Y47"/>
      <c r="Z47"/>
      <c r="AA47"/>
      <c r="AB47"/>
      <c r="AC47"/>
      <c r="AD47"/>
    </row>
    <row r="48" spans="1:50" s="73" customFormat="1" x14ac:dyDescent="0.25">
      <c r="A48" s="99" t="s">
        <v>36</v>
      </c>
      <c r="B48" s="99"/>
      <c r="C48" s="99"/>
      <c r="D48" s="100"/>
      <c r="F48" s="99"/>
      <c r="G48" s="99"/>
      <c r="H48" s="99"/>
      <c r="J48" s="84"/>
      <c r="K48" s="84"/>
      <c r="L48"/>
      <c r="M48" s="69"/>
      <c r="N48" s="101"/>
      <c r="O48" s="49"/>
      <c r="P48" s="30" t="s">
        <v>52</v>
      </c>
      <c r="Q48" s="30"/>
      <c r="R48" s="30"/>
      <c r="S48" s="30"/>
      <c r="T48"/>
      <c r="U48"/>
      <c r="V48"/>
      <c r="W48"/>
      <c r="X48" s="30"/>
      <c r="Y48"/>
      <c r="Z48"/>
      <c r="AA48"/>
      <c r="AB48"/>
      <c r="AC48"/>
      <c r="AD48"/>
    </row>
    <row r="49" spans="1:50" s="73" customFormat="1" x14ac:dyDescent="0.25">
      <c r="A49" s="102"/>
      <c r="B49" s="103"/>
      <c r="C49" s="103"/>
      <c r="D49" s="103"/>
      <c r="E49" s="104">
        <v>0</v>
      </c>
      <c r="F49" s="105">
        <f>SUM(B49:E49)</f>
        <v>0</v>
      </c>
      <c r="G49"/>
      <c r="H49" s="106">
        <f>A49*F49</f>
        <v>0</v>
      </c>
      <c r="I49" s="107"/>
      <c r="J49" s="84"/>
      <c r="K49" s="87"/>
      <c r="L49"/>
      <c r="M49" s="69"/>
      <c r="N49" s="101"/>
      <c r="O49" s="49"/>
      <c r="P49" s="30" t="s">
        <v>53</v>
      </c>
      <c r="Q49" s="30"/>
      <c r="R49" s="30"/>
      <c r="S49" s="30"/>
      <c r="T49"/>
      <c r="U49"/>
      <c r="V49"/>
      <c r="W49"/>
      <c r="X49" s="30"/>
      <c r="Y49"/>
      <c r="Z49"/>
      <c r="AA49"/>
      <c r="AB49"/>
      <c r="AC49"/>
      <c r="AD49"/>
    </row>
    <row r="50" spans="1:50" x14ac:dyDescent="0.25">
      <c r="A50" s="108"/>
      <c r="B50" s="103"/>
      <c r="C50" s="103"/>
      <c r="D50" s="103"/>
      <c r="E50" s="104">
        <v>0</v>
      </c>
      <c r="F50" s="105">
        <f>SUM(B50:E50)</f>
        <v>0</v>
      </c>
      <c r="H50" s="106">
        <f>A50*F50</f>
        <v>0</v>
      </c>
      <c r="I50" s="107"/>
      <c r="J50" s="84"/>
      <c r="K50" s="87"/>
      <c r="M50" s="109"/>
      <c r="N50" s="101"/>
      <c r="O50" s="97"/>
      <c r="P50" s="110" t="s">
        <v>54</v>
      </c>
      <c r="Q50" s="110"/>
      <c r="R50" s="110"/>
      <c r="S50" s="110"/>
      <c r="T50" s="77"/>
      <c r="U50" s="77"/>
      <c r="V50" s="77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</row>
    <row r="51" spans="1:50" x14ac:dyDescent="0.25">
      <c r="A51" s="111">
        <f>883469+122045</f>
        <v>1005514</v>
      </c>
      <c r="B51" s="103">
        <f>$N$18</f>
        <v>2.34</v>
      </c>
      <c r="C51" s="103"/>
      <c r="D51" s="103">
        <f>$N$16</f>
        <v>-1.4999999999999999E-2</v>
      </c>
      <c r="E51" s="104">
        <v>0</v>
      </c>
      <c r="F51" s="105">
        <f>SUM(B51:E51)</f>
        <v>2.3249999999999997</v>
      </c>
      <c r="H51" s="112">
        <f>A51*F51+IF(A51&gt;H2,(A51-H2)*(N18+0.02-F51),0)</f>
        <v>2342090.54</v>
      </c>
      <c r="I51" s="107" t="s">
        <v>55</v>
      </c>
      <c r="J51" s="84"/>
      <c r="K51" s="87">
        <v>93485</v>
      </c>
      <c r="M51" s="113"/>
      <c r="N51" s="114"/>
      <c r="O51" s="114"/>
      <c r="P51" s="84"/>
      <c r="Q51" s="115"/>
      <c r="R51" s="49"/>
      <c r="S51" s="69"/>
      <c r="T51" s="69"/>
      <c r="U51" s="49"/>
      <c r="V51" s="49"/>
      <c r="W51" s="49"/>
      <c r="X51" s="49"/>
      <c r="Y51" s="73"/>
      <c r="Z51" s="73"/>
      <c r="AA51" s="73"/>
      <c r="AB51" s="73"/>
      <c r="AC51" s="73"/>
      <c r="AD51" s="73"/>
    </row>
    <row r="52" spans="1:50" x14ac:dyDescent="0.25">
      <c r="B52" s="103"/>
      <c r="C52" s="103"/>
      <c r="D52" s="103"/>
      <c r="F52" s="104"/>
      <c r="H52" s="3"/>
      <c r="J52" s="84"/>
      <c r="K52" s="84"/>
      <c r="L52" s="49"/>
      <c r="M52" s="113"/>
      <c r="N52" s="114"/>
      <c r="O52" s="114"/>
      <c r="P52" s="84"/>
      <c r="Q52" s="49"/>
      <c r="R52" s="49"/>
      <c r="S52" s="49"/>
      <c r="T52" s="69"/>
      <c r="U52" s="49"/>
      <c r="V52" s="49"/>
      <c r="W52" s="49"/>
      <c r="X52" s="49"/>
    </row>
    <row r="53" spans="1:50" ht="13.8" thickBot="1" x14ac:dyDescent="0.3">
      <c r="A53" s="116">
        <f>SUM(A49:A51)</f>
        <v>1005514</v>
      </c>
      <c r="H53" s="117">
        <f>SUM(H49:H51)</f>
        <v>2342090.54</v>
      </c>
      <c r="J53" s="84"/>
      <c r="K53" s="84"/>
      <c r="L53" s="49"/>
      <c r="M53" s="49"/>
      <c r="N53" s="49"/>
      <c r="O53" s="114"/>
      <c r="P53" s="87"/>
      <c r="Q53" s="118"/>
      <c r="R53" s="49"/>
      <c r="S53" s="49"/>
      <c r="T53" s="97"/>
      <c r="U53" s="84"/>
      <c r="V53" s="84"/>
      <c r="W53" s="97"/>
      <c r="X53" s="84"/>
    </row>
    <row r="54" spans="1:50" ht="13.8" thickTop="1" x14ac:dyDescent="0.25">
      <c r="C54" s="119"/>
      <c r="F54" s="120"/>
      <c r="J54" s="84"/>
      <c r="K54" s="84"/>
      <c r="L54" s="84"/>
      <c r="M54" s="49"/>
      <c r="N54" s="49"/>
      <c r="O54" s="114"/>
      <c r="P54" s="87"/>
      <c r="Q54" s="121"/>
      <c r="R54" s="49"/>
      <c r="S54" s="49"/>
      <c r="T54" s="84"/>
      <c r="U54" s="122"/>
      <c r="V54" s="122"/>
      <c r="W54" s="122"/>
      <c r="X54" s="115"/>
    </row>
    <row r="55" spans="1:50" x14ac:dyDescent="0.25">
      <c r="H55" s="73"/>
      <c r="J55" s="84"/>
      <c r="K55" s="84"/>
      <c r="L55" s="114"/>
      <c r="O55" s="114"/>
      <c r="P55" s="87"/>
      <c r="Q55" s="121"/>
      <c r="R55" s="49"/>
      <c r="S55" s="49"/>
      <c r="T55" s="84"/>
      <c r="U55" s="122"/>
      <c r="V55" s="122"/>
      <c r="W55" s="122"/>
      <c r="X55" s="115"/>
    </row>
    <row r="56" spans="1:50" x14ac:dyDescent="0.25">
      <c r="A56" s="6" t="s">
        <v>56</v>
      </c>
      <c r="B56" s="7"/>
      <c r="C56" s="7"/>
      <c r="D56" s="7"/>
      <c r="E56" s="7"/>
      <c r="F56" s="96"/>
      <c r="G56" s="49"/>
      <c r="H56" s="73"/>
      <c r="J56" s="49"/>
      <c r="K56" s="49"/>
      <c r="L56" s="114"/>
      <c r="M56" s="49"/>
      <c r="N56" s="49"/>
      <c r="O56" s="114"/>
      <c r="P56" s="123"/>
      <c r="Q56" s="124"/>
      <c r="R56" s="49"/>
      <c r="S56" s="49"/>
      <c r="T56" s="84"/>
      <c r="U56" s="114"/>
      <c r="V56" s="122"/>
      <c r="W56" s="122"/>
      <c r="X56" s="115"/>
    </row>
    <row r="57" spans="1:50" ht="26.4" x14ac:dyDescent="0.25">
      <c r="A57" s="125" t="s">
        <v>16</v>
      </c>
      <c r="B57" s="125"/>
      <c r="C57" s="125"/>
      <c r="D57" s="126" t="s">
        <v>27</v>
      </c>
      <c r="E57" s="125"/>
      <c r="F57" s="125"/>
      <c r="G57" s="125" t="s">
        <v>50</v>
      </c>
      <c r="H57" s="127"/>
      <c r="I57" s="127"/>
      <c r="J57" s="49"/>
      <c r="K57" s="49"/>
      <c r="L57" s="49"/>
      <c r="O57" s="49"/>
      <c r="P57" s="84"/>
      <c r="Q57" s="115"/>
      <c r="R57" s="49"/>
      <c r="S57" s="49"/>
      <c r="T57" s="84"/>
      <c r="U57" s="49"/>
      <c r="V57" s="49"/>
      <c r="W57" s="49"/>
      <c r="X57" s="128"/>
    </row>
    <row r="58" spans="1:50" x14ac:dyDescent="0.25">
      <c r="A58" s="87" t="s">
        <v>36</v>
      </c>
      <c r="B58" s="87"/>
      <c r="C58" s="87"/>
      <c r="D58" s="98"/>
      <c r="E58" s="87"/>
      <c r="F58" s="87"/>
      <c r="G58" s="87"/>
      <c r="H58" s="127"/>
      <c r="I58" s="129"/>
      <c r="J58" s="49"/>
      <c r="K58" s="49"/>
      <c r="L58" s="49"/>
      <c r="O58" s="49"/>
      <c r="P58" s="84"/>
      <c r="Q58" s="115"/>
      <c r="R58" s="49"/>
      <c r="S58" s="49"/>
      <c r="T58" s="49"/>
      <c r="U58" s="49"/>
      <c r="V58" s="49"/>
      <c r="W58" s="49"/>
      <c r="X58" s="49"/>
    </row>
    <row r="59" spans="1:50" s="127" customFormat="1" x14ac:dyDescent="0.25">
      <c r="A59" s="130">
        <f>+N5</f>
        <v>1</v>
      </c>
      <c r="B59" s="84"/>
      <c r="C59" s="84"/>
      <c r="D59" s="131">
        <f>+S14</f>
        <v>0</v>
      </c>
      <c r="E59" s="84"/>
      <c r="F59" s="84"/>
      <c r="G59" s="132">
        <f t="shared" ref="G59:G64" si="5">+A59*D59</f>
        <v>0</v>
      </c>
      <c r="H59" s="49"/>
      <c r="I59" s="49" t="s">
        <v>57</v>
      </c>
      <c r="J59" s="49"/>
      <c r="K59" s="49"/>
      <c r="L59" s="69"/>
      <c r="M59"/>
      <c r="N59"/>
      <c r="O59" s="87"/>
      <c r="P59" s="49"/>
      <c r="Q59" s="49"/>
      <c r="R59" s="49"/>
      <c r="S59" s="49"/>
      <c r="T59" s="49"/>
      <c r="U59" s="49"/>
      <c r="V59" s="49"/>
      <c r="W59" s="49"/>
      <c r="X59" s="49"/>
    </row>
    <row r="60" spans="1:50" s="127" customFormat="1" x14ac:dyDescent="0.25">
      <c r="A60" s="130">
        <f>+A49-A59</f>
        <v>-1</v>
      </c>
      <c r="B60" s="84"/>
      <c r="C60" s="84"/>
      <c r="D60" s="131">
        <f>+S12</f>
        <v>0</v>
      </c>
      <c r="E60" s="84"/>
      <c r="F60" s="84"/>
      <c r="G60" s="132">
        <f t="shared" si="5"/>
        <v>0</v>
      </c>
      <c r="H60" s="49"/>
      <c r="I60" s="49" t="s">
        <v>58</v>
      </c>
      <c r="J60" s="49"/>
      <c r="K60"/>
      <c r="L60" s="122"/>
      <c r="M60"/>
      <c r="N60"/>
      <c r="O60" s="49"/>
      <c r="P60"/>
      <c r="Q60"/>
      <c r="R60"/>
      <c r="S60"/>
      <c r="T60" s="49"/>
      <c r="U60" s="49"/>
      <c r="V60" s="49"/>
    </row>
    <row r="61" spans="1:50" s="127" customFormat="1" x14ac:dyDescent="0.25">
      <c r="A61" s="130">
        <f>+N7</f>
        <v>1</v>
      </c>
      <c r="B61" s="84"/>
      <c r="C61" s="84"/>
      <c r="D61" s="131">
        <f>+S26</f>
        <v>0</v>
      </c>
      <c r="E61" s="84"/>
      <c r="F61" s="84"/>
      <c r="G61" s="132">
        <f t="shared" si="5"/>
        <v>0</v>
      </c>
      <c r="H61" s="49"/>
      <c r="I61" t="s">
        <v>59</v>
      </c>
      <c r="J61"/>
      <c r="K61"/>
      <c r="L61" s="122"/>
      <c r="M61"/>
      <c r="O61"/>
      <c r="P61"/>
      <c r="Q61"/>
      <c r="R61"/>
      <c r="S61"/>
    </row>
    <row r="62" spans="1:50" s="127" customFormat="1" x14ac:dyDescent="0.25">
      <c r="A62" s="130">
        <f>+A50-A61</f>
        <v>-1</v>
      </c>
      <c r="B62" s="84"/>
      <c r="C62" s="84"/>
      <c r="D62" s="131">
        <f>+S24</f>
        <v>0</v>
      </c>
      <c r="E62" s="84"/>
      <c r="F62" s="84"/>
      <c r="G62" s="132">
        <f t="shared" si="5"/>
        <v>0</v>
      </c>
      <c r="H62" s="49"/>
      <c r="I62" t="s">
        <v>58</v>
      </c>
      <c r="J62"/>
      <c r="K62"/>
      <c r="L62" s="122"/>
      <c r="M62"/>
      <c r="O62"/>
      <c r="P62"/>
      <c r="Q62"/>
      <c r="R62"/>
      <c r="S62"/>
    </row>
    <row r="63" spans="1:50" s="127" customFormat="1" ht="12" customHeight="1" x14ac:dyDescent="0.25">
      <c r="A63" s="130">
        <f>+N9</f>
        <v>310000</v>
      </c>
      <c r="B63" s="84"/>
      <c r="C63" s="84"/>
      <c r="D63" s="131">
        <f>+S45</f>
        <v>1.8532258064516123</v>
      </c>
      <c r="E63" s="84"/>
      <c r="F63" s="84"/>
      <c r="G63" s="132">
        <f t="shared" si="5"/>
        <v>574499.99999999977</v>
      </c>
      <c r="H63"/>
      <c r="I63" t="s">
        <v>60</v>
      </c>
      <c r="J63"/>
      <c r="K63"/>
      <c r="L63" s="49"/>
      <c r="M63"/>
      <c r="P63"/>
      <c r="Q63"/>
      <c r="R63"/>
      <c r="S63"/>
    </row>
    <row r="64" spans="1:50" s="127" customFormat="1" x14ac:dyDescent="0.25">
      <c r="A64" s="80">
        <f>+A51-A63</f>
        <v>695514</v>
      </c>
      <c r="B64" s="3"/>
      <c r="C64" s="3"/>
      <c r="D64" s="133">
        <f>+N18+S43</f>
        <v>2.36</v>
      </c>
      <c r="E64" s="3"/>
      <c r="F64" s="3"/>
      <c r="G64" s="134">
        <f t="shared" si="5"/>
        <v>1641413.0399999998</v>
      </c>
      <c r="H64"/>
      <c r="I64" t="s">
        <v>58</v>
      </c>
      <c r="J64"/>
      <c r="K64"/>
      <c r="L64" s="49"/>
      <c r="M64"/>
      <c r="P64"/>
      <c r="Q64"/>
      <c r="R64"/>
      <c r="S64"/>
    </row>
    <row r="65" spans="1:74" s="127" customFormat="1" x14ac:dyDescent="0.25">
      <c r="A65"/>
      <c r="B65"/>
      <c r="C65"/>
      <c r="D65"/>
      <c r="E65"/>
      <c r="F65" s="3"/>
      <c r="G65"/>
      <c r="H65"/>
      <c r="I65"/>
      <c r="J65"/>
      <c r="K65"/>
      <c r="M65"/>
      <c r="P65"/>
      <c r="Q65"/>
      <c r="R65"/>
      <c r="S65"/>
    </row>
    <row r="66" spans="1:74" s="127" customFormat="1" ht="13.8" thickBot="1" x14ac:dyDescent="0.3">
      <c r="A66" s="135">
        <f>SUM(A59:A65)</f>
        <v>1005514</v>
      </c>
      <c r="B66" s="1"/>
      <c r="C66" s="1"/>
      <c r="D66" s="1"/>
      <c r="E66" s="1"/>
      <c r="F66" s="73"/>
      <c r="G66" s="136">
        <f>SUM(G59:G65)</f>
        <v>2215913.0399999996</v>
      </c>
      <c r="H66"/>
      <c r="I66"/>
      <c r="J66"/>
      <c r="K66"/>
      <c r="M66"/>
      <c r="P66"/>
      <c r="Q66"/>
      <c r="R66"/>
      <c r="S66"/>
    </row>
    <row r="67" spans="1:74" s="127" customFormat="1" ht="13.8" thickTop="1" x14ac:dyDescent="0.25">
      <c r="A67"/>
      <c r="B67"/>
      <c r="C67"/>
      <c r="D67"/>
      <c r="E67"/>
      <c r="F67" s="3"/>
      <c r="G67"/>
      <c r="H67"/>
      <c r="I67"/>
      <c r="J67"/>
      <c r="K67"/>
      <c r="M67"/>
      <c r="N67" s="137"/>
      <c r="P67"/>
      <c r="Q67"/>
      <c r="R67"/>
      <c r="S67"/>
    </row>
    <row r="68" spans="1:74" s="127" customFormat="1" x14ac:dyDescent="0.25">
      <c r="A68"/>
      <c r="B68"/>
      <c r="C68"/>
      <c r="D68"/>
      <c r="E68"/>
      <c r="F68" s="3"/>
      <c r="G68"/>
      <c r="H68"/>
      <c r="I68"/>
      <c r="J68"/>
      <c r="K68"/>
      <c r="L68"/>
      <c r="M68"/>
      <c r="N68"/>
      <c r="P68"/>
      <c r="Q68"/>
      <c r="R68"/>
      <c r="S68"/>
    </row>
    <row r="69" spans="1:74" x14ac:dyDescent="0.25">
      <c r="L69" s="49"/>
      <c r="M69" s="49"/>
      <c r="N69" s="49"/>
    </row>
    <row r="70" spans="1:74" s="127" customFormat="1" x14ac:dyDescent="0.25">
      <c r="A70"/>
      <c r="B70"/>
      <c r="C70"/>
      <c r="D70"/>
      <c r="E70"/>
      <c r="F70" s="3"/>
      <c r="G70"/>
      <c r="H70"/>
      <c r="I70"/>
      <c r="J70"/>
      <c r="K70"/>
      <c r="L70" s="49"/>
      <c r="M70" s="49"/>
      <c r="N70" s="49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</row>
    <row r="71" spans="1:74" s="49" customFormat="1" x14ac:dyDescent="0.25">
      <c r="A71"/>
      <c r="B71"/>
      <c r="C71"/>
      <c r="D71"/>
      <c r="E71"/>
      <c r="F71" s="3"/>
      <c r="G71"/>
      <c r="H71"/>
      <c r="I71"/>
      <c r="J71"/>
      <c r="K71"/>
      <c r="P71"/>
      <c r="Q71"/>
      <c r="R71"/>
      <c r="S71"/>
    </row>
    <row r="72" spans="1:74" s="49" customFormat="1" x14ac:dyDescent="0.25">
      <c r="A72"/>
      <c r="B72"/>
      <c r="C72"/>
      <c r="D72"/>
      <c r="E72"/>
      <c r="F72" s="3"/>
      <c r="G72"/>
      <c r="H72"/>
      <c r="I72"/>
      <c r="J72"/>
      <c r="K72"/>
      <c r="L72"/>
      <c r="M72"/>
      <c r="N72"/>
      <c r="P72"/>
      <c r="Q72"/>
      <c r="R72"/>
      <c r="S72"/>
    </row>
    <row r="73" spans="1:74" s="49" customFormat="1" x14ac:dyDescent="0.25">
      <c r="A73"/>
      <c r="B73"/>
      <c r="C73"/>
      <c r="D73"/>
      <c r="E73"/>
      <c r="F73" s="3"/>
      <c r="G73"/>
      <c r="H73"/>
      <c r="I73"/>
      <c r="J73"/>
      <c r="K73"/>
      <c r="L73"/>
      <c r="M73"/>
      <c r="N73"/>
      <c r="P73"/>
      <c r="Q73"/>
      <c r="R73"/>
      <c r="S73"/>
    </row>
  </sheetData>
  <mergeCells count="1">
    <mergeCell ref="P1:S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2000-01-31T16:56:25Z</dcterms:created>
  <dcterms:modified xsi:type="dcterms:W3CDTF">2023-09-10T11:02:11Z</dcterms:modified>
</cp:coreProperties>
</file>