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68" windowWidth="14652" windowHeight="8148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B2" i="1" l="1"/>
  <c r="B3" i="1"/>
  <c r="B4" i="1"/>
  <c r="D5" i="1"/>
  <c r="E5" i="1"/>
  <c r="B6" i="1"/>
  <c r="B7" i="1"/>
  <c r="B12" i="1"/>
  <c r="B13" i="1"/>
  <c r="Z13" i="1"/>
  <c r="Z14" i="1"/>
  <c r="Z15" i="1"/>
  <c r="Z16" i="1"/>
  <c r="M17" i="1"/>
  <c r="Z19" i="1"/>
  <c r="Z20" i="1"/>
  <c r="D27" i="1"/>
  <c r="E27" i="1"/>
  <c r="B28" i="1"/>
  <c r="D28" i="1"/>
  <c r="E28" i="1"/>
  <c r="G28" i="1"/>
  <c r="H28" i="1"/>
  <c r="I28" i="1"/>
  <c r="L28" i="1"/>
  <c r="Y28" i="1"/>
  <c r="B29" i="1"/>
  <c r="D29" i="1"/>
  <c r="E29" i="1"/>
  <c r="G29" i="1"/>
  <c r="H29" i="1"/>
  <c r="I29" i="1"/>
  <c r="L29" i="1"/>
  <c r="A30" i="1"/>
  <c r="D30" i="1"/>
  <c r="E30" i="1"/>
  <c r="G30" i="1"/>
  <c r="H30" i="1"/>
  <c r="I30" i="1"/>
  <c r="L30" i="1"/>
  <c r="D31" i="1"/>
  <c r="E31" i="1"/>
  <c r="G31" i="1"/>
  <c r="H31" i="1"/>
  <c r="I31" i="1"/>
  <c r="L31" i="1"/>
  <c r="D32" i="1"/>
  <c r="E32" i="1"/>
  <c r="H32" i="1"/>
  <c r="I32" i="1"/>
  <c r="L32" i="1"/>
  <c r="D33" i="1"/>
  <c r="E33" i="1"/>
  <c r="H33" i="1"/>
  <c r="I33" i="1"/>
  <c r="J33" i="1"/>
  <c r="L33" i="1"/>
  <c r="Y33" i="1"/>
  <c r="B34" i="1"/>
  <c r="D34" i="1"/>
  <c r="E34" i="1"/>
  <c r="H34" i="1"/>
  <c r="I34" i="1"/>
  <c r="L34" i="1"/>
  <c r="E35" i="1"/>
  <c r="B36" i="1"/>
  <c r="D36" i="1"/>
  <c r="E36" i="1"/>
  <c r="H36" i="1"/>
  <c r="C38" i="1"/>
  <c r="D41" i="1"/>
  <c r="D42" i="1"/>
  <c r="D43" i="1"/>
  <c r="D44" i="1"/>
  <c r="D45" i="1"/>
  <c r="D47" i="1"/>
  <c r="D49" i="1"/>
</calcChain>
</file>

<file path=xl/sharedStrings.xml><?xml version="1.0" encoding="utf-8"?>
<sst xmlns="http://schemas.openxmlformats.org/spreadsheetml/2006/main" count="57" uniqueCount="57">
  <si>
    <t>Month</t>
  </si>
  <si>
    <t>In DD/MM/YY Format</t>
  </si>
  <si>
    <t>DO NOT REMOVE THESE FIELDS</t>
  </si>
  <si>
    <t>Days</t>
  </si>
  <si>
    <t>Total Booked</t>
  </si>
  <si>
    <t>Total Fixed</t>
  </si>
  <si>
    <t>Estimated Vols</t>
  </si>
  <si>
    <t>Total Entex Residential and Commercial Vols</t>
  </si>
  <si>
    <t xml:space="preserve">Include Huntsville, </t>
  </si>
  <si>
    <t>Actual Vols</t>
  </si>
  <si>
    <t>UA4 Rate</t>
  </si>
  <si>
    <t>DO NOT INCLUDE INDUSTRIAL VOLUMES</t>
  </si>
  <si>
    <t>Conroe, Woodlands.</t>
  </si>
  <si>
    <t>Index</t>
  </si>
  <si>
    <t>Mid</t>
  </si>
  <si>
    <t>Other Adder</t>
  </si>
  <si>
    <t>Transport Adder</t>
  </si>
  <si>
    <t>Desk Price</t>
  </si>
  <si>
    <t>Sitara Vols</t>
  </si>
  <si>
    <t>Huntsville(70211)</t>
  </si>
  <si>
    <t>Conroe(70222)</t>
  </si>
  <si>
    <t>Obtain these vols from Economics Detail or Logistics</t>
  </si>
  <si>
    <t>Woodlands(70235)</t>
  </si>
  <si>
    <t>in order to ensure accurate OA figure</t>
  </si>
  <si>
    <t>Get a vol expectation for meter #0073</t>
  </si>
  <si>
    <t xml:space="preserve">All Vols on </t>
  </si>
  <si>
    <t>Meter #0073</t>
  </si>
  <si>
    <t>OA Matrix</t>
  </si>
  <si>
    <t>Estimate</t>
  </si>
  <si>
    <t>Invoice</t>
  </si>
  <si>
    <t>Liquidations</t>
  </si>
  <si>
    <t>Description</t>
  </si>
  <si>
    <t>Desk Mgmt Fee</t>
  </si>
  <si>
    <t>Deal #</t>
  </si>
  <si>
    <t>Vol/mo</t>
  </si>
  <si>
    <t>Cust Px</t>
  </si>
  <si>
    <t>Nominal PX</t>
  </si>
  <si>
    <t>70549 Transport</t>
  </si>
  <si>
    <t>Conroe, Huntsville, Woodlands</t>
  </si>
  <si>
    <t>Input vols from 70549</t>
  </si>
  <si>
    <t>EV1565.1</t>
  </si>
  <si>
    <t>UA4</t>
  </si>
  <si>
    <t>ES0628.1</t>
  </si>
  <si>
    <t>Option</t>
  </si>
  <si>
    <t>Totals</t>
  </si>
  <si>
    <t>Should Equal Actuals</t>
  </si>
  <si>
    <t>Net Impact to the NGP&amp;L</t>
  </si>
  <si>
    <t>Liquidation on additional premium for fixed price tiers</t>
  </si>
  <si>
    <t>Variance ID:</t>
  </si>
  <si>
    <t>ES2026.1</t>
  </si>
  <si>
    <t>Actual&lt;Firm</t>
  </si>
  <si>
    <t>Estimated in 7/99-8/99 P&amp;L, 10/99</t>
  </si>
  <si>
    <t>HWC Actual&gt;Firm</t>
  </si>
  <si>
    <t>Fixed Price Tiers</t>
  </si>
  <si>
    <t>Desk Management Fee</t>
  </si>
  <si>
    <t>UA4 Impact</t>
  </si>
  <si>
    <t>Net Impact to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</si>
</sst>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0"/>
    <numFmt numFmtId="165" formatCode="&quot;$&quot;#,##0.0000"/>
    <numFmt numFmtId="166" formatCode="&quot;$&quot;#,##0.00"/>
    <numFmt numFmtId="167" formatCode="&quot;$&quot;#,##0.000_);\(&quot;$&quot;#,##0.000\)"/>
    <numFmt numFmtId="168" formatCode="\I\+&quot;$&quot;0.###"/>
    <numFmt numFmtId="169" formatCode="&quot;$&quot;#,##0"/>
    <numFmt numFmtId="170" formatCode="&quot;$&quot;#,##0.000000_);[Red]\(&quot;$&quot;#,##0.000000\)"/>
  </numFmts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/>
    </xf>
    <xf numFmtId="17" fontId="1" fillId="2" borderId="1" xfId="0" applyNumberFormat="1" applyFont="1" applyFill="1" applyBorder="1" applyAlignment="1" applyProtection="1">
      <alignment horizontal="center"/>
      <protection locked="0"/>
    </xf>
    <xf numFmtId="0" fontId="2" fillId="0" borderId="0" xfId="0" applyFont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0" fillId="0" borderId="0" xfId="0" applyNumberFormat="1"/>
    <xf numFmtId="0" fontId="3" fillId="0" borderId="0" xfId="0" applyFont="1"/>
    <xf numFmtId="0" fontId="1" fillId="0" borderId="0" xfId="0" applyFont="1" applyFill="1" applyBorder="1" applyAlignment="1">
      <alignment horizontal="center"/>
    </xf>
    <xf numFmtId="3" fontId="1" fillId="2" borderId="1" xfId="0" applyNumberFormat="1" applyFont="1" applyFill="1" applyBorder="1" applyAlignment="1" applyProtection="1">
      <alignment horizontal="center"/>
      <protection locked="0"/>
    </xf>
    <xf numFmtId="164" fontId="1" fillId="2" borderId="1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Border="1"/>
    <xf numFmtId="0" fontId="0" fillId="0" borderId="0" xfId="0" applyBorder="1"/>
    <xf numFmtId="165" fontId="1" fillId="2" borderId="1" xfId="0" applyNumberFormat="1" applyFont="1" applyFill="1" applyBorder="1" applyAlignment="1" applyProtection="1">
      <alignment horizontal="center"/>
      <protection locked="0"/>
    </xf>
    <xf numFmtId="166" fontId="0" fillId="0" borderId="0" xfId="0" applyNumberFormat="1"/>
    <xf numFmtId="16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37" fontId="0" fillId="0" borderId="0" xfId="0" applyNumberFormat="1"/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1" fillId="5" borderId="1" xfId="0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/>
    </xf>
    <xf numFmtId="0" fontId="0" fillId="0" borderId="0" xfId="0" applyFill="1" applyBorder="1"/>
    <xf numFmtId="5" fontId="0" fillId="0" borderId="0" xfId="0" applyNumberFormat="1"/>
    <xf numFmtId="0" fontId="2" fillId="0" borderId="0" xfId="0" applyFont="1" applyFill="1" applyBorder="1" applyAlignment="1">
      <alignment horizontal="center"/>
    </xf>
    <xf numFmtId="167" fontId="0" fillId="0" borderId="0" xfId="0" applyNumberFormat="1"/>
    <xf numFmtId="0" fontId="2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3" xfId="0" applyFill="1" applyBorder="1"/>
    <xf numFmtId="37" fontId="0" fillId="5" borderId="3" xfId="0" applyNumberFormat="1" applyFill="1" applyBorder="1"/>
    <xf numFmtId="0" fontId="0" fillId="5" borderId="4" xfId="0" applyFill="1" applyBorder="1"/>
    <xf numFmtId="0" fontId="0" fillId="5" borderId="5" xfId="0" applyFill="1" applyBorder="1" applyAlignment="1">
      <alignment horizontal="center"/>
    </xf>
    <xf numFmtId="0" fontId="0" fillId="5" borderId="0" xfId="0" applyFill="1" applyBorder="1"/>
    <xf numFmtId="0" fontId="0" fillId="5" borderId="6" xfId="0" applyFill="1" applyBorder="1"/>
    <xf numFmtId="0" fontId="1" fillId="7" borderId="8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5" fontId="0" fillId="5" borderId="6" xfId="0" applyNumberFormat="1" applyFill="1" applyBorder="1"/>
    <xf numFmtId="5" fontId="0" fillId="5" borderId="0" xfId="0" applyNumberFormat="1" applyFill="1" applyBorder="1" applyAlignment="1">
      <alignment horizontal="center"/>
    </xf>
    <xf numFmtId="7" fontId="0" fillId="5" borderId="6" xfId="0" applyNumberFormat="1" applyFill="1" applyBorder="1"/>
    <xf numFmtId="6" fontId="0" fillId="5" borderId="0" xfId="0" applyNumberFormat="1" applyFill="1" applyBorder="1" applyAlignment="1">
      <alignment horizontal="center"/>
    </xf>
    <xf numFmtId="37" fontId="0" fillId="5" borderId="10" xfId="0" applyNumberFormat="1" applyFill="1" applyBorder="1" applyAlignment="1">
      <alignment horizontal="center"/>
    </xf>
    <xf numFmtId="167" fontId="0" fillId="5" borderId="10" xfId="0" applyNumberFormat="1" applyFill="1" applyBorder="1" applyAlignment="1">
      <alignment horizontal="center"/>
    </xf>
    <xf numFmtId="167" fontId="0" fillId="5" borderId="6" xfId="0" applyNumberFormat="1" applyFill="1" applyBorder="1" applyAlignment="1">
      <alignment horizontal="center"/>
    </xf>
    <xf numFmtId="17" fontId="1" fillId="4" borderId="8" xfId="0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37" fontId="0" fillId="5" borderId="11" xfId="0" applyNumberFormat="1" applyFill="1" applyBorder="1" applyAlignment="1">
      <alignment horizontal="center"/>
    </xf>
    <xf numFmtId="17" fontId="1" fillId="4" borderId="6" xfId="0" applyNumberFormat="1" applyFont="1" applyFill="1" applyBorder="1" applyAlignment="1">
      <alignment horizontal="center"/>
    </xf>
    <xf numFmtId="168" fontId="0" fillId="5" borderId="6" xfId="0" applyNumberFormat="1" applyFill="1" applyBorder="1" applyAlignment="1">
      <alignment horizontal="center"/>
    </xf>
    <xf numFmtId="17" fontId="1" fillId="4" borderId="12" xfId="0" applyNumberFormat="1" applyFont="1" applyFill="1" applyBorder="1" applyAlignment="1">
      <alignment horizontal="center"/>
    </xf>
    <xf numFmtId="0" fontId="1" fillId="5" borderId="0" xfId="0" applyFont="1" applyFill="1" applyBorder="1"/>
    <xf numFmtId="0" fontId="5" fillId="0" borderId="0" xfId="0" applyFont="1" applyFill="1" applyBorder="1"/>
    <xf numFmtId="5" fontId="0" fillId="5" borderId="14" xfId="0" applyNumberForma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37" fontId="0" fillId="5" borderId="15" xfId="0" applyNumberFormat="1" applyFill="1" applyBorder="1" applyAlignment="1">
      <alignment horizontal="center"/>
    </xf>
    <xf numFmtId="168" fontId="0" fillId="5" borderId="12" xfId="0" applyNumberFormat="1" applyFill="1" applyBorder="1" applyAlignment="1">
      <alignment horizontal="center"/>
    </xf>
    <xf numFmtId="0" fontId="0" fillId="5" borderId="5" xfId="0" applyFill="1" applyBorder="1"/>
    <xf numFmtId="0" fontId="1" fillId="5" borderId="6" xfId="0" applyFont="1" applyFill="1" applyBorder="1"/>
    <xf numFmtId="5" fontId="1" fillId="5" borderId="8" xfId="0" applyNumberFormat="1" applyFont="1" applyFill="1" applyBorder="1" applyAlignment="1">
      <alignment horizontal="center"/>
    </xf>
    <xf numFmtId="5" fontId="1" fillId="5" borderId="9" xfId="0" applyNumberFormat="1" applyFont="1" applyFill="1" applyBorder="1" applyAlignment="1">
      <alignment horizontal="center"/>
    </xf>
    <xf numFmtId="37" fontId="1" fillId="5" borderId="16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2" xfId="0" applyFill="1" applyBorder="1"/>
    <xf numFmtId="6" fontId="0" fillId="0" borderId="0" xfId="0" applyNumberFormat="1" applyAlignment="1">
      <alignment horizontal="center"/>
    </xf>
    <xf numFmtId="0" fontId="5" fillId="0" borderId="0" xfId="0" applyFont="1"/>
    <xf numFmtId="6" fontId="0" fillId="0" borderId="0" xfId="0" applyNumberFormat="1" applyBorder="1" applyAlignment="1">
      <alignment horizontal="center"/>
    </xf>
    <xf numFmtId="6" fontId="0" fillId="0" borderId="14" xfId="0" applyNumberFormat="1" applyBorder="1" applyAlignment="1">
      <alignment horizontal="center"/>
    </xf>
    <xf numFmtId="6" fontId="0" fillId="0" borderId="16" xfId="0" applyNumberFormat="1" applyBorder="1" applyAlignment="1">
      <alignment horizontal="center"/>
    </xf>
    <xf numFmtId="6" fontId="0" fillId="0" borderId="0" xfId="0" applyNumberFormat="1"/>
    <xf numFmtId="170" fontId="0" fillId="0" borderId="0" xfId="0" applyNumberFormat="1"/>
    <xf numFmtId="1" fontId="0" fillId="0" borderId="0" xfId="0" applyNumberFormat="1" applyBorder="1"/>
    <xf numFmtId="6" fontId="0" fillId="0" borderId="0" xfId="0" applyNumberFormat="1" applyBorder="1"/>
    <xf numFmtId="5" fontId="0" fillId="0" borderId="0" xfId="0" applyNumberFormat="1" applyBorder="1"/>
    <xf numFmtId="0" fontId="1" fillId="7" borderId="7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69" fontId="0" fillId="5" borderId="13" xfId="0" applyNumberFormat="1" applyFill="1" applyBorder="1" applyAlignment="1">
      <alignment horizontal="center"/>
    </xf>
    <xf numFmtId="169" fontId="0" fillId="5" borderId="12" xfId="0" applyNumberFormat="1" applyFill="1" applyBorder="1" applyAlignment="1">
      <alignment horizontal="center"/>
    </xf>
    <xf numFmtId="5" fontId="1" fillId="5" borderId="7" xfId="0" applyNumberFormat="1" applyFont="1" applyFill="1" applyBorder="1" applyAlignment="1">
      <alignment horizontal="center"/>
    </xf>
    <xf numFmtId="5" fontId="1" fillId="5" borderId="8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5" fontId="1" fillId="3" borderId="13" xfId="0" applyNumberFormat="1" applyFont="1" applyFill="1" applyBorder="1" applyAlignment="1">
      <alignment horizontal="center"/>
    </xf>
    <xf numFmtId="5" fontId="1" fillId="3" borderId="12" xfId="0" applyNumberFormat="1" applyFont="1" applyFill="1" applyBorder="1" applyAlignment="1">
      <alignment horizontal="center"/>
    </xf>
    <xf numFmtId="5" fontId="0" fillId="5" borderId="5" xfId="0" applyNumberFormat="1" applyFill="1" applyBorder="1" applyAlignment="1">
      <alignment horizontal="center"/>
    </xf>
    <xf numFmtId="5" fontId="0" fillId="5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99060</xdr:rowOff>
    </xdr:from>
    <xdr:to>
      <xdr:col>4</xdr:col>
      <xdr:colOff>365760</xdr:colOff>
      <xdr:row>0</xdr:row>
      <xdr:rowOff>99060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2141220" y="99060"/>
          <a:ext cx="2202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45720</xdr:colOff>
      <xdr:row>16</xdr:row>
      <xdr:rowOff>53340</xdr:rowOff>
    </xdr:from>
    <xdr:to>
      <xdr:col>2</xdr:col>
      <xdr:colOff>541020</xdr:colOff>
      <xdr:row>17</xdr:row>
      <xdr:rowOff>45720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072640" y="2689860"/>
          <a:ext cx="495300" cy="160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76200</xdr:colOff>
      <xdr:row>17</xdr:row>
      <xdr:rowOff>114300</xdr:rowOff>
    </xdr:from>
    <xdr:to>
      <xdr:col>2</xdr:col>
      <xdr:colOff>495300</xdr:colOff>
      <xdr:row>18</xdr:row>
      <xdr:rowOff>129540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V="1">
          <a:off x="2103120" y="2918460"/>
          <a:ext cx="419100" cy="1752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160020</xdr:colOff>
      <xdr:row>5</xdr:row>
      <xdr:rowOff>99060</xdr:rowOff>
    </xdr:from>
    <xdr:to>
      <xdr:col>4</xdr:col>
      <xdr:colOff>365760</xdr:colOff>
      <xdr:row>5</xdr:row>
      <xdr:rowOff>99060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H="1">
          <a:off x="2186940" y="937260"/>
          <a:ext cx="21564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640080</xdr:colOff>
      <xdr:row>19</xdr:row>
      <xdr:rowOff>30480</xdr:rowOff>
    </xdr:from>
    <xdr:to>
      <xdr:col>0</xdr:col>
      <xdr:colOff>640080</xdr:colOff>
      <xdr:row>20</xdr:row>
      <xdr:rowOff>106680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V="1">
          <a:off x="640080" y="3162300"/>
          <a:ext cx="0" cy="213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769620</xdr:colOff>
      <xdr:row>31</xdr:row>
      <xdr:rowOff>160020</xdr:rowOff>
    </xdr:from>
    <xdr:to>
      <xdr:col>6</xdr:col>
      <xdr:colOff>304800</xdr:colOff>
      <xdr:row>38</xdr:row>
      <xdr:rowOff>45720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 flipH="1" flipV="1">
          <a:off x="4747260" y="5212080"/>
          <a:ext cx="990600" cy="1074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411480</xdr:colOff>
      <xdr:row>5</xdr:row>
      <xdr:rowOff>121920</xdr:rowOff>
    </xdr:from>
    <xdr:to>
      <xdr:col>9</xdr:col>
      <xdr:colOff>739140</xdr:colOff>
      <xdr:row>5</xdr:row>
      <xdr:rowOff>121920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7726680" y="960120"/>
          <a:ext cx="327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632460</xdr:colOff>
      <xdr:row>26</xdr:row>
      <xdr:rowOff>121920</xdr:rowOff>
    </xdr:from>
    <xdr:to>
      <xdr:col>6</xdr:col>
      <xdr:colOff>7620</xdr:colOff>
      <xdr:row>40</xdr:row>
      <xdr:rowOff>7620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 flipH="1" flipV="1">
          <a:off x="4610100" y="4335780"/>
          <a:ext cx="830580" cy="2247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601980</xdr:colOff>
      <xdr:row>30</xdr:row>
      <xdr:rowOff>0</xdr:rowOff>
    </xdr:from>
    <xdr:to>
      <xdr:col>0</xdr:col>
      <xdr:colOff>601980</xdr:colOff>
      <xdr:row>31</xdr:row>
      <xdr:rowOff>60960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 flipV="1">
          <a:off x="601980" y="488442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TEXAS/OA/Monthly%20Models/Ent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ing"/>
      <sheetName val="Deferral Balances"/>
      <sheetName val="Model Details"/>
      <sheetName val="R&amp;C Model"/>
      <sheetName val="1-10 vols"/>
      <sheetName val="Transport Schedule"/>
      <sheetName val="Industrial Model"/>
      <sheetName val="6,7,5 vols"/>
      <sheetName val="Other Deals"/>
    </sheetNames>
    <sheetDataSet>
      <sheetData sheetId="0"/>
      <sheetData sheetId="1"/>
      <sheetData sheetId="2"/>
      <sheetData sheetId="3">
        <row r="10">
          <cell r="B10">
            <v>-1.4999999999999999E-2</v>
          </cell>
        </row>
      </sheetData>
      <sheetData sheetId="4">
        <row r="1">
          <cell r="A1" t="str">
            <v>Month</v>
          </cell>
          <cell r="B1" t="str">
            <v>Days</v>
          </cell>
          <cell r="C1" t="str">
            <v xml:space="preserve"> 70201*</v>
          </cell>
          <cell r="D1" t="str">
            <v>70211*</v>
          </cell>
          <cell r="F1" t="str">
            <v>70222*</v>
          </cell>
          <cell r="H1" t="str">
            <v>70235*</v>
          </cell>
          <cell r="J1">
            <v>70549</v>
          </cell>
          <cell r="L1">
            <v>70548</v>
          </cell>
          <cell r="M1" t="str">
            <v>Overflow/d</v>
          </cell>
          <cell r="P1" t="str">
            <v>Total Booked Trans #1-10</v>
          </cell>
          <cell r="Q1" t="str">
            <v>Vol/d</v>
          </cell>
          <cell r="S1" t="str">
            <v>S0628.1</v>
          </cell>
          <cell r="T1" t="str">
            <v>Booked Phys Prem</v>
          </cell>
          <cell r="V1" t="str">
            <v>Greatwood EN28161.1</v>
          </cell>
          <cell r="W1" t="str">
            <v>Booked Phys Prem</v>
          </cell>
          <cell r="Y1" t="str">
            <v>S0923.1</v>
          </cell>
          <cell r="Z1" t="str">
            <v>Booked Phys Prem</v>
          </cell>
          <cell r="AB1" t="str">
            <v>S0926.1</v>
          </cell>
          <cell r="AC1" t="str">
            <v>Booked Phys Prem</v>
          </cell>
          <cell r="AE1" t="str">
            <v>E26107.2</v>
          </cell>
          <cell r="AF1" t="str">
            <v>Fixed Price</v>
          </cell>
          <cell r="AH1" t="str">
            <v>EE7377.1</v>
          </cell>
          <cell r="AI1" t="str">
            <v>Fixed Price</v>
          </cell>
          <cell r="AK1" t="str">
            <v>Desk Mgmt Fee ES2206.4,ES8053.4,ET5235.5,E30588.3</v>
          </cell>
          <cell r="AM1" t="str">
            <v>ES2026.1</v>
          </cell>
        </row>
        <row r="2">
          <cell r="A2" t="str">
            <v>Trans #</v>
          </cell>
          <cell r="C2" t="str">
            <v>2-5,7</v>
          </cell>
          <cell r="D2">
            <v>6</v>
          </cell>
          <cell r="E2" t="str">
            <v>vol/d</v>
          </cell>
          <cell r="F2">
            <v>8</v>
          </cell>
          <cell r="G2" t="str">
            <v>vol/d</v>
          </cell>
          <cell r="H2">
            <v>9</v>
          </cell>
          <cell r="I2" t="str">
            <v>vol/d</v>
          </cell>
          <cell r="J2">
            <v>10</v>
          </cell>
          <cell r="L2">
            <v>1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</row>
        <row r="3">
          <cell r="A3">
            <v>36251</v>
          </cell>
          <cell r="B3">
            <v>30</v>
          </cell>
          <cell r="C3">
            <v>615000</v>
          </cell>
          <cell r="D3">
            <v>62112.540983606559</v>
          </cell>
          <cell r="E3">
            <v>2070.4180327868853</v>
          </cell>
          <cell r="F3">
            <v>91098.393442622953</v>
          </cell>
          <cell r="G3">
            <v>3036.6131147540987</v>
          </cell>
          <cell r="H3">
            <v>99380.065573770495</v>
          </cell>
          <cell r="I3">
            <v>3312.6688524590163</v>
          </cell>
          <cell r="J3">
            <v>150000</v>
          </cell>
          <cell r="L3">
            <v>1582420</v>
          </cell>
          <cell r="M3">
            <v>52747.333333333336</v>
          </cell>
          <cell r="P3">
            <v>2600011</v>
          </cell>
          <cell r="Q3">
            <v>86667.03333333334</v>
          </cell>
          <cell r="S3">
            <v>2152420</v>
          </cell>
          <cell r="T3">
            <v>0.70920000000000005</v>
          </cell>
          <cell r="V3">
            <v>0</v>
          </cell>
          <cell r="W3">
            <v>0</v>
          </cell>
          <cell r="Y3">
            <v>252591</v>
          </cell>
          <cell r="Z3">
            <v>0.39</v>
          </cell>
          <cell r="AB3">
            <v>195000</v>
          </cell>
          <cell r="AC3">
            <v>0.34300000000000003</v>
          </cell>
          <cell r="AE3">
            <v>150000</v>
          </cell>
          <cell r="AF3">
            <v>1.841</v>
          </cell>
          <cell r="AH3">
            <v>150000</v>
          </cell>
          <cell r="AI3">
            <v>2.2669999999999999</v>
          </cell>
          <cell r="AK3">
            <v>31110.000000000004</v>
          </cell>
          <cell r="AM3">
            <v>-49538</v>
          </cell>
        </row>
        <row r="4">
          <cell r="A4">
            <v>36281</v>
          </cell>
          <cell r="B4">
            <v>31</v>
          </cell>
          <cell r="C4">
            <v>635500</v>
          </cell>
          <cell r="D4">
            <v>22146.147540983606</v>
          </cell>
          <cell r="E4">
            <v>714.39185616076145</v>
          </cell>
          <cell r="F4">
            <v>32481.016393442624</v>
          </cell>
          <cell r="G4">
            <v>1047.7747223691169</v>
          </cell>
          <cell r="H4">
            <v>35433.836065573771</v>
          </cell>
          <cell r="I4">
            <v>1143.0269698572183</v>
          </cell>
          <cell r="J4">
            <v>155000</v>
          </cell>
          <cell r="L4">
            <v>1086262.3</v>
          </cell>
          <cell r="M4">
            <v>35040.719354838708</v>
          </cell>
          <cell r="P4">
            <v>1966823.3</v>
          </cell>
          <cell r="Q4">
            <v>63445.912903225806</v>
          </cell>
          <cell r="S4">
            <v>1551262.3</v>
          </cell>
          <cell r="T4">
            <v>0.70920000000000005</v>
          </cell>
          <cell r="V4">
            <v>0</v>
          </cell>
          <cell r="W4">
            <v>0</v>
          </cell>
          <cell r="Y4">
            <v>214061</v>
          </cell>
          <cell r="Z4">
            <v>0.39</v>
          </cell>
          <cell r="AB4">
            <v>201500</v>
          </cell>
          <cell r="AC4">
            <v>0.34300000000000003</v>
          </cell>
          <cell r="AE4">
            <v>155000</v>
          </cell>
          <cell r="AF4">
            <v>1.841</v>
          </cell>
          <cell r="AH4">
            <v>155000</v>
          </cell>
          <cell r="AI4">
            <v>2.2669999999999999</v>
          </cell>
          <cell r="AK4">
            <v>32147.000000000004</v>
          </cell>
          <cell r="AM4">
            <v>-49538</v>
          </cell>
        </row>
        <row r="5">
          <cell r="A5">
            <v>36312</v>
          </cell>
          <cell r="B5">
            <v>30</v>
          </cell>
          <cell r="C5">
            <v>615000</v>
          </cell>
          <cell r="D5">
            <v>15965.163934426229</v>
          </cell>
          <cell r="E5">
            <v>532.17213114754099</v>
          </cell>
          <cell r="F5">
            <v>23415.573770491803</v>
          </cell>
          <cell r="G5">
            <v>780.51912568306011</v>
          </cell>
          <cell r="H5">
            <v>25544.262295081968</v>
          </cell>
          <cell r="I5">
            <v>851.47540983606564</v>
          </cell>
          <cell r="J5">
            <v>150000</v>
          </cell>
          <cell r="L5">
            <v>596386.30000000005</v>
          </cell>
          <cell r="M5">
            <v>19879.543333333335</v>
          </cell>
          <cell r="P5">
            <v>1426311.3</v>
          </cell>
          <cell r="Q5">
            <v>47543.71</v>
          </cell>
          <cell r="S5">
            <v>1046386.3</v>
          </cell>
          <cell r="T5">
            <v>0.70920000000000005</v>
          </cell>
          <cell r="V5">
            <v>0</v>
          </cell>
          <cell r="W5">
            <v>0</v>
          </cell>
          <cell r="Y5">
            <v>184925</v>
          </cell>
          <cell r="Z5">
            <v>0.39</v>
          </cell>
          <cell r="AB5">
            <v>195000</v>
          </cell>
          <cell r="AC5">
            <v>0.34300000000000003</v>
          </cell>
          <cell r="AE5">
            <v>150000</v>
          </cell>
          <cell r="AF5">
            <v>1.841</v>
          </cell>
          <cell r="AH5">
            <v>150000</v>
          </cell>
          <cell r="AI5">
            <v>2.2669999999999999</v>
          </cell>
          <cell r="AK5">
            <v>31110.000000000004</v>
          </cell>
          <cell r="AM5">
            <v>-49538</v>
          </cell>
        </row>
        <row r="6">
          <cell r="A6">
            <v>36342</v>
          </cell>
          <cell r="B6">
            <v>31</v>
          </cell>
          <cell r="C6">
            <v>635500</v>
          </cell>
          <cell r="D6">
            <v>17447.704918032785</v>
          </cell>
          <cell r="E6">
            <v>562.82919090428334</v>
          </cell>
          <cell r="F6">
            <v>25589.967213114756</v>
          </cell>
          <cell r="G6">
            <v>825.48281332628244</v>
          </cell>
          <cell r="H6">
            <v>27916.327868852459</v>
          </cell>
          <cell r="I6">
            <v>900.5267054468535</v>
          </cell>
          <cell r="J6">
            <v>155000</v>
          </cell>
          <cell r="L6">
            <v>634169.5</v>
          </cell>
          <cell r="M6">
            <v>20457.080645161292</v>
          </cell>
          <cell r="P6">
            <v>1495623.5</v>
          </cell>
          <cell r="Q6">
            <v>48245.919354838712</v>
          </cell>
          <cell r="S6">
            <v>1099169.5</v>
          </cell>
          <cell r="T6">
            <v>0.70920000000000005</v>
          </cell>
          <cell r="V6">
            <v>0</v>
          </cell>
          <cell r="W6">
            <v>0</v>
          </cell>
          <cell r="Y6">
            <v>194954</v>
          </cell>
          <cell r="Z6">
            <v>0.39</v>
          </cell>
          <cell r="AB6">
            <v>201500</v>
          </cell>
          <cell r="AC6">
            <v>0.34300000000000003</v>
          </cell>
          <cell r="AE6">
            <v>155000</v>
          </cell>
          <cell r="AF6">
            <v>1.841</v>
          </cell>
          <cell r="AH6">
            <v>155000</v>
          </cell>
          <cell r="AI6">
            <v>2.2669999999999999</v>
          </cell>
          <cell r="AK6">
            <v>32147.000000000004</v>
          </cell>
          <cell r="AM6">
            <v>-49538</v>
          </cell>
        </row>
        <row r="7">
          <cell r="A7">
            <v>36373</v>
          </cell>
          <cell r="B7">
            <v>31</v>
          </cell>
          <cell r="C7">
            <v>635500</v>
          </cell>
          <cell r="D7">
            <v>16708.278688524591</v>
          </cell>
          <cell r="E7">
            <v>538.97673188789008</v>
          </cell>
          <cell r="F7">
            <v>24505.475409836068</v>
          </cell>
          <cell r="G7">
            <v>790.49920676890542</v>
          </cell>
          <cell r="H7">
            <v>26733.245901639344</v>
          </cell>
          <cell r="I7">
            <v>862.362771020624</v>
          </cell>
          <cell r="J7">
            <v>155000</v>
          </cell>
          <cell r="L7">
            <v>1043543.8</v>
          </cell>
          <cell r="M7">
            <v>33662.70322580645</v>
          </cell>
          <cell r="P7">
            <v>1901990.8</v>
          </cell>
          <cell r="Q7">
            <v>61354.541935483874</v>
          </cell>
          <cell r="S7">
            <v>1508543.8</v>
          </cell>
          <cell r="T7">
            <v>0.70899999999999996</v>
          </cell>
          <cell r="V7">
            <v>0</v>
          </cell>
          <cell r="W7">
            <v>0</v>
          </cell>
          <cell r="Y7">
            <v>191947</v>
          </cell>
          <cell r="Z7">
            <v>0.39</v>
          </cell>
          <cell r="AB7">
            <v>201500</v>
          </cell>
          <cell r="AC7">
            <v>0.34300000000000003</v>
          </cell>
          <cell r="AE7">
            <v>155000</v>
          </cell>
          <cell r="AF7">
            <v>1.841</v>
          </cell>
          <cell r="AH7">
            <v>155000</v>
          </cell>
          <cell r="AI7">
            <v>2.2669999999999999</v>
          </cell>
          <cell r="AK7">
            <v>32147.000000000004</v>
          </cell>
          <cell r="AM7">
            <v>-31000</v>
          </cell>
        </row>
        <row r="8">
          <cell r="A8">
            <v>36404</v>
          </cell>
          <cell r="B8">
            <v>30</v>
          </cell>
          <cell r="C8">
            <v>615000</v>
          </cell>
          <cell r="D8">
            <v>14722.377049180328</v>
          </cell>
          <cell r="E8">
            <v>490.74590163934425</v>
          </cell>
          <cell r="F8">
            <v>21592.819672131147</v>
          </cell>
          <cell r="G8">
            <v>719.76065573770495</v>
          </cell>
          <cell r="H8">
            <v>23555.803278688523</v>
          </cell>
          <cell r="I8">
            <v>785.19344262295078</v>
          </cell>
          <cell r="J8">
            <v>150000</v>
          </cell>
          <cell r="L8">
            <v>801614.3</v>
          </cell>
          <cell r="M8">
            <v>26720.476666666669</v>
          </cell>
          <cell r="P8">
            <v>1626485.3</v>
          </cell>
          <cell r="Q8">
            <v>54216.176666666666</v>
          </cell>
          <cell r="S8">
            <v>1251614.3</v>
          </cell>
          <cell r="T8">
            <v>0.70899999999999996</v>
          </cell>
          <cell r="V8">
            <v>0</v>
          </cell>
          <cell r="W8">
            <v>0</v>
          </cell>
          <cell r="Y8">
            <v>179871</v>
          </cell>
          <cell r="Z8">
            <v>0.39</v>
          </cell>
          <cell r="AB8">
            <v>195000</v>
          </cell>
          <cell r="AC8">
            <v>0.34300000000000003</v>
          </cell>
          <cell r="AE8">
            <v>150000</v>
          </cell>
          <cell r="AF8">
            <v>1.841</v>
          </cell>
          <cell r="AH8">
            <v>150000</v>
          </cell>
          <cell r="AI8">
            <v>2.2669999999999999</v>
          </cell>
          <cell r="AK8">
            <v>31110.000000000004</v>
          </cell>
          <cell r="AM8">
            <v>-30000</v>
          </cell>
        </row>
        <row r="9">
          <cell r="A9">
            <v>36434</v>
          </cell>
          <cell r="B9">
            <v>31</v>
          </cell>
          <cell r="C9">
            <v>480500</v>
          </cell>
          <cell r="D9">
            <v>29532.295081967211</v>
          </cell>
          <cell r="E9">
            <v>952.65468006345839</v>
          </cell>
          <cell r="F9">
            <v>43314.032786885247</v>
          </cell>
          <cell r="G9">
            <v>1397.2268640930724</v>
          </cell>
          <cell r="H9">
            <v>47251.672131147541</v>
          </cell>
          <cell r="I9">
            <v>1524.2474881015337</v>
          </cell>
          <cell r="J9">
            <v>155000</v>
          </cell>
          <cell r="L9">
            <v>1428522.6</v>
          </cell>
          <cell r="M9">
            <v>46081.374193548392</v>
          </cell>
          <cell r="P9">
            <v>2184120.6</v>
          </cell>
          <cell r="Q9">
            <v>70455.50322580646</v>
          </cell>
          <cell r="S9">
            <v>1738522.6</v>
          </cell>
          <cell r="T9">
            <v>0.70899999999999996</v>
          </cell>
          <cell r="V9">
            <v>0</v>
          </cell>
          <cell r="W9">
            <v>0</v>
          </cell>
          <cell r="Y9">
            <v>244098</v>
          </cell>
          <cell r="Z9">
            <v>0.39</v>
          </cell>
          <cell r="AB9">
            <v>201500</v>
          </cell>
          <cell r="AC9">
            <v>0.34300000000000003</v>
          </cell>
          <cell r="AE9">
            <v>155000</v>
          </cell>
          <cell r="AF9">
            <v>1.841</v>
          </cell>
          <cell r="AK9">
            <v>32147.000000000004</v>
          </cell>
          <cell r="AM9">
            <v>-15500</v>
          </cell>
        </row>
        <row r="10">
          <cell r="A10">
            <v>36465</v>
          </cell>
          <cell r="B10">
            <v>30</v>
          </cell>
          <cell r="C10">
            <v>465000</v>
          </cell>
          <cell r="D10">
            <v>55095</v>
          </cell>
          <cell r="E10">
            <v>1836.5</v>
          </cell>
          <cell r="F10">
            <v>80806</v>
          </cell>
          <cell r="G10">
            <v>2693.5333333333333</v>
          </cell>
          <cell r="H10">
            <v>88152</v>
          </cell>
          <cell r="I10">
            <v>2938.4</v>
          </cell>
          <cell r="J10">
            <v>150000</v>
          </cell>
          <cell r="L10">
            <v>2599005.7999999998</v>
          </cell>
          <cell r="M10">
            <v>86633.526666666658</v>
          </cell>
          <cell r="P10">
            <v>3438058.8</v>
          </cell>
          <cell r="Q10">
            <v>114601.95999999999</v>
          </cell>
          <cell r="S10">
            <v>2899005.8</v>
          </cell>
          <cell r="T10">
            <v>0.66890000000000005</v>
          </cell>
          <cell r="V10">
            <v>0</v>
          </cell>
          <cell r="W10">
            <v>0</v>
          </cell>
          <cell r="Y10">
            <v>344053</v>
          </cell>
          <cell r="Z10">
            <v>0.34993012784037486</v>
          </cell>
          <cell r="AB10">
            <v>195000</v>
          </cell>
          <cell r="AC10">
            <v>0.30293012784037487</v>
          </cell>
          <cell r="AE10">
            <v>150000</v>
          </cell>
          <cell r="AF10">
            <v>1.841</v>
          </cell>
          <cell r="AK10">
            <v>1140000</v>
          </cell>
          <cell r="AM10">
            <v>-15000</v>
          </cell>
        </row>
        <row r="11">
          <cell r="A11">
            <v>36495</v>
          </cell>
          <cell r="B11">
            <v>31</v>
          </cell>
          <cell r="C11">
            <v>480500</v>
          </cell>
          <cell r="D11">
            <v>76557.540983606552</v>
          </cell>
          <cell r="E11">
            <v>2469.5980962453727</v>
          </cell>
          <cell r="F11">
            <v>112284.39344262295</v>
          </cell>
          <cell r="G11">
            <v>3622.0772078265468</v>
          </cell>
          <cell r="H11">
            <v>122492.06557377049</v>
          </cell>
          <cell r="I11">
            <v>3951.3569539925966</v>
          </cell>
          <cell r="J11">
            <v>155000</v>
          </cell>
          <cell r="L11">
            <v>5425388</v>
          </cell>
          <cell r="M11">
            <v>175012.51612903227</v>
          </cell>
          <cell r="P11">
            <v>6372222</v>
          </cell>
          <cell r="Q11">
            <v>205555.54838709679</v>
          </cell>
          <cell r="S11">
            <v>5735388</v>
          </cell>
          <cell r="T11">
            <v>0.67330000000000001</v>
          </cell>
          <cell r="V11">
            <v>0</v>
          </cell>
          <cell r="W11">
            <v>0</v>
          </cell>
          <cell r="Y11">
            <v>435334</v>
          </cell>
          <cell r="Z11">
            <v>0.3543</v>
          </cell>
          <cell r="AB11">
            <v>201500</v>
          </cell>
          <cell r="AC11">
            <v>0.30730000000000002</v>
          </cell>
          <cell r="AE11">
            <v>155000</v>
          </cell>
          <cell r="AF11">
            <v>1.841</v>
          </cell>
          <cell r="AK11">
            <v>1140000</v>
          </cell>
          <cell r="AM11">
            <v>-19530</v>
          </cell>
        </row>
        <row r="12">
          <cell r="A12">
            <v>36526</v>
          </cell>
          <cell r="B12">
            <v>31</v>
          </cell>
          <cell r="C12">
            <v>480500</v>
          </cell>
          <cell r="D12">
            <v>100964.5081967213</v>
          </cell>
          <cell r="E12">
            <v>3256.9196192490745</v>
          </cell>
          <cell r="F12">
            <v>148081.27868852459</v>
          </cell>
          <cell r="G12">
            <v>4776.8154415653089</v>
          </cell>
          <cell r="H12">
            <v>161543.21311475409</v>
          </cell>
          <cell r="I12">
            <v>5211.0713907985191</v>
          </cell>
          <cell r="J12">
            <v>155000</v>
          </cell>
          <cell r="L12">
            <v>6979707.7999999998</v>
          </cell>
          <cell r="M12">
            <v>225151.86451612902</v>
          </cell>
          <cell r="P12">
            <v>8025796.7999999998</v>
          </cell>
          <cell r="Q12">
            <v>258896.67096774193</v>
          </cell>
          <cell r="S12">
            <v>7289707.7999999998</v>
          </cell>
          <cell r="T12">
            <v>0.68110000000000004</v>
          </cell>
          <cell r="V12">
            <v>0</v>
          </cell>
          <cell r="W12">
            <v>0</v>
          </cell>
          <cell r="Y12">
            <v>534589</v>
          </cell>
          <cell r="Z12">
            <v>0.36209999999999998</v>
          </cell>
          <cell r="AB12">
            <v>201500</v>
          </cell>
          <cell r="AC12">
            <v>0.31509999999999999</v>
          </cell>
          <cell r="AE12">
            <v>155000</v>
          </cell>
          <cell r="AF12">
            <v>1.8149999999999999</v>
          </cell>
          <cell r="AK12">
            <v>828000</v>
          </cell>
          <cell r="AM12">
            <v>-19530</v>
          </cell>
        </row>
        <row r="13">
          <cell r="A13">
            <v>36557</v>
          </cell>
          <cell r="B13">
            <v>29</v>
          </cell>
          <cell r="C13">
            <v>449500</v>
          </cell>
          <cell r="D13">
            <v>66698.360655737706</v>
          </cell>
          <cell r="E13">
            <v>2299.9434708875069</v>
          </cell>
          <cell r="F13">
            <v>97824.262295081964</v>
          </cell>
          <cell r="G13">
            <v>3373.2504239683435</v>
          </cell>
          <cell r="H13">
            <v>106717.37704918033</v>
          </cell>
          <cell r="I13">
            <v>3679.9095534200114</v>
          </cell>
          <cell r="J13">
            <v>145000</v>
          </cell>
          <cell r="L13">
            <v>4524864.5999999996</v>
          </cell>
          <cell r="M13">
            <v>156029.81379310344</v>
          </cell>
          <cell r="P13">
            <v>5449328.5999999996</v>
          </cell>
          <cell r="Q13">
            <v>187907.88275862069</v>
          </cell>
          <cell r="S13">
            <v>4814864.5999999996</v>
          </cell>
          <cell r="T13">
            <v>0.68130000000000002</v>
          </cell>
          <cell r="V13">
            <v>58724</v>
          </cell>
          <cell r="W13">
            <v>0.67900000000000005</v>
          </cell>
          <cell r="Y13">
            <v>387240</v>
          </cell>
          <cell r="Z13">
            <v>0.36230000000000001</v>
          </cell>
          <cell r="AB13">
            <v>188500</v>
          </cell>
          <cell r="AC13">
            <v>0.31530000000000002</v>
          </cell>
          <cell r="AE13">
            <v>145000</v>
          </cell>
          <cell r="AF13">
            <v>1.8149999999999999</v>
          </cell>
          <cell r="AK13">
            <v>828000</v>
          </cell>
          <cell r="AM13">
            <v>-18270</v>
          </cell>
        </row>
        <row r="14">
          <cell r="A14">
            <v>36586</v>
          </cell>
          <cell r="B14">
            <v>31</v>
          </cell>
          <cell r="C14">
            <v>325500</v>
          </cell>
          <cell r="D14">
            <v>57550.819672131147</v>
          </cell>
          <cell r="E14">
            <v>1856.4780539397145</v>
          </cell>
          <cell r="F14">
            <v>84407.868852459025</v>
          </cell>
          <cell r="G14">
            <v>2722.8344791115815</v>
          </cell>
          <cell r="H14">
            <v>92081.311475409835</v>
          </cell>
          <cell r="I14">
            <v>2970.3648863035432</v>
          </cell>
          <cell r="J14">
            <v>155000</v>
          </cell>
          <cell r="L14">
            <v>3535660.2</v>
          </cell>
          <cell r="M14">
            <v>114053.55483870968</v>
          </cell>
          <cell r="P14">
            <v>4299048.2</v>
          </cell>
          <cell r="Q14">
            <v>138678.97419354841</v>
          </cell>
          <cell r="S14">
            <v>3690660.2</v>
          </cell>
          <cell r="T14">
            <v>0.68089999999999995</v>
          </cell>
          <cell r="V14">
            <v>48848</v>
          </cell>
          <cell r="W14">
            <v>0.67900000000000005</v>
          </cell>
          <cell r="Y14">
            <v>358040</v>
          </cell>
          <cell r="Z14">
            <v>0.3619</v>
          </cell>
          <cell r="AB14">
            <v>201500</v>
          </cell>
          <cell r="AC14">
            <v>0.31490000000000001</v>
          </cell>
          <cell r="AK14">
            <v>828000</v>
          </cell>
        </row>
        <row r="15">
          <cell r="A15">
            <v>36617</v>
          </cell>
          <cell r="B15">
            <v>30</v>
          </cell>
          <cell r="C15">
            <v>315000</v>
          </cell>
          <cell r="D15">
            <v>32930.40983606557</v>
          </cell>
          <cell r="E15">
            <v>1097.6803278688524</v>
          </cell>
          <cell r="F15">
            <v>48297.934426229513</v>
          </cell>
          <cell r="G15">
            <v>1609.9311475409838</v>
          </cell>
          <cell r="H15">
            <v>52688.655737704918</v>
          </cell>
          <cell r="I15">
            <v>1756.2885245901639</v>
          </cell>
          <cell r="J15">
            <v>150000</v>
          </cell>
          <cell r="L15">
            <v>2030103.7000000002</v>
          </cell>
          <cell r="M15">
            <v>67670.123333333337</v>
          </cell>
          <cell r="P15">
            <v>2655252.7000000002</v>
          </cell>
          <cell r="Q15">
            <v>88508.42333333334</v>
          </cell>
          <cell r="S15">
            <v>2180103.7000000002</v>
          </cell>
          <cell r="T15">
            <v>0.70899999999999996</v>
          </cell>
          <cell r="V15">
            <v>26232</v>
          </cell>
          <cell r="W15">
            <v>0.67900000000000005</v>
          </cell>
          <cell r="Y15">
            <v>253917</v>
          </cell>
          <cell r="Z15">
            <v>0.39</v>
          </cell>
          <cell r="AB15">
            <v>195000</v>
          </cell>
          <cell r="AC15">
            <v>0.34300000000000003</v>
          </cell>
          <cell r="AK15">
            <v>31110.000000000004</v>
          </cell>
        </row>
        <row r="16">
          <cell r="A16">
            <v>36647</v>
          </cell>
          <cell r="B16">
            <v>31</v>
          </cell>
          <cell r="C16">
            <v>325500</v>
          </cell>
          <cell r="D16">
            <v>22367.459016393441</v>
          </cell>
          <cell r="E16">
            <v>721.53093601269165</v>
          </cell>
          <cell r="F16">
            <v>32805.606557377054</v>
          </cell>
          <cell r="G16">
            <v>1058.2453728186147</v>
          </cell>
          <cell r="H16">
            <v>35787.934426229505</v>
          </cell>
          <cell r="I16">
            <v>1154.4494976203066</v>
          </cell>
          <cell r="J16">
            <v>155000</v>
          </cell>
          <cell r="L16">
            <v>1418301.3</v>
          </cell>
          <cell r="M16">
            <v>45751.654838709677</v>
          </cell>
          <cell r="P16">
            <v>2010527.3</v>
          </cell>
          <cell r="Q16">
            <v>64855.719354838708</v>
          </cell>
          <cell r="S16">
            <v>1573301.3</v>
          </cell>
          <cell r="T16">
            <v>0.70899999999999996</v>
          </cell>
          <cell r="V16">
            <v>20765</v>
          </cell>
          <cell r="W16">
            <v>0.67900000000000005</v>
          </cell>
          <cell r="Y16">
            <v>214961</v>
          </cell>
          <cell r="Z16">
            <v>0.39</v>
          </cell>
          <cell r="AB16">
            <v>201500</v>
          </cell>
          <cell r="AC16">
            <v>0.34300000000000003</v>
          </cell>
          <cell r="AK16">
            <v>32147.000000000004</v>
          </cell>
        </row>
        <row r="17">
          <cell r="A17">
            <v>36678</v>
          </cell>
          <cell r="B17">
            <v>30</v>
          </cell>
          <cell r="C17">
            <v>315000</v>
          </cell>
          <cell r="D17">
            <v>16125</v>
          </cell>
          <cell r="E17">
            <v>537.5</v>
          </cell>
          <cell r="F17">
            <v>23650</v>
          </cell>
          <cell r="G17">
            <v>788.33333333333337</v>
          </cell>
          <cell r="H17">
            <v>25800</v>
          </cell>
          <cell r="I17">
            <v>860</v>
          </cell>
          <cell r="J17">
            <v>150000</v>
          </cell>
          <cell r="L17">
            <v>913182.10000000009</v>
          </cell>
          <cell r="M17">
            <v>30439.403333333335</v>
          </cell>
          <cell r="P17">
            <v>1459452.1</v>
          </cell>
          <cell r="Q17">
            <v>48648.403333333335</v>
          </cell>
          <cell r="S17">
            <v>1063182.1000000001</v>
          </cell>
          <cell r="T17">
            <v>0.70899999999999996</v>
          </cell>
          <cell r="V17">
            <v>15695</v>
          </cell>
          <cell r="W17">
            <v>0.67900000000000005</v>
          </cell>
          <cell r="Y17">
            <v>185575</v>
          </cell>
          <cell r="Z17">
            <v>0.39</v>
          </cell>
          <cell r="AB17">
            <v>195000</v>
          </cell>
          <cell r="AC17">
            <v>0.34300000000000003</v>
          </cell>
          <cell r="AK17">
            <v>31110.000000000004</v>
          </cell>
        </row>
        <row r="18">
          <cell r="A18">
            <v>36708</v>
          </cell>
          <cell r="B18">
            <v>31</v>
          </cell>
          <cell r="C18">
            <v>325500</v>
          </cell>
          <cell r="D18">
            <v>17622.049180327867</v>
          </cell>
          <cell r="E18">
            <v>568.45319936541512</v>
          </cell>
          <cell r="F18">
            <v>25845.672131147541</v>
          </cell>
          <cell r="G18">
            <v>833.73135906927553</v>
          </cell>
          <cell r="H18">
            <v>28195.278688524591</v>
          </cell>
          <cell r="I18">
            <v>909.52511898466423</v>
          </cell>
          <cell r="J18">
            <v>155000</v>
          </cell>
          <cell r="L18">
            <v>961652</v>
          </cell>
          <cell r="M18">
            <v>31021.032258064515</v>
          </cell>
          <cell r="P18">
            <v>1530039</v>
          </cell>
          <cell r="Q18">
            <v>49356.096774193546</v>
          </cell>
          <cell r="S18">
            <v>1116652</v>
          </cell>
          <cell r="T18">
            <v>0.70899999999999996</v>
          </cell>
          <cell r="V18">
            <v>16224</v>
          </cell>
          <cell r="W18">
            <v>0.67900000000000005</v>
          </cell>
          <cell r="Y18">
            <v>195663</v>
          </cell>
          <cell r="Z18">
            <v>0.39</v>
          </cell>
          <cell r="AB18">
            <v>201500</v>
          </cell>
          <cell r="AC18">
            <v>0.34300000000000003</v>
          </cell>
          <cell r="AK18">
            <v>32147.000000000004</v>
          </cell>
        </row>
        <row r="19">
          <cell r="A19">
            <v>36739</v>
          </cell>
          <cell r="B19">
            <v>31</v>
          </cell>
          <cell r="C19">
            <v>325500</v>
          </cell>
          <cell r="D19">
            <v>16875.245901639344</v>
          </cell>
          <cell r="E19">
            <v>544.362771020624</v>
          </cell>
          <cell r="F19">
            <v>24750.360655737706</v>
          </cell>
          <cell r="G19">
            <v>798.39873083024861</v>
          </cell>
          <cell r="H19">
            <v>27000.39344262295</v>
          </cell>
          <cell r="I19">
            <v>870.98043363299837</v>
          </cell>
          <cell r="J19">
            <v>155000</v>
          </cell>
          <cell r="L19">
            <v>1375063</v>
          </cell>
          <cell r="M19">
            <v>44356.870967741932</v>
          </cell>
          <cell r="P19">
            <v>1944513</v>
          </cell>
          <cell r="Q19">
            <v>62726.225806451614</v>
          </cell>
          <cell r="S19">
            <v>1530063</v>
          </cell>
          <cell r="T19">
            <v>0.70899999999999996</v>
          </cell>
          <cell r="V19">
            <v>20324</v>
          </cell>
          <cell r="W19">
            <v>0.67900000000000005</v>
          </cell>
          <cell r="Y19">
            <v>192626</v>
          </cell>
          <cell r="Z19">
            <v>0.39</v>
          </cell>
          <cell r="AB19">
            <v>201500</v>
          </cell>
          <cell r="AC19">
            <v>0.34300000000000003</v>
          </cell>
          <cell r="AK19">
            <v>32147.000000000004</v>
          </cell>
        </row>
        <row r="20">
          <cell r="A20">
            <v>36770</v>
          </cell>
          <cell r="B20">
            <v>30</v>
          </cell>
          <cell r="C20">
            <v>315000</v>
          </cell>
          <cell r="D20">
            <v>14869.672131147541</v>
          </cell>
          <cell r="E20">
            <v>495.65573770491807</v>
          </cell>
          <cell r="F20">
            <v>21808.852459016394</v>
          </cell>
          <cell r="G20">
            <v>726.96174863387978</v>
          </cell>
          <cell r="H20">
            <v>23791.475409836065</v>
          </cell>
          <cell r="I20">
            <v>793.04918032786884</v>
          </cell>
          <cell r="J20">
            <v>150000</v>
          </cell>
          <cell r="L20">
            <v>1120433.3</v>
          </cell>
          <cell r="M20">
            <v>37347.776666666665</v>
          </cell>
          <cell r="P20">
            <v>1663538.3</v>
          </cell>
          <cell r="Q20">
            <v>55451.276666666665</v>
          </cell>
          <cell r="S20">
            <v>1270433.3</v>
          </cell>
          <cell r="T20">
            <v>0.70899999999999996</v>
          </cell>
          <cell r="V20">
            <v>17635</v>
          </cell>
          <cell r="W20">
            <v>0.67900000000000005</v>
          </cell>
          <cell r="Y20">
            <v>180470</v>
          </cell>
          <cell r="Z20">
            <v>0.39</v>
          </cell>
          <cell r="AB20">
            <v>195000</v>
          </cell>
          <cell r="AC20">
            <v>0.34300000000000003</v>
          </cell>
          <cell r="AK20">
            <v>31110.000000000004</v>
          </cell>
        </row>
        <row r="21">
          <cell r="A21">
            <v>36800</v>
          </cell>
          <cell r="B21">
            <v>31</v>
          </cell>
          <cell r="C21">
            <v>325500</v>
          </cell>
          <cell r="D21">
            <v>29827.62295081967</v>
          </cell>
          <cell r="E21">
            <v>962.181385510312</v>
          </cell>
          <cell r="F21">
            <v>43747.180327868853</v>
          </cell>
          <cell r="G21">
            <v>1411.1993654151242</v>
          </cell>
          <cell r="H21">
            <v>47724.196721311477</v>
          </cell>
          <cell r="I21">
            <v>1539.4902168164992</v>
          </cell>
          <cell r="J21">
            <v>155000</v>
          </cell>
          <cell r="L21">
            <v>1607437.1</v>
          </cell>
          <cell r="M21">
            <v>51852.809677419355</v>
          </cell>
          <cell r="P21">
            <v>2231632.1</v>
          </cell>
          <cell r="Q21">
            <v>71988.132258064521</v>
          </cell>
          <cell r="S21">
            <v>1762437.1</v>
          </cell>
          <cell r="T21">
            <v>0.70899999999999996</v>
          </cell>
          <cell r="V21">
            <v>22396</v>
          </cell>
          <cell r="W21">
            <v>0.67900000000000005</v>
          </cell>
          <cell r="Y21">
            <v>245299</v>
          </cell>
          <cell r="Z21">
            <v>0.39</v>
          </cell>
          <cell r="AB21">
            <v>201500</v>
          </cell>
          <cell r="AC21">
            <v>0.34300000000000003</v>
          </cell>
          <cell r="AK21">
            <v>32147.000000000004</v>
          </cell>
        </row>
        <row r="22">
          <cell r="A22">
            <v>36831</v>
          </cell>
          <cell r="B22">
            <v>30</v>
          </cell>
          <cell r="C22">
            <v>315000</v>
          </cell>
          <cell r="D22">
            <v>55645.819672131147</v>
          </cell>
          <cell r="E22">
            <v>1854.860655737705</v>
          </cell>
          <cell r="F22">
            <v>81613.868852459025</v>
          </cell>
          <cell r="G22">
            <v>2720.4622950819676</v>
          </cell>
          <cell r="H22">
            <v>89033.311475409835</v>
          </cell>
          <cell r="I22">
            <v>2967.777049180328</v>
          </cell>
          <cell r="J22">
            <v>150000</v>
          </cell>
          <cell r="L22">
            <v>3545687.9</v>
          </cell>
          <cell r="M22">
            <v>118189.59666666666</v>
          </cell>
          <cell r="P22">
            <v>4277893.9000000004</v>
          </cell>
          <cell r="Q22">
            <v>142596.46333333335</v>
          </cell>
          <cell r="S22">
            <v>3695687.9</v>
          </cell>
          <cell r="T22">
            <v>0.66900000000000004</v>
          </cell>
          <cell r="V22">
            <v>40913</v>
          </cell>
          <cell r="W22">
            <v>0.67900000000000005</v>
          </cell>
          <cell r="Y22">
            <v>346293</v>
          </cell>
          <cell r="Z22">
            <v>0.35</v>
          </cell>
          <cell r="AB22">
            <v>195000</v>
          </cell>
          <cell r="AC22">
            <v>0.30299999999999999</v>
          </cell>
          <cell r="AK22">
            <v>828000</v>
          </cell>
        </row>
        <row r="23">
          <cell r="A23">
            <v>36861</v>
          </cell>
          <cell r="B23">
            <v>31</v>
          </cell>
          <cell r="C23">
            <v>325500</v>
          </cell>
          <cell r="D23">
            <v>77323.032786885247</v>
          </cell>
          <cell r="E23">
            <v>2494.2913802221046</v>
          </cell>
          <cell r="F23">
            <v>113407.11475409837</v>
          </cell>
          <cell r="G23">
            <v>3658.2940243257535</v>
          </cell>
          <cell r="H23">
            <v>123716.85245901639</v>
          </cell>
          <cell r="I23">
            <v>3990.8662083553672</v>
          </cell>
          <cell r="J23">
            <v>155000</v>
          </cell>
          <cell r="L23">
            <v>6430710.2999999998</v>
          </cell>
          <cell r="M23">
            <v>207442.26774193547</v>
          </cell>
          <cell r="P23">
            <v>7295226.2999999998</v>
          </cell>
          <cell r="Q23">
            <v>235329.88064516129</v>
          </cell>
          <cell r="S23">
            <v>6585710.2999999998</v>
          </cell>
          <cell r="T23">
            <v>0.6734</v>
          </cell>
          <cell r="V23">
            <v>69569</v>
          </cell>
          <cell r="W23">
            <v>0.67900000000000005</v>
          </cell>
          <cell r="Y23">
            <v>438447</v>
          </cell>
          <cell r="Z23">
            <v>0.35439999999999999</v>
          </cell>
          <cell r="AB23">
            <v>201500</v>
          </cell>
          <cell r="AC23">
            <v>0.30740000000000001</v>
          </cell>
          <cell r="AK23">
            <v>828000</v>
          </cell>
        </row>
        <row r="24">
          <cell r="A24">
            <v>36892</v>
          </cell>
          <cell r="B24">
            <v>31</v>
          </cell>
          <cell r="C24">
            <v>325500</v>
          </cell>
          <cell r="D24">
            <v>101974.18032786885</v>
          </cell>
          <cell r="E24">
            <v>3289.4896879957691</v>
          </cell>
          <cell r="F24">
            <v>149562.13114754099</v>
          </cell>
          <cell r="G24">
            <v>4824.5848757271287</v>
          </cell>
          <cell r="H24">
            <v>163158.68852459016</v>
          </cell>
          <cell r="I24">
            <v>5263.1835007932314</v>
          </cell>
          <cell r="J24">
            <v>155000</v>
          </cell>
          <cell r="L24">
            <v>7999339.5</v>
          </cell>
          <cell r="M24">
            <v>258043.20967741936</v>
          </cell>
          <cell r="P24">
            <v>8981031.5</v>
          </cell>
          <cell r="Q24">
            <v>289710.69354838709</v>
          </cell>
          <cell r="S24">
            <v>8154339.5</v>
          </cell>
          <cell r="T24">
            <v>0.68110000000000004</v>
          </cell>
          <cell r="V24">
            <v>86497</v>
          </cell>
          <cell r="W24">
            <v>0.67900000000000005</v>
          </cell>
          <cell r="Y24">
            <v>538695</v>
          </cell>
          <cell r="Z24">
            <v>0.36209999999999998</v>
          </cell>
          <cell r="AB24">
            <v>201500</v>
          </cell>
          <cell r="AC24">
            <v>0.31509999999999999</v>
          </cell>
          <cell r="AK24">
            <v>828000</v>
          </cell>
        </row>
        <row r="25">
          <cell r="A25">
            <v>36923</v>
          </cell>
          <cell r="B25">
            <v>28</v>
          </cell>
          <cell r="C25">
            <v>294000</v>
          </cell>
          <cell r="D25">
            <v>67365.24590163934</v>
          </cell>
          <cell r="E25">
            <v>2405.9016393442621</v>
          </cell>
          <cell r="F25">
            <v>98802.360655737706</v>
          </cell>
          <cell r="G25">
            <v>3528.655737704918</v>
          </cell>
          <cell r="H25">
            <v>107784.39344262295</v>
          </cell>
          <cell r="I25">
            <v>3849.4426229508199</v>
          </cell>
          <cell r="J25">
            <v>140000</v>
          </cell>
          <cell r="L25">
            <v>5481910.9000000004</v>
          </cell>
          <cell r="M25">
            <v>195782.53214285715</v>
          </cell>
          <cell r="P25">
            <v>6250661.9000000004</v>
          </cell>
          <cell r="Q25">
            <v>223237.92500000002</v>
          </cell>
          <cell r="S25">
            <v>5621910.9000000004</v>
          </cell>
          <cell r="T25">
            <v>0.68140000000000001</v>
          </cell>
          <cell r="V25">
            <v>60799</v>
          </cell>
          <cell r="W25">
            <v>0.67900000000000005</v>
          </cell>
          <cell r="Y25">
            <v>385952</v>
          </cell>
          <cell r="Z25">
            <v>0.3624</v>
          </cell>
          <cell r="AB25">
            <v>182000</v>
          </cell>
          <cell r="AC25">
            <v>0.31540000000000001</v>
          </cell>
          <cell r="AK25">
            <v>828000</v>
          </cell>
        </row>
        <row r="26">
          <cell r="A26">
            <v>36951</v>
          </cell>
          <cell r="B26">
            <v>31</v>
          </cell>
          <cell r="C26">
            <v>325500</v>
          </cell>
          <cell r="D26">
            <v>58126.475409836065</v>
          </cell>
          <cell r="E26">
            <v>1875.0475938656796</v>
          </cell>
          <cell r="F26">
            <v>85252.163934426237</v>
          </cell>
          <cell r="G26">
            <v>2750.0698043363304</v>
          </cell>
          <cell r="H26">
            <v>93002.360655737706</v>
          </cell>
          <cell r="I26">
            <v>3000.0761501850875</v>
          </cell>
          <cell r="J26">
            <v>155000</v>
          </cell>
          <cell r="L26">
            <v>4364519.0999999996</v>
          </cell>
          <cell r="M26">
            <v>140790.9387096774</v>
          </cell>
          <cell r="P26">
            <v>5131974.0999999996</v>
          </cell>
          <cell r="Q26">
            <v>165547.55161290322</v>
          </cell>
          <cell r="S26">
            <v>4519519.0999999996</v>
          </cell>
          <cell r="T26">
            <v>0.68100000000000005</v>
          </cell>
          <cell r="V26">
            <v>50574</v>
          </cell>
          <cell r="W26">
            <v>0.67900000000000005</v>
          </cell>
          <cell r="Y26">
            <v>360381</v>
          </cell>
          <cell r="Z26">
            <v>0.36199999999999999</v>
          </cell>
          <cell r="AB26">
            <v>201500</v>
          </cell>
          <cell r="AC26">
            <v>0.315</v>
          </cell>
          <cell r="AK26">
            <v>828000</v>
          </cell>
        </row>
        <row r="27">
          <cell r="A27">
            <v>36982</v>
          </cell>
          <cell r="B27">
            <v>30</v>
          </cell>
          <cell r="C27">
            <v>315000</v>
          </cell>
          <cell r="D27">
            <v>33259.918032786882</v>
          </cell>
          <cell r="E27">
            <v>1108.6639344262294</v>
          </cell>
          <cell r="F27">
            <v>48781.2131147541</v>
          </cell>
          <cell r="G27">
            <v>1626.04043715847</v>
          </cell>
          <cell r="H27">
            <v>53215.868852459018</v>
          </cell>
          <cell r="I27">
            <v>1773.8622950819672</v>
          </cell>
          <cell r="J27">
            <v>150000</v>
          </cell>
          <cell r="L27">
            <v>2057853.2000000002</v>
          </cell>
          <cell r="M27">
            <v>68595.106666666674</v>
          </cell>
          <cell r="P27">
            <v>2685269.2</v>
          </cell>
          <cell r="Q27">
            <v>89508.973333333342</v>
          </cell>
          <cell r="S27">
            <v>2207853.2000000002</v>
          </cell>
          <cell r="T27">
            <v>0.70899999999999996</v>
          </cell>
          <cell r="V27">
            <v>27159</v>
          </cell>
          <cell r="W27">
            <v>0.67900000000000005</v>
          </cell>
          <cell r="Y27">
            <v>255257</v>
          </cell>
          <cell r="Z27">
            <v>0.39</v>
          </cell>
          <cell r="AB27">
            <v>195000</v>
          </cell>
          <cell r="AC27">
            <v>0.34300000000000003</v>
          </cell>
        </row>
        <row r="28">
          <cell r="A28">
            <v>37012</v>
          </cell>
          <cell r="B28">
            <v>31</v>
          </cell>
          <cell r="C28">
            <v>325500</v>
          </cell>
          <cell r="D28">
            <v>22591.22950819672</v>
          </cell>
          <cell r="E28">
            <v>728.74933897408778</v>
          </cell>
          <cell r="F28">
            <v>33133.803278688523</v>
          </cell>
          <cell r="G28">
            <v>1068.832363828662</v>
          </cell>
          <cell r="H28">
            <v>36145.967213114753</v>
          </cell>
          <cell r="I28">
            <v>1165.9989423585405</v>
          </cell>
          <cell r="J28">
            <v>155000</v>
          </cell>
          <cell r="L28">
            <v>1440349.6</v>
          </cell>
          <cell r="M28">
            <v>46462.89032258065</v>
          </cell>
          <cell r="P28">
            <v>2034219.6</v>
          </cell>
          <cell r="Q28">
            <v>65619.987096774203</v>
          </cell>
          <cell r="S28">
            <v>1595349.6</v>
          </cell>
          <cell r="T28">
            <v>0.70899999999999996</v>
          </cell>
          <cell r="V28">
            <v>21499</v>
          </cell>
          <cell r="W28">
            <v>0.67900000000000005</v>
          </cell>
          <cell r="Y28">
            <v>215871</v>
          </cell>
          <cell r="Z28">
            <v>0.39</v>
          </cell>
          <cell r="AB28">
            <v>201500</v>
          </cell>
          <cell r="AC28">
            <v>0.34300000000000003</v>
          </cell>
        </row>
        <row r="29">
          <cell r="A29">
            <v>37043</v>
          </cell>
          <cell r="B29">
            <v>30</v>
          </cell>
          <cell r="C29">
            <v>315000</v>
          </cell>
          <cell r="D29">
            <v>16286.065573770491</v>
          </cell>
          <cell r="E29">
            <v>542.86885245901635</v>
          </cell>
          <cell r="F29">
            <v>23886.22950819672</v>
          </cell>
          <cell r="G29">
            <v>796.20765027322398</v>
          </cell>
          <cell r="H29">
            <v>26057.704918032785</v>
          </cell>
          <cell r="I29">
            <v>868.59016393442619</v>
          </cell>
          <cell r="J29">
            <v>150000</v>
          </cell>
          <cell r="L29">
            <v>929934.89999999991</v>
          </cell>
          <cell r="M29">
            <v>30997.829999999998</v>
          </cell>
          <cell r="P29">
            <v>1477414.9</v>
          </cell>
          <cell r="Q29">
            <v>49247.16333333333</v>
          </cell>
          <cell r="S29">
            <v>1079934.8999999999</v>
          </cell>
          <cell r="T29">
            <v>0.70899999999999996</v>
          </cell>
          <cell r="V29">
            <v>16250</v>
          </cell>
          <cell r="W29">
            <v>0.67900000000000005</v>
          </cell>
          <cell r="Y29">
            <v>186230</v>
          </cell>
          <cell r="Z29">
            <v>0.39</v>
          </cell>
          <cell r="AB29">
            <v>195000</v>
          </cell>
          <cell r="AC29">
            <v>0.34300000000000003</v>
          </cell>
        </row>
        <row r="30">
          <cell r="A30">
            <v>37073</v>
          </cell>
          <cell r="B30">
            <v>31</v>
          </cell>
          <cell r="D30">
            <v>17798.480225655738</v>
          </cell>
          <cell r="E30">
            <v>574.1445234082496</v>
          </cell>
          <cell r="F30">
            <v>26104.437664295081</v>
          </cell>
          <cell r="G30">
            <v>842.07863433209934</v>
          </cell>
          <cell r="H30">
            <v>28477.568361049176</v>
          </cell>
          <cell r="I30">
            <v>918.63123745319922</v>
          </cell>
          <cell r="J30">
            <v>155000</v>
          </cell>
          <cell r="L30">
            <v>1304598.2</v>
          </cell>
          <cell r="M30">
            <v>42083.812903225808</v>
          </cell>
          <cell r="P30">
            <v>1548775.686251</v>
          </cell>
          <cell r="Q30">
            <v>49960.506008096774</v>
          </cell>
          <cell r="S30">
            <v>1459598.2</v>
          </cell>
          <cell r="T30">
            <v>0.70899999999999996</v>
          </cell>
          <cell r="V30">
            <v>16797</v>
          </cell>
          <cell r="W30">
            <v>0.67900000000000005</v>
          </cell>
          <cell r="Y30">
            <v>72380.486250999995</v>
          </cell>
          <cell r="Z30">
            <v>0.54</v>
          </cell>
        </row>
        <row r="31">
          <cell r="A31">
            <v>37104</v>
          </cell>
          <cell r="B31">
            <v>31</v>
          </cell>
          <cell r="D31">
            <v>17044.194396639341</v>
          </cell>
          <cell r="E31">
            <v>549.81272247223683</v>
          </cell>
          <cell r="F31">
            <v>24998.151781737703</v>
          </cell>
          <cell r="G31">
            <v>806.39199295928074</v>
          </cell>
          <cell r="H31">
            <v>27270.711034622949</v>
          </cell>
          <cell r="I31">
            <v>879.70035595557897</v>
          </cell>
          <cell r="J31">
            <v>155000</v>
          </cell>
          <cell r="L31">
            <v>1722086.2</v>
          </cell>
          <cell r="M31">
            <v>55551.167741935482</v>
          </cell>
          <cell r="P31">
            <v>1967441.257213</v>
          </cell>
          <cell r="Q31">
            <v>63465.847006870965</v>
          </cell>
          <cell r="S31">
            <v>1877086.2</v>
          </cell>
          <cell r="T31">
            <v>0.70899999999999996</v>
          </cell>
          <cell r="V31">
            <v>21042</v>
          </cell>
          <cell r="W31">
            <v>0.67900000000000005</v>
          </cell>
          <cell r="Y31">
            <v>69313.057212999993</v>
          </cell>
          <cell r="Z31">
            <v>0.54</v>
          </cell>
        </row>
        <row r="32">
          <cell r="A32">
            <v>37135</v>
          </cell>
          <cell r="B32">
            <v>30</v>
          </cell>
          <cell r="D32">
            <v>15018.437934344262</v>
          </cell>
          <cell r="E32">
            <v>500.61459781147539</v>
          </cell>
          <cell r="F32">
            <v>22027.042303704919</v>
          </cell>
          <cell r="G32">
            <v>734.23474345683064</v>
          </cell>
          <cell r="H32">
            <v>24029.500694950821</v>
          </cell>
          <cell r="I32">
            <v>800.98335649836065</v>
          </cell>
          <cell r="J32">
            <v>150000</v>
          </cell>
          <cell r="L32">
            <v>1454229.4</v>
          </cell>
          <cell r="M32">
            <v>48474.313333333332</v>
          </cell>
          <cell r="P32">
            <v>1683562.380933</v>
          </cell>
          <cell r="Q32">
            <v>56118.746031100003</v>
          </cell>
          <cell r="S32">
            <v>1604229.4</v>
          </cell>
          <cell r="T32">
            <v>0.70899999999999996</v>
          </cell>
          <cell r="V32">
            <v>18258</v>
          </cell>
          <cell r="W32">
            <v>0.67900000000000005</v>
          </cell>
          <cell r="Y32">
            <v>61074.980932999999</v>
          </cell>
          <cell r="Z32">
            <v>0.54</v>
          </cell>
        </row>
        <row r="33">
          <cell r="A33">
            <v>37165</v>
          </cell>
          <cell r="B33">
            <v>31</v>
          </cell>
          <cell r="D33">
            <v>30126.055080491802</v>
          </cell>
          <cell r="E33">
            <v>971.80822840296139</v>
          </cell>
          <cell r="F33">
            <v>44184.88078472131</v>
          </cell>
          <cell r="G33">
            <v>1425.3187349910099</v>
          </cell>
          <cell r="H33">
            <v>48201.688128786882</v>
          </cell>
          <cell r="I33">
            <v>1554.8931654447381</v>
          </cell>
          <cell r="J33">
            <v>155000</v>
          </cell>
          <cell r="L33">
            <v>1956878.7000000002</v>
          </cell>
          <cell r="M33">
            <v>63125.119354838716</v>
          </cell>
          <cell r="P33">
            <v>2257579.323994</v>
          </cell>
          <cell r="Q33">
            <v>72825.139483677412</v>
          </cell>
          <cell r="S33">
            <v>2111878.7000000002</v>
          </cell>
          <cell r="T33">
            <v>0.70899999999999996</v>
          </cell>
          <cell r="V33">
            <v>23188</v>
          </cell>
          <cell r="W33">
            <v>0.67900000000000005</v>
          </cell>
          <cell r="Y33">
            <v>122512.62399399999</v>
          </cell>
          <cell r="Z33">
            <v>0.54</v>
          </cell>
        </row>
        <row r="34">
          <cell r="A34">
            <v>37196</v>
          </cell>
          <cell r="B34">
            <v>30</v>
          </cell>
          <cell r="D34">
            <v>56202.522809508198</v>
          </cell>
          <cell r="E34">
            <v>1873.4174269836067</v>
          </cell>
          <cell r="F34">
            <v>82430.36678727869</v>
          </cell>
          <cell r="G34">
            <v>2747.6788929092895</v>
          </cell>
          <cell r="H34">
            <v>89924.03649521312</v>
          </cell>
          <cell r="I34">
            <v>2997.4678831737706</v>
          </cell>
          <cell r="J34">
            <v>150000</v>
          </cell>
          <cell r="L34">
            <v>3906781.5</v>
          </cell>
          <cell r="M34">
            <v>130226.05</v>
          </cell>
          <cell r="P34">
            <v>4327696.4260919997</v>
          </cell>
          <cell r="Q34">
            <v>144256.5475364</v>
          </cell>
          <cell r="S34">
            <v>4056781.5</v>
          </cell>
          <cell r="T34">
            <v>0.66910000000000003</v>
          </cell>
          <cell r="V34">
            <v>42358</v>
          </cell>
          <cell r="W34">
            <v>0.67900000000000005</v>
          </cell>
          <cell r="Y34">
            <v>228556.92609200001</v>
          </cell>
          <cell r="Z34">
            <v>0.50009999999999999</v>
          </cell>
          <cell r="AK34">
            <v>828000</v>
          </cell>
        </row>
        <row r="35">
          <cell r="A35">
            <v>37226</v>
          </cell>
          <cell r="B35">
            <v>31</v>
          </cell>
          <cell r="D35">
            <v>78096.404113032797</v>
          </cell>
          <cell r="E35">
            <v>2519.2388423558968</v>
          </cell>
          <cell r="F35">
            <v>114541.39269911477</v>
          </cell>
          <cell r="G35">
            <v>3694.8836354553155</v>
          </cell>
          <cell r="H35">
            <v>124954.24658085247</v>
          </cell>
          <cell r="I35">
            <v>4030.7821477694347</v>
          </cell>
          <cell r="J35">
            <v>155000</v>
          </cell>
          <cell r="L35">
            <v>6831231.5</v>
          </cell>
          <cell r="M35">
            <v>220362.30645161291</v>
          </cell>
          <cell r="P35">
            <v>7375850.543393</v>
          </cell>
          <cell r="Q35">
            <v>237930.66269009677</v>
          </cell>
          <cell r="S35">
            <v>6986231.5</v>
          </cell>
          <cell r="T35">
            <v>0.6734</v>
          </cell>
          <cell r="V35">
            <v>72027</v>
          </cell>
          <cell r="W35">
            <v>0.67900000000000005</v>
          </cell>
          <cell r="Y35">
            <v>317592.04339300003</v>
          </cell>
          <cell r="Z35">
            <v>0.50439999999999996</v>
          </cell>
          <cell r="AK35">
            <v>828000</v>
          </cell>
        </row>
        <row r="36">
          <cell r="A36">
            <v>37257</v>
          </cell>
          <cell r="B36">
            <v>31</v>
          </cell>
          <cell r="D36">
            <v>102994.03066795082</v>
          </cell>
          <cell r="E36">
            <v>3322.3880860629297</v>
          </cell>
          <cell r="F36">
            <v>151057.91164632788</v>
          </cell>
          <cell r="G36">
            <v>4872.8358595589634</v>
          </cell>
          <cell r="H36">
            <v>164790.44906872133</v>
          </cell>
          <cell r="I36">
            <v>5315.8209377006879</v>
          </cell>
          <cell r="J36">
            <v>155000</v>
          </cell>
          <cell r="L36">
            <v>8415326.3000000007</v>
          </cell>
          <cell r="M36">
            <v>271462.13870967744</v>
          </cell>
          <cell r="P36">
            <v>9078806.6913830005</v>
          </cell>
          <cell r="Q36">
            <v>292864.73198009678</v>
          </cell>
          <cell r="S36">
            <v>8570326.3000000007</v>
          </cell>
          <cell r="T36">
            <v>0.68110000000000004</v>
          </cell>
          <cell r="V36">
            <v>89638</v>
          </cell>
          <cell r="W36">
            <v>0.67900000000000005</v>
          </cell>
          <cell r="Y36">
            <v>418842.39138300001</v>
          </cell>
          <cell r="Z36">
            <v>0.5121</v>
          </cell>
          <cell r="AK36">
            <v>828000</v>
          </cell>
        </row>
        <row r="37">
          <cell r="A37">
            <v>37288</v>
          </cell>
          <cell r="B37">
            <v>28</v>
          </cell>
          <cell r="D37">
            <v>68039.116860491806</v>
          </cell>
          <cell r="E37">
            <v>2429.9684593032789</v>
          </cell>
          <cell r="F37">
            <v>99790.704728721321</v>
          </cell>
          <cell r="G37">
            <v>3563.9537403114759</v>
          </cell>
          <cell r="H37">
            <v>108862.58697678689</v>
          </cell>
          <cell r="I37">
            <v>3887.9495348852461</v>
          </cell>
          <cell r="J37">
            <v>140000</v>
          </cell>
          <cell r="L37">
            <v>5840556.4000000004</v>
          </cell>
          <cell r="M37">
            <v>208591.30000000002</v>
          </cell>
          <cell r="P37">
            <v>6320255.8085660003</v>
          </cell>
          <cell r="Q37">
            <v>225723.42173450001</v>
          </cell>
          <cell r="S37">
            <v>5980556.4000000004</v>
          </cell>
          <cell r="T37">
            <v>0.68140000000000001</v>
          </cell>
          <cell r="V37">
            <v>63007</v>
          </cell>
          <cell r="W37">
            <v>0.67900000000000005</v>
          </cell>
          <cell r="Y37">
            <v>276692.408566</v>
          </cell>
          <cell r="Z37">
            <v>0.51239999999999997</v>
          </cell>
          <cell r="AK37">
            <v>828000</v>
          </cell>
        </row>
        <row r="38">
          <cell r="A38">
            <v>37316</v>
          </cell>
          <cell r="B38">
            <v>31</v>
          </cell>
          <cell r="D38">
            <v>58707.79525401639</v>
          </cell>
          <cell r="E38">
            <v>1893.7998469037545</v>
          </cell>
          <cell r="F38">
            <v>86104.76637255738</v>
          </cell>
          <cell r="G38">
            <v>2777.5731087921736</v>
          </cell>
          <cell r="H38">
            <v>93932.472406426226</v>
          </cell>
          <cell r="I38">
            <v>3030.0797550460074</v>
          </cell>
          <cell r="J38">
            <v>155000</v>
          </cell>
          <cell r="L38">
            <v>4744375.3</v>
          </cell>
          <cell r="M38">
            <v>153044.36451612902</v>
          </cell>
          <cell r="P38">
            <v>5190531.3340329994</v>
          </cell>
          <cell r="Q38">
            <v>167436.49464622579</v>
          </cell>
          <cell r="S38">
            <v>4899375.3</v>
          </cell>
          <cell r="T38">
            <v>0.68100000000000005</v>
          </cell>
          <cell r="V38">
            <v>52411</v>
          </cell>
          <cell r="W38">
            <v>0.67900000000000005</v>
          </cell>
          <cell r="Y38">
            <v>238745.034033</v>
          </cell>
          <cell r="Z38">
            <v>0.51200000000000001</v>
          </cell>
          <cell r="AK38">
            <v>828000</v>
          </cell>
        </row>
        <row r="39">
          <cell r="A39">
            <v>37347</v>
          </cell>
          <cell r="B39">
            <v>30</v>
          </cell>
          <cell r="D39">
            <v>33592.536814918029</v>
          </cell>
          <cell r="E39">
            <v>1119.7512271639343</v>
          </cell>
          <cell r="F39">
            <v>49269.053995213115</v>
          </cell>
          <cell r="G39">
            <v>1642.3017998404371</v>
          </cell>
          <cell r="H39">
            <v>53748.058903868849</v>
          </cell>
          <cell r="I39">
            <v>1791.6019634622949</v>
          </cell>
          <cell r="J39">
            <v>150000</v>
          </cell>
          <cell r="L39">
            <v>2700872.1</v>
          </cell>
          <cell r="M39">
            <v>90029.07</v>
          </cell>
          <cell r="P39">
            <v>3015626.7497140002</v>
          </cell>
          <cell r="Q39">
            <v>100520.89165713334</v>
          </cell>
          <cell r="S39">
            <v>2850872.1</v>
          </cell>
          <cell r="T39">
            <v>0.70899999999999996</v>
          </cell>
          <cell r="V39">
            <v>28145</v>
          </cell>
          <cell r="W39">
            <v>0.67900000000000005</v>
          </cell>
          <cell r="Y39">
            <v>136609.649714</v>
          </cell>
          <cell r="Z39">
            <v>0.54</v>
          </cell>
        </row>
        <row r="40">
          <cell r="A40">
            <v>37377</v>
          </cell>
          <cell r="B40">
            <v>31</v>
          </cell>
          <cell r="D40">
            <v>22817.223416311474</v>
          </cell>
          <cell r="E40">
            <v>736.03946504230555</v>
          </cell>
          <cell r="F40">
            <v>33465.261010590162</v>
          </cell>
          <cell r="G40">
            <v>1079.524548728715</v>
          </cell>
          <cell r="H40">
            <v>36507.557466098362</v>
          </cell>
          <cell r="I40">
            <v>1177.663144067689</v>
          </cell>
          <cell r="J40">
            <v>155000</v>
          </cell>
          <cell r="L40">
            <v>2098110.2999999998</v>
          </cell>
          <cell r="M40">
            <v>67680.977419354836</v>
          </cell>
          <cell r="P40">
            <v>2368179.3418929996</v>
          </cell>
          <cell r="Q40">
            <v>76392.881996548371</v>
          </cell>
          <cell r="S40">
            <v>2253110.2999999998</v>
          </cell>
          <cell r="T40">
            <v>0.70899999999999996</v>
          </cell>
          <cell r="V40">
            <v>22279</v>
          </cell>
          <cell r="W40">
            <v>0.67900000000000005</v>
          </cell>
          <cell r="Y40">
            <v>92790.041893000001</v>
          </cell>
          <cell r="Z40">
            <v>0.54</v>
          </cell>
        </row>
        <row r="41">
          <cell r="A41">
            <v>37408</v>
          </cell>
          <cell r="B41">
            <v>30</v>
          </cell>
          <cell r="D41">
            <v>16449.164686229506</v>
          </cell>
          <cell r="E41">
            <v>548.30548954098356</v>
          </cell>
          <cell r="F41">
            <v>24125.44153980328</v>
          </cell>
          <cell r="G41">
            <v>804.1813846601093</v>
          </cell>
          <cell r="H41">
            <v>26318.663497967213</v>
          </cell>
          <cell r="I41">
            <v>877.28878326557378</v>
          </cell>
          <cell r="J41">
            <v>150000</v>
          </cell>
          <cell r="L41">
            <v>1561847.1</v>
          </cell>
          <cell r="M41">
            <v>52061.57</v>
          </cell>
          <cell r="P41">
            <v>1795580.3697240001</v>
          </cell>
          <cell r="Q41">
            <v>59852.678990800006</v>
          </cell>
          <cell r="S41">
            <v>1711847.1</v>
          </cell>
          <cell r="T41">
            <v>0.70899999999999996</v>
          </cell>
          <cell r="V41">
            <v>16840</v>
          </cell>
          <cell r="W41">
            <v>0.67900000000000005</v>
          </cell>
          <cell r="Y41">
            <v>66893.269723999998</v>
          </cell>
          <cell r="Z41">
            <v>0.54</v>
          </cell>
        </row>
        <row r="42">
          <cell r="A42">
            <v>37438</v>
          </cell>
          <cell r="B42">
            <v>31</v>
          </cell>
          <cell r="D42">
            <v>17976.465028032788</v>
          </cell>
          <cell r="E42">
            <v>579.885968646219</v>
          </cell>
          <cell r="F42">
            <v>26365.482041114756</v>
          </cell>
          <cell r="G42">
            <v>850.49942068112114</v>
          </cell>
          <cell r="H42">
            <v>28762.34404485246</v>
          </cell>
          <cell r="I42">
            <v>927.81754983395035</v>
          </cell>
          <cell r="J42">
            <v>155000</v>
          </cell>
          <cell r="L42">
            <v>1632210.9</v>
          </cell>
          <cell r="M42">
            <v>52651.964516129032</v>
          </cell>
          <cell r="P42">
            <v>1877722.1911139998</v>
          </cell>
          <cell r="Q42">
            <v>60571.683584322578</v>
          </cell>
          <cell r="S42">
            <v>1787210.9</v>
          </cell>
          <cell r="T42">
            <v>0.70899999999999996</v>
          </cell>
          <cell r="V42">
            <v>17407</v>
          </cell>
          <cell r="W42">
            <v>0.67900000000000005</v>
          </cell>
          <cell r="Y42">
            <v>73104.291114000007</v>
          </cell>
          <cell r="Z42">
            <v>0.54</v>
          </cell>
        </row>
        <row r="43">
          <cell r="A43">
            <v>37469</v>
          </cell>
          <cell r="B43">
            <v>31</v>
          </cell>
          <cell r="D43">
            <v>17214.636340573772</v>
          </cell>
          <cell r="E43">
            <v>555.31084969592814</v>
          </cell>
          <cell r="F43">
            <v>25248.133299508198</v>
          </cell>
          <cell r="G43">
            <v>814.45591288736125</v>
          </cell>
          <cell r="H43">
            <v>27543.418144918032</v>
          </cell>
          <cell r="I43">
            <v>888.49735951348487</v>
          </cell>
          <cell r="J43">
            <v>155000</v>
          </cell>
          <cell r="L43">
            <v>2053816.7000000002</v>
          </cell>
          <cell r="M43">
            <v>66252.151612903239</v>
          </cell>
          <cell r="P43">
            <v>2300628.8877850003</v>
          </cell>
          <cell r="Q43">
            <v>74213.835089838714</v>
          </cell>
          <cell r="S43">
            <v>2208816.7000000002</v>
          </cell>
          <cell r="T43">
            <v>0.70899999999999996</v>
          </cell>
          <cell r="V43">
            <v>21806</v>
          </cell>
          <cell r="W43">
            <v>0.67900000000000005</v>
          </cell>
          <cell r="Y43">
            <v>70006.187785000002</v>
          </cell>
          <cell r="Z43">
            <v>0.54</v>
          </cell>
        </row>
        <row r="44">
          <cell r="A44">
            <v>37500</v>
          </cell>
          <cell r="B44">
            <v>30</v>
          </cell>
          <cell r="D44">
            <v>15168.622313852458</v>
          </cell>
          <cell r="E44">
            <v>505.62074379508192</v>
          </cell>
          <cell r="F44">
            <v>22247.312726983608</v>
          </cell>
          <cell r="G44">
            <v>741.57709089945354</v>
          </cell>
          <cell r="H44">
            <v>24269.795702163934</v>
          </cell>
          <cell r="I44">
            <v>808.99319007213114</v>
          </cell>
          <cell r="J44">
            <v>150000</v>
          </cell>
          <cell r="L44">
            <v>1773205.4</v>
          </cell>
          <cell r="M44">
            <v>59106.846666666665</v>
          </cell>
          <cell r="P44">
            <v>2003812.130743</v>
          </cell>
          <cell r="Q44">
            <v>66793.737691433329</v>
          </cell>
          <cell r="S44">
            <v>1923205.4</v>
          </cell>
          <cell r="T44">
            <v>0.70899999999999996</v>
          </cell>
          <cell r="V44">
            <v>18921</v>
          </cell>
          <cell r="W44">
            <v>0.67900000000000005</v>
          </cell>
          <cell r="Y44">
            <v>61685.730743</v>
          </cell>
          <cell r="Z44">
            <v>0.54</v>
          </cell>
        </row>
        <row r="45">
          <cell r="A45">
            <v>37530</v>
          </cell>
          <cell r="B45">
            <v>31</v>
          </cell>
          <cell r="D45">
            <v>30427.315631311478</v>
          </cell>
          <cell r="E45">
            <v>981.526310687467</v>
          </cell>
          <cell r="F45">
            <v>44626.729592590171</v>
          </cell>
          <cell r="G45">
            <v>1439.5719223416183</v>
          </cell>
          <cell r="H45">
            <v>48683.705010098362</v>
          </cell>
          <cell r="I45">
            <v>1570.4420970999472</v>
          </cell>
          <cell r="J45">
            <v>155000</v>
          </cell>
          <cell r="L45">
            <v>2291052.7000000002</v>
          </cell>
          <cell r="M45">
            <v>73904.925806451618</v>
          </cell>
          <cell r="P45">
            <v>2593820.4502340001</v>
          </cell>
          <cell r="Q45">
            <v>83671.627426903229</v>
          </cell>
          <cell r="S45">
            <v>2446052.7000000002</v>
          </cell>
          <cell r="T45">
            <v>0.70899999999999996</v>
          </cell>
          <cell r="V45">
            <v>24030</v>
          </cell>
          <cell r="W45">
            <v>0.67900000000000005</v>
          </cell>
          <cell r="Y45">
            <v>123737.75023400001</v>
          </cell>
          <cell r="Z45">
            <v>0.54</v>
          </cell>
        </row>
        <row r="46">
          <cell r="A46">
            <v>37561</v>
          </cell>
          <cell r="B46">
            <v>30</v>
          </cell>
          <cell r="D46">
            <v>56764.548037622953</v>
          </cell>
          <cell r="E46">
            <v>1892.1516012540985</v>
          </cell>
          <cell r="F46">
            <v>83254.670455180327</v>
          </cell>
          <cell r="G46">
            <v>2775.1556818393442</v>
          </cell>
          <cell r="H46">
            <v>90823.276860196725</v>
          </cell>
          <cell r="I46">
            <v>3027.4425620065576</v>
          </cell>
          <cell r="J46">
            <v>150000</v>
          </cell>
          <cell r="L46">
            <v>4253296.9000000004</v>
          </cell>
          <cell r="M46">
            <v>141776.56333333335</v>
          </cell>
          <cell r="P46">
            <v>4678035.3953530006</v>
          </cell>
          <cell r="Q46">
            <v>155934.51317843335</v>
          </cell>
          <cell r="S46">
            <v>4403296.9000000004</v>
          </cell>
          <cell r="T46">
            <v>0.68899999999999995</v>
          </cell>
          <cell r="V46">
            <v>43896</v>
          </cell>
          <cell r="W46">
            <v>0.67900000000000005</v>
          </cell>
          <cell r="Y46">
            <v>230842.49535300001</v>
          </cell>
          <cell r="Z46">
            <v>0.52</v>
          </cell>
          <cell r="AK46">
            <v>828000</v>
          </cell>
        </row>
        <row r="47">
          <cell r="A47">
            <v>37591</v>
          </cell>
          <cell r="B47">
            <v>31</v>
          </cell>
          <cell r="D47">
            <v>78877.368154180323</v>
          </cell>
          <cell r="E47">
            <v>2544.4312307800105</v>
          </cell>
          <cell r="F47">
            <v>115686.80662613115</v>
          </cell>
          <cell r="G47">
            <v>3731.8324718106824</v>
          </cell>
          <cell r="H47">
            <v>126203.78904668853</v>
          </cell>
          <cell r="I47">
            <v>4071.089969248017</v>
          </cell>
          <cell r="J47">
            <v>155000</v>
          </cell>
          <cell r="L47">
            <v>7216962.7000000002</v>
          </cell>
          <cell r="M47">
            <v>232805.24838709677</v>
          </cell>
          <cell r="P47">
            <v>7767373.6638270002</v>
          </cell>
          <cell r="Q47">
            <v>250560.4407686129</v>
          </cell>
          <cell r="S47">
            <v>7371962.7000000002</v>
          </cell>
          <cell r="T47">
            <v>0.68530000000000002</v>
          </cell>
          <cell r="V47">
            <v>74643</v>
          </cell>
          <cell r="W47">
            <v>0.67900000000000005</v>
          </cell>
          <cell r="Y47">
            <v>320767.963827</v>
          </cell>
          <cell r="Z47">
            <v>0.51629999999999998</v>
          </cell>
          <cell r="AK47">
            <v>828000</v>
          </cell>
        </row>
        <row r="48">
          <cell r="A48">
            <v>37622</v>
          </cell>
          <cell r="B48">
            <v>31</v>
          </cell>
          <cell r="D48">
            <v>104023.97097467213</v>
          </cell>
          <cell r="E48">
            <v>3355.6119669249074</v>
          </cell>
          <cell r="F48">
            <v>152568.49076285245</v>
          </cell>
          <cell r="G48">
            <v>4921.5642181565308</v>
          </cell>
          <cell r="H48">
            <v>166438.35355947539</v>
          </cell>
          <cell r="I48">
            <v>5368.9791470798509</v>
          </cell>
          <cell r="J48">
            <v>155000</v>
          </cell>
          <cell r="L48">
            <v>8816678.8000000007</v>
          </cell>
          <cell r="M48">
            <v>284408.99354838714</v>
          </cell>
          <cell r="P48">
            <v>9487691.6152970009</v>
          </cell>
          <cell r="Q48">
            <v>306054.56823538715</v>
          </cell>
          <cell r="S48">
            <v>8971678.8000000007</v>
          </cell>
          <cell r="T48">
            <v>0.69059999999999999</v>
          </cell>
          <cell r="V48">
            <v>92982</v>
          </cell>
          <cell r="W48">
            <v>0.67900000000000005</v>
          </cell>
          <cell r="Y48">
            <v>423030.81529699999</v>
          </cell>
          <cell r="Z48">
            <v>0.52159999999999995</v>
          </cell>
          <cell r="AK48">
            <v>828000</v>
          </cell>
        </row>
        <row r="49">
          <cell r="A49">
            <v>37653</v>
          </cell>
          <cell r="B49">
            <v>28</v>
          </cell>
          <cell r="D49">
            <v>68719.508029180332</v>
          </cell>
          <cell r="E49">
            <v>2454.2681438992977</v>
          </cell>
          <cell r="F49">
            <v>100788.61177613116</v>
          </cell>
          <cell r="G49">
            <v>3599.5932777189701</v>
          </cell>
          <cell r="H49">
            <v>109951.21284668853</v>
          </cell>
          <cell r="I49">
            <v>3926.8290302388764</v>
          </cell>
          <cell r="J49">
            <v>140000</v>
          </cell>
          <cell r="L49">
            <v>6185809.0999999996</v>
          </cell>
          <cell r="M49">
            <v>220921.75357142856</v>
          </cell>
          <cell r="P49">
            <v>6670625.4326519994</v>
          </cell>
          <cell r="Q49">
            <v>238236.62259471425</v>
          </cell>
          <cell r="S49">
            <v>6325809.0999999996</v>
          </cell>
          <cell r="T49">
            <v>0.69479999999999997</v>
          </cell>
          <cell r="V49">
            <v>65357</v>
          </cell>
          <cell r="W49">
            <v>0.67900000000000005</v>
          </cell>
          <cell r="Y49">
            <v>279459.33265200001</v>
          </cell>
          <cell r="Z49">
            <v>0.52580000000000005</v>
          </cell>
          <cell r="AK49">
            <v>828000</v>
          </cell>
        </row>
        <row r="50">
          <cell r="A50">
            <v>37681</v>
          </cell>
          <cell r="B50">
            <v>31</v>
          </cell>
          <cell r="D50">
            <v>59294.873206475415</v>
          </cell>
          <cell r="E50">
            <v>1912.7378453701747</v>
          </cell>
          <cell r="F50">
            <v>86965.814036163938</v>
          </cell>
          <cell r="G50">
            <v>2805.3488398762561</v>
          </cell>
          <cell r="H50">
            <v>94871.797130360661</v>
          </cell>
          <cell r="I50">
            <v>3060.3805525922794</v>
          </cell>
          <cell r="J50">
            <v>155000</v>
          </cell>
          <cell r="L50">
            <v>5109235.9000000004</v>
          </cell>
          <cell r="M50">
            <v>164814.0612903226</v>
          </cell>
          <cell r="P50">
            <v>5559734.3843730008</v>
          </cell>
          <cell r="Q50">
            <v>179346.2704636452</v>
          </cell>
          <cell r="S50">
            <v>5264235.9000000004</v>
          </cell>
          <cell r="T50">
            <v>0.69720000000000004</v>
          </cell>
          <cell r="V50">
            <v>54366</v>
          </cell>
          <cell r="W50">
            <v>0.67900000000000005</v>
          </cell>
          <cell r="Y50">
            <v>241132.48437300001</v>
          </cell>
          <cell r="Z50">
            <v>0.5282</v>
          </cell>
          <cell r="AK50">
            <v>828000</v>
          </cell>
        </row>
        <row r="51">
          <cell r="A51">
            <v>37712</v>
          </cell>
          <cell r="B51">
            <v>30</v>
          </cell>
          <cell r="D51">
            <v>33928.462183278687</v>
          </cell>
          <cell r="E51">
            <v>1130.9487394426228</v>
          </cell>
          <cell r="F51">
            <v>49761.744535475409</v>
          </cell>
          <cell r="G51">
            <v>1658.7248178491802</v>
          </cell>
          <cell r="H51">
            <v>54285.539493245902</v>
          </cell>
          <cell r="I51">
            <v>1809.5179831081966</v>
          </cell>
          <cell r="J51">
            <v>150000</v>
          </cell>
          <cell r="L51">
            <v>2729163.2</v>
          </cell>
          <cell r="M51">
            <v>90972.106666666674</v>
          </cell>
          <cell r="P51">
            <v>3046333.9462120002</v>
          </cell>
          <cell r="Q51">
            <v>101544.46487373333</v>
          </cell>
          <cell r="S51">
            <v>2879163.2</v>
          </cell>
          <cell r="T51">
            <v>0.70899999999999996</v>
          </cell>
          <cell r="V51">
            <v>29195</v>
          </cell>
          <cell r="W51">
            <v>0.67900000000000005</v>
          </cell>
          <cell r="Y51">
            <v>137975.746212</v>
          </cell>
          <cell r="Z51">
            <v>0.54</v>
          </cell>
        </row>
        <row r="52">
          <cell r="A52">
            <v>37742</v>
          </cell>
          <cell r="B52">
            <v>31</v>
          </cell>
          <cell r="D52">
            <v>23045.395650491802</v>
          </cell>
          <cell r="E52">
            <v>743.39985969328393</v>
          </cell>
          <cell r="F52">
            <v>33799.913620721309</v>
          </cell>
          <cell r="G52">
            <v>1090.3197942168165</v>
          </cell>
          <cell r="H52">
            <v>36872.633040786881</v>
          </cell>
          <cell r="I52">
            <v>1189.4397755092543</v>
          </cell>
          <cell r="J52">
            <v>155000</v>
          </cell>
          <cell r="L52">
            <v>2120585.7000000002</v>
          </cell>
          <cell r="M52">
            <v>68405.990322580648</v>
          </cell>
          <cell r="P52">
            <v>2392414.642312</v>
          </cell>
          <cell r="Q52">
            <v>77174.665881032255</v>
          </cell>
          <cell r="S52">
            <v>2275585.7000000002</v>
          </cell>
          <cell r="T52">
            <v>0.70899999999999996</v>
          </cell>
          <cell r="V52">
            <v>23111</v>
          </cell>
          <cell r="W52">
            <v>0.67900000000000005</v>
          </cell>
          <cell r="Y52">
            <v>93717.942311999999</v>
          </cell>
          <cell r="Z52">
            <v>0.54</v>
          </cell>
        </row>
        <row r="53">
          <cell r="A53">
            <v>37773</v>
          </cell>
          <cell r="B53">
            <v>30</v>
          </cell>
          <cell r="D53">
            <v>16613.656333032784</v>
          </cell>
          <cell r="E53">
            <v>553.78854443442617</v>
          </cell>
          <cell r="F53">
            <v>24366.695955114752</v>
          </cell>
          <cell r="G53">
            <v>812.22319850382507</v>
          </cell>
          <cell r="H53">
            <v>26581.850132852458</v>
          </cell>
          <cell r="I53">
            <v>886.06167109508192</v>
          </cell>
          <cell r="J53">
            <v>150000</v>
          </cell>
          <cell r="L53">
            <v>1578920.4</v>
          </cell>
          <cell r="M53">
            <v>52630.68</v>
          </cell>
          <cell r="P53">
            <v>1813950.6024209999</v>
          </cell>
          <cell r="Q53">
            <v>60465.0200807</v>
          </cell>
          <cell r="S53">
            <v>1728920.4</v>
          </cell>
          <cell r="T53">
            <v>0.70899999999999996</v>
          </cell>
          <cell r="V53">
            <v>17468</v>
          </cell>
          <cell r="W53">
            <v>0.67900000000000005</v>
          </cell>
          <cell r="Y53">
            <v>67562.202420999995</v>
          </cell>
          <cell r="Z53">
            <v>0.54</v>
          </cell>
        </row>
        <row r="54">
          <cell r="A54">
            <v>37803</v>
          </cell>
          <cell r="B54">
            <v>31</v>
          </cell>
          <cell r="D54">
            <v>18156.229678278691</v>
          </cell>
          <cell r="E54">
            <v>585.68482833157066</v>
          </cell>
          <cell r="F54">
            <v>26629.136861475414</v>
          </cell>
          <cell r="G54">
            <v>859.00441488630372</v>
          </cell>
          <cell r="H54">
            <v>29049.967485245903</v>
          </cell>
          <cell r="I54">
            <v>937.09572533051301</v>
          </cell>
          <cell r="J54">
            <v>155000</v>
          </cell>
          <cell r="L54">
            <v>1649990.6</v>
          </cell>
          <cell r="M54">
            <v>53225.503225806453</v>
          </cell>
          <cell r="P54">
            <v>1896882.9340250001</v>
          </cell>
          <cell r="Q54">
            <v>61189.772065322584</v>
          </cell>
          <cell r="S54">
            <v>1804990.6</v>
          </cell>
          <cell r="T54">
            <v>0.70899999999999996</v>
          </cell>
          <cell r="V54">
            <v>18057</v>
          </cell>
          <cell r="W54">
            <v>0.67900000000000005</v>
          </cell>
          <cell r="Y54">
            <v>73835.334025000004</v>
          </cell>
          <cell r="Z54">
            <v>0.54</v>
          </cell>
        </row>
        <row r="55">
          <cell r="A55">
            <v>37834</v>
          </cell>
          <cell r="B55">
            <v>31</v>
          </cell>
          <cell r="D55">
            <v>17386.78270401639</v>
          </cell>
          <cell r="E55">
            <v>560.8639581940771</v>
          </cell>
          <cell r="F55">
            <v>25500.614632557375</v>
          </cell>
          <cell r="G55">
            <v>822.60047201797988</v>
          </cell>
          <cell r="H55">
            <v>27818.852326426226</v>
          </cell>
          <cell r="I55">
            <v>897.3823331105234</v>
          </cell>
          <cell r="J55">
            <v>155000</v>
          </cell>
          <cell r="L55">
            <v>2075756.4</v>
          </cell>
          <cell r="M55">
            <v>66959.883870967737</v>
          </cell>
          <cell r="P55">
            <v>2324082.6496629999</v>
          </cell>
          <cell r="Q55">
            <v>74970.408053645151</v>
          </cell>
          <cell r="S55">
            <v>2230756.4</v>
          </cell>
          <cell r="T55">
            <v>0.70899999999999996</v>
          </cell>
          <cell r="V55">
            <v>22620</v>
          </cell>
          <cell r="W55">
            <v>0.67900000000000005</v>
          </cell>
          <cell r="Y55">
            <v>70706.249662999995</v>
          </cell>
          <cell r="Z55">
            <v>0.54</v>
          </cell>
        </row>
        <row r="56">
          <cell r="A56">
            <v>37865</v>
          </cell>
          <cell r="B56">
            <v>30</v>
          </cell>
          <cell r="D56">
            <v>15320.308536885244</v>
          </cell>
          <cell r="E56">
            <v>510.67695122950812</v>
          </cell>
          <cell r="F56">
            <v>22469.785854098362</v>
          </cell>
          <cell r="G56">
            <v>748.99286180327874</v>
          </cell>
          <cell r="H56">
            <v>24512.493659016392</v>
          </cell>
          <cell r="I56">
            <v>817.08312196721306</v>
          </cell>
          <cell r="J56">
            <v>150000</v>
          </cell>
          <cell r="L56">
            <v>1792363.2</v>
          </cell>
          <cell r="M56">
            <v>59745.439999999995</v>
          </cell>
          <cell r="P56">
            <v>2024292.7880499999</v>
          </cell>
          <cell r="Q56">
            <v>67476.426268333322</v>
          </cell>
          <cell r="S56">
            <v>1942363.2</v>
          </cell>
          <cell r="T56">
            <v>0.70899999999999996</v>
          </cell>
          <cell r="V56">
            <v>19627</v>
          </cell>
          <cell r="W56">
            <v>0.67900000000000005</v>
          </cell>
          <cell r="Y56">
            <v>62302.588049999998</v>
          </cell>
          <cell r="Z56">
            <v>0.54</v>
          </cell>
        </row>
        <row r="57">
          <cell r="A57">
            <v>37895</v>
          </cell>
          <cell r="B57">
            <v>31</v>
          </cell>
          <cell r="D57">
            <v>30731.588787540983</v>
          </cell>
          <cell r="E57">
            <v>991.34157379164458</v>
          </cell>
          <cell r="F57">
            <v>45072.996888393442</v>
          </cell>
          <cell r="G57">
            <v>1453.9676415610788</v>
          </cell>
          <cell r="H57">
            <v>49170.542060065571</v>
          </cell>
          <cell r="I57">
            <v>1586.1465180666314</v>
          </cell>
          <cell r="J57">
            <v>155000</v>
          </cell>
          <cell r="L57">
            <v>2315460.4</v>
          </cell>
          <cell r="M57">
            <v>74692.270967741933</v>
          </cell>
          <cell r="P57">
            <v>2620361.5277359998</v>
          </cell>
          <cell r="Q57">
            <v>84527.791217290316</v>
          </cell>
          <cell r="S57">
            <v>2470460.4</v>
          </cell>
          <cell r="T57">
            <v>0.70899999999999996</v>
          </cell>
          <cell r="V57">
            <v>24926</v>
          </cell>
          <cell r="W57">
            <v>0.67900000000000005</v>
          </cell>
          <cell r="Y57">
            <v>124975.12773599999</v>
          </cell>
          <cell r="Z57">
            <v>0.54</v>
          </cell>
        </row>
        <row r="58">
          <cell r="A58">
            <v>37926</v>
          </cell>
          <cell r="B58">
            <v>30</v>
          </cell>
          <cell r="D58">
            <v>57332.193518114749</v>
          </cell>
          <cell r="E58">
            <v>1911.0731172704916</v>
          </cell>
          <cell r="F58">
            <v>84087.217159901644</v>
          </cell>
          <cell r="G58">
            <v>2802.9072386633879</v>
          </cell>
          <cell r="H58">
            <v>91731.509628983607</v>
          </cell>
          <cell r="I58">
            <v>3057.7169876327871</v>
          </cell>
          <cell r="J58">
            <v>150000</v>
          </cell>
          <cell r="L58">
            <v>4296217.3</v>
          </cell>
          <cell r="M58">
            <v>143207.24333333332</v>
          </cell>
          <cell r="P58">
            <v>4724902.220307</v>
          </cell>
          <cell r="Q58">
            <v>157496.74067689999</v>
          </cell>
          <cell r="S58">
            <v>4446217.3</v>
          </cell>
          <cell r="T58">
            <v>0.68899999999999995</v>
          </cell>
          <cell r="V58">
            <v>45534</v>
          </cell>
          <cell r="W58">
            <v>0.67900000000000005</v>
          </cell>
          <cell r="Y58">
            <v>233150.92030699999</v>
          </cell>
          <cell r="Z58">
            <v>0.52</v>
          </cell>
          <cell r="AK58">
            <v>828000</v>
          </cell>
        </row>
        <row r="59">
          <cell r="A59">
            <v>37956</v>
          </cell>
          <cell r="B59">
            <v>31</v>
          </cell>
          <cell r="D59">
            <v>79666.141835901639</v>
          </cell>
          <cell r="E59">
            <v>2569.8755430936012</v>
          </cell>
          <cell r="F59">
            <v>116843.67469265574</v>
          </cell>
          <cell r="G59">
            <v>3769.1507965372821</v>
          </cell>
          <cell r="H59">
            <v>127465.82693744262</v>
          </cell>
          <cell r="I59">
            <v>4111.8008689497619</v>
          </cell>
          <cell r="J59">
            <v>155000</v>
          </cell>
          <cell r="L59">
            <v>7289391.0999999996</v>
          </cell>
          <cell r="M59">
            <v>235141.64838709676</v>
          </cell>
          <cell r="P59">
            <v>7845794.7434659991</v>
          </cell>
          <cell r="Q59">
            <v>253090.15301503224</v>
          </cell>
          <cell r="S59">
            <v>7444391.0999999996</v>
          </cell>
          <cell r="T59">
            <v>0.68530000000000002</v>
          </cell>
          <cell r="V59">
            <v>77428</v>
          </cell>
          <cell r="W59">
            <v>0.67900000000000005</v>
          </cell>
          <cell r="Y59">
            <v>323975.64346599998</v>
          </cell>
          <cell r="Z59">
            <v>0.51629999999999998</v>
          </cell>
          <cell r="AK59">
            <v>828000</v>
          </cell>
        </row>
        <row r="60">
          <cell r="A60">
            <v>37987</v>
          </cell>
          <cell r="B60">
            <v>31</v>
          </cell>
          <cell r="D60">
            <v>105064.21068442623</v>
          </cell>
          <cell r="E60">
            <v>3389.1680865943945</v>
          </cell>
          <cell r="F60">
            <v>154094.17567049182</v>
          </cell>
          <cell r="G60">
            <v>4970.7798603384463</v>
          </cell>
          <cell r="H60">
            <v>168102.73709508197</v>
          </cell>
          <cell r="I60">
            <v>5422.6689385510317</v>
          </cell>
          <cell r="J60">
            <v>155000</v>
          </cell>
          <cell r="L60">
            <v>8904884.5999999996</v>
          </cell>
          <cell r="M60">
            <v>287254.34193548386</v>
          </cell>
          <cell r="P60">
            <v>9580127.7234499995</v>
          </cell>
          <cell r="Q60">
            <v>309036.37817580643</v>
          </cell>
          <cell r="S60">
            <v>9059884.5999999996</v>
          </cell>
          <cell r="T60">
            <v>0.69059999999999999</v>
          </cell>
          <cell r="V60">
            <v>92982</v>
          </cell>
          <cell r="W60">
            <v>0.67900000000000005</v>
          </cell>
          <cell r="Y60">
            <v>427261.12345000001</v>
          </cell>
          <cell r="Z60">
            <v>0.52159999999999995</v>
          </cell>
          <cell r="AK60">
            <v>828000</v>
          </cell>
        </row>
        <row r="61">
          <cell r="A61">
            <v>38018</v>
          </cell>
          <cell r="B61">
            <v>28</v>
          </cell>
          <cell r="D61">
            <v>69406.703109344264</v>
          </cell>
          <cell r="E61">
            <v>2478.8108253337236</v>
          </cell>
          <cell r="F61">
            <v>101796.49789370492</v>
          </cell>
          <cell r="G61">
            <v>3635.5892104894615</v>
          </cell>
          <cell r="H61">
            <v>111050.7249749508</v>
          </cell>
          <cell r="I61">
            <v>3966.0973205339574</v>
          </cell>
          <cell r="J61">
            <v>140000</v>
          </cell>
          <cell r="L61">
            <v>6250154.2000000002</v>
          </cell>
          <cell r="M61">
            <v>223219.79285714286</v>
          </cell>
          <cell r="P61">
            <v>6737765.1259780005</v>
          </cell>
          <cell r="Q61">
            <v>240634.46878492858</v>
          </cell>
          <cell r="S61">
            <v>6390154.2000000002</v>
          </cell>
          <cell r="T61">
            <v>0.69479999999999997</v>
          </cell>
          <cell r="V61">
            <v>65357</v>
          </cell>
          <cell r="W61">
            <v>0.67900000000000005</v>
          </cell>
          <cell r="Y61">
            <v>282253.92597799998</v>
          </cell>
          <cell r="Z61">
            <v>0.52580000000000005</v>
          </cell>
          <cell r="AK61">
            <v>828000</v>
          </cell>
        </row>
        <row r="62">
          <cell r="A62">
            <v>38047</v>
          </cell>
          <cell r="B62">
            <v>31</v>
          </cell>
          <cell r="D62">
            <v>59887.821938606554</v>
          </cell>
          <cell r="E62">
            <v>1931.8652238260179</v>
          </cell>
          <cell r="F62">
            <v>87835.472176622949</v>
          </cell>
          <cell r="G62">
            <v>2833.4023282781595</v>
          </cell>
          <cell r="H62">
            <v>95820.515101770492</v>
          </cell>
          <cell r="I62">
            <v>3090.9843581216287</v>
          </cell>
          <cell r="J62">
            <v>155000</v>
          </cell>
          <cell r="L62">
            <v>5160585</v>
          </cell>
          <cell r="M62">
            <v>166470.48387096773</v>
          </cell>
          <cell r="P62">
            <v>5613494.8092170004</v>
          </cell>
          <cell r="Q62">
            <v>181080.47771667744</v>
          </cell>
          <cell r="S62">
            <v>5315585</v>
          </cell>
          <cell r="T62">
            <v>0.69720000000000004</v>
          </cell>
          <cell r="V62">
            <v>54366</v>
          </cell>
          <cell r="W62">
            <v>0.67900000000000005</v>
          </cell>
          <cell r="Y62">
            <v>243543.809217</v>
          </cell>
          <cell r="Z62">
            <v>0.5282</v>
          </cell>
          <cell r="AK62">
            <v>828000</v>
          </cell>
        </row>
        <row r="63">
          <cell r="A63">
            <v>38078</v>
          </cell>
          <cell r="B63">
            <v>30</v>
          </cell>
          <cell r="D63">
            <v>34267.746805081966</v>
          </cell>
          <cell r="E63">
            <v>1142.2582268360654</v>
          </cell>
          <cell r="F63">
            <v>50259.361980786889</v>
          </cell>
          <cell r="G63">
            <v>1675.3120660262296</v>
          </cell>
          <cell r="H63">
            <v>54828.394888131152</v>
          </cell>
          <cell r="I63">
            <v>1827.6131629377051</v>
          </cell>
          <cell r="J63">
            <v>150000</v>
          </cell>
          <cell r="L63">
            <v>2756925.2</v>
          </cell>
          <cell r="M63">
            <v>91897.506666666668</v>
          </cell>
          <cell r="P63">
            <v>3075475.7036740002</v>
          </cell>
          <cell r="Q63">
            <v>102515.85678913334</v>
          </cell>
          <cell r="S63">
            <v>2906925.2</v>
          </cell>
          <cell r="T63">
            <v>0.70899999999999996</v>
          </cell>
          <cell r="V63">
            <v>29195</v>
          </cell>
          <cell r="W63">
            <v>0.67900000000000005</v>
          </cell>
          <cell r="Y63">
            <v>139355.50367400001</v>
          </cell>
          <cell r="Z63">
            <v>0.54</v>
          </cell>
        </row>
        <row r="64">
          <cell r="A64">
            <v>38108</v>
          </cell>
          <cell r="B64">
            <v>31</v>
          </cell>
          <cell r="D64">
            <v>23275.849606967211</v>
          </cell>
          <cell r="E64">
            <v>750.83385828926487</v>
          </cell>
          <cell r="F64">
            <v>34137.912756885242</v>
          </cell>
          <cell r="G64">
            <v>1101.2229921575884</v>
          </cell>
          <cell r="H64">
            <v>37241.359371147541</v>
          </cell>
          <cell r="I64">
            <v>1201.3341732628239</v>
          </cell>
          <cell r="J64">
            <v>155000</v>
          </cell>
          <cell r="L64">
            <v>2142473.7000000002</v>
          </cell>
          <cell r="M64">
            <v>69112.054838709679</v>
          </cell>
          <cell r="P64">
            <v>2415239.8217350002</v>
          </cell>
          <cell r="Q64">
            <v>77910.961991451622</v>
          </cell>
          <cell r="S64">
            <v>2297473.7000000002</v>
          </cell>
          <cell r="T64">
            <v>0.70899999999999996</v>
          </cell>
          <cell r="V64">
            <v>23111</v>
          </cell>
          <cell r="W64">
            <v>0.67900000000000005</v>
          </cell>
          <cell r="Y64">
            <v>94655.121734999993</v>
          </cell>
          <cell r="Z64">
            <v>0.54</v>
          </cell>
        </row>
        <row r="65">
          <cell r="A65">
            <v>38139</v>
          </cell>
          <cell r="B65">
            <v>30</v>
          </cell>
          <cell r="D65">
            <v>16779.792896311475</v>
          </cell>
          <cell r="E65">
            <v>559.32642987704924</v>
          </cell>
          <cell r="F65">
            <v>24610.362914590165</v>
          </cell>
          <cell r="G65">
            <v>820.34543048633884</v>
          </cell>
          <cell r="H65">
            <v>26847.668634098362</v>
          </cell>
          <cell r="I65">
            <v>894.92228780327866</v>
          </cell>
          <cell r="J65">
            <v>150000</v>
          </cell>
          <cell r="L65">
            <v>1595352.4</v>
          </cell>
          <cell r="M65">
            <v>53178.41333333333</v>
          </cell>
          <cell r="P65">
            <v>1831058.2244449998</v>
          </cell>
          <cell r="Q65">
            <v>61035.27414816666</v>
          </cell>
          <cell r="S65">
            <v>1745352.4</v>
          </cell>
          <cell r="T65">
            <v>0.70899999999999996</v>
          </cell>
          <cell r="V65">
            <v>17468</v>
          </cell>
          <cell r="W65">
            <v>0.67900000000000005</v>
          </cell>
          <cell r="Y65">
            <v>68237.824445000006</v>
          </cell>
          <cell r="Z65">
            <v>0.54</v>
          </cell>
        </row>
        <row r="66">
          <cell r="A66">
            <v>38169</v>
          </cell>
          <cell r="B66">
            <v>31</v>
          </cell>
          <cell r="D66">
            <v>18337.791975</v>
          </cell>
          <cell r="E66">
            <v>591.54167661290319</v>
          </cell>
          <cell r="F66">
            <v>26895.428230000001</v>
          </cell>
          <cell r="G66">
            <v>867.5944590322581</v>
          </cell>
          <cell r="H66">
            <v>29340.46716</v>
          </cell>
          <cell r="I66">
            <v>946.46668258064517</v>
          </cell>
          <cell r="J66">
            <v>155000</v>
          </cell>
          <cell r="L66">
            <v>1667137.1</v>
          </cell>
          <cell r="M66">
            <v>53778.616129032263</v>
          </cell>
          <cell r="P66">
            <v>1914767.787365</v>
          </cell>
          <cell r="Q66">
            <v>61766.702818225807</v>
          </cell>
          <cell r="S66">
            <v>1822137.1</v>
          </cell>
          <cell r="T66">
            <v>0.70899999999999996</v>
          </cell>
          <cell r="V66">
            <v>18057</v>
          </cell>
          <cell r="W66">
            <v>0.67900000000000005</v>
          </cell>
          <cell r="Y66">
            <v>74573.687365000005</v>
          </cell>
          <cell r="Z66">
            <v>0.54</v>
          </cell>
        </row>
        <row r="67">
          <cell r="A67">
            <v>38200</v>
          </cell>
          <cell r="B67">
            <v>31</v>
          </cell>
          <cell r="D67">
            <v>17560.650530901639</v>
          </cell>
          <cell r="E67">
            <v>566.47259777102067</v>
          </cell>
          <cell r="F67">
            <v>25755.620778655735</v>
          </cell>
          <cell r="G67">
            <v>830.82647673083022</v>
          </cell>
          <cell r="H67">
            <v>28097.040849442619</v>
          </cell>
          <cell r="I67">
            <v>906.35615643363292</v>
          </cell>
          <cell r="J67">
            <v>155000</v>
          </cell>
          <cell r="L67">
            <v>2097103.5</v>
          </cell>
          <cell r="M67">
            <v>67648.5</v>
          </cell>
          <cell r="P67">
            <v>2346136.812159</v>
          </cell>
          <cell r="Q67">
            <v>75681.832650290322</v>
          </cell>
          <cell r="S67">
            <v>2252103.5</v>
          </cell>
          <cell r="T67">
            <v>0.70899999999999996</v>
          </cell>
          <cell r="V67">
            <v>22620</v>
          </cell>
          <cell r="W67">
            <v>0.67900000000000005</v>
          </cell>
          <cell r="Y67">
            <v>71413.312158999994</v>
          </cell>
          <cell r="Z67">
            <v>0.54</v>
          </cell>
        </row>
        <row r="68">
          <cell r="A68">
            <v>38231</v>
          </cell>
          <cell r="B68">
            <v>30</v>
          </cell>
          <cell r="D68">
            <v>15473.511622377049</v>
          </cell>
          <cell r="E68">
            <v>515.78372074590163</v>
          </cell>
          <cell r="F68">
            <v>22694.483712819674</v>
          </cell>
          <cell r="G68">
            <v>756.48279042732247</v>
          </cell>
          <cell r="H68">
            <v>24757.618595803277</v>
          </cell>
          <cell r="I68">
            <v>825.2539531934425</v>
          </cell>
          <cell r="J68">
            <v>150000</v>
          </cell>
          <cell r="L68">
            <v>1810900.5</v>
          </cell>
          <cell r="M68">
            <v>60363.35</v>
          </cell>
          <cell r="P68">
            <v>2043453.113931</v>
          </cell>
          <cell r="Q68">
            <v>68115.103797699994</v>
          </cell>
          <cell r="S68">
            <v>1960900.5</v>
          </cell>
          <cell r="T68">
            <v>0.70899999999999996</v>
          </cell>
          <cell r="V68">
            <v>19627</v>
          </cell>
          <cell r="W68">
            <v>0.67900000000000005</v>
          </cell>
          <cell r="Y68">
            <v>62925.613931</v>
          </cell>
          <cell r="Z68">
            <v>0.54</v>
          </cell>
        </row>
        <row r="69">
          <cell r="A69">
            <v>38261</v>
          </cell>
          <cell r="B69">
            <v>31</v>
          </cell>
          <cell r="D69">
            <v>31038.904675573773</v>
          </cell>
          <cell r="E69">
            <v>1001.2549895346378</v>
          </cell>
          <cell r="F69">
            <v>45523.726857508198</v>
          </cell>
          <cell r="G69">
            <v>1468.5073179841354</v>
          </cell>
          <cell r="H69">
            <v>49662.247480918035</v>
          </cell>
          <cell r="I69">
            <v>1602.0079832554204</v>
          </cell>
          <cell r="J69">
            <v>155000</v>
          </cell>
          <cell r="L69">
            <v>2339300.1</v>
          </cell>
          <cell r="M69">
            <v>75461.293548387097</v>
          </cell>
          <cell r="P69">
            <v>2645450.9790139999</v>
          </cell>
          <cell r="Q69">
            <v>85337.128355290319</v>
          </cell>
          <cell r="S69">
            <v>2494300.1</v>
          </cell>
          <cell r="T69">
            <v>0.70899999999999996</v>
          </cell>
          <cell r="V69">
            <v>24926</v>
          </cell>
          <cell r="W69">
            <v>0.67900000000000005</v>
          </cell>
          <cell r="Y69">
            <v>126224.87901400001</v>
          </cell>
          <cell r="Z69">
            <v>0.54</v>
          </cell>
        </row>
        <row r="70">
          <cell r="A70">
            <v>38292</v>
          </cell>
          <cell r="B70">
            <v>30</v>
          </cell>
          <cell r="D70">
            <v>57905.515453278684</v>
          </cell>
          <cell r="E70">
            <v>1930.1838484426228</v>
          </cell>
          <cell r="F70">
            <v>84928.089331475407</v>
          </cell>
          <cell r="G70">
            <v>2830.9363110491804</v>
          </cell>
          <cell r="H70">
            <v>92648.824725245897</v>
          </cell>
          <cell r="I70">
            <v>3088.2941575081963</v>
          </cell>
          <cell r="J70">
            <v>150000</v>
          </cell>
          <cell r="L70">
            <v>4339566.8</v>
          </cell>
          <cell r="M70">
            <v>144652.22666666665</v>
          </cell>
          <cell r="P70">
            <v>4770583.22951</v>
          </cell>
          <cell r="Q70">
            <v>159019.44098366666</v>
          </cell>
          <cell r="S70">
            <v>4489566.8</v>
          </cell>
          <cell r="T70">
            <v>0.68899999999999995</v>
          </cell>
          <cell r="V70">
            <v>45534</v>
          </cell>
          <cell r="W70">
            <v>0.67900000000000005</v>
          </cell>
          <cell r="Y70">
            <v>235482.42950999999</v>
          </cell>
          <cell r="Z70">
            <v>0.52</v>
          </cell>
          <cell r="AK70">
            <v>828000</v>
          </cell>
        </row>
        <row r="71">
          <cell r="A71">
            <v>38322</v>
          </cell>
          <cell r="B71">
            <v>31</v>
          </cell>
          <cell r="D71">
            <v>80462.80325409837</v>
          </cell>
          <cell r="E71">
            <v>2595.5742985193024</v>
          </cell>
          <cell r="F71">
            <v>118012.11143934427</v>
          </cell>
          <cell r="G71">
            <v>3806.8423044949764</v>
          </cell>
          <cell r="H71">
            <v>128740.48520655738</v>
          </cell>
          <cell r="I71">
            <v>4152.9188776308829</v>
          </cell>
          <cell r="J71">
            <v>155000</v>
          </cell>
          <cell r="L71">
            <v>7362543.7000000002</v>
          </cell>
          <cell r="M71">
            <v>237501.40967741937</v>
          </cell>
          <cell r="P71">
            <v>7922187.0998999998</v>
          </cell>
          <cell r="Q71">
            <v>255554.42257741935</v>
          </cell>
          <cell r="S71">
            <v>7517543.7000000002</v>
          </cell>
          <cell r="T71">
            <v>0.68530000000000002</v>
          </cell>
          <cell r="V71">
            <v>77428</v>
          </cell>
          <cell r="W71">
            <v>0.67900000000000005</v>
          </cell>
          <cell r="Y71">
            <v>327215.39990000002</v>
          </cell>
          <cell r="Z71">
            <v>0.51629999999999998</v>
          </cell>
          <cell r="AK71">
            <v>828000</v>
          </cell>
        </row>
        <row r="72">
          <cell r="A72">
            <v>38353</v>
          </cell>
          <cell r="B72">
            <v>31</v>
          </cell>
          <cell r="D72">
            <v>106114.85279139344</v>
          </cell>
          <cell r="E72">
            <v>3423.0597674643045</v>
          </cell>
          <cell r="F72">
            <v>155635.11742737706</v>
          </cell>
          <cell r="G72">
            <v>5020.4876589476471</v>
          </cell>
          <cell r="H72">
            <v>169783.76446622951</v>
          </cell>
          <cell r="I72">
            <v>5476.8956279428876</v>
          </cell>
          <cell r="J72">
            <v>155000</v>
          </cell>
          <cell r="L72">
            <v>8993972.4000000004</v>
          </cell>
          <cell r="M72">
            <v>290128.1419354839</v>
          </cell>
          <cell r="P72">
            <v>9673488.1346850004</v>
          </cell>
          <cell r="Q72">
            <v>312048.00434467744</v>
          </cell>
          <cell r="S72">
            <v>9148972.4000000004</v>
          </cell>
          <cell r="T72">
            <v>0.69059999999999999</v>
          </cell>
          <cell r="V72">
            <v>92982</v>
          </cell>
          <cell r="W72">
            <v>0.67900000000000005</v>
          </cell>
          <cell r="Y72">
            <v>431533.73468499997</v>
          </cell>
          <cell r="Z72">
            <v>0.52159999999999995</v>
          </cell>
          <cell r="AK72">
            <v>828000</v>
          </cell>
        </row>
        <row r="73">
          <cell r="A73">
            <v>38384</v>
          </cell>
          <cell r="B73">
            <v>28</v>
          </cell>
          <cell r="D73">
            <v>70100.77014049179</v>
          </cell>
          <cell r="E73">
            <v>2503.5989335889926</v>
          </cell>
          <cell r="F73">
            <v>102814.46287272131</v>
          </cell>
          <cell r="G73">
            <v>3671.9451025971898</v>
          </cell>
          <cell r="H73">
            <v>112161.23222478687</v>
          </cell>
          <cell r="I73">
            <v>4005.7582937423881</v>
          </cell>
          <cell r="J73">
            <v>140000</v>
          </cell>
          <cell r="L73">
            <v>6310117.7999999998</v>
          </cell>
          <cell r="M73">
            <v>225361.35</v>
          </cell>
          <cell r="P73">
            <v>6800551.2652380001</v>
          </cell>
          <cell r="Q73">
            <v>242876.83090135714</v>
          </cell>
          <cell r="S73">
            <v>6450117.7999999998</v>
          </cell>
          <cell r="T73">
            <v>0.69479999999999997</v>
          </cell>
          <cell r="V73">
            <v>65357</v>
          </cell>
          <cell r="W73">
            <v>0.67900000000000005</v>
          </cell>
          <cell r="Y73">
            <v>285076.46523799998</v>
          </cell>
          <cell r="Z73">
            <v>0.52580000000000005</v>
          </cell>
          <cell r="AK73">
            <v>828000</v>
          </cell>
        </row>
        <row r="74">
          <cell r="A74">
            <v>38412</v>
          </cell>
          <cell r="B74">
            <v>31</v>
          </cell>
          <cell r="D74">
            <v>60486.700157950821</v>
          </cell>
          <cell r="E74">
            <v>1951.1838760629298</v>
          </cell>
          <cell r="F74">
            <v>88713.826898327869</v>
          </cell>
          <cell r="G74">
            <v>2861.7363515589636</v>
          </cell>
          <cell r="H74">
            <v>96778.720252721308</v>
          </cell>
          <cell r="I74">
            <v>3121.8942017006875</v>
          </cell>
          <cell r="J74">
            <v>155000</v>
          </cell>
          <cell r="L74">
            <v>5212447.5</v>
          </cell>
          <cell r="M74">
            <v>168143.46774193548</v>
          </cell>
          <cell r="P74">
            <v>5667792.7473090002</v>
          </cell>
          <cell r="Q74">
            <v>182832.02410674194</v>
          </cell>
          <cell r="S74">
            <v>5367447.5</v>
          </cell>
          <cell r="T74">
            <v>0.69720000000000004</v>
          </cell>
          <cell r="V74">
            <v>54366</v>
          </cell>
          <cell r="W74">
            <v>0.67900000000000005</v>
          </cell>
          <cell r="Y74">
            <v>245979.247309</v>
          </cell>
          <cell r="Z74">
            <v>0.5282</v>
          </cell>
          <cell r="AK74">
            <v>828000</v>
          </cell>
        </row>
        <row r="75">
          <cell r="A75">
            <v>38443</v>
          </cell>
          <cell r="B75">
            <v>30</v>
          </cell>
          <cell r="D75">
            <v>34610.424272950819</v>
          </cell>
          <cell r="E75">
            <v>1153.6808090983607</v>
          </cell>
          <cell r="F75">
            <v>50761.955600327878</v>
          </cell>
          <cell r="G75">
            <v>1692.0651866775959</v>
          </cell>
          <cell r="H75">
            <v>55376.678836721316</v>
          </cell>
          <cell r="I75">
            <v>1845.8892945573773</v>
          </cell>
          <cell r="J75">
            <v>150000</v>
          </cell>
          <cell r="L75">
            <v>2784964.8</v>
          </cell>
          <cell r="M75">
            <v>92832.159999999989</v>
          </cell>
          <cell r="P75">
            <v>3104908.8587099998</v>
          </cell>
          <cell r="Q75">
            <v>103496.96195699999</v>
          </cell>
          <cell r="S75">
            <v>2934964.8</v>
          </cell>
          <cell r="T75">
            <v>0.54</v>
          </cell>
          <cell r="V75">
            <v>29195</v>
          </cell>
          <cell r="W75">
            <v>0.51</v>
          </cell>
          <cell r="Y75">
            <v>140749.05871000001</v>
          </cell>
          <cell r="Z75">
            <v>0.54</v>
          </cell>
        </row>
        <row r="76">
          <cell r="A76">
            <v>38473</v>
          </cell>
          <cell r="B76">
            <v>31</v>
          </cell>
          <cell r="D76">
            <v>23508.608102950817</v>
          </cell>
          <cell r="E76">
            <v>758.34219686938116</v>
          </cell>
          <cell r="F76">
            <v>34479.291884327868</v>
          </cell>
          <cell r="G76">
            <v>1112.2352220750925</v>
          </cell>
          <cell r="H76">
            <v>37613.772964721305</v>
          </cell>
          <cell r="I76">
            <v>1213.3475149910098</v>
          </cell>
          <cell r="J76">
            <v>155000</v>
          </cell>
          <cell r="L76">
            <v>2164580.6</v>
          </cell>
          <cell r="M76">
            <v>69825.180645161294</v>
          </cell>
          <cell r="P76">
            <v>2438293.2729520001</v>
          </cell>
          <cell r="Q76">
            <v>78654.621708129038</v>
          </cell>
          <cell r="S76">
            <v>2319580.6</v>
          </cell>
          <cell r="T76">
            <v>0.54</v>
          </cell>
          <cell r="V76">
            <v>23111</v>
          </cell>
          <cell r="W76">
            <v>0.51</v>
          </cell>
          <cell r="Y76">
            <v>95601.672951999994</v>
          </cell>
          <cell r="Z76">
            <v>0.54</v>
          </cell>
        </row>
        <row r="77">
          <cell r="A77">
            <v>38504</v>
          </cell>
          <cell r="B77">
            <v>30</v>
          </cell>
          <cell r="D77">
            <v>16947.590825409836</v>
          </cell>
          <cell r="E77">
            <v>564.91969418032784</v>
          </cell>
          <cell r="F77">
            <v>24856.466543934428</v>
          </cell>
          <cell r="G77">
            <v>828.54888479781425</v>
          </cell>
          <cell r="H77">
            <v>27116.145320655738</v>
          </cell>
          <cell r="I77">
            <v>903.87151068852461</v>
          </cell>
          <cell r="J77">
            <v>150000</v>
          </cell>
          <cell r="L77">
            <v>1611948.7</v>
          </cell>
          <cell r="M77">
            <v>53731.623333333329</v>
          </cell>
          <cell r="P77">
            <v>1848336.9026899999</v>
          </cell>
          <cell r="Q77">
            <v>61611.230089666664</v>
          </cell>
          <cell r="S77">
            <v>1761948.7</v>
          </cell>
          <cell r="T77">
            <v>0.54</v>
          </cell>
          <cell r="V77">
            <v>17468</v>
          </cell>
          <cell r="W77">
            <v>0.51</v>
          </cell>
          <cell r="Y77">
            <v>68920.202690000006</v>
          </cell>
          <cell r="Z77">
            <v>0.54</v>
          </cell>
        </row>
        <row r="78">
          <cell r="A78">
            <v>38534</v>
          </cell>
          <cell r="B78">
            <v>31</v>
          </cell>
          <cell r="D78">
            <v>18521.169894836064</v>
          </cell>
          <cell r="E78">
            <v>597.45709338180848</v>
          </cell>
          <cell r="F78">
            <v>27164.382512426229</v>
          </cell>
          <cell r="G78">
            <v>876.27040362665252</v>
          </cell>
          <cell r="H78">
            <v>29633.871831737706</v>
          </cell>
          <cell r="I78">
            <v>955.93134941089374</v>
          </cell>
          <cell r="J78">
            <v>155000</v>
          </cell>
          <cell r="L78">
            <v>1684455.1</v>
          </cell>
          <cell r="M78">
            <v>54337.261290322582</v>
          </cell>
          <cell r="P78">
            <v>1932831.5242390002</v>
          </cell>
          <cell r="Q78">
            <v>62349.40400770968</v>
          </cell>
          <cell r="S78">
            <v>1839455.1</v>
          </cell>
          <cell r="T78">
            <v>0.54</v>
          </cell>
          <cell r="V78">
            <v>18057</v>
          </cell>
          <cell r="W78">
            <v>0.51</v>
          </cell>
          <cell r="Y78">
            <v>75319.424239</v>
          </cell>
          <cell r="Z78">
            <v>0.54</v>
          </cell>
        </row>
        <row r="79">
          <cell r="A79">
            <v>38565</v>
          </cell>
          <cell r="B79">
            <v>31</v>
          </cell>
          <cell r="D79">
            <v>17736.257036311472</v>
          </cell>
          <cell r="E79">
            <v>572.13732375198299</v>
          </cell>
          <cell r="F79">
            <v>26013.176986590162</v>
          </cell>
          <cell r="G79">
            <v>839.13474150290847</v>
          </cell>
          <cell r="H79">
            <v>28378.011258098359</v>
          </cell>
          <cell r="I79">
            <v>915.41971800317287</v>
          </cell>
          <cell r="J79">
            <v>155000</v>
          </cell>
          <cell r="L79">
            <v>2118664.1</v>
          </cell>
          <cell r="M79">
            <v>68344.00322580646</v>
          </cell>
          <cell r="P79">
            <v>2368411.545281</v>
          </cell>
          <cell r="Q79">
            <v>76400.372428419359</v>
          </cell>
          <cell r="S79">
            <v>2273664.1</v>
          </cell>
          <cell r="T79">
            <v>0.54</v>
          </cell>
          <cell r="V79">
            <v>22620</v>
          </cell>
          <cell r="W79">
            <v>0.51</v>
          </cell>
          <cell r="Y79">
            <v>72127.445280999993</v>
          </cell>
          <cell r="Z79">
            <v>0.54</v>
          </cell>
        </row>
        <row r="80">
          <cell r="A80">
            <v>38596</v>
          </cell>
          <cell r="B80">
            <v>30</v>
          </cell>
          <cell r="D80">
            <v>15628.246738524589</v>
          </cell>
          <cell r="E80">
            <v>520.94155795081963</v>
          </cell>
          <cell r="F80">
            <v>22921.428549836066</v>
          </cell>
          <cell r="G80">
            <v>764.04761832786892</v>
          </cell>
          <cell r="H80">
            <v>25005.194781639344</v>
          </cell>
          <cell r="I80">
            <v>833.50649272131147</v>
          </cell>
          <cell r="J80">
            <v>150000</v>
          </cell>
          <cell r="L80">
            <v>1829623.1</v>
          </cell>
          <cell r="M80">
            <v>60987.436666666668</v>
          </cell>
          <cell r="P80">
            <v>2062804.97007</v>
          </cell>
          <cell r="Q80">
            <v>68760.165668999995</v>
          </cell>
          <cell r="S80">
            <v>1979623.1</v>
          </cell>
          <cell r="T80">
            <v>0.54</v>
          </cell>
          <cell r="V80">
            <v>19627</v>
          </cell>
          <cell r="W80">
            <v>0.51</v>
          </cell>
          <cell r="Y80">
            <v>63554.870069999997</v>
          </cell>
          <cell r="Z80">
            <v>0.54</v>
          </cell>
        </row>
        <row r="81">
          <cell r="A81">
            <v>38626</v>
          </cell>
          <cell r="B81">
            <v>31</v>
          </cell>
          <cell r="D81">
            <v>31349.293722295082</v>
          </cell>
          <cell r="E81">
            <v>1011.2675394288736</v>
          </cell>
          <cell r="F81">
            <v>45978.964126032792</v>
          </cell>
          <cell r="G81">
            <v>1483.192391162348</v>
          </cell>
          <cell r="H81">
            <v>50158.869955672133</v>
          </cell>
          <cell r="I81">
            <v>1618.0280630861978</v>
          </cell>
          <cell r="J81">
            <v>155000</v>
          </cell>
          <cell r="L81">
            <v>2363378.2999999998</v>
          </cell>
          <cell r="M81">
            <v>76238.009677419352</v>
          </cell>
          <cell r="P81">
            <v>2670791.4278039997</v>
          </cell>
          <cell r="Q81">
            <v>86154.562187225805</v>
          </cell>
          <cell r="S81">
            <v>2518378.2999999998</v>
          </cell>
          <cell r="T81">
            <v>0.54</v>
          </cell>
          <cell r="V81">
            <v>24926</v>
          </cell>
          <cell r="W81">
            <v>0.51</v>
          </cell>
          <cell r="Y81">
            <v>127487.127804</v>
          </cell>
          <cell r="Z81">
            <v>0.54</v>
          </cell>
        </row>
        <row r="82">
          <cell r="A82">
            <v>38657</v>
          </cell>
          <cell r="B82">
            <v>30</v>
          </cell>
          <cell r="D82">
            <v>58484.570607786882</v>
          </cell>
          <cell r="E82">
            <v>1949.4856869262294</v>
          </cell>
          <cell r="F82">
            <v>85777.370224754093</v>
          </cell>
          <cell r="G82">
            <v>2859.2456741584697</v>
          </cell>
          <cell r="H82">
            <v>93575.312972459011</v>
          </cell>
          <cell r="I82">
            <v>3119.1770990819668</v>
          </cell>
          <cell r="J82">
            <v>150000</v>
          </cell>
          <cell r="L82">
            <v>4383349.9000000004</v>
          </cell>
          <cell r="M82">
            <v>146111.66333333336</v>
          </cell>
          <cell r="P82">
            <v>4816721.1538050007</v>
          </cell>
          <cell r="Q82">
            <v>160557.37179350003</v>
          </cell>
          <cell r="S82">
            <v>4533349.9000000004</v>
          </cell>
          <cell r="T82">
            <v>0.52001746144926231</v>
          </cell>
          <cell r="V82">
            <v>45534</v>
          </cell>
          <cell r="W82">
            <v>0.51</v>
          </cell>
          <cell r="Y82">
            <v>237837.25380499999</v>
          </cell>
          <cell r="Z82">
            <v>0.52</v>
          </cell>
          <cell r="AK82">
            <v>828000</v>
          </cell>
        </row>
        <row r="83">
          <cell r="A83">
            <v>38687</v>
          </cell>
          <cell r="B83">
            <v>31</v>
          </cell>
          <cell r="D83">
            <v>81267.431286639345</v>
          </cell>
          <cell r="E83">
            <v>2621.5300415044949</v>
          </cell>
          <cell r="F83">
            <v>119192.2325537377</v>
          </cell>
          <cell r="G83">
            <v>3844.910727539926</v>
          </cell>
          <cell r="H83">
            <v>130027.89005862294</v>
          </cell>
          <cell r="I83">
            <v>4194.4480664071916</v>
          </cell>
          <cell r="J83">
            <v>155000</v>
          </cell>
          <cell r="L83">
            <v>7436427.9000000004</v>
          </cell>
          <cell r="M83">
            <v>239884.77096774193</v>
          </cell>
          <cell r="P83">
            <v>7999343.4538990008</v>
          </cell>
          <cell r="Q83">
            <v>258043.33722254841</v>
          </cell>
          <cell r="S83">
            <v>7591427.9000000004</v>
          </cell>
          <cell r="T83">
            <v>0.51628317315119387</v>
          </cell>
          <cell r="V83">
            <v>77428</v>
          </cell>
          <cell r="W83">
            <v>0.51</v>
          </cell>
          <cell r="Y83">
            <v>330487.55389899999</v>
          </cell>
          <cell r="Z83">
            <v>0.51629999999999998</v>
          </cell>
          <cell r="AK83">
            <v>828000</v>
          </cell>
        </row>
        <row r="84">
          <cell r="A84">
            <v>38718</v>
          </cell>
          <cell r="B84">
            <v>31</v>
          </cell>
          <cell r="D84">
            <v>107176.00131909836</v>
          </cell>
          <cell r="E84">
            <v>3457.2903651322054</v>
          </cell>
          <cell r="F84">
            <v>157191.46860134427</v>
          </cell>
          <cell r="G84">
            <v>5070.6925355272342</v>
          </cell>
          <cell r="H84">
            <v>171481.60211055737</v>
          </cell>
          <cell r="I84">
            <v>5531.6645842115286</v>
          </cell>
          <cell r="J84">
            <v>155000</v>
          </cell>
          <cell r="L84">
            <v>9083951.1999999993</v>
          </cell>
          <cell r="M84">
            <v>293030.68387096771</v>
          </cell>
          <cell r="P84">
            <v>9767782.2720309999</v>
          </cell>
          <cell r="Q84">
            <v>315089.75071067741</v>
          </cell>
          <cell r="S84">
            <v>9238951.1999999993</v>
          </cell>
          <cell r="T84">
            <v>0.52159609738590618</v>
          </cell>
          <cell r="V84">
            <v>92982</v>
          </cell>
          <cell r="W84">
            <v>0.51</v>
          </cell>
          <cell r="Y84">
            <v>435849.07203099999</v>
          </cell>
          <cell r="Z84">
            <v>0.52159999999999995</v>
          </cell>
          <cell r="AK84">
            <v>828000</v>
          </cell>
        </row>
        <row r="85">
          <cell r="A85">
            <v>38749</v>
          </cell>
          <cell r="B85">
            <v>28</v>
          </cell>
          <cell r="D85">
            <v>70801.777842049181</v>
          </cell>
          <cell r="E85">
            <v>2528.6349229303278</v>
          </cell>
          <cell r="F85">
            <v>103842.60750167214</v>
          </cell>
          <cell r="G85">
            <v>3708.664553631148</v>
          </cell>
          <cell r="H85">
            <v>113282.8445472787</v>
          </cell>
          <cell r="I85">
            <v>4045.8158766885249</v>
          </cell>
          <cell r="J85">
            <v>140000</v>
          </cell>
          <cell r="L85">
            <v>6373205.9000000004</v>
          </cell>
          <cell r="M85">
            <v>227614.49642857144</v>
          </cell>
          <cell r="P85">
            <v>6866490.1298910007</v>
          </cell>
          <cell r="Q85">
            <v>245231.79035325002</v>
          </cell>
          <cell r="S85">
            <v>6513205.9000000004</v>
          </cell>
          <cell r="T85">
            <v>0.52580422149083028</v>
          </cell>
          <cell r="V85">
            <v>65357</v>
          </cell>
          <cell r="W85">
            <v>0.51</v>
          </cell>
          <cell r="Y85">
            <v>287927.22989100002</v>
          </cell>
          <cell r="Z85">
            <v>0.52580000000000005</v>
          </cell>
          <cell r="AK85">
            <v>828000</v>
          </cell>
        </row>
        <row r="86">
          <cell r="A86">
            <v>38777</v>
          </cell>
          <cell r="B86">
            <v>31</v>
          </cell>
          <cell r="D86">
            <v>61091.567159508195</v>
          </cell>
          <cell r="E86">
            <v>1970.695714822845</v>
          </cell>
          <cell r="F86">
            <v>89600.9651672787</v>
          </cell>
          <cell r="G86">
            <v>2890.3537150735065</v>
          </cell>
          <cell r="H86">
            <v>97746.507455213112</v>
          </cell>
          <cell r="I86">
            <v>3153.1131437165518</v>
          </cell>
          <cell r="J86">
            <v>155000</v>
          </cell>
          <cell r="L86">
            <v>5264828.5999999996</v>
          </cell>
          <cell r="M86">
            <v>169833.18064516128</v>
          </cell>
          <cell r="P86">
            <v>5722633.6397819994</v>
          </cell>
          <cell r="Q86">
            <v>184601.08515425803</v>
          </cell>
          <cell r="S86">
            <v>5419828.5999999996</v>
          </cell>
          <cell r="T86">
            <v>0.52816895407863584</v>
          </cell>
          <cell r="V86">
            <v>54366</v>
          </cell>
          <cell r="W86">
            <v>0.51</v>
          </cell>
          <cell r="Y86">
            <v>248439.03978200001</v>
          </cell>
          <cell r="Z86">
            <v>0.5282</v>
          </cell>
          <cell r="AK86">
            <v>828000</v>
          </cell>
        </row>
        <row r="87">
          <cell r="A87">
            <v>38808</v>
          </cell>
          <cell r="B87">
            <v>30</v>
          </cell>
          <cell r="L87">
            <v>3075714</v>
          </cell>
          <cell r="M87">
            <v>102523.8</v>
          </cell>
          <cell r="P87">
            <v>3104909</v>
          </cell>
          <cell r="Q87">
            <v>103496.96666666666</v>
          </cell>
          <cell r="S87">
            <v>3075714</v>
          </cell>
          <cell r="T87">
            <v>0.53</v>
          </cell>
          <cell r="V87">
            <v>29195</v>
          </cell>
          <cell r="W87">
            <v>0.5</v>
          </cell>
        </row>
        <row r="88">
          <cell r="A88">
            <v>38838</v>
          </cell>
          <cell r="B88">
            <v>31</v>
          </cell>
          <cell r="L88">
            <v>2415182</v>
          </cell>
          <cell r="M88">
            <v>77909.096774193546</v>
          </cell>
          <cell r="P88">
            <v>2438293</v>
          </cell>
          <cell r="Q88">
            <v>78654.612903225803</v>
          </cell>
          <cell r="S88">
            <v>2415182</v>
          </cell>
          <cell r="T88">
            <v>0.53</v>
          </cell>
          <cell r="V88">
            <v>23111</v>
          </cell>
          <cell r="W88">
            <v>0.5</v>
          </cell>
        </row>
        <row r="89">
          <cell r="A89">
            <v>38869</v>
          </cell>
          <cell r="B89">
            <v>30</v>
          </cell>
          <cell r="L89">
            <v>1830869</v>
          </cell>
          <cell r="M89">
            <v>61028.966666666667</v>
          </cell>
          <cell r="P89">
            <v>1848337</v>
          </cell>
          <cell r="Q89">
            <v>61611.23333333333</v>
          </cell>
          <cell r="S89">
            <v>1830869</v>
          </cell>
          <cell r="T89">
            <v>0.53</v>
          </cell>
          <cell r="V89">
            <v>17468</v>
          </cell>
          <cell r="W89">
            <v>0.5</v>
          </cell>
        </row>
        <row r="90">
          <cell r="A90">
            <v>38899</v>
          </cell>
          <cell r="B90">
            <v>31</v>
          </cell>
          <cell r="L90">
            <v>1914774</v>
          </cell>
          <cell r="M90">
            <v>61766.903225806454</v>
          </cell>
          <cell r="P90">
            <v>1932831</v>
          </cell>
          <cell r="Q90">
            <v>62349.387096774197</v>
          </cell>
          <cell r="S90">
            <v>1914774</v>
          </cell>
          <cell r="T90">
            <v>0.53</v>
          </cell>
          <cell r="V90">
            <v>18057</v>
          </cell>
          <cell r="W90">
            <v>0.5</v>
          </cell>
        </row>
        <row r="91">
          <cell r="A91">
            <v>38930</v>
          </cell>
          <cell r="B91">
            <v>31</v>
          </cell>
          <cell r="L91">
            <v>2345792</v>
          </cell>
          <cell r="M91">
            <v>75670.709677419349</v>
          </cell>
          <cell r="P91">
            <v>2368412</v>
          </cell>
          <cell r="Q91">
            <v>76400.387096774197</v>
          </cell>
          <cell r="S91">
            <v>2345792</v>
          </cell>
          <cell r="T91">
            <v>0.53</v>
          </cell>
          <cell r="V91">
            <v>22620</v>
          </cell>
          <cell r="W91">
            <v>0.5</v>
          </cell>
        </row>
        <row r="92">
          <cell r="A92">
            <v>38961</v>
          </cell>
          <cell r="B92">
            <v>30</v>
          </cell>
          <cell r="L92">
            <v>2043178</v>
          </cell>
          <cell r="M92">
            <v>68105.933333333334</v>
          </cell>
          <cell r="P92">
            <v>2062805</v>
          </cell>
          <cell r="Q92">
            <v>68760.166666666672</v>
          </cell>
          <cell r="S92">
            <v>2043178</v>
          </cell>
          <cell r="T92">
            <v>0.53</v>
          </cell>
          <cell r="V92">
            <v>19627</v>
          </cell>
          <cell r="W92">
            <v>0.5</v>
          </cell>
        </row>
        <row r="93">
          <cell r="A93">
            <v>38991</v>
          </cell>
          <cell r="B93">
            <v>31</v>
          </cell>
          <cell r="L93">
            <v>2645865</v>
          </cell>
          <cell r="M93">
            <v>85350.483870967742</v>
          </cell>
          <cell r="P93">
            <v>2670791</v>
          </cell>
          <cell r="Q93">
            <v>86154.548387096773</v>
          </cell>
          <cell r="S93">
            <v>2645865</v>
          </cell>
          <cell r="T93">
            <v>0.53</v>
          </cell>
          <cell r="V93">
            <v>24926</v>
          </cell>
          <cell r="W93">
            <v>0.5</v>
          </cell>
        </row>
        <row r="94">
          <cell r="A94">
            <v>39022</v>
          </cell>
          <cell r="B94">
            <v>30</v>
          </cell>
          <cell r="L94">
            <v>4771187</v>
          </cell>
          <cell r="M94">
            <v>159039.56666666668</v>
          </cell>
          <cell r="P94">
            <v>4816721</v>
          </cell>
          <cell r="Q94">
            <v>160557.36666666667</v>
          </cell>
          <cell r="S94">
            <v>4771187</v>
          </cell>
          <cell r="T94">
            <v>0.49229000000000001</v>
          </cell>
          <cell r="V94">
            <v>45534</v>
          </cell>
          <cell r="W94">
            <v>0.5</v>
          </cell>
        </row>
        <row r="95">
          <cell r="A95">
            <v>39052</v>
          </cell>
          <cell r="B95">
            <v>31</v>
          </cell>
          <cell r="L95">
            <v>7921915</v>
          </cell>
          <cell r="M95">
            <v>255545.64516129033</v>
          </cell>
          <cell r="P95">
            <v>7999343</v>
          </cell>
          <cell r="Q95">
            <v>258043.32258064515</v>
          </cell>
          <cell r="S95">
            <v>7921915</v>
          </cell>
          <cell r="T95">
            <v>0.4955</v>
          </cell>
          <cell r="V95">
            <v>77428</v>
          </cell>
          <cell r="W95">
            <v>0.5</v>
          </cell>
        </row>
        <row r="96">
          <cell r="A96">
            <v>39083</v>
          </cell>
          <cell r="B96">
            <v>31</v>
          </cell>
          <cell r="L96">
            <v>9674800</v>
          </cell>
          <cell r="M96">
            <v>312090.32258064515</v>
          </cell>
          <cell r="P96">
            <v>9767782</v>
          </cell>
          <cell r="Q96">
            <v>315089.74193548388</v>
          </cell>
          <cell r="S96">
            <v>9674800</v>
          </cell>
          <cell r="T96">
            <v>0.50278</v>
          </cell>
          <cell r="V96">
            <v>92982</v>
          </cell>
          <cell r="W96">
            <v>0.5</v>
          </cell>
        </row>
        <row r="97">
          <cell r="A97">
            <v>39114</v>
          </cell>
          <cell r="B97">
            <v>28</v>
          </cell>
          <cell r="L97">
            <v>6801133</v>
          </cell>
          <cell r="M97">
            <v>242897.60714285713</v>
          </cell>
          <cell r="P97">
            <v>6866490</v>
          </cell>
          <cell r="Q97">
            <v>245231.78571428571</v>
          </cell>
          <cell r="S97">
            <v>6801133</v>
          </cell>
          <cell r="T97">
            <v>0.50333000000000006</v>
          </cell>
          <cell r="V97">
            <v>65357</v>
          </cell>
          <cell r="W97">
            <v>0.5</v>
          </cell>
        </row>
        <row r="98">
          <cell r="A98">
            <v>39142</v>
          </cell>
          <cell r="B98">
            <v>31</v>
          </cell>
          <cell r="L98">
            <v>5668268</v>
          </cell>
          <cell r="M98">
            <v>182847.35483870967</v>
          </cell>
          <cell r="P98">
            <v>5722634</v>
          </cell>
          <cell r="Q98">
            <v>184601.09677419355</v>
          </cell>
          <cell r="S98">
            <v>5668268</v>
          </cell>
          <cell r="T98">
            <v>0.50331999999999999</v>
          </cell>
          <cell r="V98">
            <v>54366</v>
          </cell>
          <cell r="W98">
            <v>0.5</v>
          </cell>
        </row>
        <row r="102">
          <cell r="A102" t="str">
            <v>*70211 is the tkt for Huntsville vols where up to 15,000/d is priced at I+.45/.60.  Tagg #ES0923.1 aggregates these volumes with Conroe and the Woodlands.</v>
          </cell>
        </row>
        <row r="103">
          <cell r="A103" t="str">
            <v>The Total aggregate volume is less than that of the deal volume b/c Entex is expected to pull much less than their max at this mtr (#0073).  Therefore each</v>
          </cell>
        </row>
        <row r="104">
          <cell r="A104" t="str">
            <v xml:space="preserve"> tkt takes a percentage of the total risk assigned volume.  Total risk assigned volume is listed under the column heading ES0923.1</v>
          </cell>
        </row>
        <row r="105">
          <cell r="A105" t="str">
            <v>The Huntsville portion of this volume is (15000/(15000+24000+22000)) or 24.59%.</v>
          </cell>
        </row>
        <row r="107">
          <cell r="A107" t="str">
            <v xml:space="preserve">**70222 is the Conroe portion of the above where up to 20,000/d is priced at I+.45/.60.  The conroe portion of risk assigned volumes is </v>
          </cell>
        </row>
        <row r="108">
          <cell r="A108" t="str">
            <v>(22000/(15000+24000+22000)) or 36.07%.</v>
          </cell>
        </row>
        <row r="110">
          <cell r="A110" t="str">
            <v>***70235 is the Woodlands portion of the above volume where up to 24,000/d is priced at I+.45/.60.  The Woodlands portion of risk assigned volumes(ES0923.1)</v>
          </cell>
        </row>
        <row r="111">
          <cell r="A111" t="str">
            <v>is (24000/15000+24000+22000)) or 39.344%.</v>
          </cell>
        </row>
      </sheetData>
      <sheetData sheetId="5">
        <row r="3">
          <cell r="B3" t="str">
            <v>Month</v>
          </cell>
          <cell r="C3" t="str">
            <v>Rate</v>
          </cell>
        </row>
        <row r="4">
          <cell r="B4">
            <v>36251</v>
          </cell>
        </row>
        <row r="5">
          <cell r="B5">
            <v>36281</v>
          </cell>
        </row>
        <row r="6">
          <cell r="B6">
            <v>36312</v>
          </cell>
        </row>
        <row r="7">
          <cell r="B7">
            <v>36342</v>
          </cell>
        </row>
        <row r="8">
          <cell r="B8">
            <v>36373</v>
          </cell>
        </row>
        <row r="9">
          <cell r="B9">
            <v>36404</v>
          </cell>
        </row>
        <row r="10">
          <cell r="B10">
            <v>36434</v>
          </cell>
        </row>
        <row r="11">
          <cell r="B11">
            <v>36465</v>
          </cell>
          <cell r="C11">
            <v>4.0099999999999997E-2</v>
          </cell>
        </row>
        <row r="12">
          <cell r="B12">
            <v>36495</v>
          </cell>
          <cell r="C12">
            <v>3.5700000000000003E-2</v>
          </cell>
        </row>
        <row r="13">
          <cell r="B13">
            <v>36526</v>
          </cell>
          <cell r="C13">
            <v>2.7900000000000001E-2</v>
          </cell>
        </row>
        <row r="14">
          <cell r="B14">
            <v>36557</v>
          </cell>
          <cell r="C14">
            <v>2.7699999999999999E-2</v>
          </cell>
        </row>
        <row r="15">
          <cell r="B15">
            <v>36586</v>
          </cell>
          <cell r="C15">
            <v>2.81E-2</v>
          </cell>
        </row>
        <row r="16">
          <cell r="B16">
            <v>36617</v>
          </cell>
        </row>
        <row r="17">
          <cell r="B17">
            <v>36647</v>
          </cell>
        </row>
        <row r="18">
          <cell r="B18">
            <v>36678</v>
          </cell>
        </row>
        <row r="19">
          <cell r="B19">
            <v>36708</v>
          </cell>
        </row>
        <row r="20">
          <cell r="B20">
            <v>36739</v>
          </cell>
        </row>
        <row r="21">
          <cell r="B21">
            <v>36770</v>
          </cell>
        </row>
        <row r="22">
          <cell r="B22">
            <v>36800</v>
          </cell>
        </row>
        <row r="23">
          <cell r="B23">
            <v>36831</v>
          </cell>
          <cell r="C23">
            <v>0.04</v>
          </cell>
        </row>
        <row r="24">
          <cell r="B24">
            <v>36861</v>
          </cell>
          <cell r="C24">
            <v>3.56E-2</v>
          </cell>
        </row>
        <row r="25">
          <cell r="B25">
            <v>36892</v>
          </cell>
          <cell r="C25">
            <v>2.7900000000000001E-2</v>
          </cell>
        </row>
        <row r="26">
          <cell r="B26">
            <v>36923</v>
          </cell>
          <cell r="C26">
            <v>2.76E-2</v>
          </cell>
        </row>
        <row r="27">
          <cell r="B27">
            <v>36951</v>
          </cell>
          <cell r="C27">
            <v>2.8000000000000001E-2</v>
          </cell>
        </row>
        <row r="28">
          <cell r="B28">
            <v>36982</v>
          </cell>
        </row>
        <row r="29">
          <cell r="B29">
            <v>37012</v>
          </cell>
        </row>
        <row r="30">
          <cell r="B30">
            <v>37043</v>
          </cell>
        </row>
        <row r="31">
          <cell r="B31">
            <v>37073</v>
          </cell>
        </row>
        <row r="32">
          <cell r="B32">
            <v>37104</v>
          </cell>
        </row>
        <row r="33">
          <cell r="B33">
            <v>37135</v>
          </cell>
        </row>
        <row r="34">
          <cell r="B34">
            <v>37165</v>
          </cell>
        </row>
        <row r="35">
          <cell r="B35">
            <v>37196</v>
          </cell>
          <cell r="C35">
            <v>3.9899999999999998E-2</v>
          </cell>
        </row>
        <row r="36">
          <cell r="B36">
            <v>37226</v>
          </cell>
          <cell r="C36">
            <v>3.56E-2</v>
          </cell>
        </row>
        <row r="37">
          <cell r="B37">
            <v>37257</v>
          </cell>
          <cell r="C37">
            <v>2.7900000000000001E-2</v>
          </cell>
        </row>
        <row r="38">
          <cell r="B38">
            <v>37288</v>
          </cell>
          <cell r="C38">
            <v>2.76E-2</v>
          </cell>
        </row>
        <row r="39">
          <cell r="B39">
            <v>37316</v>
          </cell>
          <cell r="C39">
            <v>2.8000000000000001E-2</v>
          </cell>
        </row>
        <row r="40">
          <cell r="B40">
            <v>37347</v>
          </cell>
        </row>
        <row r="41">
          <cell r="B41">
            <v>37377</v>
          </cell>
        </row>
        <row r="42">
          <cell r="B42">
            <v>37408</v>
          </cell>
        </row>
        <row r="43">
          <cell r="B43">
            <v>37438</v>
          </cell>
        </row>
        <row r="44">
          <cell r="B44">
            <v>37469</v>
          </cell>
        </row>
        <row r="45">
          <cell r="B45">
            <v>37500</v>
          </cell>
        </row>
        <row r="46">
          <cell r="B46">
            <v>37530</v>
          </cell>
        </row>
        <row r="47">
          <cell r="B47">
            <v>37561</v>
          </cell>
          <cell r="C47">
            <v>0.02</v>
          </cell>
        </row>
        <row r="48">
          <cell r="B48">
            <v>37591</v>
          </cell>
          <cell r="C48">
            <v>2.3699999999999999E-2</v>
          </cell>
        </row>
        <row r="49">
          <cell r="B49">
            <v>37622</v>
          </cell>
          <cell r="C49">
            <v>1.84E-2</v>
          </cell>
        </row>
        <row r="50">
          <cell r="B50">
            <v>37653</v>
          </cell>
          <cell r="C50">
            <v>1.4200000000000001E-2</v>
          </cell>
        </row>
        <row r="51">
          <cell r="B51">
            <v>37681</v>
          </cell>
          <cell r="C51">
            <v>1.18E-2</v>
          </cell>
        </row>
        <row r="52">
          <cell r="B52">
            <v>37712</v>
          </cell>
        </row>
        <row r="53">
          <cell r="B53">
            <v>37742</v>
          </cell>
        </row>
        <row r="54">
          <cell r="B54">
            <v>37773</v>
          </cell>
        </row>
        <row r="55">
          <cell r="B55">
            <v>37803</v>
          </cell>
        </row>
        <row r="56">
          <cell r="B56">
            <v>37834</v>
          </cell>
        </row>
        <row r="57">
          <cell r="B57">
            <v>37865</v>
          </cell>
        </row>
        <row r="58">
          <cell r="B58">
            <v>37895</v>
          </cell>
        </row>
        <row r="59">
          <cell r="B59">
            <v>37926</v>
          </cell>
          <cell r="C59">
            <v>0.02</v>
          </cell>
        </row>
        <row r="60">
          <cell r="B60">
            <v>37956</v>
          </cell>
          <cell r="C60">
            <v>2.3699999999999999E-2</v>
          </cell>
        </row>
        <row r="61">
          <cell r="B61">
            <v>37987</v>
          </cell>
          <cell r="C61">
            <v>1.84E-2</v>
          </cell>
        </row>
        <row r="62">
          <cell r="B62">
            <v>38018</v>
          </cell>
          <cell r="C62">
            <v>1.4200000000000001E-2</v>
          </cell>
        </row>
        <row r="63">
          <cell r="B63">
            <v>38047</v>
          </cell>
          <cell r="C63">
            <v>1.18E-2</v>
          </cell>
        </row>
        <row r="64">
          <cell r="B64">
            <v>38078</v>
          </cell>
        </row>
        <row r="65">
          <cell r="B65">
            <v>38108</v>
          </cell>
        </row>
        <row r="66">
          <cell r="B66">
            <v>38139</v>
          </cell>
        </row>
        <row r="67">
          <cell r="B67">
            <v>38169</v>
          </cell>
        </row>
        <row r="68">
          <cell r="B68">
            <v>38200</v>
          </cell>
        </row>
        <row r="69">
          <cell r="B69">
            <v>38231</v>
          </cell>
        </row>
        <row r="70">
          <cell r="B70">
            <v>38261</v>
          </cell>
        </row>
        <row r="71">
          <cell r="B71">
            <v>38292</v>
          </cell>
          <cell r="C71">
            <v>0.02</v>
          </cell>
        </row>
        <row r="72">
          <cell r="B72">
            <v>38322</v>
          </cell>
          <cell r="C72">
            <v>2.3699999999999999E-2</v>
          </cell>
        </row>
        <row r="73">
          <cell r="B73">
            <v>38353</v>
          </cell>
          <cell r="C73">
            <v>1.84E-2</v>
          </cell>
        </row>
        <row r="74">
          <cell r="B74">
            <v>38384</v>
          </cell>
          <cell r="C74">
            <v>1.4200000000000001E-2</v>
          </cell>
        </row>
        <row r="75">
          <cell r="B75">
            <v>38412</v>
          </cell>
          <cell r="C75">
            <v>1.18E-2</v>
          </cell>
        </row>
        <row r="76">
          <cell r="B76">
            <v>38443</v>
          </cell>
        </row>
        <row r="77">
          <cell r="B77">
            <v>38473</v>
          </cell>
        </row>
        <row r="78">
          <cell r="B78">
            <v>38504</v>
          </cell>
        </row>
        <row r="79">
          <cell r="B79">
            <v>38534</v>
          </cell>
        </row>
        <row r="80">
          <cell r="B80">
            <v>38565</v>
          </cell>
        </row>
        <row r="81">
          <cell r="B81">
            <v>38596</v>
          </cell>
        </row>
        <row r="82">
          <cell r="B82">
            <v>38626</v>
          </cell>
        </row>
        <row r="83">
          <cell r="B83">
            <v>38657</v>
          </cell>
          <cell r="C83">
            <v>0.02</v>
          </cell>
        </row>
        <row r="84">
          <cell r="B84">
            <v>38687</v>
          </cell>
          <cell r="C84">
            <v>2.3699999999999999E-2</v>
          </cell>
        </row>
        <row r="85">
          <cell r="B85">
            <v>38718</v>
          </cell>
          <cell r="C85">
            <v>1.84E-2</v>
          </cell>
        </row>
        <row r="86">
          <cell r="B86">
            <v>38749</v>
          </cell>
          <cell r="C86">
            <v>1.4200000000000001E-2</v>
          </cell>
        </row>
        <row r="87">
          <cell r="B87">
            <v>38777</v>
          </cell>
          <cell r="C87">
            <v>1.18E-2</v>
          </cell>
        </row>
        <row r="88">
          <cell r="B88">
            <v>38808</v>
          </cell>
        </row>
        <row r="89">
          <cell r="B89">
            <v>38838</v>
          </cell>
        </row>
        <row r="90">
          <cell r="B90">
            <v>38869</v>
          </cell>
        </row>
        <row r="91">
          <cell r="B91">
            <v>38899</v>
          </cell>
        </row>
        <row r="92">
          <cell r="B92">
            <v>38930</v>
          </cell>
        </row>
        <row r="93">
          <cell r="B93">
            <v>38961</v>
          </cell>
        </row>
        <row r="94">
          <cell r="B94">
            <v>38991</v>
          </cell>
        </row>
        <row r="95">
          <cell r="B95">
            <v>39022</v>
          </cell>
          <cell r="C95">
            <v>3.771E-2</v>
          </cell>
        </row>
        <row r="96">
          <cell r="B96">
            <v>39052</v>
          </cell>
          <cell r="C96">
            <v>3.4500000000000003E-2</v>
          </cell>
        </row>
        <row r="97">
          <cell r="B97">
            <v>39083</v>
          </cell>
          <cell r="C97">
            <v>2.7220000000000001E-2</v>
          </cell>
        </row>
        <row r="98">
          <cell r="B98">
            <v>39114</v>
          </cell>
          <cell r="C98">
            <v>2.6669999999999999E-2</v>
          </cell>
        </row>
        <row r="99">
          <cell r="B99">
            <v>39142</v>
          </cell>
          <cell r="C99">
            <v>2.6679999999999999E-2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abSelected="1" workbookViewId="0">
      <selection sqref="A1:IV65536"/>
    </sheetView>
  </sheetViews>
  <sheetFormatPr defaultRowHeight="13.2" x14ac:dyDescent="0.25"/>
  <cols>
    <col min="1" max="1" width="17.88671875" customWidth="1"/>
    <col min="2" max="2" width="11.6640625" customWidth="1"/>
    <col min="3" max="3" width="13.109375" customWidth="1"/>
    <col min="4" max="4" width="15.33203125" customWidth="1"/>
    <col min="5" max="5" width="11.5546875" customWidth="1"/>
    <col min="6" max="6" width="9.6640625" customWidth="1"/>
    <col min="8" max="8" width="9.6640625" customWidth="1"/>
    <col min="10" max="10" width="11.88671875" customWidth="1"/>
    <col min="11" max="11" width="16.44140625" customWidth="1"/>
    <col min="12" max="12" width="10.6640625" customWidth="1"/>
    <col min="13" max="13" width="9.33203125" customWidth="1"/>
  </cols>
  <sheetData>
    <row r="1" spans="1:26" x14ac:dyDescent="0.25">
      <c r="A1" s="1" t="s">
        <v>0</v>
      </c>
      <c r="B1" s="2">
        <v>36526</v>
      </c>
      <c r="F1" s="3" t="s">
        <v>1</v>
      </c>
      <c r="L1" s="4" t="s">
        <v>2</v>
      </c>
    </row>
    <row r="2" spans="1:26" x14ac:dyDescent="0.25">
      <c r="A2" s="1" t="s">
        <v>3</v>
      </c>
      <c r="B2" s="5">
        <f>VLOOKUP(B1,'[1]1-10 vols'!A1:B150,2,FALSE)</f>
        <v>31</v>
      </c>
      <c r="M2" s="6">
        <v>37043</v>
      </c>
    </row>
    <row r="3" spans="1:26" x14ac:dyDescent="0.25">
      <c r="A3" s="1" t="s">
        <v>4</v>
      </c>
      <c r="B3" s="7">
        <f>VLOOKUP(B1,'[1]1-10 vols'!$A$3:$P$150,16,FALSE)+IF(B1&lt;N34,25000*B2)</f>
        <v>8800796.8000000007</v>
      </c>
    </row>
    <row r="4" spans="1:26" x14ac:dyDescent="0.25">
      <c r="A4" s="1" t="s">
        <v>5</v>
      </c>
      <c r="B4" s="7">
        <f>(VLOOKUP(B1,'[1]1-10 vols'!A1:AI150,31,FALSE)+VLOOKUP(B1,'[1]1-10 vols'!A1:AI150,28,FALSE)+VLOOKUP(B1,'[1]1-10 vols'!A1:AI150,34,FALSE))+(IF(B1&gt;M2,0,4000*B2))</f>
        <v>480500</v>
      </c>
      <c r="D4" s="8"/>
      <c r="F4" s="9"/>
    </row>
    <row r="5" spans="1:26" x14ac:dyDescent="0.25">
      <c r="D5" s="8">
        <f>+B6-B3</f>
        <v>-3206004.8000000007</v>
      </c>
      <c r="E5" s="8">
        <f>+D5/B2</f>
        <v>-103419.50967741938</v>
      </c>
    </row>
    <row r="6" spans="1:26" x14ac:dyDescent="0.25">
      <c r="A6" s="10" t="s">
        <v>6</v>
      </c>
      <c r="B6" s="11">
        <f>185559+57000+47500+190000+110500+353500+59987+26050+3100+4158924+1085+6595+128619+3100+9+7793+61274+44816+62919+15+20+31+60+3900+1800+360+75000+5074+130+60+12</f>
        <v>5594792</v>
      </c>
      <c r="F6" s="3" t="s">
        <v>7</v>
      </c>
      <c r="K6" s="4" t="s">
        <v>8</v>
      </c>
    </row>
    <row r="7" spans="1:26" x14ac:dyDescent="0.25">
      <c r="A7" s="10" t="s">
        <v>9</v>
      </c>
      <c r="B7" s="11">
        <f>+B6</f>
        <v>5594792</v>
      </c>
      <c r="C7" s="10" t="s">
        <v>10</v>
      </c>
      <c r="D7" s="12">
        <v>2.907</v>
      </c>
      <c r="F7" s="13" t="s">
        <v>11</v>
      </c>
      <c r="G7" s="14"/>
      <c r="H7" s="14"/>
      <c r="K7" s="4" t="s">
        <v>12</v>
      </c>
    </row>
    <row r="8" spans="1:26" x14ac:dyDescent="0.25">
      <c r="A8" s="10"/>
      <c r="B8" s="4"/>
    </row>
    <row r="9" spans="1:26" ht="11.25" customHeight="1" x14ac:dyDescent="0.25">
      <c r="A9" s="1" t="s">
        <v>13</v>
      </c>
      <c r="B9" s="12">
        <v>2.34</v>
      </c>
      <c r="D9" s="8"/>
    </row>
    <row r="10" spans="1:26" x14ac:dyDescent="0.25">
      <c r="A10" s="1" t="s">
        <v>14</v>
      </c>
      <c r="B10" s="15">
        <v>-1.4999999999999999E-2</v>
      </c>
      <c r="D10" s="16"/>
    </row>
    <row r="11" spans="1:26" x14ac:dyDescent="0.25">
      <c r="A11" s="1" t="s">
        <v>15</v>
      </c>
      <c r="B11" s="17">
        <v>0.06</v>
      </c>
      <c r="H11" s="8"/>
    </row>
    <row r="12" spans="1:26" x14ac:dyDescent="0.25">
      <c r="A12" s="1" t="s">
        <v>16</v>
      </c>
      <c r="B12" s="18">
        <f>VLOOKUP(B1,'[1]Transport Schedule'!B3:C150,2)</f>
        <v>2.7900000000000001E-2</v>
      </c>
      <c r="H12" s="8"/>
    </row>
    <row r="13" spans="1:26" x14ac:dyDescent="0.25">
      <c r="A13" s="1" t="s">
        <v>17</v>
      </c>
      <c r="B13" s="18">
        <f>SUM(B9:B12)</f>
        <v>2.4128999999999996</v>
      </c>
      <c r="H13" s="19"/>
      <c r="Z13">
        <f>SUM(V11:V24)</f>
        <v>0</v>
      </c>
    </row>
    <row r="14" spans="1:26" x14ac:dyDescent="0.25">
      <c r="A14" s="20"/>
      <c r="B14" s="21"/>
      <c r="F14" s="8"/>
      <c r="H14" s="19"/>
      <c r="O14" s="4"/>
      <c r="Z14">
        <f>1.86+0.769</f>
        <v>2.629</v>
      </c>
    </row>
    <row r="15" spans="1:26" x14ac:dyDescent="0.25">
      <c r="A15" s="20"/>
      <c r="B15" s="21"/>
      <c r="I15" s="8"/>
      <c r="O15" s="4"/>
      <c r="Z15">
        <f>Z13*Z14</f>
        <v>0</v>
      </c>
    </row>
    <row r="16" spans="1:26" ht="12" customHeight="1" x14ac:dyDescent="0.25">
      <c r="A16" s="22" t="s">
        <v>18</v>
      </c>
      <c r="B16" s="21"/>
      <c r="H16" s="19"/>
      <c r="I16" s="19"/>
      <c r="O16" s="4"/>
      <c r="Z16">
        <f>Z15+4067617</f>
        <v>4067617</v>
      </c>
    </row>
    <row r="17" spans="1:26" ht="13.5" customHeight="1" x14ac:dyDescent="0.25">
      <c r="A17" s="10" t="s">
        <v>19</v>
      </c>
      <c r="B17" s="11">
        <v>110500</v>
      </c>
      <c r="M17" s="23">
        <f>VLOOKUP(B1,'[1]1-10 vols'!A1:Z86,25)-(IF(B1&gt;M30,0,4000*B2))</f>
        <v>410589</v>
      </c>
      <c r="O17" s="4"/>
    </row>
    <row r="18" spans="1:26" ht="12.75" customHeight="1" x14ac:dyDescent="0.25">
      <c r="A18" s="10" t="s">
        <v>20</v>
      </c>
      <c r="B18" s="11">
        <v>0</v>
      </c>
      <c r="D18" s="4" t="s">
        <v>21</v>
      </c>
    </row>
    <row r="19" spans="1:26" ht="13.5" customHeight="1" x14ac:dyDescent="0.25">
      <c r="A19" s="10" t="s">
        <v>22</v>
      </c>
      <c r="B19" s="11">
        <v>353500</v>
      </c>
      <c r="D19" s="4" t="s">
        <v>23</v>
      </c>
      <c r="G19" s="3" t="s">
        <v>24</v>
      </c>
      <c r="K19" s="14"/>
      <c r="L19" s="14"/>
      <c r="Z19">
        <f>1.9075*Z13</f>
        <v>0</v>
      </c>
    </row>
    <row r="20" spans="1:26" ht="11.25" customHeight="1" x14ac:dyDescent="0.25">
      <c r="A20" s="20"/>
      <c r="B20" s="24"/>
      <c r="K20" s="14"/>
      <c r="L20" s="14"/>
      <c r="Z20">
        <f>Z19+2374805</f>
        <v>2374805</v>
      </c>
    </row>
    <row r="21" spans="1:26" ht="11.25" customHeight="1" x14ac:dyDescent="0.25">
      <c r="A21" s="20"/>
      <c r="B21" s="24"/>
      <c r="J21" s="25"/>
      <c r="K21" s="14"/>
      <c r="L21" s="14"/>
    </row>
    <row r="22" spans="1:26" ht="11.25" customHeight="1" x14ac:dyDescent="0.25">
      <c r="A22" s="26" t="s">
        <v>25</v>
      </c>
      <c r="B22" s="24"/>
      <c r="D22" s="27"/>
      <c r="F22" s="25"/>
      <c r="J22" s="25"/>
      <c r="K22" s="14"/>
      <c r="L22" s="14"/>
    </row>
    <row r="23" spans="1:26" x14ac:dyDescent="0.25">
      <c r="A23" s="28" t="s">
        <v>26</v>
      </c>
      <c r="B23" s="20"/>
      <c r="C23" s="24"/>
      <c r="K23" s="14"/>
      <c r="L23" s="14"/>
    </row>
    <row r="24" spans="1:26" x14ac:dyDescent="0.25">
      <c r="A24" s="24"/>
      <c r="B24" s="29" t="s">
        <v>27</v>
      </c>
      <c r="C24" s="30"/>
      <c r="D24" s="30"/>
      <c r="E24" s="30"/>
      <c r="F24" s="30"/>
      <c r="G24" s="30"/>
      <c r="H24" s="30"/>
      <c r="I24" s="30"/>
      <c r="J24" s="30"/>
      <c r="K24" s="31"/>
      <c r="L24" s="32"/>
    </row>
    <row r="25" spans="1:26" x14ac:dyDescent="0.25">
      <c r="A25" s="24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5"/>
    </row>
    <row r="26" spans="1:26" x14ac:dyDescent="0.25">
      <c r="A26" s="24"/>
      <c r="B26" s="76" t="s">
        <v>28</v>
      </c>
      <c r="C26" s="78"/>
      <c r="D26" s="37" t="s">
        <v>29</v>
      </c>
      <c r="E26" s="36" t="s">
        <v>30</v>
      </c>
      <c r="F26" s="38"/>
      <c r="G26" s="76" t="s">
        <v>31</v>
      </c>
      <c r="H26" s="77"/>
      <c r="I26" s="78"/>
      <c r="J26" s="34"/>
      <c r="K26" s="34"/>
      <c r="L26" s="39"/>
      <c r="M26" s="14"/>
    </row>
    <row r="27" spans="1:26" x14ac:dyDescent="0.25">
      <c r="A27" s="21" t="s">
        <v>32</v>
      </c>
      <c r="B27" s="89"/>
      <c r="C27" s="80"/>
      <c r="D27" s="40">
        <f>+A30*0.13</f>
        <v>11184.81</v>
      </c>
      <c r="E27" s="40">
        <f>VLOOKUP($B$1,'[1]1-10 vols'!$A$3:$AM$98,37)</f>
        <v>828000</v>
      </c>
      <c r="F27" s="40"/>
      <c r="G27" s="22" t="s">
        <v>33</v>
      </c>
      <c r="H27" s="22" t="s">
        <v>34</v>
      </c>
      <c r="I27" s="22" t="s">
        <v>35</v>
      </c>
      <c r="J27" s="34"/>
      <c r="K27" s="34"/>
      <c r="L27" s="41" t="s">
        <v>36</v>
      </c>
      <c r="M27" s="14"/>
    </row>
    <row r="28" spans="1:26" x14ac:dyDescent="0.25">
      <c r="A28" s="24"/>
      <c r="B28" s="89">
        <f>B6*B13</f>
        <v>13499673.616799997</v>
      </c>
      <c r="C28" s="90"/>
      <c r="D28" s="40">
        <f>IF(B1&lt;M28,H28*I28,0)</f>
        <v>0</v>
      </c>
      <c r="E28" s="42">
        <f>(B9-(VLOOKUP($B$1,'[1]1-10 vols'!$A$1:$AI$150,35)))*(VLOOKUP($B$1,'[1]1-10 vols'!$A$1:$AI$150,34))</f>
        <v>0</v>
      </c>
      <c r="F28" s="42"/>
      <c r="G28" s="29" t="str">
        <f>IF(B1&lt;M28,"EE7377.1","-")</f>
        <v>-</v>
      </c>
      <c r="H28" s="43" t="b">
        <f>IF(B1&lt;M28,IF(B6-H32&gt;5000*B2,5000*B2,IF(B6-H32&gt;0,B6-H32,0)))</f>
        <v>0</v>
      </c>
      <c r="I28" s="44" t="str">
        <f>IF(B1&lt;M28,3.136,"-")</f>
        <v>-</v>
      </c>
      <c r="J28" s="34"/>
      <c r="K28" s="34"/>
      <c r="L28" s="45" t="str">
        <f>I28</f>
        <v>-</v>
      </c>
      <c r="M28" s="46">
        <v>36434</v>
      </c>
      <c r="Y28">
        <f>4393605-1832130-2611329</f>
        <v>-49854</v>
      </c>
    </row>
    <row r="29" spans="1:26" x14ac:dyDescent="0.25">
      <c r="A29" s="10" t="s">
        <v>37</v>
      </c>
      <c r="B29" s="89">
        <f>+A30*0.13</f>
        <v>11184.81</v>
      </c>
      <c r="C29" s="80"/>
      <c r="D29" s="40">
        <f>IF(B1&lt;M29,(H29*(I29)),0)</f>
        <v>420050</v>
      </c>
      <c r="E29" s="42">
        <f>($B$9-(VLOOKUP($B$1,'[1]1-10 vols'!$A$1:$AI$150,32)))*(VLOOKUP($B$1,'[1]1-10 vols'!$A$1:$AI$150,31))</f>
        <v>81374.999999999985</v>
      </c>
      <c r="F29" s="42"/>
      <c r="G29" s="47" t="str">
        <f>IF(B1&lt;M30,"E26107.2","-")</f>
        <v>E26107.2</v>
      </c>
      <c r="H29" s="48">
        <f>IF(B1&lt;M29,IF(B7-H28-H32&gt;5000*B2,5000*B2,IF(B7-H28-H32&gt;0,B7-H28-H32,0)))</f>
        <v>155000</v>
      </c>
      <c r="I29" s="45">
        <f>IF(B1&lt;M29,2.71,"-")</f>
        <v>2.71</v>
      </c>
      <c r="J29" s="34"/>
      <c r="K29" s="34"/>
      <c r="L29" s="45">
        <f>+I29</f>
        <v>2.71</v>
      </c>
      <c r="M29" s="49">
        <v>36586</v>
      </c>
    </row>
    <row r="30" spans="1:26" x14ac:dyDescent="0.25">
      <c r="A30" s="11">
        <f>59987+26050</f>
        <v>86037</v>
      </c>
      <c r="B30" s="89"/>
      <c r="C30" s="80"/>
      <c r="D30" s="40">
        <f>IF(B1&lt;M30,H30*(B9+I30),0)</f>
        <v>345960</v>
      </c>
      <c r="E30" s="42">
        <f>(B10-(VLOOKUP($B$1,'[1]1-10 vols'!$A$1:$AI$150,26)))*(VLOOKUP($B$1,'[1]1-10 vols'!$A$1:$AI$150,25))</f>
        <v>-201593.51189999998</v>
      </c>
      <c r="F30" s="42"/>
      <c r="G30" s="47" t="str">
        <f>IF(B2&lt;M31,"ES0923.1","-")</f>
        <v>ES0923.1</v>
      </c>
      <c r="H30" s="48">
        <f>IF(B1&lt;M30,IF(B7-H28-H29-H32&gt;4000*B2,4000*B2,IF(B7-H28-H29-H32&gt;0,B7-H28-H29-H32,0)))</f>
        <v>124000</v>
      </c>
      <c r="I30" s="50">
        <f>IF(B1&lt;M30,0.45,"-")</f>
        <v>0.45</v>
      </c>
      <c r="J30" s="34"/>
      <c r="K30" s="34"/>
      <c r="L30" s="45">
        <f>I30+B9</f>
        <v>2.79</v>
      </c>
      <c r="M30" s="46">
        <v>37073</v>
      </c>
    </row>
    <row r="31" spans="1:26" x14ac:dyDescent="0.25">
      <c r="A31" s="24"/>
      <c r="B31" s="79"/>
      <c r="C31" s="80"/>
      <c r="D31" s="40">
        <f>IF(B1&lt;M31,H31*(B9+I31),0)</f>
        <v>552714.5</v>
      </c>
      <c r="E31" s="42">
        <f>($B$10-(VLOOKUP($B$1,'[1]1-10 vols'!$A$1:$AI$150,29)))*(VLOOKUP($B$1,'[1]1-10 vols'!$A1:$AI$150,28))</f>
        <v>-66515.149999999994</v>
      </c>
      <c r="F31" s="42"/>
      <c r="G31" s="47" t="str">
        <f>IF(B1&lt;M31,"ES0926.1","-")</f>
        <v>ES0926.1</v>
      </c>
      <c r="H31" s="48">
        <f>IF(B1&lt;M31,IF((B7-H28-H29-H30-H32)&gt;6500*B2,6500*B2,IF((B7-H28-H29-H30-H32)&gt;0,B7-H28-H29-H32,0)))</f>
        <v>201500</v>
      </c>
      <c r="I31" s="50">
        <f>IF(B1&lt;M31,0.403,"-")</f>
        <v>0.40300000000000002</v>
      </c>
      <c r="J31" s="34"/>
      <c r="K31" s="34"/>
      <c r="L31" s="45">
        <f>I31+B9</f>
        <v>2.7429999999999999</v>
      </c>
      <c r="M31" s="51">
        <v>37073</v>
      </c>
    </row>
    <row r="32" spans="1:26" x14ac:dyDescent="0.25">
      <c r="A32" s="24"/>
      <c r="B32" s="79"/>
      <c r="C32" s="80"/>
      <c r="D32" s="40">
        <f>H32*(B9+I32)</f>
        <v>1294560</v>
      </c>
      <c r="E32" s="42">
        <f>VLOOKUP($B$1,'[1]1-10 vols'!A1:AS150,39)</f>
        <v>-19530</v>
      </c>
      <c r="F32" s="42"/>
      <c r="G32" s="33"/>
      <c r="H32" s="48">
        <f>IF(B1&gt;M34,0,SUM(B17:B19))</f>
        <v>464000</v>
      </c>
      <c r="I32" s="50">
        <f>IF(B1&gt;M34,0,IF(B1&lt;M32,0.45,0.6))</f>
        <v>0.45</v>
      </c>
      <c r="J32" s="52" t="s">
        <v>38</v>
      </c>
      <c r="K32" s="34"/>
      <c r="L32" s="45">
        <f>I32+B9</f>
        <v>2.79</v>
      </c>
      <c r="M32" s="51">
        <v>37073</v>
      </c>
    </row>
    <row r="33" spans="1:25" x14ac:dyDescent="0.25">
      <c r="A33" s="53" t="s">
        <v>39</v>
      </c>
      <c r="B33" s="79"/>
      <c r="C33" s="80"/>
      <c r="D33" s="40">
        <f>IF(B1&lt;M33,IF(B9&lt;1.7,H33*(1.7+0.769),H33*(B9+0.769)),0)</f>
        <v>0</v>
      </c>
      <c r="E33" s="42">
        <f>IF(B1&lt;M33,(IF(B9&lt;1.7,(1.7-B9)*10000*B2,0)),0)</f>
        <v>0</v>
      </c>
      <c r="F33" s="42"/>
      <c r="G33" s="47" t="s">
        <v>40</v>
      </c>
      <c r="H33" s="48" t="b">
        <f>IF(B1&lt;M33,IF(B7-SUM(H28:H32)&gt;10000*B2,10000*B2,IF((B7-SUM(H28:H32))&gt;0,B7-SUM(H28:H32),0)))</f>
        <v>0</v>
      </c>
      <c r="I33" s="45">
        <f>IF(B9&lt;1.7,1.7+0.769,B9+0.769)</f>
        <v>3.109</v>
      </c>
      <c r="J33" s="52" t="str">
        <f>IF(B1&lt;M33,"Floor of $2.469 on Sitara #70860","-")</f>
        <v>-</v>
      </c>
      <c r="K33" s="34"/>
      <c r="L33" s="45">
        <f>I33</f>
        <v>3.109</v>
      </c>
      <c r="M33" s="46">
        <v>36465</v>
      </c>
      <c r="Y33">
        <f>1578091+123997</f>
        <v>1702088</v>
      </c>
    </row>
    <row r="34" spans="1:25" x14ac:dyDescent="0.25">
      <c r="A34" s="10" t="s">
        <v>41</v>
      </c>
      <c r="B34" s="81">
        <f>+(B7-B6)*D7</f>
        <v>0</v>
      </c>
      <c r="C34" s="82"/>
      <c r="D34" s="54">
        <f>(H34-(IF(B1&lt;N34,25000*B2,0)))*(B9+I34)+25000*B2*(0.719+IF(B9&lt;2.3,2.3,B9))</f>
        <v>14419007.828</v>
      </c>
      <c r="E34" s="42">
        <f>($B$10-(VLOOKUP($B$1,'[1]1-10 vols'!$A$1:$AI$150,20)))*(VLOOKUP($B$1,'[1]1-10 vols'!$A$1:$AI$150,19))+($B$10-(VLOOKUP($B$1,'[1]1-10 vols'!$A$1:$AI$150,23)))*(VLOOKUP($B$1,'[1]1-10 vols'!$A$1:$AI$150,22))+IF(B1&lt;N34,25000*B2*((-VLOOKUP($B$1,'[1]1-10 vols'!A3:AM98,20)+0.05+'[1]R&amp;C Model'!B10)),0)</f>
        <v>-5575093.0995800002</v>
      </c>
      <c r="F34" s="42"/>
      <c r="G34" s="55" t="s">
        <v>42</v>
      </c>
      <c r="H34" s="56">
        <f>IF((B7-(SUM(H28:H33)))&lt;0,0,B7-(SUM(H28:H33)))</f>
        <v>4650292</v>
      </c>
      <c r="I34" s="57">
        <f>IF(B1&gt;M34, 0.59,0.769)</f>
        <v>0.76900000000000002</v>
      </c>
      <c r="J34" s="34"/>
      <c r="K34" s="34"/>
      <c r="L34" s="45">
        <f>I34+B9</f>
        <v>3.109</v>
      </c>
      <c r="M34" s="6">
        <v>38777</v>
      </c>
      <c r="N34" s="6">
        <v>36617</v>
      </c>
    </row>
    <row r="35" spans="1:25" x14ac:dyDescent="0.25">
      <c r="A35" s="10" t="s">
        <v>43</v>
      </c>
      <c r="B35" s="58"/>
      <c r="C35" s="34"/>
      <c r="D35" s="34"/>
      <c r="E35" s="42">
        <f>+IF(B1&lt;N34,IF(B9&lt;2.3,(B9-2.3)*25000*B2,0),0)</f>
        <v>0</v>
      </c>
      <c r="F35" s="34"/>
      <c r="G35" s="34"/>
      <c r="H35" s="34"/>
      <c r="I35" s="34"/>
      <c r="J35" s="34"/>
      <c r="K35" s="34"/>
      <c r="L35" s="59"/>
    </row>
    <row r="36" spans="1:25" ht="13.8" thickBot="1" x14ac:dyDescent="0.3">
      <c r="A36" s="10" t="s">
        <v>44</v>
      </c>
      <c r="B36" s="83">
        <f>SUM(B27:B34)</f>
        <v>13510858.426799998</v>
      </c>
      <c r="C36" s="84"/>
      <c r="D36" s="61">
        <f>SUM(D27:D34)</f>
        <v>17043477.138</v>
      </c>
      <c r="E36" s="60">
        <f>SUM(E27:E35)</f>
        <v>-4953356.7614799999</v>
      </c>
      <c r="F36" s="34"/>
      <c r="G36" s="34"/>
      <c r="H36" s="62">
        <f>SUM(H28:H34)</f>
        <v>5594792</v>
      </c>
      <c r="I36" s="34" t="s">
        <v>45</v>
      </c>
      <c r="J36" s="34"/>
      <c r="K36" s="34"/>
      <c r="L36" s="35"/>
    </row>
    <row r="37" spans="1:25" ht="13.8" thickTop="1" x14ac:dyDescent="0.25">
      <c r="A37" s="24"/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5"/>
    </row>
    <row r="38" spans="1:25" x14ac:dyDescent="0.25">
      <c r="A38" s="85" t="s">
        <v>46</v>
      </c>
      <c r="B38" s="86"/>
      <c r="C38" s="87">
        <f>D36+E36-B36</f>
        <v>-1420738.0502799973</v>
      </c>
      <c r="D38" s="88"/>
    </row>
    <row r="39" spans="1:25" x14ac:dyDescent="0.25">
      <c r="G39" s="4" t="s">
        <v>47</v>
      </c>
      <c r="K39" s="14"/>
      <c r="M39" s="14"/>
    </row>
    <row r="40" spans="1:25" x14ac:dyDescent="0.25">
      <c r="A40" s="76" t="s">
        <v>48</v>
      </c>
      <c r="B40" s="77"/>
      <c r="C40" s="77"/>
      <c r="D40" s="78"/>
      <c r="G40" s="4" t="s">
        <v>49</v>
      </c>
      <c r="I40" s="14"/>
      <c r="J40" s="14"/>
      <c r="K40" s="14"/>
      <c r="L40" s="14"/>
      <c r="M40" s="14"/>
    </row>
    <row r="41" spans="1:25" x14ac:dyDescent="0.25">
      <c r="A41" s="4" t="s">
        <v>50</v>
      </c>
      <c r="D41" s="66">
        <f>($H$36-$B$3)*IF(B1&gt;M34,(I34+B9-B13),(I33-B13))</f>
        <v>-2231699.9412800018</v>
      </c>
      <c r="G41" s="67" t="s">
        <v>51</v>
      </c>
      <c r="H41" s="19"/>
    </row>
    <row r="42" spans="1:25" x14ac:dyDescent="0.25">
      <c r="A42" s="4" t="s">
        <v>52</v>
      </c>
      <c r="D42" s="68">
        <f>($M$17-SUM(B17:B19))*(0.769-0.45)</f>
        <v>-17038.109</v>
      </c>
      <c r="H42" s="19"/>
    </row>
    <row r="43" spans="1:25" x14ac:dyDescent="0.25">
      <c r="A43" s="4" t="s">
        <v>53</v>
      </c>
      <c r="D43" s="68">
        <f>IF(B1&lt;M29,E32+(2.71-VLOOKUP(B1,'[1]1-10 vols'!A3:AL98,32)-0.769)*VLOOKUP(B1,'[1]1-10 vols'!A3:AL98,31),0)</f>
        <v>0</v>
      </c>
      <c r="H43" s="19"/>
    </row>
    <row r="44" spans="1:25" x14ac:dyDescent="0.25">
      <c r="A44" s="4" t="s">
        <v>54</v>
      </c>
      <c r="D44" s="68">
        <f>+E27</f>
        <v>828000</v>
      </c>
      <c r="I44" s="14"/>
      <c r="J44" s="14"/>
      <c r="K44" s="14"/>
      <c r="L44" s="14"/>
      <c r="M44" s="14"/>
    </row>
    <row r="45" spans="1:25" x14ac:dyDescent="0.25">
      <c r="A45" s="4" t="s">
        <v>55</v>
      </c>
      <c r="D45" s="69">
        <f>+(B7-B6)*(B13-D7)</f>
        <v>0</v>
      </c>
      <c r="I45" s="14"/>
      <c r="J45" s="14"/>
      <c r="K45" s="14"/>
      <c r="L45" s="14"/>
      <c r="M45" s="14"/>
    </row>
    <row r="46" spans="1:25" x14ac:dyDescent="0.25">
      <c r="A46" s="4"/>
      <c r="D46" s="68"/>
      <c r="F46" s="14"/>
      <c r="G46" s="14"/>
      <c r="I46" s="14"/>
      <c r="J46" s="14"/>
      <c r="K46" s="14"/>
      <c r="L46" s="14"/>
      <c r="M46" s="14"/>
    </row>
    <row r="47" spans="1:25" ht="13.8" thickBot="1" x14ac:dyDescent="0.3">
      <c r="A47" s="4" t="s">
        <v>56</v>
      </c>
      <c r="D47" s="70">
        <f>SUM(D41:D46)</f>
        <v>-1420738.0502800019</v>
      </c>
      <c r="E47" s="71"/>
      <c r="F47" s="14"/>
      <c r="G47" s="14"/>
      <c r="I47" s="14"/>
      <c r="J47" s="14"/>
      <c r="K47" s="14"/>
      <c r="L47" s="14"/>
      <c r="M47" s="14"/>
    </row>
    <row r="48" spans="1:25" ht="13.8" thickTop="1" x14ac:dyDescent="0.25">
      <c r="I48" s="14"/>
      <c r="J48" s="14"/>
      <c r="K48" s="14"/>
      <c r="L48" s="14"/>
      <c r="M48" s="14"/>
    </row>
    <row r="49" spans="3:13" x14ac:dyDescent="0.25">
      <c r="D49" s="66">
        <f>+C38-D47</f>
        <v>4.6566128730773926E-9</v>
      </c>
      <c r="E49" s="72"/>
      <c r="I49" s="14"/>
      <c r="J49" s="14"/>
      <c r="K49" s="73"/>
      <c r="L49" s="14"/>
      <c r="M49" s="14"/>
    </row>
    <row r="50" spans="3:13" x14ac:dyDescent="0.25">
      <c r="D50" s="25"/>
      <c r="E50" s="74"/>
      <c r="I50" s="14"/>
      <c r="J50" s="14"/>
      <c r="K50" s="14"/>
      <c r="L50" s="14"/>
      <c r="M50" s="14"/>
    </row>
    <row r="51" spans="3:13" x14ac:dyDescent="0.25">
      <c r="D51" s="25"/>
      <c r="E51" s="14"/>
      <c r="I51" s="14"/>
      <c r="J51" s="14"/>
      <c r="K51" s="14"/>
      <c r="L51" s="14"/>
      <c r="M51" s="14"/>
    </row>
    <row r="52" spans="3:13" x14ac:dyDescent="0.25">
      <c r="D52" s="75"/>
      <c r="E52" s="71"/>
    </row>
    <row r="53" spans="3:13" x14ac:dyDescent="0.25">
      <c r="D53" s="14"/>
    </row>
    <row r="54" spans="3:13" x14ac:dyDescent="0.25">
      <c r="D54" s="25"/>
    </row>
    <row r="56" spans="3:13" x14ac:dyDescent="0.25">
      <c r="D56" s="25"/>
    </row>
    <row r="57" spans="3:13" x14ac:dyDescent="0.25">
      <c r="C57" s="25"/>
    </row>
  </sheetData>
  <mergeCells count="14">
    <mergeCell ref="B29:C29"/>
    <mergeCell ref="B30:C30"/>
    <mergeCell ref="B31:C31"/>
    <mergeCell ref="B32:C32"/>
    <mergeCell ref="B26:C26"/>
    <mergeCell ref="G26:I26"/>
    <mergeCell ref="B27:C27"/>
    <mergeCell ref="B28:C28"/>
    <mergeCell ref="A40:D40"/>
    <mergeCell ref="B33:C33"/>
    <mergeCell ref="B34:C34"/>
    <mergeCell ref="B36:C36"/>
    <mergeCell ref="A38:B38"/>
    <mergeCell ref="C38:D38"/>
  </mergeCell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dcterms:created xsi:type="dcterms:W3CDTF">2000-01-31T22:00:45Z</dcterms:created>
  <dcterms:modified xsi:type="dcterms:W3CDTF">2023-09-10T11:02:12Z</dcterms:modified>
</cp:coreProperties>
</file>