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 tabRatio="601" firstSheet="3" activeTab="3"/>
  </bookViews>
  <sheets>
    <sheet name="Booking" sheetId="1" r:id="rId1"/>
    <sheet name="Deferral Balances" sheetId="9" r:id="rId2"/>
    <sheet name="Model Details" sheetId="7" r:id="rId3"/>
    <sheet name="R&amp;C Model" sheetId="4" r:id="rId4"/>
    <sheet name="1-10 vols" sheetId="2" r:id="rId5"/>
    <sheet name="Transport Schedule" sheetId="6" r:id="rId6"/>
    <sheet name="Industrial Model" sheetId="5" r:id="rId7"/>
    <sheet name="6,7,5 vols" sheetId="3" r:id="rId8"/>
    <sheet name="Other Deals" sheetId="8" r:id="rId9"/>
  </sheets>
  <definedNames>
    <definedName name="_xlnm.Print_Area" localSheetId="4">'1-10 vols'!$P$1:$AC$98</definedName>
    <definedName name="_xlnm.Print_Area" localSheetId="0">Booking!$A$1:$O$21</definedName>
    <definedName name="_xlnm.Print_Area" localSheetId="3">'R&amp;C Model'!$A$1:$K$46</definedName>
    <definedName name="_xlnm.Print_Area" localSheetId="5">'Transport Schedule'!$B$3:$C$87</definedName>
  </definedNames>
  <calcPr calcId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8" i="9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6" i="4"/>
  <c r="B7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A30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B34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5" i="4"/>
  <c r="D47" i="4"/>
  <c r="D49" i="4"/>
</calcChain>
</file>

<file path=xl/sharedStrings.xml><?xml version="1.0" encoding="utf-8"?>
<sst xmlns="http://schemas.openxmlformats.org/spreadsheetml/2006/main" count="320" uniqueCount="220">
  <si>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</si>
  <si>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</si>
  <si>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</si>
  <si>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</si>
  <si>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</si>
  <si>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</si>
  <si>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</si>
  <si>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</si>
  <si>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</si>
  <si>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</si>
  <si>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</si>
  <si>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</si>
  <si>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</si>
  <si>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</si>
  <si>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</si>
  <si>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</si>
  <si>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</si>
  <si>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</si>
  <si>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</si>
  <si>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</si>
  <si>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</si>
  <si>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</si>
  <si>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</si>
  <si>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</si>
  <si>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</si>
  <si>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</si>
  <si>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</si>
  <si>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</si>
  <si>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</si>
  <si>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</si>
  <si>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</si>
  <si>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</si>
  <si>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</si>
  <si>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</si>
  <si>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</si>
  <si>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</si>
  <si>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</si>
  <si>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</si>
  <si>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</si>
  <si>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</si>
  <si>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</si>
  <si>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</si>
  <si>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</si>
  <si>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</si>
  <si>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</si>
  <si>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</si>
  <si>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</si>
  <si>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</si>
  <si>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</si>
  <si>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</si>
  <si>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</si>
  <si>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</si>
  <si>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</si>
  <si>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</si>
  <si>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</si>
  <si>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</si>
  <si>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</si>
  <si>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</si>
  <si>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</si>
  <si>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</si>
  <si>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</si>
  <si>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</si>
  <si>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</si>
  <si>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</si>
  <si>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</si>
  <si>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</si>
  <si>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</si>
  <si>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</si>
  <si>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</si>
  <si>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</si>
  <si>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</si>
  <si>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</si>
  <si>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</si>
  <si>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</si>
  <si>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</si>
  <si>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</si>
  <si>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</si>
  <si>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</si>
  <si>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</si>
  <si>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</si>
  <si>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</si>
  <si>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</si>
  <si>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</si>
  <si>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</si>
  <si>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</si>
  <si>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</si>
  <si>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</si>
  <si>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</si>
  <si>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</si>
  <si>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</si>
  <si>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</si>
  <si>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</si>
  <si>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</si>
  <si>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</si>
  <si>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</si>
  <si>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</si>
  <si>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</si>
  <si>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</si>
  <si>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</si>
  <si>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</si>
  <si>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</si>
  <si>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</si>
  <si>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</si>
  <si>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</si>
  <si>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</si>
  <si>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</si>
  <si>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</si>
  <si>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</si>
  <si>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</si>
  <si>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</si>
  <si>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</si>
  <si>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</si>
  <si>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</si>
  <si>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</si>
  <si>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</si>
  <si>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</si>
  <si>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</si>
  <si>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</si>
  <si>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</si>
  <si>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</si>
  <si>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</si>
  <si>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</si>
  <si>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</si>
  <si>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</si>
  <si>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</si>
  <si>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</si>
  <si>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</si>
  <si>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</si>
  <si>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</si>
  <si>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</si>
  <si>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</si>
  <si>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</si>
  <si>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</si>
  <si>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</si>
  <si>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</si>
  <si>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</si>
  <si>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</si>
  <si>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</si>
  <si>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</si>
  <si>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</si>
  <si>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</si>
  <si>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</si>
  <si>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</si>
  <si>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</si>
  <si>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</si>
  <si>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</si>
  <si>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</si>
  <si>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</si>
  <si>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</si>
  <si>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</si>
  <si>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</si>
  <si>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</si>
  <si>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</si>
  <si>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</si>
  <si>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</si>
  <si>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</si>
  <si>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</si>
  <si>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</si>
  <si>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</si>
  <si>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</si>
  <si>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</si>
  <si>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</si>
  <si>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</si>
  <si>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</si>
  <si>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</si>
  <si>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</si>
  <si>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</si>
  <si>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</si>
  <si>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</si>
  <si>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</si>
  <si>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</si>
  <si>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</si>
  <si>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</si>
  <si>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</si>
  <si>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</si>
  <si>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</si>
  <si>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</si>
  <si>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</si>
  <si>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</si>
  <si>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</si>
  <si>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</si>
  <si>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</si>
  <si>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</si>
  <si>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</si>
  <si>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</si>
  <si>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</si>
  <si>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</si>
  <si>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</si>
  <si>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</si>
  <si>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</si>
  <si>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</si>
  <si>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</si>
  <si>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</si>
  <si>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</si>
  <si>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</si>
  <si>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</si>
  <si>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</si>
  <si>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</si>
  <si>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</si>
  <si>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</si>
  <si>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</si>
  <si>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</si>
  <si>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</si>
  <si>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</si>
  <si>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</si>
  <si>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</si>
  <si>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</si>
  <si>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</si>
  <si>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</si>
  <si>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</si>
  <si>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</si>
  <si>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</si>
  <si>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</si>
  <si>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</si>
  <si>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</si>
  <si>
    <t>Estimated Vols</t>
  </si>
  <si>
    <t>UA4 Impact</t>
  </si>
  <si>
    <t>Production Month</t>
  </si>
  <si>
    <t>Deferral</t>
  </si>
  <si>
    <t>P&amp;L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</si>
</sst>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164" fontId="13" fillId="0" borderId="0" xfId="1" applyNumberFormat="1" applyFont="1" applyAlignment="1">
      <alignment horizontal="center"/>
    </xf>
    <xf numFmtId="164" fontId="13" fillId="0" borderId="0" xfId="1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6" fontId="13" fillId="0" borderId="0" xfId="1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184" fontId="0" fillId="5" borderId="12" xfId="0" applyNumberFormat="1" applyFill="1" applyBorder="1" applyAlignment="1">
      <alignment horizontal="center"/>
    </xf>
    <xf numFmtId="184" fontId="0" fillId="5" borderId="7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2</xdr:col>
      <xdr:colOff>0</xdr:colOff>
      <xdr:row>7</xdr:row>
      <xdr:rowOff>144780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158240" y="815340"/>
          <a:ext cx="419100" cy="861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7</xdr:row>
      <xdr:rowOff>457200</xdr:rowOff>
    </xdr:from>
    <xdr:to>
      <xdr:col>1</xdr:col>
      <xdr:colOff>373380</xdr:colOff>
      <xdr:row>9</xdr:row>
      <xdr:rowOff>228600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 flipV="1">
          <a:off x="1165860" y="1988820"/>
          <a:ext cx="36576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99060</xdr:rowOff>
    </xdr:from>
    <xdr:to>
      <xdr:col>4</xdr:col>
      <xdr:colOff>365760</xdr:colOff>
      <xdr:row>0</xdr:row>
      <xdr:rowOff>99060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>
          <a:off x="2141220" y="99060"/>
          <a:ext cx="2202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16</xdr:row>
      <xdr:rowOff>53340</xdr:rowOff>
    </xdr:from>
    <xdr:to>
      <xdr:col>2</xdr:col>
      <xdr:colOff>541020</xdr:colOff>
      <xdr:row>17</xdr:row>
      <xdr:rowOff>45720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2072640" y="2689860"/>
          <a:ext cx="4953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495300</xdr:colOff>
      <xdr:row>18</xdr:row>
      <xdr:rowOff>129540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V="1">
          <a:off x="2103120" y="2918460"/>
          <a:ext cx="41910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160020</xdr:colOff>
      <xdr:row>5</xdr:row>
      <xdr:rowOff>99060</xdr:rowOff>
    </xdr:from>
    <xdr:to>
      <xdr:col>4</xdr:col>
      <xdr:colOff>365760</xdr:colOff>
      <xdr:row>5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H="1">
          <a:off x="2186940" y="937260"/>
          <a:ext cx="2156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19</xdr:row>
      <xdr:rowOff>30480</xdr:rowOff>
    </xdr:from>
    <xdr:to>
      <xdr:col>0</xdr:col>
      <xdr:colOff>640080</xdr:colOff>
      <xdr:row>20</xdr:row>
      <xdr:rowOff>106680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V="1">
          <a:off x="640080" y="31623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769620</xdr:colOff>
      <xdr:row>31</xdr:row>
      <xdr:rowOff>160020</xdr:rowOff>
    </xdr:from>
    <xdr:to>
      <xdr:col>6</xdr:col>
      <xdr:colOff>304800</xdr:colOff>
      <xdr:row>38</xdr:row>
      <xdr:rowOff>45720</xdr:rowOff>
    </xdr:to>
    <xdr:sp macro="" textlink="">
      <xdr:nvSpPr>
        <xdr:cNvPr id="3086" name="Line 14"/>
        <xdr:cNvSpPr>
          <a:spLocks noChangeShapeType="1"/>
        </xdr:cNvSpPr>
      </xdr:nvSpPr>
      <xdr:spPr bwMode="auto">
        <a:xfrm flipH="1" flipV="1">
          <a:off x="4747260" y="5212080"/>
          <a:ext cx="99060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411480</xdr:colOff>
      <xdr:row>5</xdr:row>
      <xdr:rowOff>121920</xdr:rowOff>
    </xdr:from>
    <xdr:to>
      <xdr:col>9</xdr:col>
      <xdr:colOff>739140</xdr:colOff>
      <xdr:row>5</xdr:row>
      <xdr:rowOff>121920</xdr:rowOff>
    </xdr:to>
    <xdr:sp macro="" textlink="">
      <xdr:nvSpPr>
        <xdr:cNvPr id="3104" name="Line 32"/>
        <xdr:cNvSpPr>
          <a:spLocks noChangeShapeType="1"/>
        </xdr:cNvSpPr>
      </xdr:nvSpPr>
      <xdr:spPr bwMode="auto">
        <a:xfrm>
          <a:off x="7726680" y="960120"/>
          <a:ext cx="327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632460</xdr:colOff>
      <xdr:row>26</xdr:row>
      <xdr:rowOff>121920</xdr:rowOff>
    </xdr:from>
    <xdr:to>
      <xdr:col>6</xdr:col>
      <xdr:colOff>7620</xdr:colOff>
      <xdr:row>40</xdr:row>
      <xdr:rowOff>7620</xdr:rowOff>
    </xdr:to>
    <xdr:sp macro="" textlink="">
      <xdr:nvSpPr>
        <xdr:cNvPr id="3107" name="Line 35"/>
        <xdr:cNvSpPr>
          <a:spLocks noChangeShapeType="1"/>
        </xdr:cNvSpPr>
      </xdr:nvSpPr>
      <xdr:spPr bwMode="auto">
        <a:xfrm flipH="1" flipV="1">
          <a:off x="4610100" y="4335780"/>
          <a:ext cx="830580" cy="2247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601980</xdr:colOff>
      <xdr:row>30</xdr:row>
      <xdr:rowOff>0</xdr:rowOff>
    </xdr:from>
    <xdr:to>
      <xdr:col>0</xdr:col>
      <xdr:colOff>601980</xdr:colOff>
      <xdr:row>31</xdr:row>
      <xdr:rowOff>60960</xdr:rowOff>
    </xdr:to>
    <xdr:sp macro="" textlink="">
      <xdr:nvSpPr>
        <xdr:cNvPr id="3108" name="Line 36"/>
        <xdr:cNvSpPr>
          <a:spLocks noChangeShapeType="1"/>
        </xdr:cNvSpPr>
      </xdr:nvSpPr>
      <xdr:spPr bwMode="auto">
        <a:xfrm flipV="1">
          <a:off x="601980" y="488442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workbookViewId="0">
      <selection activeCell="F13" sqref="F13"/>
    </sheetView>
  </sheetViews>
  <sheetFormatPr defaultRowHeight="13.2" x14ac:dyDescent="0.25"/>
  <cols>
    <col min="1" max="1" width="16.88671875" customWidth="1"/>
    <col min="2" max="2" width="6.109375" customWidth="1"/>
    <col min="3" max="3" width="13.5546875" customWidth="1"/>
    <col min="4" max="4" width="20.44140625" customWidth="1"/>
    <col min="5" max="5" width="7.5546875" customWidth="1"/>
    <col min="6" max="6" width="12.33203125" customWidth="1"/>
    <col min="7" max="7" width="9.6640625" customWidth="1"/>
    <col min="8" max="8" width="12.109375" bestFit="1" customWidth="1"/>
    <col min="9" max="9" width="7.88671875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16" ht="28.5" customHeight="1" x14ac:dyDescent="0.25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6.4" x14ac:dyDescent="0.25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5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5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5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5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5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5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6.4" x14ac:dyDescent="0.25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6.4" x14ac:dyDescent="0.25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5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6.4" x14ac:dyDescent="0.25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5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5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39.6" x14ac:dyDescent="0.25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6.4" x14ac:dyDescent="0.25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39.6" x14ac:dyDescent="0.25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5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5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5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5">
      <c r="C22" s="1" t="s">
        <v>149</v>
      </c>
    </row>
    <row r="23" spans="3:15" s="4" customFormat="1" x14ac:dyDescent="0.25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5">
      <c r="C30" s="1" t="s">
        <v>19</v>
      </c>
    </row>
    <row r="31" spans="3:15" ht="39.6" x14ac:dyDescent="0.25">
      <c r="C31" s="5" t="s">
        <v>83</v>
      </c>
      <c r="D31" s="3" t="s">
        <v>77</v>
      </c>
      <c r="J31" t="s">
        <v>37</v>
      </c>
    </row>
    <row r="32" spans="3:15" x14ac:dyDescent="0.25">
      <c r="C32" s="2">
        <v>36465</v>
      </c>
      <c r="D32">
        <v>4.0099999999999997E-2</v>
      </c>
    </row>
    <row r="33" spans="3:4" x14ac:dyDescent="0.25">
      <c r="C33" s="2">
        <v>36495</v>
      </c>
      <c r="D33">
        <v>3.5700000000000003E-2</v>
      </c>
    </row>
    <row r="34" spans="3:4" x14ac:dyDescent="0.25">
      <c r="C34" s="2">
        <v>36526</v>
      </c>
      <c r="D34">
        <v>2.7900000000000001E-2</v>
      </c>
    </row>
    <row r="35" spans="3:4" x14ac:dyDescent="0.25">
      <c r="C35" s="2">
        <v>36557</v>
      </c>
      <c r="D35">
        <v>2.7699999999999999E-2</v>
      </c>
    </row>
    <row r="36" spans="3:4" x14ac:dyDescent="0.25">
      <c r="C36" s="2">
        <v>36586</v>
      </c>
      <c r="D36">
        <v>2.81E-2</v>
      </c>
    </row>
    <row r="37" spans="3:4" x14ac:dyDescent="0.25">
      <c r="C37" s="2">
        <v>36831</v>
      </c>
      <c r="D37">
        <v>0.04</v>
      </c>
    </row>
    <row r="38" spans="3:4" x14ac:dyDescent="0.25">
      <c r="C38" s="2">
        <v>36861</v>
      </c>
      <c r="D38">
        <v>3.56E-2</v>
      </c>
    </row>
    <row r="39" spans="3:4" x14ac:dyDescent="0.25">
      <c r="C39" s="2">
        <v>36892</v>
      </c>
      <c r="D39">
        <v>2.7900000000000001E-2</v>
      </c>
    </row>
    <row r="40" spans="3:4" x14ac:dyDescent="0.25">
      <c r="C40" s="2">
        <v>36923</v>
      </c>
      <c r="D40">
        <v>2.76E-2</v>
      </c>
    </row>
    <row r="41" spans="3:4" x14ac:dyDescent="0.25">
      <c r="C41" s="2">
        <v>36951</v>
      </c>
      <c r="D41">
        <v>2.8000000000000001E-2</v>
      </c>
    </row>
    <row r="42" spans="3:4" x14ac:dyDescent="0.25">
      <c r="C42" s="2">
        <v>37196</v>
      </c>
      <c r="D42">
        <v>3.9899999999999998E-2</v>
      </c>
    </row>
    <row r="43" spans="3:4" x14ac:dyDescent="0.25">
      <c r="C43" s="2">
        <v>37226</v>
      </c>
      <c r="D43">
        <v>3.56E-2</v>
      </c>
    </row>
    <row r="44" spans="3:4" x14ac:dyDescent="0.25">
      <c r="C44" s="2">
        <v>37257</v>
      </c>
      <c r="D44">
        <v>2.7900000000000001E-2</v>
      </c>
    </row>
    <row r="45" spans="3:4" x14ac:dyDescent="0.25">
      <c r="C45" s="2">
        <v>37288</v>
      </c>
      <c r="D45">
        <v>2.76E-2</v>
      </c>
    </row>
    <row r="46" spans="3:4" x14ac:dyDescent="0.25">
      <c r="C46" s="2">
        <v>37316</v>
      </c>
      <c r="D46">
        <v>2.8000000000000001E-2</v>
      </c>
    </row>
    <row r="47" spans="3:4" x14ac:dyDescent="0.25">
      <c r="C47" s="2">
        <v>37561</v>
      </c>
      <c r="D47">
        <v>0.02</v>
      </c>
    </row>
    <row r="48" spans="3:4" x14ac:dyDescent="0.25">
      <c r="C48" s="2">
        <v>37591</v>
      </c>
      <c r="D48">
        <v>2.3699999999999999E-2</v>
      </c>
    </row>
    <row r="49" spans="3:8" x14ac:dyDescent="0.25">
      <c r="C49" s="2">
        <v>37622</v>
      </c>
      <c r="D49">
        <v>1.84E-2</v>
      </c>
    </row>
    <row r="50" spans="3:8" x14ac:dyDescent="0.25">
      <c r="C50" s="2">
        <v>37653</v>
      </c>
      <c r="D50">
        <v>1.4200000000000001E-2</v>
      </c>
    </row>
    <row r="51" spans="3:8" x14ac:dyDescent="0.25">
      <c r="C51" s="2">
        <v>37681</v>
      </c>
      <c r="D51">
        <v>1.18E-2</v>
      </c>
    </row>
    <row r="52" spans="3:8" x14ac:dyDescent="0.25">
      <c r="C52" s="2">
        <v>37926</v>
      </c>
      <c r="D52">
        <v>0.02</v>
      </c>
    </row>
    <row r="53" spans="3:8" x14ac:dyDescent="0.25">
      <c r="C53" s="2">
        <v>37956</v>
      </c>
      <c r="D53">
        <v>2.3699999999999999E-2</v>
      </c>
    </row>
    <row r="54" spans="3:8" x14ac:dyDescent="0.25">
      <c r="C54" s="2">
        <v>37987</v>
      </c>
      <c r="D54">
        <v>1.84E-2</v>
      </c>
    </row>
    <row r="55" spans="3:8" x14ac:dyDescent="0.25">
      <c r="C55" s="2">
        <v>38018</v>
      </c>
      <c r="D55">
        <v>1.4200000000000001E-2</v>
      </c>
    </row>
    <row r="56" spans="3:8" x14ac:dyDescent="0.25">
      <c r="C56" s="2">
        <v>38047</v>
      </c>
      <c r="D56">
        <v>1.18E-2</v>
      </c>
    </row>
    <row r="57" spans="3:8" x14ac:dyDescent="0.25">
      <c r="C57" s="2">
        <v>38292</v>
      </c>
      <c r="D57">
        <v>0.02</v>
      </c>
    </row>
    <row r="58" spans="3:8" x14ac:dyDescent="0.25">
      <c r="C58" s="2">
        <v>38322</v>
      </c>
      <c r="D58">
        <v>2.3699999999999999E-2</v>
      </c>
    </row>
    <row r="59" spans="3:8" x14ac:dyDescent="0.25">
      <c r="C59" s="2">
        <v>38353</v>
      </c>
      <c r="D59">
        <v>1.84E-2</v>
      </c>
    </row>
    <row r="60" spans="3:8" x14ac:dyDescent="0.25">
      <c r="C60" s="2">
        <v>38384</v>
      </c>
      <c r="D60">
        <v>1.4200000000000001E-2</v>
      </c>
    </row>
    <row r="61" spans="3:8" x14ac:dyDescent="0.25">
      <c r="C61" s="2">
        <v>38412</v>
      </c>
      <c r="D61">
        <v>1.18E-2</v>
      </c>
    </row>
    <row r="62" spans="3:8" x14ac:dyDescent="0.25">
      <c r="C62" s="2">
        <v>38657</v>
      </c>
      <c r="D62">
        <v>0.02</v>
      </c>
      <c r="F62" s="83">
        <v>4771187.1538050007</v>
      </c>
      <c r="H62" s="158"/>
    </row>
    <row r="63" spans="3:8" x14ac:dyDescent="0.25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5">
      <c r="C64" s="2">
        <v>38718</v>
      </c>
      <c r="D64">
        <v>1.84E-2</v>
      </c>
      <c r="F64" s="83">
        <v>9674800.2720309999</v>
      </c>
      <c r="H64" s="158"/>
    </row>
    <row r="65" spans="3:8" x14ac:dyDescent="0.25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5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workbookViewId="0">
      <selection activeCell="B2" sqref="B2"/>
    </sheetView>
  </sheetViews>
  <sheetFormatPr defaultRowHeight="13.2" x14ac:dyDescent="0.25"/>
  <cols>
    <col min="1" max="1" width="10.6640625" customWidth="1"/>
    <col min="2" max="2" width="11" customWidth="1"/>
  </cols>
  <sheetData>
    <row r="1" spans="1:2" x14ac:dyDescent="0.25">
      <c r="B1" t="s">
        <v>219</v>
      </c>
    </row>
    <row r="2" spans="1:2" ht="26.4" x14ac:dyDescent="0.25">
      <c r="A2" s="45" t="s">
        <v>217</v>
      </c>
      <c r="B2" s="44" t="s">
        <v>218</v>
      </c>
    </row>
    <row r="3" spans="1:2" x14ac:dyDescent="0.25">
      <c r="A3" s="200">
        <v>9904</v>
      </c>
      <c r="B3" s="201">
        <v>-958508</v>
      </c>
    </row>
    <row r="4" spans="1:2" x14ac:dyDescent="0.25">
      <c r="A4" s="200">
        <v>9907</v>
      </c>
      <c r="B4" s="201">
        <v>1221859</v>
      </c>
    </row>
    <row r="5" spans="1:2" x14ac:dyDescent="0.25">
      <c r="A5" s="200">
        <v>9908</v>
      </c>
      <c r="B5" s="201">
        <v>607814</v>
      </c>
    </row>
    <row r="6" spans="1:2" x14ac:dyDescent="0.25">
      <c r="A6" s="200">
        <v>9909</v>
      </c>
      <c r="B6" s="201">
        <v>1332152</v>
      </c>
    </row>
    <row r="7" spans="1:2" x14ac:dyDescent="0.25">
      <c r="A7" s="200">
        <v>9910</v>
      </c>
      <c r="B7" s="201">
        <v>216519</v>
      </c>
    </row>
    <row r="8" spans="1:2" x14ac:dyDescent="0.25">
      <c r="A8" s="200">
        <v>9911</v>
      </c>
      <c r="B8" s="201">
        <f>-650000-547000</f>
        <v>-1197000</v>
      </c>
    </row>
    <row r="9" spans="1:2" x14ac:dyDescent="0.25">
      <c r="A9" s="200"/>
      <c r="B9" s="201"/>
    </row>
    <row r="10" spans="1:2" x14ac:dyDescent="0.25">
      <c r="A10" s="200"/>
      <c r="B10" s="201"/>
    </row>
    <row r="11" spans="1:2" x14ac:dyDescent="0.25">
      <c r="A11" s="200"/>
      <c r="B11" s="201"/>
    </row>
    <row r="12" spans="1:2" x14ac:dyDescent="0.25">
      <c r="A12" s="200"/>
      <c r="B12" s="201"/>
    </row>
    <row r="13" spans="1:2" x14ac:dyDescent="0.25">
      <c r="A13" s="200"/>
      <c r="B13" s="201"/>
    </row>
    <row r="14" spans="1:2" x14ac:dyDescent="0.25">
      <c r="A14" s="200"/>
      <c r="B14" s="201"/>
    </row>
    <row r="15" spans="1:2" x14ac:dyDescent="0.25">
      <c r="A15" s="200"/>
      <c r="B15" s="201"/>
    </row>
    <row r="16" spans="1:2" x14ac:dyDescent="0.25">
      <c r="A16" s="200"/>
      <c r="B16" s="201"/>
    </row>
    <row r="17" spans="1:2" x14ac:dyDescent="0.25">
      <c r="A17" s="200"/>
      <c r="B17" s="201"/>
    </row>
    <row r="18" spans="1:2" x14ac:dyDescent="0.25">
      <c r="A18" s="200"/>
      <c r="B18" s="201"/>
    </row>
    <row r="19" spans="1:2" x14ac:dyDescent="0.25">
      <c r="A19" s="200"/>
      <c r="B19" s="201"/>
    </row>
    <row r="20" spans="1:2" x14ac:dyDescent="0.25">
      <c r="A20" s="200"/>
      <c r="B20" s="201"/>
    </row>
    <row r="21" spans="1:2" x14ac:dyDescent="0.25">
      <c r="A21" s="200"/>
      <c r="B21" s="201"/>
    </row>
    <row r="22" spans="1:2" x14ac:dyDescent="0.25">
      <c r="A22" s="200"/>
      <c r="B22" s="201"/>
    </row>
    <row r="23" spans="1:2" x14ac:dyDescent="0.25">
      <c r="A23" s="200"/>
      <c r="B23" s="201"/>
    </row>
    <row r="24" spans="1:2" x14ac:dyDescent="0.25">
      <c r="A24" s="200"/>
      <c r="B24" s="201"/>
    </row>
    <row r="25" spans="1:2" x14ac:dyDescent="0.25">
      <c r="A25" s="200"/>
      <c r="B25" s="201"/>
    </row>
    <row r="26" spans="1:2" x14ac:dyDescent="0.25">
      <c r="A26" s="200"/>
      <c r="B26" s="201"/>
    </row>
    <row r="27" spans="1:2" x14ac:dyDescent="0.25">
      <c r="A27" s="200"/>
      <c r="B27" s="201"/>
    </row>
    <row r="28" spans="1:2" x14ac:dyDescent="0.25">
      <c r="A28" s="200"/>
      <c r="B28" s="201"/>
    </row>
    <row r="29" spans="1:2" x14ac:dyDescent="0.25">
      <c r="A29" s="200"/>
      <c r="B29" s="201"/>
    </row>
    <row r="30" spans="1:2" x14ac:dyDescent="0.25">
      <c r="A30" s="200"/>
      <c r="B30" s="201"/>
    </row>
    <row r="31" spans="1:2" x14ac:dyDescent="0.25">
      <c r="A31" s="200"/>
      <c r="B31" s="201"/>
    </row>
    <row r="32" spans="1:2" x14ac:dyDescent="0.25">
      <c r="A32" s="200"/>
      <c r="B32" s="201"/>
    </row>
    <row r="33" spans="1:2" x14ac:dyDescent="0.25">
      <c r="A33" s="200"/>
      <c r="B33" s="201"/>
    </row>
    <row r="34" spans="1:2" x14ac:dyDescent="0.25">
      <c r="A34" s="200"/>
      <c r="B34" s="201"/>
    </row>
    <row r="35" spans="1:2" x14ac:dyDescent="0.25">
      <c r="A35" s="200"/>
      <c r="B35" s="201"/>
    </row>
    <row r="36" spans="1:2" x14ac:dyDescent="0.25">
      <c r="A36" s="200"/>
      <c r="B36" s="201"/>
    </row>
    <row r="37" spans="1:2" x14ac:dyDescent="0.25">
      <c r="A37" s="200"/>
      <c r="B37" s="201"/>
    </row>
    <row r="38" spans="1:2" x14ac:dyDescent="0.25">
      <c r="A38" s="200"/>
      <c r="B38" s="201"/>
    </row>
    <row r="39" spans="1:2" x14ac:dyDescent="0.25">
      <c r="A39" s="200"/>
      <c r="B39" s="201"/>
    </row>
    <row r="40" spans="1:2" x14ac:dyDescent="0.25">
      <c r="A40" s="200"/>
      <c r="B40" s="201"/>
    </row>
    <row r="41" spans="1:2" x14ac:dyDescent="0.25">
      <c r="A41" s="200"/>
      <c r="B41" s="201"/>
    </row>
    <row r="42" spans="1:2" x14ac:dyDescent="0.25">
      <c r="A42" s="200"/>
      <c r="B42" s="201"/>
    </row>
    <row r="43" spans="1:2" x14ac:dyDescent="0.25">
      <c r="A43" s="200"/>
      <c r="B43" s="201"/>
    </row>
    <row r="44" spans="1:2" x14ac:dyDescent="0.25">
      <c r="A44" s="200"/>
      <c r="B44" s="201"/>
    </row>
    <row r="45" spans="1:2" x14ac:dyDescent="0.25">
      <c r="A45" s="200"/>
      <c r="B45" s="201"/>
    </row>
    <row r="46" spans="1:2" x14ac:dyDescent="0.25">
      <c r="A46" s="200"/>
      <c r="B46" s="201"/>
    </row>
    <row r="47" spans="1:2" x14ac:dyDescent="0.25">
      <c r="A47" s="200"/>
      <c r="B47" s="201"/>
    </row>
    <row r="48" spans="1:2" x14ac:dyDescent="0.25">
      <c r="A48" s="200"/>
      <c r="B48" s="201"/>
    </row>
    <row r="49" spans="1:2" x14ac:dyDescent="0.25">
      <c r="A49" s="200"/>
      <c r="B49" s="201"/>
    </row>
    <row r="50" spans="1:2" x14ac:dyDescent="0.25">
      <c r="A50" s="200"/>
      <c r="B50" s="201"/>
    </row>
    <row r="51" spans="1:2" x14ac:dyDescent="0.25">
      <c r="A51" s="200"/>
      <c r="B51" s="201"/>
    </row>
    <row r="52" spans="1:2" x14ac:dyDescent="0.25">
      <c r="A52" s="200"/>
      <c r="B52" s="201"/>
    </row>
    <row r="53" spans="1:2" x14ac:dyDescent="0.25">
      <c r="A53" s="200"/>
      <c r="B53" s="201"/>
    </row>
    <row r="54" spans="1:2" x14ac:dyDescent="0.25">
      <c r="A54" s="200"/>
      <c r="B54" s="201"/>
    </row>
    <row r="55" spans="1:2" x14ac:dyDescent="0.25">
      <c r="A55" s="200"/>
      <c r="B55" s="201"/>
    </row>
    <row r="56" spans="1:2" x14ac:dyDescent="0.25">
      <c r="A56" s="200"/>
      <c r="B56" s="201"/>
    </row>
    <row r="57" spans="1:2" x14ac:dyDescent="0.25">
      <c r="A57" s="200"/>
      <c r="B57" s="201"/>
    </row>
    <row r="58" spans="1:2" x14ac:dyDescent="0.25">
      <c r="A58" s="200"/>
      <c r="B58" s="201"/>
    </row>
    <row r="59" spans="1:2" x14ac:dyDescent="0.25">
      <c r="A59" s="200"/>
      <c r="B59" s="201"/>
    </row>
    <row r="60" spans="1:2" x14ac:dyDescent="0.25">
      <c r="A60" s="200"/>
      <c r="B60" s="201"/>
    </row>
    <row r="61" spans="1:2" x14ac:dyDescent="0.25">
      <c r="A61" s="200"/>
      <c r="B61" s="201"/>
    </row>
    <row r="62" spans="1:2" x14ac:dyDescent="0.25">
      <c r="A62" s="200"/>
      <c r="B62" s="201"/>
    </row>
    <row r="63" spans="1:2" x14ac:dyDescent="0.25">
      <c r="A63" s="200"/>
      <c r="B63" s="201"/>
    </row>
    <row r="64" spans="1:2" x14ac:dyDescent="0.25">
      <c r="A64" s="200"/>
      <c r="B64" s="201"/>
    </row>
    <row r="65" spans="1:2" x14ac:dyDescent="0.25">
      <c r="A65" s="200"/>
      <c r="B65" s="201"/>
    </row>
    <row r="66" spans="1:2" x14ac:dyDescent="0.25">
      <c r="A66" s="200"/>
      <c r="B66" s="201"/>
    </row>
    <row r="67" spans="1:2" x14ac:dyDescent="0.25">
      <c r="A67" s="200"/>
      <c r="B67" s="201"/>
    </row>
    <row r="68" spans="1:2" x14ac:dyDescent="0.25">
      <c r="A68" s="200"/>
      <c r="B68" s="201"/>
    </row>
    <row r="69" spans="1:2" x14ac:dyDescent="0.25">
      <c r="A69" s="200"/>
      <c r="B69" s="201"/>
    </row>
    <row r="70" spans="1:2" x14ac:dyDescent="0.25">
      <c r="A70" s="200"/>
      <c r="B70" s="201"/>
    </row>
    <row r="71" spans="1:2" x14ac:dyDescent="0.25">
      <c r="A71" s="200"/>
      <c r="B71" s="201"/>
    </row>
    <row r="72" spans="1:2" x14ac:dyDescent="0.25">
      <c r="A72" s="200"/>
      <c r="B72" s="201"/>
    </row>
    <row r="73" spans="1:2" x14ac:dyDescent="0.25">
      <c r="A73" s="200"/>
      <c r="B73" s="201"/>
    </row>
    <row r="74" spans="1:2" x14ac:dyDescent="0.25">
      <c r="A74" s="200"/>
      <c r="B74" s="201"/>
    </row>
    <row r="75" spans="1:2" x14ac:dyDescent="0.25">
      <c r="A75" s="200"/>
      <c r="B75" s="201"/>
    </row>
    <row r="76" spans="1:2" x14ac:dyDescent="0.25">
      <c r="A76" s="200"/>
      <c r="B76" s="201"/>
    </row>
    <row r="77" spans="1:2" x14ac:dyDescent="0.25">
      <c r="A77" s="200"/>
      <c r="B77" s="201"/>
    </row>
    <row r="78" spans="1:2" x14ac:dyDescent="0.25">
      <c r="A78" s="200"/>
      <c r="B78" s="201"/>
    </row>
    <row r="79" spans="1:2" x14ac:dyDescent="0.25">
      <c r="A79" s="200"/>
      <c r="B79" s="201"/>
    </row>
    <row r="80" spans="1:2" x14ac:dyDescent="0.25">
      <c r="A80" s="200"/>
      <c r="B80" s="201"/>
    </row>
    <row r="81" spans="1:2" x14ac:dyDescent="0.25">
      <c r="A81" s="200"/>
      <c r="B81" s="201"/>
    </row>
    <row r="82" spans="1:2" x14ac:dyDescent="0.25">
      <c r="A82" s="200"/>
      <c r="B82" s="201"/>
    </row>
    <row r="83" spans="1:2" x14ac:dyDescent="0.25">
      <c r="A83" s="200"/>
      <c r="B83" s="201"/>
    </row>
    <row r="84" spans="1:2" x14ac:dyDescent="0.25">
      <c r="A84" s="200"/>
      <c r="B84" s="201"/>
    </row>
    <row r="85" spans="1:2" x14ac:dyDescent="0.25">
      <c r="A85" s="200"/>
      <c r="B85" s="201"/>
    </row>
    <row r="86" spans="1:2" x14ac:dyDescent="0.25">
      <c r="A86" s="200"/>
      <c r="B86" s="201"/>
    </row>
    <row r="87" spans="1:2" x14ac:dyDescent="0.25">
      <c r="A87" s="200"/>
      <c r="B87" s="201"/>
    </row>
    <row r="88" spans="1:2" x14ac:dyDescent="0.25">
      <c r="A88" s="200"/>
      <c r="B88" s="201"/>
    </row>
    <row r="89" spans="1:2" x14ac:dyDescent="0.25">
      <c r="A89" s="200"/>
      <c r="B89" s="201"/>
    </row>
    <row r="90" spans="1:2" x14ac:dyDescent="0.25">
      <c r="A90" s="200"/>
      <c r="B90" s="201"/>
    </row>
    <row r="91" spans="1:2" x14ac:dyDescent="0.25">
      <c r="A91" s="200"/>
      <c r="B91" s="201"/>
    </row>
    <row r="92" spans="1:2" x14ac:dyDescent="0.25">
      <c r="A92" s="200"/>
      <c r="B92" s="201"/>
    </row>
    <row r="93" spans="1:2" x14ac:dyDescent="0.25">
      <c r="A93" s="200"/>
      <c r="B93" s="201"/>
    </row>
    <row r="94" spans="1:2" x14ac:dyDescent="0.25">
      <c r="A94" s="200"/>
      <c r="B94" s="201"/>
    </row>
    <row r="95" spans="1:2" x14ac:dyDescent="0.25">
      <c r="A95" s="200"/>
      <c r="B95" s="201"/>
    </row>
    <row r="96" spans="1:2" x14ac:dyDescent="0.25">
      <c r="A96" s="200"/>
      <c r="B96" s="201"/>
    </row>
    <row r="97" spans="1:2" x14ac:dyDescent="0.25">
      <c r="A97" s="200"/>
      <c r="B97" s="201"/>
    </row>
    <row r="98" spans="1:2" x14ac:dyDescent="0.25">
      <c r="A98" s="200"/>
      <c r="B98" s="201"/>
    </row>
    <row r="99" spans="1:2" x14ac:dyDescent="0.25">
      <c r="A99" s="200"/>
      <c r="B99" s="201"/>
    </row>
    <row r="100" spans="1:2" x14ac:dyDescent="0.25">
      <c r="A100" s="200"/>
      <c r="B100" s="201"/>
    </row>
    <row r="101" spans="1:2" x14ac:dyDescent="0.25">
      <c r="A101" s="200"/>
      <c r="B101" s="201"/>
    </row>
    <row r="102" spans="1:2" x14ac:dyDescent="0.25">
      <c r="A102" s="200"/>
      <c r="B102" s="201"/>
    </row>
    <row r="103" spans="1:2" x14ac:dyDescent="0.25">
      <c r="A103" s="200"/>
      <c r="B103" s="201"/>
    </row>
    <row r="104" spans="1:2" x14ac:dyDescent="0.25">
      <c r="A104" s="200"/>
      <c r="B104" s="201"/>
    </row>
    <row r="105" spans="1:2" x14ac:dyDescent="0.25">
      <c r="A105" s="200"/>
      <c r="B105" s="201"/>
    </row>
    <row r="106" spans="1:2" x14ac:dyDescent="0.25">
      <c r="A106" s="200"/>
      <c r="B106" s="201"/>
    </row>
    <row r="107" spans="1:2" x14ac:dyDescent="0.25">
      <c r="A107" s="200"/>
      <c r="B107" s="201"/>
    </row>
    <row r="108" spans="1:2" x14ac:dyDescent="0.25">
      <c r="A108" s="200"/>
      <c r="B108" s="201"/>
    </row>
    <row r="109" spans="1:2" x14ac:dyDescent="0.25">
      <c r="A109" s="200"/>
      <c r="B109" s="201"/>
    </row>
    <row r="110" spans="1:2" x14ac:dyDescent="0.25">
      <c r="A110" s="200"/>
      <c r="B110" s="201"/>
    </row>
    <row r="111" spans="1:2" x14ac:dyDescent="0.25">
      <c r="A111" s="200"/>
      <c r="B111" s="201"/>
    </row>
    <row r="112" spans="1:2" x14ac:dyDescent="0.25">
      <c r="A112" s="200"/>
      <c r="B112" s="201"/>
    </row>
    <row r="113" spans="1:2" x14ac:dyDescent="0.25">
      <c r="A113" s="200"/>
      <c r="B113" s="201"/>
    </row>
    <row r="114" spans="1:2" x14ac:dyDescent="0.25">
      <c r="A114" s="200"/>
      <c r="B114" s="201"/>
    </row>
    <row r="115" spans="1:2" x14ac:dyDescent="0.25">
      <c r="A115" s="200"/>
      <c r="B115" s="201"/>
    </row>
    <row r="116" spans="1:2" x14ac:dyDescent="0.25">
      <c r="A116" s="200"/>
      <c r="B116" s="201"/>
    </row>
    <row r="117" spans="1:2" x14ac:dyDescent="0.25">
      <c r="A117" s="200"/>
      <c r="B117" s="201"/>
    </row>
    <row r="118" spans="1:2" x14ac:dyDescent="0.25">
      <c r="A118" s="200"/>
      <c r="B118" s="201"/>
    </row>
    <row r="119" spans="1:2" x14ac:dyDescent="0.25">
      <c r="A119" s="200"/>
      <c r="B119" s="201"/>
    </row>
    <row r="120" spans="1:2" x14ac:dyDescent="0.25">
      <c r="A120" s="200"/>
      <c r="B120" s="201"/>
    </row>
    <row r="121" spans="1:2" x14ac:dyDescent="0.25">
      <c r="A121" s="200"/>
      <c r="B121" s="201"/>
    </row>
    <row r="122" spans="1:2" x14ac:dyDescent="0.25">
      <c r="A122" s="200"/>
      <c r="B122" s="201"/>
    </row>
    <row r="123" spans="1:2" x14ac:dyDescent="0.25">
      <c r="A123" s="200"/>
      <c r="B123" s="201"/>
    </row>
    <row r="124" spans="1:2" x14ac:dyDescent="0.25">
      <c r="A124" s="200"/>
      <c r="B124" s="201"/>
    </row>
    <row r="125" spans="1:2" x14ac:dyDescent="0.25">
      <c r="A125" s="200"/>
      <c r="B125" s="201"/>
    </row>
    <row r="126" spans="1:2" x14ac:dyDescent="0.25">
      <c r="A126" s="200"/>
      <c r="B126" s="201"/>
    </row>
    <row r="127" spans="1:2" x14ac:dyDescent="0.25">
      <c r="A127" s="200"/>
      <c r="B127" s="201"/>
    </row>
    <row r="128" spans="1:2" x14ac:dyDescent="0.25">
      <c r="A128" s="200"/>
      <c r="B128" s="201"/>
    </row>
    <row r="129" spans="1:2" x14ac:dyDescent="0.25">
      <c r="A129" s="200"/>
      <c r="B129" s="201"/>
    </row>
    <row r="130" spans="1:2" x14ac:dyDescent="0.25">
      <c r="A130" s="200"/>
      <c r="B130" s="201"/>
    </row>
    <row r="131" spans="1:2" x14ac:dyDescent="0.25">
      <c r="A131" s="200"/>
      <c r="B131" s="201"/>
    </row>
    <row r="132" spans="1:2" x14ac:dyDescent="0.25">
      <c r="A132" s="200"/>
      <c r="B132" s="201"/>
    </row>
    <row r="133" spans="1:2" x14ac:dyDescent="0.25">
      <c r="A133" s="200"/>
      <c r="B133" s="201"/>
    </row>
    <row r="134" spans="1:2" x14ac:dyDescent="0.25">
      <c r="A134" s="200"/>
      <c r="B134" s="201"/>
    </row>
    <row r="135" spans="1:2" x14ac:dyDescent="0.25">
      <c r="A135" s="200"/>
      <c r="B135" s="201"/>
    </row>
    <row r="136" spans="1:2" x14ac:dyDescent="0.25">
      <c r="A136" s="200"/>
      <c r="B136" s="201"/>
    </row>
    <row r="137" spans="1:2" x14ac:dyDescent="0.25">
      <c r="A137" s="200"/>
      <c r="B137" s="201"/>
    </row>
    <row r="138" spans="1:2" x14ac:dyDescent="0.25">
      <c r="A138" s="200"/>
      <c r="B138" s="201"/>
    </row>
    <row r="139" spans="1:2" x14ac:dyDescent="0.25">
      <c r="A139" s="200"/>
      <c r="B139" s="201"/>
    </row>
    <row r="140" spans="1:2" x14ac:dyDescent="0.25">
      <c r="A140" s="200"/>
      <c r="B140" s="201"/>
    </row>
    <row r="141" spans="1:2" x14ac:dyDescent="0.25">
      <c r="A141" s="200"/>
      <c r="B141" s="201"/>
    </row>
    <row r="142" spans="1:2" x14ac:dyDescent="0.25">
      <c r="A142" s="200"/>
      <c r="B142" s="201"/>
    </row>
    <row r="143" spans="1:2" x14ac:dyDescent="0.25">
      <c r="A143" s="200"/>
      <c r="B143" s="201"/>
    </row>
    <row r="144" spans="1:2" x14ac:dyDescent="0.25">
      <c r="A144" s="200"/>
      <c r="B144" s="201"/>
    </row>
    <row r="145" spans="1:2" x14ac:dyDescent="0.25">
      <c r="A145" s="200"/>
      <c r="B145" s="201"/>
    </row>
    <row r="146" spans="1:2" x14ac:dyDescent="0.25">
      <c r="A146" s="200"/>
      <c r="B146" s="201"/>
    </row>
    <row r="147" spans="1:2" x14ac:dyDescent="0.25">
      <c r="A147" s="200"/>
      <c r="B147" s="201"/>
    </row>
    <row r="148" spans="1:2" x14ac:dyDescent="0.25">
      <c r="A148" s="200"/>
      <c r="B148" s="201"/>
    </row>
    <row r="149" spans="1:2" x14ac:dyDescent="0.25">
      <c r="A149" s="200"/>
      <c r="B149" s="201"/>
    </row>
    <row r="150" spans="1:2" x14ac:dyDescent="0.25">
      <c r="A150" s="200"/>
      <c r="B150" s="201"/>
    </row>
    <row r="151" spans="1:2" x14ac:dyDescent="0.25">
      <c r="A151" s="200"/>
      <c r="B151" s="201"/>
    </row>
    <row r="152" spans="1:2" x14ac:dyDescent="0.25">
      <c r="A152" s="200"/>
      <c r="B152" s="201"/>
    </row>
    <row r="153" spans="1:2" x14ac:dyDescent="0.25">
      <c r="A153" s="200"/>
      <c r="B153" s="201"/>
    </row>
    <row r="154" spans="1:2" x14ac:dyDescent="0.25">
      <c r="A154" s="200"/>
      <c r="B154" s="201"/>
    </row>
    <row r="155" spans="1:2" x14ac:dyDescent="0.25">
      <c r="A155" s="200"/>
      <c r="B155" s="201"/>
    </row>
    <row r="156" spans="1:2" x14ac:dyDescent="0.25">
      <c r="A156" s="200"/>
      <c r="B156" s="201"/>
    </row>
    <row r="157" spans="1:2" x14ac:dyDescent="0.25">
      <c r="A157" s="200"/>
      <c r="B157" s="201"/>
    </row>
    <row r="158" spans="1:2" x14ac:dyDescent="0.25">
      <c r="A158" s="200"/>
      <c r="B158" s="201"/>
    </row>
    <row r="159" spans="1:2" x14ac:dyDescent="0.25">
      <c r="A159" s="200"/>
      <c r="B159" s="201"/>
    </row>
    <row r="160" spans="1:2" x14ac:dyDescent="0.25">
      <c r="A160" s="200"/>
      <c r="B160" s="201"/>
    </row>
    <row r="161" spans="1:2" x14ac:dyDescent="0.25">
      <c r="A161" s="200"/>
      <c r="B161" s="201"/>
    </row>
    <row r="162" spans="1:2" x14ac:dyDescent="0.25">
      <c r="A162" s="200"/>
      <c r="B162" s="201"/>
    </row>
    <row r="163" spans="1:2" x14ac:dyDescent="0.25">
      <c r="A163" s="200"/>
      <c r="B163" s="201"/>
    </row>
    <row r="164" spans="1:2" x14ac:dyDescent="0.25">
      <c r="A164" s="200"/>
      <c r="B164" s="201"/>
    </row>
    <row r="165" spans="1:2" x14ac:dyDescent="0.25">
      <c r="A165" s="200"/>
      <c r="B165" s="201"/>
    </row>
    <row r="166" spans="1:2" x14ac:dyDescent="0.25">
      <c r="A166" s="200"/>
      <c r="B166" s="201"/>
    </row>
    <row r="167" spans="1:2" x14ac:dyDescent="0.25">
      <c r="A167" s="200"/>
      <c r="B167" s="201"/>
    </row>
    <row r="168" spans="1:2" x14ac:dyDescent="0.25">
      <c r="A168" s="200"/>
      <c r="B168" s="201"/>
    </row>
    <row r="169" spans="1:2" x14ac:dyDescent="0.25">
      <c r="A169" s="200"/>
      <c r="B169" s="201"/>
    </row>
    <row r="170" spans="1:2" x14ac:dyDescent="0.25">
      <c r="A170" s="200"/>
      <c r="B170" s="201"/>
    </row>
    <row r="171" spans="1:2" x14ac:dyDescent="0.25">
      <c r="A171" s="200"/>
      <c r="B171" s="201"/>
    </row>
    <row r="172" spans="1:2" x14ac:dyDescent="0.25">
      <c r="A172" s="200"/>
      <c r="B172" s="201"/>
    </row>
    <row r="173" spans="1:2" x14ac:dyDescent="0.25">
      <c r="A173" s="200"/>
      <c r="B173" s="201"/>
    </row>
    <row r="174" spans="1:2" x14ac:dyDescent="0.25">
      <c r="A174" s="200"/>
      <c r="B174" s="201"/>
    </row>
    <row r="175" spans="1:2" x14ac:dyDescent="0.25">
      <c r="A175" s="200"/>
      <c r="B175" s="201"/>
    </row>
    <row r="176" spans="1:2" x14ac:dyDescent="0.25">
      <c r="A176" s="200"/>
      <c r="B176" s="201"/>
    </row>
    <row r="177" spans="1:2" x14ac:dyDescent="0.25">
      <c r="A177" s="200"/>
      <c r="B177" s="201"/>
    </row>
    <row r="178" spans="1:2" x14ac:dyDescent="0.25">
      <c r="A178" s="200"/>
      <c r="B178" s="201"/>
    </row>
    <row r="179" spans="1:2" x14ac:dyDescent="0.25">
      <c r="A179" s="200"/>
      <c r="B179" s="201"/>
    </row>
    <row r="180" spans="1:2" x14ac:dyDescent="0.25">
      <c r="A180" s="200"/>
      <c r="B180" s="201"/>
    </row>
    <row r="181" spans="1:2" x14ac:dyDescent="0.25">
      <c r="A181" s="200"/>
      <c r="B181" s="201"/>
    </row>
    <row r="182" spans="1:2" x14ac:dyDescent="0.25">
      <c r="A182" s="200"/>
      <c r="B182" s="201"/>
    </row>
    <row r="183" spans="1:2" x14ac:dyDescent="0.25">
      <c r="A183" s="200"/>
      <c r="B183" s="201"/>
    </row>
    <row r="184" spans="1:2" x14ac:dyDescent="0.25">
      <c r="A184" s="200"/>
      <c r="B184" s="201"/>
    </row>
    <row r="185" spans="1:2" x14ac:dyDescent="0.25">
      <c r="A185" s="200"/>
      <c r="B185" s="201"/>
    </row>
    <row r="186" spans="1:2" x14ac:dyDescent="0.25">
      <c r="A186" s="200"/>
      <c r="B186" s="201"/>
    </row>
    <row r="187" spans="1:2" x14ac:dyDescent="0.25">
      <c r="A187" s="200"/>
      <c r="B187" s="201"/>
    </row>
    <row r="188" spans="1:2" x14ac:dyDescent="0.25">
      <c r="A188" s="200"/>
      <c r="B188" s="201"/>
    </row>
    <row r="189" spans="1:2" x14ac:dyDescent="0.25">
      <c r="A189" s="200"/>
      <c r="B189" s="201"/>
    </row>
    <row r="190" spans="1:2" x14ac:dyDescent="0.25">
      <c r="A190" s="200"/>
      <c r="B190" s="201"/>
    </row>
    <row r="191" spans="1:2" x14ac:dyDescent="0.25">
      <c r="A191" s="200"/>
      <c r="B191" s="201"/>
    </row>
    <row r="192" spans="1:2" x14ac:dyDescent="0.25">
      <c r="A192" s="200"/>
      <c r="B192" s="201"/>
    </row>
    <row r="193" spans="1:2" x14ac:dyDescent="0.25">
      <c r="A193" s="200"/>
      <c r="B193" s="201"/>
    </row>
    <row r="194" spans="1:2" x14ac:dyDescent="0.25">
      <c r="A194" s="200"/>
      <c r="B194" s="201"/>
    </row>
    <row r="195" spans="1:2" x14ac:dyDescent="0.25">
      <c r="A195" s="200"/>
      <c r="B195" s="201"/>
    </row>
    <row r="196" spans="1:2" x14ac:dyDescent="0.25">
      <c r="A196" s="200"/>
      <c r="B196" s="201"/>
    </row>
    <row r="197" spans="1:2" x14ac:dyDescent="0.25">
      <c r="A197" s="200"/>
      <c r="B197" s="201"/>
    </row>
    <row r="198" spans="1:2" x14ac:dyDescent="0.25">
      <c r="A198" s="200"/>
      <c r="B198" s="201"/>
    </row>
    <row r="199" spans="1:2" x14ac:dyDescent="0.25">
      <c r="A199" s="200"/>
      <c r="B199" s="201"/>
    </row>
    <row r="200" spans="1:2" x14ac:dyDescent="0.25">
      <c r="A200" s="200"/>
      <c r="B200" s="201"/>
    </row>
    <row r="201" spans="1:2" x14ac:dyDescent="0.25">
      <c r="A201" s="200"/>
      <c r="B201" s="201"/>
    </row>
    <row r="202" spans="1:2" x14ac:dyDescent="0.25">
      <c r="A202" s="200"/>
      <c r="B202" s="201"/>
    </row>
    <row r="203" spans="1:2" x14ac:dyDescent="0.25">
      <c r="A203" s="200"/>
      <c r="B203" s="201"/>
    </row>
    <row r="204" spans="1:2" x14ac:dyDescent="0.25">
      <c r="A204" s="200"/>
      <c r="B204" s="201"/>
    </row>
    <row r="205" spans="1:2" x14ac:dyDescent="0.25">
      <c r="A205" s="200"/>
      <c r="B205" s="201"/>
    </row>
    <row r="206" spans="1:2" x14ac:dyDescent="0.25">
      <c r="A206" s="200"/>
      <c r="B206" s="201"/>
    </row>
    <row r="207" spans="1:2" x14ac:dyDescent="0.25">
      <c r="A207" s="200"/>
      <c r="B207" s="201"/>
    </row>
    <row r="208" spans="1:2" x14ac:dyDescent="0.25">
      <c r="A208" s="200"/>
      <c r="B208" s="201"/>
    </row>
    <row r="209" spans="1:2" x14ac:dyDescent="0.25">
      <c r="A209" s="200"/>
      <c r="B209" s="201"/>
    </row>
    <row r="210" spans="1:2" x14ac:dyDescent="0.25">
      <c r="A210" s="200"/>
      <c r="B210" s="201"/>
    </row>
    <row r="211" spans="1:2" x14ac:dyDescent="0.25">
      <c r="A211" s="200"/>
      <c r="B211" s="201"/>
    </row>
    <row r="212" spans="1:2" x14ac:dyDescent="0.25">
      <c r="A212" s="200"/>
      <c r="B212" s="201"/>
    </row>
    <row r="213" spans="1:2" x14ac:dyDescent="0.25">
      <c r="A213" s="200"/>
      <c r="B213" s="201"/>
    </row>
    <row r="214" spans="1:2" x14ac:dyDescent="0.25">
      <c r="A214" s="200"/>
      <c r="B214" s="201"/>
    </row>
    <row r="215" spans="1:2" x14ac:dyDescent="0.25">
      <c r="A215" s="200"/>
      <c r="B215" s="201"/>
    </row>
    <row r="216" spans="1:2" x14ac:dyDescent="0.25">
      <c r="A216" s="200"/>
      <c r="B216" s="201"/>
    </row>
    <row r="217" spans="1:2" x14ac:dyDescent="0.25">
      <c r="A217" s="200"/>
      <c r="B217" s="201"/>
    </row>
    <row r="218" spans="1:2" x14ac:dyDescent="0.25">
      <c r="A218" s="200"/>
      <c r="B218" s="201"/>
    </row>
    <row r="219" spans="1:2" x14ac:dyDescent="0.25">
      <c r="A219" s="200"/>
      <c r="B219" s="201"/>
    </row>
    <row r="220" spans="1:2" x14ac:dyDescent="0.25">
      <c r="A220" s="200"/>
      <c r="B220" s="201"/>
    </row>
    <row r="221" spans="1:2" x14ac:dyDescent="0.25">
      <c r="A221" s="200"/>
      <c r="B221" s="201"/>
    </row>
    <row r="222" spans="1:2" x14ac:dyDescent="0.25">
      <c r="A222" s="200"/>
      <c r="B222" s="201"/>
    </row>
    <row r="223" spans="1:2" x14ac:dyDescent="0.25">
      <c r="A223" s="200"/>
      <c r="B223" s="201"/>
    </row>
    <row r="224" spans="1:2" x14ac:dyDescent="0.25">
      <c r="A224" s="200"/>
      <c r="B224" s="201"/>
    </row>
    <row r="225" spans="1:2" x14ac:dyDescent="0.25">
      <c r="A225" s="200"/>
      <c r="B225" s="201"/>
    </row>
    <row r="226" spans="1:2" x14ac:dyDescent="0.25">
      <c r="A226" s="200"/>
      <c r="B226" s="201"/>
    </row>
    <row r="227" spans="1:2" x14ac:dyDescent="0.25">
      <c r="A227" s="200"/>
      <c r="B227" s="201"/>
    </row>
    <row r="228" spans="1:2" x14ac:dyDescent="0.25">
      <c r="A228" s="200"/>
      <c r="B228" s="201"/>
    </row>
    <row r="229" spans="1:2" x14ac:dyDescent="0.25">
      <c r="A229" s="200"/>
      <c r="B229" s="201"/>
    </row>
    <row r="230" spans="1:2" x14ac:dyDescent="0.25">
      <c r="A230" s="200"/>
      <c r="B230" s="201"/>
    </row>
    <row r="231" spans="1:2" x14ac:dyDescent="0.25">
      <c r="A231" s="200"/>
      <c r="B231" s="201"/>
    </row>
    <row r="232" spans="1:2" x14ac:dyDescent="0.25">
      <c r="A232" s="200"/>
      <c r="B232" s="201"/>
    </row>
    <row r="233" spans="1:2" x14ac:dyDescent="0.25">
      <c r="A233" s="200"/>
      <c r="B233" s="201"/>
    </row>
    <row r="234" spans="1:2" x14ac:dyDescent="0.25">
      <c r="A234" s="200"/>
      <c r="B234" s="201"/>
    </row>
    <row r="235" spans="1:2" x14ac:dyDescent="0.25">
      <c r="A235" s="200"/>
      <c r="B235" s="201"/>
    </row>
    <row r="236" spans="1:2" x14ac:dyDescent="0.25">
      <c r="A236" s="200"/>
      <c r="B236" s="201"/>
    </row>
    <row r="237" spans="1:2" x14ac:dyDescent="0.25">
      <c r="A237" s="200"/>
      <c r="B237" s="201"/>
    </row>
    <row r="238" spans="1:2" x14ac:dyDescent="0.25">
      <c r="A238" s="200"/>
      <c r="B238" s="201"/>
    </row>
    <row r="239" spans="1:2" x14ac:dyDescent="0.25">
      <c r="A239" s="200"/>
      <c r="B239" s="201"/>
    </row>
    <row r="240" spans="1:2" x14ac:dyDescent="0.25">
      <c r="A240" s="200"/>
      <c r="B240" s="201"/>
    </row>
    <row r="241" spans="1:2" x14ac:dyDescent="0.25">
      <c r="A241" s="200"/>
      <c r="B241" s="201"/>
    </row>
    <row r="242" spans="1:2" x14ac:dyDescent="0.25">
      <c r="A242" s="200"/>
      <c r="B242" s="201"/>
    </row>
    <row r="243" spans="1:2" x14ac:dyDescent="0.25">
      <c r="A243" s="200"/>
      <c r="B243" s="201"/>
    </row>
    <row r="244" spans="1:2" x14ac:dyDescent="0.25">
      <c r="A244" s="200"/>
      <c r="B244" s="201"/>
    </row>
    <row r="245" spans="1:2" x14ac:dyDescent="0.25">
      <c r="A245" s="200"/>
      <c r="B245" s="201"/>
    </row>
    <row r="246" spans="1:2" x14ac:dyDescent="0.25">
      <c r="A246" s="200"/>
      <c r="B246" s="201"/>
    </row>
    <row r="247" spans="1:2" x14ac:dyDescent="0.25">
      <c r="A247" s="200"/>
      <c r="B247" s="201"/>
    </row>
    <row r="248" spans="1:2" x14ac:dyDescent="0.25">
      <c r="A248" s="200"/>
      <c r="B248" s="201"/>
    </row>
    <row r="249" spans="1:2" x14ac:dyDescent="0.25">
      <c r="A249" s="200"/>
      <c r="B249" s="201"/>
    </row>
    <row r="250" spans="1:2" x14ac:dyDescent="0.25">
      <c r="A250" s="200"/>
      <c r="B250" s="201"/>
    </row>
    <row r="251" spans="1:2" x14ac:dyDescent="0.25">
      <c r="A251" s="200"/>
      <c r="B251" s="201"/>
    </row>
    <row r="252" spans="1:2" x14ac:dyDescent="0.25">
      <c r="A252" s="200"/>
      <c r="B252" s="201"/>
    </row>
    <row r="253" spans="1:2" x14ac:dyDescent="0.25">
      <c r="A253" s="200"/>
      <c r="B253" s="201"/>
    </row>
    <row r="254" spans="1:2" x14ac:dyDescent="0.25">
      <c r="A254" s="200"/>
      <c r="B254" s="201"/>
    </row>
    <row r="255" spans="1:2" x14ac:dyDescent="0.25">
      <c r="A255" s="200"/>
      <c r="B255" s="201"/>
    </row>
    <row r="256" spans="1:2" x14ac:dyDescent="0.25">
      <c r="A256" s="200"/>
      <c r="B256" s="201"/>
    </row>
    <row r="257" spans="1:2" x14ac:dyDescent="0.25">
      <c r="A257" s="200"/>
      <c r="B257" s="201"/>
    </row>
    <row r="258" spans="1:2" x14ac:dyDescent="0.25">
      <c r="A258" s="200"/>
      <c r="B258" s="201"/>
    </row>
    <row r="259" spans="1:2" x14ac:dyDescent="0.25">
      <c r="A259" s="200"/>
      <c r="B259" s="201"/>
    </row>
    <row r="260" spans="1:2" x14ac:dyDescent="0.25">
      <c r="A260" s="200"/>
      <c r="B260" s="201"/>
    </row>
    <row r="261" spans="1:2" x14ac:dyDescent="0.25">
      <c r="A261" s="200"/>
      <c r="B261" s="201"/>
    </row>
    <row r="262" spans="1:2" x14ac:dyDescent="0.25">
      <c r="A262" s="200"/>
      <c r="B262" s="201"/>
    </row>
    <row r="263" spans="1:2" x14ac:dyDescent="0.25">
      <c r="A263" s="200"/>
      <c r="B263" s="201"/>
    </row>
    <row r="264" spans="1:2" x14ac:dyDescent="0.25">
      <c r="A264" s="200"/>
      <c r="B264" s="201"/>
    </row>
    <row r="265" spans="1:2" x14ac:dyDescent="0.25">
      <c r="A265" s="200"/>
      <c r="B265" s="201"/>
    </row>
    <row r="266" spans="1:2" x14ac:dyDescent="0.25">
      <c r="A266" s="200"/>
      <c r="B266" s="201"/>
    </row>
    <row r="267" spans="1:2" x14ac:dyDescent="0.25">
      <c r="A267" s="200"/>
      <c r="B267" s="201"/>
    </row>
    <row r="268" spans="1:2" x14ac:dyDescent="0.25">
      <c r="A268" s="200"/>
      <c r="B268" s="201"/>
    </row>
    <row r="269" spans="1:2" x14ac:dyDescent="0.25">
      <c r="A269" s="200"/>
      <c r="B269" s="201"/>
    </row>
    <row r="270" spans="1:2" x14ac:dyDescent="0.25">
      <c r="A270" s="200"/>
      <c r="B270" s="201"/>
    </row>
    <row r="271" spans="1:2" x14ac:dyDescent="0.25">
      <c r="A271" s="200"/>
      <c r="B271" s="201"/>
    </row>
    <row r="272" spans="1:2" x14ac:dyDescent="0.25">
      <c r="A272" s="200"/>
      <c r="B272" s="201"/>
    </row>
    <row r="273" spans="1:2" x14ac:dyDescent="0.25">
      <c r="A273" s="200"/>
      <c r="B273" s="201"/>
    </row>
    <row r="274" spans="1:2" x14ac:dyDescent="0.25">
      <c r="A274" s="200"/>
      <c r="B274" s="201"/>
    </row>
    <row r="275" spans="1:2" x14ac:dyDescent="0.25">
      <c r="A275" s="200"/>
      <c r="B275" s="201"/>
    </row>
    <row r="276" spans="1:2" x14ac:dyDescent="0.25">
      <c r="A276" s="200"/>
      <c r="B276" s="201"/>
    </row>
    <row r="277" spans="1:2" x14ac:dyDescent="0.25">
      <c r="A277" s="200"/>
      <c r="B277" s="201"/>
    </row>
    <row r="278" spans="1:2" x14ac:dyDescent="0.25">
      <c r="A278" s="200"/>
      <c r="B278" s="201"/>
    </row>
    <row r="279" spans="1:2" x14ac:dyDescent="0.25">
      <c r="A279" s="200"/>
      <c r="B279" s="201"/>
    </row>
    <row r="280" spans="1:2" x14ac:dyDescent="0.25">
      <c r="A280" s="200"/>
      <c r="B280" s="201"/>
    </row>
    <row r="281" spans="1:2" x14ac:dyDescent="0.25">
      <c r="A281" s="200"/>
      <c r="B281" s="201"/>
    </row>
    <row r="282" spans="1:2" x14ac:dyDescent="0.25">
      <c r="A282" s="200"/>
      <c r="B282" s="201"/>
    </row>
    <row r="283" spans="1:2" x14ac:dyDescent="0.25">
      <c r="A283" s="200"/>
      <c r="B283" s="201"/>
    </row>
    <row r="284" spans="1:2" x14ac:dyDescent="0.25">
      <c r="A284" s="200"/>
      <c r="B284" s="201"/>
    </row>
    <row r="285" spans="1:2" x14ac:dyDescent="0.25">
      <c r="A285" s="200"/>
      <c r="B285" s="201"/>
    </row>
    <row r="286" spans="1:2" x14ac:dyDescent="0.25">
      <c r="A286" s="200"/>
      <c r="B286" s="201"/>
    </row>
    <row r="287" spans="1:2" x14ac:dyDescent="0.25">
      <c r="A287" s="200"/>
      <c r="B287" s="201"/>
    </row>
    <row r="288" spans="1:2" x14ac:dyDescent="0.25">
      <c r="A288" s="200"/>
      <c r="B288" s="201"/>
    </row>
    <row r="289" spans="1:2" x14ac:dyDescent="0.25">
      <c r="A289" s="200"/>
      <c r="B289" s="201"/>
    </row>
    <row r="290" spans="1:2" x14ac:dyDescent="0.25">
      <c r="A290" s="200"/>
      <c r="B290" s="201"/>
    </row>
    <row r="291" spans="1:2" x14ac:dyDescent="0.25">
      <c r="A291" s="200"/>
      <c r="B291" s="201"/>
    </row>
    <row r="292" spans="1:2" x14ac:dyDescent="0.25">
      <c r="A292" s="200"/>
      <c r="B292" s="201"/>
    </row>
    <row r="293" spans="1:2" x14ac:dyDescent="0.25">
      <c r="A293" s="200"/>
      <c r="B293" s="201"/>
    </row>
    <row r="294" spans="1:2" x14ac:dyDescent="0.25">
      <c r="A294" s="200"/>
      <c r="B294" s="201"/>
    </row>
    <row r="295" spans="1:2" x14ac:dyDescent="0.25">
      <c r="A295" s="200"/>
      <c r="B295" s="201"/>
    </row>
    <row r="296" spans="1:2" x14ac:dyDescent="0.25">
      <c r="A296" s="200"/>
      <c r="B296" s="201"/>
    </row>
    <row r="297" spans="1:2" x14ac:dyDescent="0.25">
      <c r="A297" s="200"/>
      <c r="B297" s="201"/>
    </row>
    <row r="298" spans="1:2" x14ac:dyDescent="0.25">
      <c r="A298" s="200"/>
      <c r="B298" s="201"/>
    </row>
    <row r="299" spans="1:2" x14ac:dyDescent="0.25">
      <c r="A299" s="200"/>
      <c r="B299" s="201"/>
    </row>
    <row r="300" spans="1:2" x14ac:dyDescent="0.25">
      <c r="A300" s="200"/>
      <c r="B300" s="201"/>
    </row>
    <row r="301" spans="1:2" x14ac:dyDescent="0.25">
      <c r="A301" s="200"/>
      <c r="B301" s="201"/>
    </row>
    <row r="302" spans="1:2" x14ac:dyDescent="0.25">
      <c r="A302" s="200"/>
      <c r="B302" s="201"/>
    </row>
    <row r="303" spans="1:2" x14ac:dyDescent="0.25">
      <c r="A303" s="200"/>
      <c r="B303" s="201"/>
    </row>
    <row r="304" spans="1:2" x14ac:dyDescent="0.25">
      <c r="A304" s="200"/>
      <c r="B304" s="201"/>
    </row>
    <row r="305" spans="1:2" x14ac:dyDescent="0.25">
      <c r="A305" s="200"/>
      <c r="B305" s="201"/>
    </row>
    <row r="306" spans="1:2" x14ac:dyDescent="0.25">
      <c r="A306" s="200"/>
      <c r="B306" s="201"/>
    </row>
    <row r="307" spans="1:2" x14ac:dyDescent="0.25">
      <c r="A307" s="200"/>
      <c r="B307" s="201"/>
    </row>
    <row r="308" spans="1:2" x14ac:dyDescent="0.25">
      <c r="A308" s="200"/>
      <c r="B308" s="201"/>
    </row>
    <row r="309" spans="1:2" x14ac:dyDescent="0.25">
      <c r="A309" s="200"/>
      <c r="B309" s="201"/>
    </row>
    <row r="310" spans="1:2" x14ac:dyDescent="0.25">
      <c r="A310" s="200"/>
      <c r="B310" s="201"/>
    </row>
    <row r="311" spans="1:2" x14ac:dyDescent="0.25">
      <c r="A311" s="200"/>
      <c r="B311" s="201"/>
    </row>
    <row r="312" spans="1:2" x14ac:dyDescent="0.25">
      <c r="A312" s="200"/>
      <c r="B312" s="201"/>
    </row>
    <row r="313" spans="1:2" x14ac:dyDescent="0.25">
      <c r="A313" s="200"/>
      <c r="B313" s="201"/>
    </row>
    <row r="314" spans="1:2" x14ac:dyDescent="0.25">
      <c r="A314" s="200"/>
      <c r="B314" s="201"/>
    </row>
    <row r="315" spans="1:2" x14ac:dyDescent="0.25">
      <c r="A315" s="200"/>
      <c r="B315" s="201"/>
    </row>
    <row r="316" spans="1:2" x14ac:dyDescent="0.25">
      <c r="A316" s="200"/>
      <c r="B316" s="201"/>
    </row>
    <row r="317" spans="1:2" x14ac:dyDescent="0.25">
      <c r="A317" s="200"/>
      <c r="B317" s="201"/>
    </row>
    <row r="318" spans="1:2" x14ac:dyDescent="0.25">
      <c r="A318" s="200"/>
      <c r="B318" s="201"/>
    </row>
    <row r="319" spans="1:2" x14ac:dyDescent="0.25">
      <c r="A319" s="200"/>
      <c r="B319" s="201"/>
    </row>
    <row r="320" spans="1:2" x14ac:dyDescent="0.25">
      <c r="A320" s="200"/>
      <c r="B320" s="201"/>
    </row>
    <row r="321" spans="1:2" x14ac:dyDescent="0.25">
      <c r="A321" s="200"/>
      <c r="B321" s="201"/>
    </row>
    <row r="322" spans="1:2" x14ac:dyDescent="0.25">
      <c r="A322" s="200"/>
      <c r="B322" s="201"/>
    </row>
    <row r="323" spans="1:2" x14ac:dyDescent="0.25">
      <c r="A323" s="200"/>
      <c r="B323" s="201"/>
    </row>
    <row r="324" spans="1:2" x14ac:dyDescent="0.25">
      <c r="A324" s="200"/>
      <c r="B324" s="201"/>
    </row>
    <row r="325" spans="1:2" x14ac:dyDescent="0.25">
      <c r="A325" s="200"/>
      <c r="B325" s="201"/>
    </row>
    <row r="326" spans="1:2" x14ac:dyDescent="0.25">
      <c r="A326" s="200"/>
      <c r="B326" s="198"/>
    </row>
    <row r="327" spans="1:2" x14ac:dyDescent="0.25">
      <c r="A327" s="200"/>
      <c r="B327" s="198"/>
    </row>
    <row r="328" spans="1:2" x14ac:dyDescent="0.25">
      <c r="A328" s="200"/>
      <c r="B328" s="198"/>
    </row>
    <row r="329" spans="1:2" x14ac:dyDescent="0.25">
      <c r="A329" s="200"/>
      <c r="B329" s="199"/>
    </row>
    <row r="330" spans="1:2" x14ac:dyDescent="0.25">
      <c r="A330" s="200"/>
      <c r="B330" s="198"/>
    </row>
    <row r="331" spans="1:2" x14ac:dyDescent="0.25">
      <c r="A331" s="200"/>
      <c r="B331" s="198"/>
    </row>
    <row r="332" spans="1:2" x14ac:dyDescent="0.25">
      <c r="A332" s="200"/>
      <c r="B332" s="198"/>
    </row>
    <row r="333" spans="1:2" x14ac:dyDescent="0.25">
      <c r="A333" s="200"/>
      <c r="B333" s="198"/>
    </row>
    <row r="334" spans="1:2" x14ac:dyDescent="0.25">
      <c r="A334" s="200"/>
      <c r="B334" s="198"/>
    </row>
    <row r="335" spans="1:2" x14ac:dyDescent="0.25">
      <c r="A335" s="200"/>
      <c r="B335" s="199"/>
    </row>
    <row r="336" spans="1:2" x14ac:dyDescent="0.25">
      <c r="A336" s="200"/>
      <c r="B336" s="198"/>
    </row>
    <row r="337" spans="1:2" x14ac:dyDescent="0.25">
      <c r="A337" s="200"/>
      <c r="B337" s="198"/>
    </row>
    <row r="338" spans="1:2" x14ac:dyDescent="0.25">
      <c r="A338" s="200"/>
      <c r="B338" s="198"/>
    </row>
    <row r="339" spans="1:2" x14ac:dyDescent="0.25">
      <c r="A339" s="200"/>
      <c r="B339" s="198"/>
    </row>
    <row r="340" spans="1:2" x14ac:dyDescent="0.25">
      <c r="A340" s="200"/>
      <c r="B340" s="198"/>
    </row>
    <row r="341" spans="1:2" x14ac:dyDescent="0.25">
      <c r="A341" s="200"/>
      <c r="B341" s="199"/>
    </row>
    <row r="342" spans="1:2" x14ac:dyDescent="0.25">
      <c r="A342" s="200"/>
      <c r="B342" s="198"/>
    </row>
    <row r="343" spans="1:2" x14ac:dyDescent="0.25">
      <c r="A343" s="200"/>
      <c r="B343" s="198"/>
    </row>
    <row r="344" spans="1:2" x14ac:dyDescent="0.25">
      <c r="A344" s="200"/>
      <c r="B344" s="198"/>
    </row>
    <row r="345" spans="1:2" x14ac:dyDescent="0.25">
      <c r="A345" s="200"/>
      <c r="B345" s="198"/>
    </row>
    <row r="346" spans="1:2" x14ac:dyDescent="0.25">
      <c r="A346" s="200"/>
      <c r="B346" s="198"/>
    </row>
    <row r="347" spans="1:2" x14ac:dyDescent="0.25">
      <c r="A347" s="200"/>
      <c r="B347" s="199"/>
    </row>
    <row r="348" spans="1:2" x14ac:dyDescent="0.25">
      <c r="A348" s="200"/>
      <c r="B348" s="198"/>
    </row>
    <row r="349" spans="1:2" x14ac:dyDescent="0.25">
      <c r="A349" s="200"/>
      <c r="B349" s="198"/>
    </row>
    <row r="350" spans="1:2" x14ac:dyDescent="0.25">
      <c r="A350" s="200"/>
      <c r="B350" s="198"/>
    </row>
    <row r="351" spans="1:2" x14ac:dyDescent="0.25">
      <c r="A351" s="200"/>
      <c r="B351" s="198"/>
    </row>
    <row r="352" spans="1:2" x14ac:dyDescent="0.25">
      <c r="A352" s="200"/>
      <c r="B352" s="198"/>
    </row>
    <row r="353" spans="1:2" x14ac:dyDescent="0.25">
      <c r="A353" s="200"/>
      <c r="B353" s="199"/>
    </row>
    <row r="354" spans="1:2" x14ac:dyDescent="0.25">
      <c r="A354" s="200"/>
      <c r="B354" s="198"/>
    </row>
    <row r="355" spans="1:2" x14ac:dyDescent="0.25">
      <c r="A355" s="200"/>
      <c r="B355" s="198"/>
    </row>
    <row r="356" spans="1:2" x14ac:dyDescent="0.25">
      <c r="A356" s="200"/>
      <c r="B356" s="198"/>
    </row>
    <row r="357" spans="1:2" x14ac:dyDescent="0.25">
      <c r="A357" s="200"/>
      <c r="B357" s="198"/>
    </row>
    <row r="358" spans="1:2" x14ac:dyDescent="0.25">
      <c r="A358" s="200"/>
      <c r="B358" s="198"/>
    </row>
    <row r="359" spans="1:2" x14ac:dyDescent="0.25">
      <c r="A359" s="200"/>
      <c r="B359" s="199"/>
    </row>
    <row r="360" spans="1:2" x14ac:dyDescent="0.25">
      <c r="A360" s="200"/>
      <c r="B360" s="198"/>
    </row>
    <row r="361" spans="1:2" x14ac:dyDescent="0.25">
      <c r="A361" s="200"/>
      <c r="B361" s="198"/>
    </row>
    <row r="362" spans="1:2" x14ac:dyDescent="0.25">
      <c r="A362" s="200"/>
      <c r="B362" s="198"/>
    </row>
    <row r="363" spans="1:2" x14ac:dyDescent="0.25">
      <c r="A363" s="200"/>
      <c r="B363" s="198"/>
    </row>
    <row r="364" spans="1:2" x14ac:dyDescent="0.25">
      <c r="A364" s="200"/>
      <c r="B364" s="198"/>
    </row>
    <row r="365" spans="1:2" x14ac:dyDescent="0.25">
      <c r="A365" s="200"/>
      <c r="B365" s="199"/>
    </row>
    <row r="366" spans="1:2" x14ac:dyDescent="0.25">
      <c r="A366" s="200"/>
      <c r="B366" s="198"/>
    </row>
    <row r="367" spans="1:2" x14ac:dyDescent="0.25">
      <c r="A367" s="200"/>
      <c r="B367" s="198"/>
    </row>
    <row r="368" spans="1:2" x14ac:dyDescent="0.25">
      <c r="A368" s="200"/>
      <c r="B368" s="198"/>
    </row>
    <row r="369" spans="1:2" x14ac:dyDescent="0.25">
      <c r="A369" s="200"/>
      <c r="B369" s="198"/>
    </row>
    <row r="370" spans="1:2" x14ac:dyDescent="0.25">
      <c r="A370" s="200"/>
      <c r="B370" s="198"/>
    </row>
    <row r="371" spans="1:2" x14ac:dyDescent="0.25">
      <c r="A371" s="200"/>
      <c r="B371" s="199"/>
    </row>
    <row r="372" spans="1:2" x14ac:dyDescent="0.25">
      <c r="A372" s="200"/>
      <c r="B372" s="198"/>
    </row>
    <row r="373" spans="1:2" x14ac:dyDescent="0.25">
      <c r="A373" s="200"/>
      <c r="B373" s="198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B5" sqref="B5"/>
    </sheetView>
  </sheetViews>
  <sheetFormatPr defaultRowHeight="13.2" x14ac:dyDescent="0.25"/>
  <cols>
    <col min="1" max="1" width="2.109375" customWidth="1"/>
    <col min="2" max="2" width="5" customWidth="1"/>
    <col min="3" max="3" width="10.44140625" customWidth="1"/>
    <col min="4" max="4" width="8" customWidth="1"/>
  </cols>
  <sheetData>
    <row r="2" spans="1:5" x14ac:dyDescent="0.25">
      <c r="B2" s="1" t="s">
        <v>117</v>
      </c>
    </row>
    <row r="4" spans="1:5" x14ac:dyDescent="0.25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5">
      <c r="B5" s="126" t="s">
        <v>135</v>
      </c>
      <c r="D5" s="125"/>
    </row>
    <row r="6" spans="1:5" x14ac:dyDescent="0.25">
      <c r="B6" s="126" t="s">
        <v>136</v>
      </c>
      <c r="D6" s="125"/>
    </row>
    <row r="7" spans="1:5" x14ac:dyDescent="0.25">
      <c r="B7" s="126" t="s">
        <v>137</v>
      </c>
      <c r="D7" s="125"/>
    </row>
    <row r="8" spans="1:5" x14ac:dyDescent="0.25">
      <c r="B8" s="126" t="s">
        <v>138</v>
      </c>
      <c r="D8" s="125"/>
    </row>
    <row r="9" spans="1:5" x14ac:dyDescent="0.25">
      <c r="B9" s="126" t="s">
        <v>178</v>
      </c>
      <c r="D9" s="125"/>
    </row>
    <row r="10" spans="1:5" x14ac:dyDescent="0.25">
      <c r="B10" s="126" t="s">
        <v>139</v>
      </c>
      <c r="D10" s="125"/>
    </row>
    <row r="11" spans="1:5" x14ac:dyDescent="0.25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5">
      <c r="A12" s="1"/>
    </row>
    <row r="14" spans="1:5" x14ac:dyDescent="0.25">
      <c r="A14" t="s">
        <v>153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7"/>
  <sheetViews>
    <sheetView tabSelected="1" topLeftCell="A14" workbookViewId="0">
      <selection activeCell="B14" sqref="B14"/>
    </sheetView>
  </sheetViews>
  <sheetFormatPr defaultRowHeight="13.2" x14ac:dyDescent="0.25"/>
  <cols>
    <col min="1" max="1" width="17.88671875" customWidth="1"/>
    <col min="2" max="2" width="11.6640625" customWidth="1"/>
    <col min="3" max="3" width="13.109375" customWidth="1"/>
    <col min="4" max="4" width="15.33203125" customWidth="1"/>
    <col min="5" max="5" width="11.5546875" customWidth="1"/>
    <col min="6" max="6" width="9.6640625" bestFit="1" customWidth="1"/>
    <col min="8" max="8" width="9.6640625" bestFit="1" customWidth="1"/>
    <col min="10" max="10" width="11.88671875" customWidth="1"/>
    <col min="11" max="11" width="16.44140625" customWidth="1"/>
    <col min="12" max="12" width="10.6640625" customWidth="1"/>
    <col min="13" max="13" width="9.33203125" customWidth="1"/>
  </cols>
  <sheetData>
    <row r="1" spans="1:26" x14ac:dyDescent="0.25">
      <c r="A1" s="6" t="s">
        <v>39</v>
      </c>
      <c r="B1" s="166">
        <v>36526</v>
      </c>
      <c r="F1" s="90" t="s">
        <v>106</v>
      </c>
      <c r="L1" s="1" t="s">
        <v>127</v>
      </c>
    </row>
    <row r="2" spans="1:26" x14ac:dyDescent="0.25">
      <c r="A2" s="6" t="s">
        <v>38</v>
      </c>
      <c r="B2" s="68">
        <f>VLOOKUP(B1,'1-10 vols'!A1:B150,2,FALSE)</f>
        <v>31</v>
      </c>
      <c r="M2" s="88">
        <v>37043</v>
      </c>
    </row>
    <row r="3" spans="1:26" x14ac:dyDescent="0.25">
      <c r="A3" s="6" t="s">
        <v>207</v>
      </c>
      <c r="B3" s="71">
        <f>VLOOKUP(B1,'1-10 vols'!$A$3:$P$150,16,FALSE)+IF(B1&lt;N34,25000*B2)</f>
        <v>8800796.8000000007</v>
      </c>
    </row>
    <row r="4" spans="1:26" x14ac:dyDescent="0.25">
      <c r="A4" s="6" t="s">
        <v>101</v>
      </c>
      <c r="B4" s="71">
        <f>(VLOOKUP(B1,'1-10 vols'!A1:AI150,31,FALSE)+VLOOKUP(B1,'1-10 vols'!A1:AI150,28,FALSE)+VLOOKUP(B1,'1-10 vols'!A1:AI150,34,FALSE))+(IF(B1&gt;M2,0,4000*B2))</f>
        <v>480500</v>
      </c>
      <c r="D4" s="59"/>
      <c r="F4" s="28"/>
    </row>
    <row r="5" spans="1:26" x14ac:dyDescent="0.25">
      <c r="D5" s="59">
        <f>+B6-B3</f>
        <v>-3206004.8000000007</v>
      </c>
      <c r="E5" s="59">
        <f>+D5/B2</f>
        <v>-103419.50967741938</v>
      </c>
    </row>
    <row r="6" spans="1:26" x14ac:dyDescent="0.25">
      <c r="A6" s="21" t="s">
        <v>215</v>
      </c>
      <c r="B6" s="167">
        <f>185559+57000+47500+190000+110500+353500+59987+26050+3100+4158924+1085+6595+128619+3100+9+7793+61274+44816+62919+15+20+31+60+3900+1800+360+75000+5074+130+60+12</f>
        <v>5594792</v>
      </c>
      <c r="F6" s="90" t="s">
        <v>132</v>
      </c>
      <c r="K6" s="1" t="s">
        <v>169</v>
      </c>
    </row>
    <row r="7" spans="1:26" x14ac:dyDescent="0.25">
      <c r="A7" s="21" t="s">
        <v>96</v>
      </c>
      <c r="B7" s="167">
        <f>+B6</f>
        <v>5594792</v>
      </c>
      <c r="C7" s="21" t="s">
        <v>181</v>
      </c>
      <c r="D7" s="168">
        <v>2.907</v>
      </c>
      <c r="F7" s="153" t="s">
        <v>168</v>
      </c>
      <c r="G7" s="3"/>
      <c r="H7" s="3"/>
      <c r="K7" s="1" t="s">
        <v>170</v>
      </c>
    </row>
    <row r="8" spans="1:26" x14ac:dyDescent="0.25">
      <c r="A8" s="21"/>
      <c r="B8" s="1"/>
    </row>
    <row r="9" spans="1:26" ht="11.25" customHeight="1" x14ac:dyDescent="0.25">
      <c r="A9" s="6" t="s">
        <v>92</v>
      </c>
      <c r="B9" s="168">
        <v>2.34</v>
      </c>
      <c r="D9" s="59"/>
    </row>
    <row r="10" spans="1:26" x14ac:dyDescent="0.25">
      <c r="A10" s="6" t="s">
        <v>93</v>
      </c>
      <c r="B10" s="169">
        <v>-1.4999999999999999E-2</v>
      </c>
      <c r="D10" s="164"/>
    </row>
    <row r="11" spans="1:26" x14ac:dyDescent="0.25">
      <c r="A11" s="6" t="s">
        <v>114</v>
      </c>
      <c r="B11" s="133">
        <v>0.06</v>
      </c>
      <c r="H11" s="59"/>
    </row>
    <row r="12" spans="1:26" x14ac:dyDescent="0.25">
      <c r="A12" s="6" t="s">
        <v>115</v>
      </c>
      <c r="B12" s="192">
        <f>VLOOKUP(B1,'Transport Schedule'!B3:C150,2)</f>
        <v>2.7900000000000001E-2</v>
      </c>
      <c r="H12" s="59"/>
    </row>
    <row r="13" spans="1:26" x14ac:dyDescent="0.25">
      <c r="A13" s="6" t="s">
        <v>151</v>
      </c>
      <c r="B13" s="192">
        <f>SUM(B9:B12)</f>
        <v>2.4128999999999996</v>
      </c>
      <c r="H13" s="124"/>
      <c r="Z13">
        <f>SUM(V11:V24)</f>
        <v>0</v>
      </c>
    </row>
    <row r="14" spans="1:26" x14ac:dyDescent="0.25">
      <c r="A14" s="66"/>
      <c r="B14" s="81"/>
      <c r="F14" s="59"/>
      <c r="H14" s="124"/>
      <c r="O14" s="1"/>
      <c r="Z14">
        <f>1.86+0.769</f>
        <v>2.629</v>
      </c>
    </row>
    <row r="15" spans="1:26" x14ac:dyDescent="0.25">
      <c r="A15" s="66"/>
      <c r="B15" s="81"/>
      <c r="I15" s="59"/>
      <c r="O15" s="1"/>
      <c r="Z15">
        <f>Z13*Z14</f>
        <v>0</v>
      </c>
    </row>
    <row r="16" spans="1:26" ht="12" customHeight="1" x14ac:dyDescent="0.25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5">
      <c r="A17" s="21" t="s">
        <v>107</v>
      </c>
      <c r="B17" s="167">
        <v>110500</v>
      </c>
      <c r="M17" s="91">
        <f>VLOOKUP(B1,'1-10 vols'!A1:Z86,25)-(IF(B1&gt;M30,0,4000*B2))</f>
        <v>410589</v>
      </c>
      <c r="O17" s="1"/>
    </row>
    <row r="18" spans="1:26" ht="12.75" customHeight="1" x14ac:dyDescent="0.25">
      <c r="A18" s="21" t="s">
        <v>108</v>
      </c>
      <c r="B18" s="167">
        <v>0</v>
      </c>
      <c r="D18" s="1" t="s">
        <v>152</v>
      </c>
    </row>
    <row r="19" spans="1:26" ht="13.5" customHeight="1" x14ac:dyDescent="0.25">
      <c r="A19" s="21" t="s">
        <v>109</v>
      </c>
      <c r="B19" s="167">
        <v>353500</v>
      </c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5">
      <c r="A20" s="66"/>
      <c r="B20" s="65"/>
      <c r="K20" s="3"/>
      <c r="L20" s="3"/>
      <c r="Z20">
        <f>Z19+2374805</f>
        <v>2374805</v>
      </c>
    </row>
    <row r="21" spans="1:26" ht="11.25" customHeight="1" x14ac:dyDescent="0.25">
      <c r="A21" s="66"/>
      <c r="B21" s="65"/>
      <c r="J21" s="69"/>
      <c r="K21" s="3"/>
      <c r="L21" s="3"/>
    </row>
    <row r="22" spans="1:26" ht="11.25" customHeight="1" x14ac:dyDescent="0.25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5">
      <c r="A23" s="128" t="s">
        <v>125</v>
      </c>
      <c r="B23" s="66"/>
      <c r="C23" s="65"/>
      <c r="K23" s="3"/>
      <c r="L23" s="3"/>
    </row>
    <row r="24" spans="1:26" x14ac:dyDescent="0.25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5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5">
      <c r="A26" s="65"/>
      <c r="B26" s="202" t="s">
        <v>129</v>
      </c>
      <c r="C26" s="204"/>
      <c r="D26" s="9" t="s">
        <v>128</v>
      </c>
      <c r="E26" s="61" t="s">
        <v>100</v>
      </c>
      <c r="F26" s="100"/>
      <c r="G26" s="202" t="s">
        <v>8</v>
      </c>
      <c r="H26" s="203"/>
      <c r="I26" s="204"/>
      <c r="J26" s="96"/>
      <c r="K26" s="96"/>
      <c r="L26" s="109"/>
      <c r="M26" s="3"/>
    </row>
    <row r="27" spans="1:26" x14ac:dyDescent="0.25">
      <c r="A27" s="81" t="s">
        <v>200</v>
      </c>
      <c r="B27" s="205"/>
      <c r="C27" s="206"/>
      <c r="D27" s="94">
        <f>+A30*0.13</f>
        <v>11184.81</v>
      </c>
      <c r="E27" s="94">
        <f>VLOOKUP($B$1,'1-10 vols'!$A$3:$AM$98,37)</f>
        <v>828000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5">
      <c r="A28" s="65"/>
      <c r="B28" s="205">
        <f>B6*B13</f>
        <v>13499673.616799997</v>
      </c>
      <c r="C28" s="212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5">
      <c r="A29" s="21" t="s">
        <v>212</v>
      </c>
      <c r="B29" s="205">
        <f>+A30*0.13</f>
        <v>11184.81</v>
      </c>
      <c r="C29" s="206"/>
      <c r="D29" s="94">
        <f>IF(B1&lt;M29,(H29*(I29)),0)</f>
        <v>420050</v>
      </c>
      <c r="E29" s="95">
        <f>($B$9-(VLOOKUP($B$1,'1-10 vols'!$A$1:$AI$150,32)))*(VLOOKUP($B$1,'1-10 vols'!$A$1:$AI$150,31))</f>
        <v>81374.999999999985</v>
      </c>
      <c r="F29" s="95"/>
      <c r="G29" s="116" t="str">
        <f>IF(B1&lt;M30,"E26107.2","-")</f>
        <v>E26107.2</v>
      </c>
      <c r="H29" s="122">
        <f>IF(B1&lt;M29,IF(B7-H28-H32&gt;5000*B2,5000*B2,IF(B7-H28-H32&gt;0,B7-H28-H32,0)))</f>
        <v>155000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5">
      <c r="A30" s="167">
        <f>59987+26050</f>
        <v>86037</v>
      </c>
      <c r="B30" s="205"/>
      <c r="C30" s="206"/>
      <c r="D30" s="94">
        <f>IF(B1&lt;M30,H30*(B9+I30),0)</f>
        <v>345960</v>
      </c>
      <c r="E30" s="95">
        <f>(B10-(VLOOKUP($B$1,'1-10 vols'!$A$1:$AI$150,26)))*(VLOOKUP($B$1,'1-10 vols'!$A$1:$AI$150,25))</f>
        <v>-201593.51189999998</v>
      </c>
      <c r="F30" s="95"/>
      <c r="G30" s="116" t="str">
        <f>IF(B2&lt;M31,"ES0923.1","-")</f>
        <v>ES0923.1</v>
      </c>
      <c r="H30" s="122">
        <f>IF(B1&lt;M30,IF(B7-H28-H29-H32&gt;4000*B2,4000*B2,IF(B7-H28-H29-H32&gt;0,B7-H28-H29-H32,0)))</f>
        <v>124000</v>
      </c>
      <c r="I30" s="117">
        <f>IF(B1&lt;M30,0.45,"-")</f>
        <v>0.45</v>
      </c>
      <c r="J30" s="96"/>
      <c r="K30" s="96"/>
      <c r="L30" s="118">
        <f>I30+B9</f>
        <v>2.79</v>
      </c>
      <c r="M30" s="101">
        <v>37073</v>
      </c>
    </row>
    <row r="31" spans="1:26" x14ac:dyDescent="0.25">
      <c r="A31" s="65"/>
      <c r="B31" s="207"/>
      <c r="C31" s="206"/>
      <c r="D31" s="94">
        <f>IF(B1&lt;M31,H31*(B9+I31),0)</f>
        <v>552714.5</v>
      </c>
      <c r="E31" s="95">
        <f>($B$10-(VLOOKUP($B$1,'1-10 vols'!$A$1:$AI$150,29)))*(VLOOKUP($B$1,'1-10 vols'!$A1:$AI$150,28))</f>
        <v>-66515.149999999994</v>
      </c>
      <c r="F31" s="95"/>
      <c r="G31" s="116" t="str">
        <f>IF(B1&lt;M31,"ES0926.1","-")</f>
        <v>ES0926.1</v>
      </c>
      <c r="H31" s="122">
        <f>IF(B1&lt;M31,IF((B7-H28-H29-H30-H32)&gt;6500*B2,6500*B2,IF((B7-H28-H29-H30-H32)&gt;0,B7-H28-H29-H32,0)))</f>
        <v>201500</v>
      </c>
      <c r="I31" s="117">
        <f>IF(B1&lt;M31,0.403,"-")</f>
        <v>0.40300000000000002</v>
      </c>
      <c r="J31" s="96"/>
      <c r="K31" s="96"/>
      <c r="L31" s="118">
        <f>I31+B9</f>
        <v>2.7429999999999999</v>
      </c>
      <c r="M31" s="103">
        <v>37073</v>
      </c>
    </row>
    <row r="32" spans="1:26" x14ac:dyDescent="0.25">
      <c r="A32" s="65"/>
      <c r="B32" s="207"/>
      <c r="C32" s="206"/>
      <c r="D32" s="94">
        <f>H32*(B9+I32)</f>
        <v>1294560</v>
      </c>
      <c r="E32" s="95">
        <f>VLOOKUP($B$1,'1-10 vols'!A1:AS150,39)</f>
        <v>-19530</v>
      </c>
      <c r="F32" s="95"/>
      <c r="G32" s="115"/>
      <c r="H32" s="122">
        <f>IF(B1&gt;M34,0,SUM(B17:B19))</f>
        <v>464000</v>
      </c>
      <c r="I32" s="117">
        <f>IF(B1&gt;M34,0,IF(B1&lt;M32,0.45,0.6))</f>
        <v>0.45</v>
      </c>
      <c r="J32" s="111" t="s">
        <v>105</v>
      </c>
      <c r="K32" s="96"/>
      <c r="L32" s="118">
        <f>I32+B9</f>
        <v>2.79</v>
      </c>
      <c r="M32" s="103">
        <v>37073</v>
      </c>
    </row>
    <row r="33" spans="1:25" x14ac:dyDescent="0.25">
      <c r="A33" s="195" t="s">
        <v>213</v>
      </c>
      <c r="B33" s="207"/>
      <c r="C33" s="206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IF(B1&lt;M33,IF(B7-SUM(H28:H32)&gt;10000*B2,10000*B2,IF((B7-SUM(H28:H32))&gt;0,B7-SUM(H28:H32),0)))</f>
        <v>0</v>
      </c>
      <c r="I33" s="118">
        <f>IF(B9&lt;1.7,1.7+0.769,B9+0.769)</f>
        <v>3.109</v>
      </c>
      <c r="J33" s="111" t="str">
        <f>IF(B1&lt;M33,"Floor of $2.469 on Sitara #70860","-")</f>
        <v>-</v>
      </c>
      <c r="K33" s="96"/>
      <c r="L33" s="118">
        <f>I33</f>
        <v>3.109</v>
      </c>
      <c r="M33" s="101">
        <v>36465</v>
      </c>
      <c r="Y33">
        <f>1578091+123997</f>
        <v>1702088</v>
      </c>
    </row>
    <row r="34" spans="1:25" x14ac:dyDescent="0.25">
      <c r="A34" s="21" t="s">
        <v>195</v>
      </c>
      <c r="B34" s="215">
        <f>+(B7-B6)*D7</f>
        <v>0</v>
      </c>
      <c r="C34" s="216"/>
      <c r="D34" s="99">
        <f>(H34-(IF(B1&lt;N34,25000*B2,0)))*(B9+I34)+25000*B2*(0.719+IF(B9&lt;2.3,2.3,B9))</f>
        <v>14419007.828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-5575093.0995800002</v>
      </c>
      <c r="F34" s="95"/>
      <c r="G34" s="119" t="s">
        <v>58</v>
      </c>
      <c r="H34" s="123">
        <f>IF((B7-(SUM(H28:H33)))&lt;0,0,B7-(SUM(H28:H33)))</f>
        <v>4650292</v>
      </c>
      <c r="I34" s="120">
        <f>IF(B1&gt;M34, 0.59,0.769)</f>
        <v>0.76900000000000002</v>
      </c>
      <c r="J34" s="96"/>
      <c r="K34" s="96"/>
      <c r="L34" s="118">
        <f>I34+B9</f>
        <v>3.109</v>
      </c>
      <c r="M34" s="88">
        <v>38777</v>
      </c>
      <c r="N34" s="88">
        <v>36617</v>
      </c>
    </row>
    <row r="35" spans="1:25" x14ac:dyDescent="0.25">
      <c r="A35" s="21" t="s">
        <v>211</v>
      </c>
      <c r="B35" s="108"/>
      <c r="C35" s="96"/>
      <c r="D35" s="96"/>
      <c r="E35" s="95">
        <f>+IF(B1&lt;N34,IF(B9&lt;2.3,(B9-2.3)*25000*B2,0),0)</f>
        <v>0</v>
      </c>
      <c r="F35" s="96"/>
      <c r="G35" s="96"/>
      <c r="H35" s="96"/>
      <c r="I35" s="96"/>
      <c r="J35" s="96"/>
      <c r="K35" s="96"/>
      <c r="L35" s="112"/>
    </row>
    <row r="36" spans="1:25" ht="13.8" thickBot="1" x14ac:dyDescent="0.3">
      <c r="A36" s="21" t="s">
        <v>102</v>
      </c>
      <c r="B36" s="213">
        <f>SUM(B27:B34)</f>
        <v>13510858.426799998</v>
      </c>
      <c r="C36" s="214"/>
      <c r="D36" s="89">
        <f>SUM(D27:D34)</f>
        <v>17043477.138</v>
      </c>
      <c r="E36" s="172">
        <f>SUM(E27:E35)</f>
        <v>-4953356.7614799999</v>
      </c>
      <c r="F36" s="96"/>
      <c r="G36" s="96"/>
      <c r="H36" s="104">
        <f>SUM(H28:H34)</f>
        <v>5594792</v>
      </c>
      <c r="I36" s="96" t="s">
        <v>133</v>
      </c>
      <c r="J36" s="96"/>
      <c r="K36" s="96"/>
      <c r="L36" s="93"/>
    </row>
    <row r="37" spans="1:25" ht="13.8" thickTop="1" x14ac:dyDescent="0.25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5">
      <c r="A38" s="210" t="s">
        <v>134</v>
      </c>
      <c r="B38" s="211"/>
      <c r="C38" s="208">
        <f>D36+E36-B36</f>
        <v>-1420738.0502799973</v>
      </c>
      <c r="D38" s="209"/>
    </row>
    <row r="39" spans="1:25" x14ac:dyDescent="0.25">
      <c r="G39" s="1" t="s">
        <v>142</v>
      </c>
      <c r="K39" s="3"/>
      <c r="M39" s="3"/>
    </row>
    <row r="40" spans="1:25" x14ac:dyDescent="0.25">
      <c r="A40" s="202" t="s">
        <v>175</v>
      </c>
      <c r="B40" s="203"/>
      <c r="C40" s="203"/>
      <c r="D40" s="204"/>
      <c r="G40" s="1" t="s">
        <v>143</v>
      </c>
      <c r="I40" s="3"/>
      <c r="J40" s="3"/>
      <c r="K40" s="3"/>
      <c r="L40" s="3"/>
      <c r="M40" s="3"/>
    </row>
    <row r="41" spans="1:25" x14ac:dyDescent="0.25">
      <c r="A41" s="1" t="s">
        <v>210</v>
      </c>
      <c r="D41" s="173">
        <f>($H$36-$B$3)*IF(B1&gt;M34,(I34+B9-B13),(I33-B13))</f>
        <v>-2231699.9412800018</v>
      </c>
      <c r="G41" s="188" t="s">
        <v>206</v>
      </c>
      <c r="H41" s="124"/>
    </row>
    <row r="42" spans="1:25" x14ac:dyDescent="0.25">
      <c r="A42" s="1" t="s">
        <v>176</v>
      </c>
      <c r="D42" s="190">
        <f>($M$17-SUM(B17:B19))*(0.769-0.45)</f>
        <v>-17038.109</v>
      </c>
      <c r="H42" s="124"/>
    </row>
    <row r="43" spans="1:25" x14ac:dyDescent="0.25">
      <c r="A43" s="1" t="s">
        <v>214</v>
      </c>
      <c r="D43" s="190">
        <f>IF(B1&lt;M29,E32+(2.71-VLOOKUP(B1,'1-10 vols'!A3:AL98,32)-0.769)*VLOOKUP(B1,'1-10 vols'!A3:AL98,31),0)</f>
        <v>0</v>
      </c>
      <c r="H43" s="124"/>
    </row>
    <row r="44" spans="1:25" x14ac:dyDescent="0.25">
      <c r="A44" s="1" t="s">
        <v>209</v>
      </c>
      <c r="D44" s="190">
        <f>+E27</f>
        <v>828000</v>
      </c>
      <c r="I44" s="3"/>
      <c r="J44" s="3"/>
      <c r="K44" s="3"/>
      <c r="L44" s="3"/>
      <c r="M44" s="3"/>
    </row>
    <row r="45" spans="1:25" x14ac:dyDescent="0.25">
      <c r="A45" s="1" t="s">
        <v>216</v>
      </c>
      <c r="D45" s="174">
        <f>+(B7-B6)*(B13-D7)</f>
        <v>0</v>
      </c>
      <c r="I45" s="3"/>
      <c r="J45" s="3"/>
      <c r="K45" s="3"/>
      <c r="L45" s="3"/>
      <c r="M45" s="3"/>
    </row>
    <row r="46" spans="1:25" x14ac:dyDescent="0.25">
      <c r="A46" s="1"/>
      <c r="D46" s="190"/>
      <c r="F46" s="3"/>
      <c r="G46" s="3"/>
      <c r="I46" s="3"/>
      <c r="J46" s="3"/>
      <c r="K46" s="3"/>
      <c r="L46" s="3"/>
      <c r="M46" s="3"/>
    </row>
    <row r="47" spans="1:25" ht="13.8" thickBot="1" x14ac:dyDescent="0.3">
      <c r="A47" s="1" t="s">
        <v>177</v>
      </c>
      <c r="D47" s="189">
        <f>SUM(D41:D46)</f>
        <v>-1420738.0502800019</v>
      </c>
      <c r="E47" s="76"/>
      <c r="F47" s="3"/>
      <c r="G47" s="3"/>
      <c r="I47" s="3"/>
      <c r="J47" s="3"/>
      <c r="K47" s="3"/>
      <c r="L47" s="3"/>
      <c r="M47" s="3"/>
    </row>
    <row r="48" spans="1:25" ht="13.8" thickTop="1" x14ac:dyDescent="0.25">
      <c r="I48" s="3"/>
      <c r="J48" s="3"/>
      <c r="K48" s="3"/>
      <c r="L48" s="3"/>
      <c r="M48" s="3"/>
    </row>
    <row r="49" spans="3:13" x14ac:dyDescent="0.25">
      <c r="D49" s="173">
        <f>+C38-D47</f>
        <v>4.6566128730773926E-9</v>
      </c>
      <c r="E49" s="196"/>
      <c r="I49" s="3"/>
      <c r="J49" s="3"/>
      <c r="K49" s="92"/>
      <c r="L49" s="3"/>
      <c r="M49" s="3"/>
    </row>
    <row r="50" spans="3:13" x14ac:dyDescent="0.25">
      <c r="D50" s="69"/>
      <c r="E50" s="84"/>
      <c r="I50" s="3"/>
      <c r="J50" s="3"/>
      <c r="K50" s="3"/>
      <c r="L50" s="3"/>
      <c r="M50" s="3"/>
    </row>
    <row r="51" spans="3:13" x14ac:dyDescent="0.25">
      <c r="D51" s="69"/>
      <c r="E51" s="3"/>
      <c r="I51" s="3"/>
      <c r="J51" s="3"/>
      <c r="K51" s="3"/>
      <c r="L51" s="3"/>
      <c r="M51" s="3"/>
    </row>
    <row r="52" spans="3:13" x14ac:dyDescent="0.25">
      <c r="D52" s="78"/>
      <c r="E52" s="76"/>
    </row>
    <row r="53" spans="3:13" x14ac:dyDescent="0.25">
      <c r="D53" s="3"/>
    </row>
    <row r="54" spans="3:13" x14ac:dyDescent="0.25">
      <c r="D54" s="69"/>
    </row>
    <row r="56" spans="3:13" x14ac:dyDescent="0.25">
      <c r="D56" s="69"/>
    </row>
    <row r="57" spans="3:13" x14ac:dyDescent="0.25">
      <c r="C57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I1" activePane="topRight"/>
      <selection activeCell="B12" sqref="B12"/>
      <selection pane="topRight" activeCell="N8" sqref="N8"/>
    </sheetView>
  </sheetViews>
  <sheetFormatPr defaultRowHeight="13.2" x14ac:dyDescent="0.25"/>
  <cols>
    <col min="3" max="3" width="11.44140625" customWidth="1"/>
    <col min="4" max="5" width="9.88671875" customWidth="1"/>
    <col min="6" max="9" width="10" customWidth="1"/>
    <col min="12" max="12" width="10.6640625" style="162" customWidth="1"/>
    <col min="13" max="13" width="11.44140625" customWidth="1"/>
    <col min="14" max="14" width="10.5546875" customWidth="1"/>
    <col min="15" max="15" width="10.33203125" customWidth="1"/>
    <col min="16" max="16" width="11.33203125" customWidth="1"/>
    <col min="19" max="19" width="11.109375" customWidth="1"/>
    <col min="20" max="20" width="8.44140625" bestFit="1" customWidth="1"/>
    <col min="21" max="24" width="12.5546875" customWidth="1"/>
    <col min="25" max="25" width="10.33203125" bestFit="1" customWidth="1"/>
    <col min="26" max="27" width="8.88671875" customWidth="1"/>
    <col min="28" max="28" width="11.33203125" bestFit="1" customWidth="1"/>
    <col min="29" max="29" width="8.6640625" customWidth="1"/>
    <col min="30" max="31" width="11.33203125" customWidth="1"/>
    <col min="32" max="32" width="9.44140625" customWidth="1"/>
    <col min="35" max="35" width="8.109375" customWidth="1"/>
    <col min="37" max="37" width="18.109375" style="130" customWidth="1"/>
  </cols>
  <sheetData>
    <row r="1" spans="1:39" ht="41.25" customHeight="1" x14ac:dyDescent="0.25">
      <c r="A1" s="22" t="s">
        <v>39</v>
      </c>
      <c r="B1" s="22" t="s">
        <v>38</v>
      </c>
      <c r="C1" s="23" t="s">
        <v>53</v>
      </c>
      <c r="D1" s="217" t="s">
        <v>42</v>
      </c>
      <c r="E1" s="217"/>
      <c r="F1" s="218" t="s">
        <v>46</v>
      </c>
      <c r="G1" s="218"/>
      <c r="H1" s="217" t="s">
        <v>47</v>
      </c>
      <c r="I1" s="217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5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5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5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5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5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5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5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5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5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5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5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468000+260000+100000</f>
        <v>828000</v>
      </c>
      <c r="AM12" s="130">
        <v>-19530</v>
      </c>
    </row>
    <row r="13" spans="1:39" s="4" customFormat="1" x14ac:dyDescent="0.25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468000+260000+100000</f>
        <v>828000</v>
      </c>
      <c r="AM13" s="130">
        <v>-18270</v>
      </c>
    </row>
    <row r="14" spans="1:39" s="4" customFormat="1" x14ac:dyDescent="0.25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468000+260000+100000</f>
        <v>828000</v>
      </c>
    </row>
    <row r="15" spans="1:39" s="4" customFormat="1" x14ac:dyDescent="0.25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5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5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5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5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5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5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5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468000+260000+100000</f>
        <v>828000</v>
      </c>
    </row>
    <row r="23" spans="1:37" s="4" customFormat="1" x14ac:dyDescent="0.25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468000+260000+100000</f>
        <v>828000</v>
      </c>
    </row>
    <row r="24" spans="1:37" s="4" customFormat="1" x14ac:dyDescent="0.25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468000+260000+100000</f>
        <v>828000</v>
      </c>
    </row>
    <row r="25" spans="1:37" s="4" customFormat="1" x14ac:dyDescent="0.25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468000+260000+100000</f>
        <v>828000</v>
      </c>
    </row>
    <row r="26" spans="1:37" s="4" customFormat="1" x14ac:dyDescent="0.25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468000+260000+100000</f>
        <v>828000</v>
      </c>
    </row>
    <row r="27" spans="1:37" s="4" customFormat="1" x14ac:dyDescent="0.25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5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5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5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5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5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5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5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468000+260000+100000</f>
        <v>828000</v>
      </c>
    </row>
    <row r="35" spans="1:37" s="4" customFormat="1" x14ac:dyDescent="0.25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468000+260000+100000</f>
        <v>828000</v>
      </c>
    </row>
    <row r="36" spans="1:37" s="4" customFormat="1" x14ac:dyDescent="0.25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468000+260000+100000</f>
        <v>828000</v>
      </c>
    </row>
    <row r="37" spans="1:37" s="4" customFormat="1" x14ac:dyDescent="0.25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468000+260000+100000</f>
        <v>828000</v>
      </c>
    </row>
    <row r="38" spans="1:37" s="4" customFormat="1" x14ac:dyDescent="0.25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468000+260000+100000</f>
        <v>828000</v>
      </c>
    </row>
    <row r="39" spans="1:37" s="4" customFormat="1" x14ac:dyDescent="0.25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5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5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5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5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5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5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5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468000+260000+100000</f>
        <v>828000</v>
      </c>
    </row>
    <row r="47" spans="1:37" s="4" customFormat="1" x14ac:dyDescent="0.25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468000+260000+100000</f>
        <v>828000</v>
      </c>
    </row>
    <row r="48" spans="1:37" s="4" customFormat="1" x14ac:dyDescent="0.25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468000+260000+100000</f>
        <v>828000</v>
      </c>
    </row>
    <row r="49" spans="1:37" s="4" customFormat="1" x14ac:dyDescent="0.25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468000+260000+100000</f>
        <v>828000</v>
      </c>
    </row>
    <row r="50" spans="1:37" s="4" customFormat="1" x14ac:dyDescent="0.25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468000+260000+100000</f>
        <v>828000</v>
      </c>
    </row>
    <row r="51" spans="1:37" s="4" customFormat="1" x14ac:dyDescent="0.25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5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5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5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5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5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5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5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468000+260000+100000</f>
        <v>828000</v>
      </c>
    </row>
    <row r="59" spans="1:37" s="4" customFormat="1" x14ac:dyDescent="0.25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468000+260000+100000</f>
        <v>828000</v>
      </c>
    </row>
    <row r="60" spans="1:37" s="4" customFormat="1" x14ac:dyDescent="0.25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468000+260000+100000</f>
        <v>828000</v>
      </c>
    </row>
    <row r="61" spans="1:37" s="4" customFormat="1" x14ac:dyDescent="0.25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468000+260000+100000</f>
        <v>828000</v>
      </c>
    </row>
    <row r="62" spans="1:37" s="4" customFormat="1" x14ac:dyDescent="0.25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468000+260000+100000</f>
        <v>828000</v>
      </c>
    </row>
    <row r="63" spans="1:37" s="4" customFormat="1" x14ac:dyDescent="0.25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5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5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5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5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5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5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5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468000+260000+100000</f>
        <v>828000</v>
      </c>
    </row>
    <row r="71" spans="1:37" s="4" customFormat="1" x14ac:dyDescent="0.25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468000+260000+100000</f>
        <v>828000</v>
      </c>
    </row>
    <row r="72" spans="1:37" s="4" customFormat="1" x14ac:dyDescent="0.25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468000+260000+100000</f>
        <v>828000</v>
      </c>
    </row>
    <row r="73" spans="1:37" s="4" customFormat="1" x14ac:dyDescent="0.25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468000+260000+100000</f>
        <v>828000</v>
      </c>
    </row>
    <row r="74" spans="1:37" s="4" customFormat="1" x14ac:dyDescent="0.25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468000+260000+100000</f>
        <v>828000</v>
      </c>
    </row>
    <row r="75" spans="1:37" s="4" customFormat="1" x14ac:dyDescent="0.25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5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5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5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5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5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5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5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468000+260000+100000</f>
        <v>828000</v>
      </c>
    </row>
    <row r="83" spans="1:37" s="4" customFormat="1" x14ac:dyDescent="0.25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468000+260000+100000</f>
        <v>828000</v>
      </c>
    </row>
    <row r="84" spans="1:37" s="4" customFormat="1" x14ac:dyDescent="0.25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468000+260000+100000</f>
        <v>828000</v>
      </c>
    </row>
    <row r="85" spans="1:37" s="4" customFormat="1" x14ac:dyDescent="0.25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468000+260000+100000</f>
        <v>828000</v>
      </c>
    </row>
    <row r="86" spans="1:37" s="4" customFormat="1" x14ac:dyDescent="0.25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468000+260000+100000</f>
        <v>828000</v>
      </c>
    </row>
    <row r="87" spans="1:37" s="4" customFormat="1" x14ac:dyDescent="0.25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5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5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5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5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5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5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5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5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5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5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5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5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5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5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5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5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5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5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5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5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5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5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5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5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5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3.2" x14ac:dyDescent="0.25"/>
  <cols>
    <col min="1" max="1" width="16.88671875" customWidth="1"/>
    <col min="2" max="2" width="7.88671875" customWidth="1"/>
    <col min="3" max="3" width="13.5546875" customWidth="1"/>
    <col min="4" max="4" width="20.44140625" customWidth="1"/>
    <col min="5" max="5" width="7.5546875" customWidth="1"/>
    <col min="6" max="7" width="9.6640625" customWidth="1"/>
    <col min="8" max="8" width="12.109375" bestFit="1" customWidth="1"/>
    <col min="9" max="9" width="7.44140625" bestFit="1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8" x14ac:dyDescent="0.25">
      <c r="A1" s="1" t="s">
        <v>19</v>
      </c>
    </row>
    <row r="2" spans="1:8" ht="39.6" x14ac:dyDescent="0.25">
      <c r="A2" s="5" t="s">
        <v>83</v>
      </c>
      <c r="B2" s="3" t="s">
        <v>77</v>
      </c>
    </row>
    <row r="3" spans="1:8" x14ac:dyDescent="0.25">
      <c r="B3" s="9" t="s">
        <v>39</v>
      </c>
      <c r="C3" s="61" t="s">
        <v>113</v>
      </c>
      <c r="H3" s="2"/>
    </row>
    <row r="4" spans="1:8" x14ac:dyDescent="0.25">
      <c r="B4" s="11">
        <v>36251</v>
      </c>
      <c r="H4" s="2"/>
    </row>
    <row r="5" spans="1:8" x14ac:dyDescent="0.25">
      <c r="B5" s="11">
        <v>36281</v>
      </c>
      <c r="H5" s="2"/>
    </row>
    <row r="6" spans="1:8" x14ac:dyDescent="0.25">
      <c r="B6" s="11">
        <v>36312</v>
      </c>
      <c r="H6" s="2"/>
    </row>
    <row r="7" spans="1:8" x14ac:dyDescent="0.25">
      <c r="B7" s="11">
        <v>36342</v>
      </c>
      <c r="H7" s="2"/>
    </row>
    <row r="8" spans="1:8" x14ac:dyDescent="0.25">
      <c r="B8" s="11">
        <v>36373</v>
      </c>
      <c r="H8" s="2"/>
    </row>
    <row r="9" spans="1:8" x14ac:dyDescent="0.25">
      <c r="B9" s="11">
        <v>36404</v>
      </c>
      <c r="H9" s="2"/>
    </row>
    <row r="10" spans="1:8" x14ac:dyDescent="0.25">
      <c r="B10" s="11">
        <v>36434</v>
      </c>
      <c r="H10" s="2"/>
    </row>
    <row r="11" spans="1:8" x14ac:dyDescent="0.25">
      <c r="B11" s="11">
        <v>36465</v>
      </c>
      <c r="C11">
        <v>4.0099999999999997E-2</v>
      </c>
      <c r="H11" s="2"/>
    </row>
    <row r="12" spans="1:8" x14ac:dyDescent="0.25">
      <c r="B12" s="11">
        <v>36495</v>
      </c>
      <c r="C12">
        <v>3.5700000000000003E-2</v>
      </c>
      <c r="H12" s="2"/>
    </row>
    <row r="13" spans="1:8" x14ac:dyDescent="0.25">
      <c r="B13" s="11">
        <v>36526</v>
      </c>
      <c r="C13">
        <v>2.7900000000000001E-2</v>
      </c>
      <c r="H13" s="2"/>
    </row>
    <row r="14" spans="1:8" x14ac:dyDescent="0.25">
      <c r="B14" s="11">
        <v>36557</v>
      </c>
      <c r="C14">
        <v>2.7699999999999999E-2</v>
      </c>
      <c r="H14" s="2"/>
    </row>
    <row r="15" spans="1:8" x14ac:dyDescent="0.25">
      <c r="B15" s="11">
        <v>36586</v>
      </c>
      <c r="C15">
        <v>2.81E-2</v>
      </c>
      <c r="H15" s="2"/>
    </row>
    <row r="16" spans="1:8" x14ac:dyDescent="0.25">
      <c r="B16" s="11">
        <v>36617</v>
      </c>
      <c r="H16" s="2"/>
    </row>
    <row r="17" spans="2:8" x14ac:dyDescent="0.25">
      <c r="B17" s="11">
        <v>36647</v>
      </c>
      <c r="H17" s="2"/>
    </row>
    <row r="18" spans="2:8" x14ac:dyDescent="0.25">
      <c r="B18" s="11">
        <v>36678</v>
      </c>
      <c r="H18" s="2"/>
    </row>
    <row r="19" spans="2:8" x14ac:dyDescent="0.25">
      <c r="B19" s="11">
        <v>36708</v>
      </c>
      <c r="H19" s="2"/>
    </row>
    <row r="20" spans="2:8" x14ac:dyDescent="0.25">
      <c r="B20" s="11">
        <v>36739</v>
      </c>
      <c r="H20" s="2"/>
    </row>
    <row r="21" spans="2:8" x14ac:dyDescent="0.25">
      <c r="B21" s="11">
        <v>36770</v>
      </c>
      <c r="H21" s="2"/>
    </row>
    <row r="22" spans="2:8" x14ac:dyDescent="0.25">
      <c r="B22" s="11">
        <v>36800</v>
      </c>
      <c r="H22" s="2"/>
    </row>
    <row r="23" spans="2:8" x14ac:dyDescent="0.25">
      <c r="B23" s="11">
        <v>36831</v>
      </c>
      <c r="C23">
        <v>0.04</v>
      </c>
      <c r="H23" s="2"/>
    </row>
    <row r="24" spans="2:8" x14ac:dyDescent="0.25">
      <c r="B24" s="11">
        <v>36861</v>
      </c>
      <c r="C24">
        <v>3.56E-2</v>
      </c>
      <c r="H24" s="2"/>
    </row>
    <row r="25" spans="2:8" x14ac:dyDescent="0.25">
      <c r="B25" s="11">
        <v>36892</v>
      </c>
      <c r="C25">
        <v>2.7900000000000001E-2</v>
      </c>
      <c r="H25" s="2"/>
    </row>
    <row r="26" spans="2:8" x14ac:dyDescent="0.25">
      <c r="B26" s="11">
        <v>36923</v>
      </c>
      <c r="C26">
        <v>2.76E-2</v>
      </c>
      <c r="H26" s="2"/>
    </row>
    <row r="27" spans="2:8" x14ac:dyDescent="0.25">
      <c r="B27" s="11">
        <v>36951</v>
      </c>
      <c r="C27">
        <v>2.8000000000000001E-2</v>
      </c>
      <c r="H27" s="2"/>
    </row>
    <row r="28" spans="2:8" x14ac:dyDescent="0.25">
      <c r="B28" s="11">
        <v>36982</v>
      </c>
      <c r="H28" s="2"/>
    </row>
    <row r="29" spans="2:8" x14ac:dyDescent="0.25">
      <c r="B29" s="11">
        <v>37012</v>
      </c>
      <c r="H29" s="2"/>
    </row>
    <row r="30" spans="2:8" x14ac:dyDescent="0.25">
      <c r="B30" s="11">
        <v>37043</v>
      </c>
      <c r="H30" s="2"/>
    </row>
    <row r="31" spans="2:8" x14ac:dyDescent="0.25">
      <c r="B31" s="11">
        <v>37073</v>
      </c>
      <c r="H31" s="2"/>
    </row>
    <row r="32" spans="2:8" x14ac:dyDescent="0.25">
      <c r="B32" s="11">
        <v>37104</v>
      </c>
      <c r="H32" s="2"/>
    </row>
    <row r="33" spans="2:8" x14ac:dyDescent="0.25">
      <c r="B33" s="11">
        <v>37135</v>
      </c>
      <c r="H33" s="2"/>
    </row>
    <row r="34" spans="2:8" x14ac:dyDescent="0.25">
      <c r="B34" s="11">
        <v>37165</v>
      </c>
      <c r="H34" s="2"/>
    </row>
    <row r="35" spans="2:8" x14ac:dyDescent="0.25">
      <c r="B35" s="11">
        <v>37196</v>
      </c>
      <c r="C35">
        <v>3.9899999999999998E-2</v>
      </c>
      <c r="H35" s="2"/>
    </row>
    <row r="36" spans="2:8" x14ac:dyDescent="0.25">
      <c r="B36" s="11">
        <v>37226</v>
      </c>
      <c r="C36">
        <v>3.56E-2</v>
      </c>
      <c r="H36" s="2"/>
    </row>
    <row r="37" spans="2:8" x14ac:dyDescent="0.25">
      <c r="B37" s="11">
        <v>37257</v>
      </c>
      <c r="C37">
        <v>2.7900000000000001E-2</v>
      </c>
      <c r="H37" s="2"/>
    </row>
    <row r="38" spans="2:8" x14ac:dyDescent="0.25">
      <c r="B38" s="11">
        <v>37288</v>
      </c>
      <c r="C38">
        <v>2.76E-2</v>
      </c>
      <c r="H38" s="2"/>
    </row>
    <row r="39" spans="2:8" x14ac:dyDescent="0.25">
      <c r="B39" s="11">
        <v>37316</v>
      </c>
      <c r="C39">
        <v>2.8000000000000001E-2</v>
      </c>
      <c r="H39" s="2"/>
    </row>
    <row r="40" spans="2:8" x14ac:dyDescent="0.25">
      <c r="B40" s="11">
        <v>37347</v>
      </c>
      <c r="H40" s="2"/>
    </row>
    <row r="41" spans="2:8" x14ac:dyDescent="0.25">
      <c r="B41" s="11">
        <v>37377</v>
      </c>
      <c r="H41" s="2"/>
    </row>
    <row r="42" spans="2:8" x14ac:dyDescent="0.25">
      <c r="B42" s="11">
        <v>37408</v>
      </c>
      <c r="H42" s="2"/>
    </row>
    <row r="43" spans="2:8" x14ac:dyDescent="0.25">
      <c r="B43" s="11">
        <v>37438</v>
      </c>
      <c r="H43" s="2"/>
    </row>
    <row r="44" spans="2:8" x14ac:dyDescent="0.25">
      <c r="B44" s="11">
        <v>37469</v>
      </c>
    </row>
    <row r="45" spans="2:8" x14ac:dyDescent="0.25">
      <c r="B45" s="11">
        <v>37500</v>
      </c>
    </row>
    <row r="46" spans="2:8" x14ac:dyDescent="0.25">
      <c r="B46" s="11">
        <v>37530</v>
      </c>
    </row>
    <row r="47" spans="2:8" x14ac:dyDescent="0.25">
      <c r="B47" s="11">
        <v>37561</v>
      </c>
      <c r="C47">
        <v>0.02</v>
      </c>
    </row>
    <row r="48" spans="2:8" x14ac:dyDescent="0.25">
      <c r="B48" s="11">
        <v>37591</v>
      </c>
      <c r="C48">
        <v>2.3699999999999999E-2</v>
      </c>
    </row>
    <row r="49" spans="2:3" x14ac:dyDescent="0.25">
      <c r="B49" s="11">
        <v>37622</v>
      </c>
      <c r="C49">
        <v>1.84E-2</v>
      </c>
    </row>
    <row r="50" spans="2:3" x14ac:dyDescent="0.25">
      <c r="B50" s="11">
        <v>37653</v>
      </c>
      <c r="C50">
        <v>1.4200000000000001E-2</v>
      </c>
    </row>
    <row r="51" spans="2:3" x14ac:dyDescent="0.25">
      <c r="B51" s="11">
        <v>37681</v>
      </c>
      <c r="C51">
        <v>1.18E-2</v>
      </c>
    </row>
    <row r="52" spans="2:3" x14ac:dyDescent="0.25">
      <c r="B52" s="11">
        <v>37712</v>
      </c>
    </row>
    <row r="53" spans="2:3" x14ac:dyDescent="0.25">
      <c r="B53" s="11">
        <v>37742</v>
      </c>
    </row>
    <row r="54" spans="2:3" x14ac:dyDescent="0.25">
      <c r="B54" s="11">
        <v>37773</v>
      </c>
    </row>
    <row r="55" spans="2:3" x14ac:dyDescent="0.25">
      <c r="B55" s="11">
        <v>37803</v>
      </c>
    </row>
    <row r="56" spans="2:3" x14ac:dyDescent="0.25">
      <c r="B56" s="11">
        <v>37834</v>
      </c>
    </row>
    <row r="57" spans="2:3" x14ac:dyDescent="0.25">
      <c r="B57" s="11">
        <v>37865</v>
      </c>
    </row>
    <row r="58" spans="2:3" x14ac:dyDescent="0.25">
      <c r="B58" s="11">
        <v>37895</v>
      </c>
    </row>
    <row r="59" spans="2:3" x14ac:dyDescent="0.25">
      <c r="B59" s="11">
        <v>37926</v>
      </c>
      <c r="C59">
        <v>0.02</v>
      </c>
    </row>
    <row r="60" spans="2:3" x14ac:dyDescent="0.25">
      <c r="B60" s="11">
        <v>37956</v>
      </c>
      <c r="C60">
        <v>2.3699999999999999E-2</v>
      </c>
    </row>
    <row r="61" spans="2:3" x14ac:dyDescent="0.25">
      <c r="B61" s="11">
        <v>37987</v>
      </c>
      <c r="C61">
        <v>1.84E-2</v>
      </c>
    </row>
    <row r="62" spans="2:3" x14ac:dyDescent="0.25">
      <c r="B62" s="11">
        <v>38018</v>
      </c>
      <c r="C62">
        <v>1.4200000000000001E-2</v>
      </c>
    </row>
    <row r="63" spans="2:3" x14ac:dyDescent="0.25">
      <c r="B63" s="11">
        <v>38047</v>
      </c>
      <c r="C63">
        <v>1.18E-2</v>
      </c>
    </row>
    <row r="64" spans="2:3" x14ac:dyDescent="0.25">
      <c r="B64" s="11">
        <v>38078</v>
      </c>
    </row>
    <row r="65" spans="2:3" x14ac:dyDescent="0.25">
      <c r="B65" s="11">
        <v>38108</v>
      </c>
    </row>
    <row r="66" spans="2:3" x14ac:dyDescent="0.25">
      <c r="B66" s="11">
        <v>38139</v>
      </c>
    </row>
    <row r="67" spans="2:3" x14ac:dyDescent="0.25">
      <c r="B67" s="11">
        <v>38169</v>
      </c>
    </row>
    <row r="68" spans="2:3" x14ac:dyDescent="0.25">
      <c r="B68" s="11">
        <v>38200</v>
      </c>
    </row>
    <row r="69" spans="2:3" x14ac:dyDescent="0.25">
      <c r="B69" s="11">
        <v>38231</v>
      </c>
    </row>
    <row r="70" spans="2:3" x14ac:dyDescent="0.25">
      <c r="B70" s="11">
        <v>38261</v>
      </c>
    </row>
    <row r="71" spans="2:3" x14ac:dyDescent="0.25">
      <c r="B71" s="11">
        <v>38292</v>
      </c>
      <c r="C71">
        <v>0.02</v>
      </c>
    </row>
    <row r="72" spans="2:3" x14ac:dyDescent="0.25">
      <c r="B72" s="11">
        <v>38322</v>
      </c>
      <c r="C72">
        <v>2.3699999999999999E-2</v>
      </c>
    </row>
    <row r="73" spans="2:3" x14ac:dyDescent="0.25">
      <c r="B73" s="11">
        <v>38353</v>
      </c>
      <c r="C73">
        <v>1.84E-2</v>
      </c>
    </row>
    <row r="74" spans="2:3" x14ac:dyDescent="0.25">
      <c r="B74" s="11">
        <v>38384</v>
      </c>
      <c r="C74">
        <v>1.4200000000000001E-2</v>
      </c>
    </row>
    <row r="75" spans="2:3" x14ac:dyDescent="0.25">
      <c r="B75" s="11">
        <v>38412</v>
      </c>
      <c r="C75">
        <v>1.18E-2</v>
      </c>
    </row>
    <row r="76" spans="2:3" x14ac:dyDescent="0.25">
      <c r="B76" s="11">
        <v>38443</v>
      </c>
    </row>
    <row r="77" spans="2:3" x14ac:dyDescent="0.25">
      <c r="B77" s="11">
        <v>38473</v>
      </c>
    </row>
    <row r="78" spans="2:3" x14ac:dyDescent="0.25">
      <c r="B78" s="11">
        <v>38504</v>
      </c>
    </row>
    <row r="79" spans="2:3" x14ac:dyDescent="0.25">
      <c r="B79" s="11">
        <v>38534</v>
      </c>
    </row>
    <row r="80" spans="2:3" x14ac:dyDescent="0.25">
      <c r="B80" s="11">
        <v>38565</v>
      </c>
    </row>
    <row r="81" spans="2:3" x14ac:dyDescent="0.25">
      <c r="B81" s="11">
        <v>38596</v>
      </c>
    </row>
    <row r="82" spans="2:3" x14ac:dyDescent="0.25">
      <c r="B82" s="11">
        <v>38626</v>
      </c>
    </row>
    <row r="83" spans="2:3" x14ac:dyDescent="0.25">
      <c r="B83" s="11">
        <v>38657</v>
      </c>
      <c r="C83">
        <v>0.02</v>
      </c>
    </row>
    <row r="84" spans="2:3" x14ac:dyDescent="0.25">
      <c r="B84" s="11">
        <v>38687</v>
      </c>
      <c r="C84">
        <v>2.3699999999999999E-2</v>
      </c>
    </row>
    <row r="85" spans="2:3" x14ac:dyDescent="0.25">
      <c r="B85" s="11">
        <v>38718</v>
      </c>
      <c r="C85">
        <v>1.84E-2</v>
      </c>
    </row>
    <row r="86" spans="2:3" x14ac:dyDescent="0.25">
      <c r="B86" s="11">
        <v>38749</v>
      </c>
      <c r="C86">
        <v>1.4200000000000001E-2</v>
      </c>
    </row>
    <row r="87" spans="2:3" x14ac:dyDescent="0.25">
      <c r="B87" s="11">
        <v>38777</v>
      </c>
      <c r="C87">
        <v>1.18E-2</v>
      </c>
    </row>
    <row r="88" spans="2:3" x14ac:dyDescent="0.25">
      <c r="B88" s="11">
        <v>38808</v>
      </c>
    </row>
    <row r="89" spans="2:3" x14ac:dyDescent="0.25">
      <c r="B89" s="11">
        <v>38838</v>
      </c>
    </row>
    <row r="90" spans="2:3" x14ac:dyDescent="0.25">
      <c r="B90" s="11">
        <v>38869</v>
      </c>
    </row>
    <row r="91" spans="2:3" x14ac:dyDescent="0.25">
      <c r="B91" s="11">
        <v>38899</v>
      </c>
    </row>
    <row r="92" spans="2:3" x14ac:dyDescent="0.25">
      <c r="B92" s="11">
        <v>38930</v>
      </c>
    </row>
    <row r="93" spans="2:3" x14ac:dyDescent="0.25">
      <c r="B93" s="11">
        <v>38961</v>
      </c>
    </row>
    <row r="94" spans="2:3" x14ac:dyDescent="0.25">
      <c r="B94" s="11">
        <v>38991</v>
      </c>
    </row>
    <row r="95" spans="2:3" x14ac:dyDescent="0.25">
      <c r="B95" s="11">
        <v>39022</v>
      </c>
      <c r="C95">
        <v>3.771E-2</v>
      </c>
    </row>
    <row r="96" spans="2:3" x14ac:dyDescent="0.25">
      <c r="B96" s="11">
        <v>39052</v>
      </c>
      <c r="C96">
        <v>3.4500000000000003E-2</v>
      </c>
    </row>
    <row r="97" spans="2:3" x14ac:dyDescent="0.25">
      <c r="B97" s="11">
        <v>39083</v>
      </c>
      <c r="C97">
        <v>2.7220000000000001E-2</v>
      </c>
    </row>
    <row r="98" spans="2:3" x14ac:dyDescent="0.25">
      <c r="B98" s="11">
        <v>39114</v>
      </c>
      <c r="C98">
        <v>2.6669999999999999E-2</v>
      </c>
    </row>
    <row r="99" spans="2:3" x14ac:dyDescent="0.25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7" workbookViewId="0">
      <selection activeCell="C16" sqref="C16"/>
    </sheetView>
  </sheetViews>
  <sheetFormatPr defaultRowHeight="13.2" x14ac:dyDescent="0.25"/>
  <cols>
    <col min="1" max="1" width="18.88671875" customWidth="1"/>
    <col min="2" max="2" width="10.88671875" customWidth="1"/>
    <col min="3" max="3" width="11.44140625" customWidth="1"/>
    <col min="4" max="4" width="11.6640625" customWidth="1"/>
    <col min="5" max="5" width="15" customWidth="1"/>
  </cols>
  <sheetData>
    <row r="1" spans="1:7" x14ac:dyDescent="0.25">
      <c r="A1" s="6" t="s">
        <v>39</v>
      </c>
      <c r="B1" s="166">
        <f>'R&amp;C Model'!B1</f>
        <v>36526</v>
      </c>
    </row>
    <row r="2" spans="1:7" x14ac:dyDescent="0.25">
      <c r="A2" s="6" t="s">
        <v>38</v>
      </c>
      <c r="B2" s="71">
        <f>VLOOKUP($B$1,'6,7,5 vols'!$A$1:$O$86,2)</f>
        <v>31</v>
      </c>
    </row>
    <row r="3" spans="1:7" x14ac:dyDescent="0.25">
      <c r="A3" s="6" t="s">
        <v>90</v>
      </c>
      <c r="B3" s="71">
        <f>VLOOKUP($B$1,'6,7,5 vols'!$A$1:$O$86,8)</f>
        <v>1177999.9300000002</v>
      </c>
    </row>
    <row r="5" spans="1:7" x14ac:dyDescent="0.25">
      <c r="A5" s="6" t="s">
        <v>161</v>
      </c>
      <c r="B5" s="170">
        <f>'R&amp;C Model'!B9</f>
        <v>2.34</v>
      </c>
    </row>
    <row r="6" spans="1:7" x14ac:dyDescent="0.25">
      <c r="A6" s="6" t="s">
        <v>162</v>
      </c>
      <c r="B6" s="171">
        <f>'R&amp;C Model'!B10</f>
        <v>-1.4999999999999999E-2</v>
      </c>
    </row>
    <row r="8" spans="1:7" x14ac:dyDescent="0.25">
      <c r="A8" s="9" t="s">
        <v>159</v>
      </c>
    </row>
    <row r="9" spans="1:7" x14ac:dyDescent="0.25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5">
      <c r="A10" s="6" t="s">
        <v>163</v>
      </c>
      <c r="B10" s="71">
        <f>VLOOKUP($B$1,'6,7,5 vols'!$A$1:$O$86,11)</f>
        <v>930000</v>
      </c>
      <c r="E10" s="59"/>
    </row>
    <row r="11" spans="1:7" x14ac:dyDescent="0.25">
      <c r="A11" s="6" t="s">
        <v>151</v>
      </c>
      <c r="B11" s="146">
        <f>$B$5+$B$6+VLOOKUP($B$1,'6,7,5 vols'!$A$1:$Q$86,13)</f>
        <v>2.3449999999999998</v>
      </c>
    </row>
    <row r="12" spans="1:7" x14ac:dyDescent="0.25">
      <c r="A12" s="6" t="s">
        <v>165</v>
      </c>
      <c r="B12" s="145">
        <f>$B$5+VLOOKUP($B$1,'6,7,5 vols'!$A$1:$Q$86,12)+VLOOKUP($B$1,'6,7,5 vols'!$A$1:$Q$86,13)</f>
        <v>2.27</v>
      </c>
      <c r="G12" s="59"/>
    </row>
    <row r="13" spans="1:7" x14ac:dyDescent="0.25">
      <c r="E13" s="59">
        <f>B9+B15</f>
        <v>1566326</v>
      </c>
    </row>
    <row r="14" spans="1:7" x14ac:dyDescent="0.25">
      <c r="A14" s="9" t="s">
        <v>160</v>
      </c>
    </row>
    <row r="15" spans="1:7" x14ac:dyDescent="0.25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5">
      <c r="A16" s="6" t="str">
        <f>A10</f>
        <v>Booked Volume</v>
      </c>
      <c r="B16" s="71">
        <f>VLOOKUP($B$1,'6,7,5 vols'!$A$1:$O$86,15)</f>
        <v>248000</v>
      </c>
    </row>
    <row r="17" spans="1:12" x14ac:dyDescent="0.25">
      <c r="A17" s="6" t="str">
        <f>A11</f>
        <v>Desk Price</v>
      </c>
      <c r="B17" s="146">
        <f>$B$5+$B$6+VLOOKUP($B$1,'6,7,5 vols'!$A$1:$Q$86,17)</f>
        <v>2.4338999999999995</v>
      </c>
    </row>
    <row r="18" spans="1:12" x14ac:dyDescent="0.25">
      <c r="A18" s="6" t="str">
        <f>A12</f>
        <v>Customer Price</v>
      </c>
      <c r="B18" s="145">
        <f>$B$5+VLOOKUP($B$1,'6,7,5 vols'!$A$1:$Q$86,16)+VLOOKUP($B$1,'6,7,5 vols'!$A$1:$Q$86,17)</f>
        <v>2.2199999999999998</v>
      </c>
    </row>
    <row r="20" spans="1:12" x14ac:dyDescent="0.25">
      <c r="B20" s="66"/>
      <c r="C20" s="65"/>
      <c r="K20" s="3"/>
      <c r="L20" s="3"/>
    </row>
    <row r="21" spans="1:12" x14ac:dyDescent="0.25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5">
      <c r="A22" s="108"/>
      <c r="B22" s="149"/>
      <c r="C22" s="96"/>
      <c r="D22" s="96"/>
      <c r="E22" s="93"/>
      <c r="K22" s="3"/>
      <c r="L22" s="3"/>
    </row>
    <row r="23" spans="1:12" x14ac:dyDescent="0.25">
      <c r="A23" s="108"/>
      <c r="B23" s="202" t="s">
        <v>98</v>
      </c>
      <c r="C23" s="204"/>
      <c r="D23" s="67" t="s">
        <v>99</v>
      </c>
      <c r="E23" s="61" t="s">
        <v>100</v>
      </c>
      <c r="K23" s="78"/>
      <c r="L23" s="3"/>
    </row>
    <row r="24" spans="1:12" x14ac:dyDescent="0.25">
      <c r="A24" s="108"/>
      <c r="B24" s="94"/>
      <c r="C24" s="131"/>
      <c r="D24" s="94"/>
      <c r="E24" s="131"/>
      <c r="K24" s="79"/>
      <c r="L24" s="3"/>
    </row>
    <row r="25" spans="1:12" x14ac:dyDescent="0.25">
      <c r="A25" s="116" t="s">
        <v>158</v>
      </c>
      <c r="B25" s="221">
        <f>B9*B11</f>
        <v>3112532.57</v>
      </c>
      <c r="C25" s="212"/>
      <c r="D25" s="94">
        <f>IF(B9&lt;B10,B9*B12,B10*B12)</f>
        <v>2111100</v>
      </c>
      <c r="E25" s="150">
        <f>B10*($B$6-(VLOOKUP($B$1,'6,7,5 vols'!$A1:Q$86,12)))</f>
        <v>69750</v>
      </c>
      <c r="G25" s="73"/>
      <c r="H25" s="74"/>
      <c r="K25" s="79"/>
      <c r="L25" s="3"/>
    </row>
    <row r="26" spans="1:12" x14ac:dyDescent="0.25">
      <c r="B26" s="96"/>
      <c r="C26" s="154"/>
      <c r="D26" s="94">
        <f>IF(B9&gt;B10,(B9-B10)*(B5+0.05),0)</f>
        <v>949561.33999999985</v>
      </c>
      <c r="E26" s="150">
        <f>B16*($B$6-(VLOOKUP($B$1,'6,7,5 vols'!$A2:Q$86,16)))</f>
        <v>53047.199999999997</v>
      </c>
      <c r="G26" s="72"/>
      <c r="H26" s="74"/>
      <c r="K26" s="59"/>
    </row>
    <row r="27" spans="1:12" x14ac:dyDescent="0.25">
      <c r="A27" s="116" t="s">
        <v>84</v>
      </c>
      <c r="B27" s="221">
        <f>B15*B17</f>
        <v>581750.77799999993</v>
      </c>
      <c r="C27" s="212"/>
      <c r="D27" s="94">
        <f>B15*B18</f>
        <v>530624.39999999991</v>
      </c>
      <c r="E27" s="150"/>
      <c r="G27" s="73"/>
      <c r="H27" s="74"/>
      <c r="K27" s="59"/>
    </row>
    <row r="28" spans="1:12" x14ac:dyDescent="0.25">
      <c r="A28" s="108"/>
      <c r="B28" s="221"/>
      <c r="C28" s="212"/>
      <c r="D28" s="94"/>
      <c r="E28" s="150"/>
      <c r="G28" s="72"/>
      <c r="H28" s="74"/>
      <c r="K28" s="75"/>
    </row>
    <row r="29" spans="1:12" x14ac:dyDescent="0.25">
      <c r="A29" s="108"/>
      <c r="B29" s="221"/>
      <c r="C29" s="212"/>
      <c r="D29" s="94"/>
      <c r="E29" s="150"/>
    </row>
    <row r="30" spans="1:12" x14ac:dyDescent="0.25">
      <c r="A30" s="108"/>
      <c r="B30" s="222"/>
      <c r="C30" s="223"/>
      <c r="D30" s="99"/>
      <c r="E30" s="151"/>
      <c r="F30" s="3"/>
      <c r="G30" s="72"/>
    </row>
    <row r="31" spans="1:12" x14ac:dyDescent="0.25">
      <c r="A31" s="152" t="s">
        <v>102</v>
      </c>
      <c r="B31" s="224">
        <f>SUM(B25:C30)</f>
        <v>3694283.3479999998</v>
      </c>
      <c r="C31" s="225"/>
      <c r="D31" s="99">
        <f>SUM(D25:D30)</f>
        <v>3591285.7399999998</v>
      </c>
      <c r="E31" s="140">
        <f>SUM(E25:E30)</f>
        <v>122797.2</v>
      </c>
    </row>
    <row r="32" spans="1:12" x14ac:dyDescent="0.25">
      <c r="B32" s="69"/>
      <c r="D32" s="70"/>
      <c r="E32" s="69"/>
    </row>
    <row r="34" spans="1:5" x14ac:dyDescent="0.25">
      <c r="B34" s="6" t="s">
        <v>103</v>
      </c>
      <c r="C34" s="219">
        <f>D31+E31-B31</f>
        <v>19799.592000000179</v>
      </c>
      <c r="D34" s="220"/>
    </row>
    <row r="36" spans="1:5" x14ac:dyDescent="0.25">
      <c r="A36" s="1" t="s">
        <v>104</v>
      </c>
    </row>
    <row r="38" spans="1:5" x14ac:dyDescent="0.25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5">
      <c r="A39" s="4"/>
    </row>
    <row r="40" spans="1:5" x14ac:dyDescent="0.25">
      <c r="A40" s="6" t="s">
        <v>167</v>
      </c>
      <c r="C40" s="146">
        <f>C34/C38</f>
        <v>8.2836549242741947E-2</v>
      </c>
    </row>
    <row r="41" spans="1:5" x14ac:dyDescent="0.25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3.2" x14ac:dyDescent="0.25"/>
  <cols>
    <col min="8" max="8" width="10.33203125" bestFit="1" customWidth="1"/>
    <col min="10" max="10" width="8.88671875" customWidth="1"/>
    <col min="11" max="11" width="10.5546875" customWidth="1"/>
  </cols>
  <sheetData>
    <row r="1" spans="1:17" ht="52.8" x14ac:dyDescent="0.25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5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5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5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5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5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5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5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5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5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5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5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5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5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5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5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5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5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5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5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5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5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5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5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5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5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5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5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5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5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5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5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5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5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5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5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5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5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5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5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5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5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5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5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5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5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5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5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5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5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5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5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5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5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5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5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5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5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5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5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5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5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5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5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5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5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5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5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5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5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5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5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5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5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5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5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5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5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5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5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5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5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5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5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5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5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5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activeCell="B9" sqref="B9"/>
    </sheetView>
  </sheetViews>
  <sheetFormatPr defaultRowHeight="13.2" x14ac:dyDescent="0.25"/>
  <cols>
    <col min="1" max="1" width="15.44140625" customWidth="1"/>
    <col min="3" max="3" width="12.6640625" customWidth="1"/>
    <col min="4" max="4" width="13" customWidth="1"/>
    <col min="5" max="5" width="12.109375" customWidth="1"/>
    <col min="7" max="7" width="13" customWidth="1"/>
    <col min="10" max="10" width="13.44140625" customWidth="1"/>
    <col min="11" max="11" width="13.109375" customWidth="1"/>
    <col min="13" max="13" width="9.6640625" customWidth="1"/>
  </cols>
  <sheetData>
    <row r="1" spans="1:11" x14ac:dyDescent="0.25">
      <c r="A1" s="6" t="s">
        <v>39</v>
      </c>
      <c r="B1" s="181">
        <f>+'R&amp;C Model'!B1</f>
        <v>36526</v>
      </c>
    </row>
    <row r="2" spans="1:11" x14ac:dyDescent="0.25">
      <c r="A2" s="6" t="s">
        <v>38</v>
      </c>
      <c r="B2" s="80">
        <f>+'R&amp;C Model'!B2</f>
        <v>31</v>
      </c>
    </row>
    <row r="3" spans="1:11" x14ac:dyDescent="0.25">
      <c r="D3" s="1" t="s">
        <v>179</v>
      </c>
      <c r="E3" s="71">
        <f>B9+B16+E16+E9+H16+H9+K16</f>
        <v>534000</v>
      </c>
    </row>
    <row r="4" spans="1:11" x14ac:dyDescent="0.25">
      <c r="A4" s="6" t="s">
        <v>161</v>
      </c>
      <c r="B4" s="182">
        <f>+'R&amp;C Model'!B9</f>
        <v>2.34</v>
      </c>
      <c r="D4" s="1" t="s">
        <v>180</v>
      </c>
      <c r="E4" s="71">
        <f>B8+B15+E15+E8+H15+H8+K15</f>
        <v>534000</v>
      </c>
    </row>
    <row r="5" spans="1:11" x14ac:dyDescent="0.25">
      <c r="A5" s="6" t="s">
        <v>162</v>
      </c>
      <c r="B5" s="183">
        <f>+'R&amp;C Model'!B10</f>
        <v>-1.4999999999999999E-2</v>
      </c>
      <c r="D5" s="6" t="s">
        <v>181</v>
      </c>
      <c r="E5" s="184">
        <v>2.25</v>
      </c>
    </row>
    <row r="6" spans="1:11" x14ac:dyDescent="0.25">
      <c r="C6" s="59"/>
    </row>
    <row r="7" spans="1:11" x14ac:dyDescent="0.25">
      <c r="A7" s="9" t="s">
        <v>182</v>
      </c>
      <c r="D7" s="9" t="s">
        <v>183</v>
      </c>
      <c r="G7" s="9" t="s">
        <v>184</v>
      </c>
    </row>
    <row r="8" spans="1:11" x14ac:dyDescent="0.25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5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5">
      <c r="A10" s="6" t="s">
        <v>187</v>
      </c>
      <c r="B10" s="71">
        <f>10000*B2</f>
        <v>310000</v>
      </c>
      <c r="D10" s="6" t="s">
        <v>187</v>
      </c>
      <c r="E10" s="71">
        <f>250*B2</f>
        <v>7750</v>
      </c>
      <c r="G10" s="6" t="s">
        <v>187</v>
      </c>
      <c r="H10" s="71">
        <f>4000*B2</f>
        <v>124000</v>
      </c>
    </row>
    <row r="11" spans="1:11" x14ac:dyDescent="0.25">
      <c r="A11" s="6" t="s">
        <v>188</v>
      </c>
      <c r="B11" s="185">
        <f>B4+B5</f>
        <v>2.3249999999999997</v>
      </c>
      <c r="D11" s="6" t="s">
        <v>188</v>
      </c>
      <c r="E11" s="185">
        <f>B4+B5</f>
        <v>2.3249999999999997</v>
      </c>
      <c r="G11" s="6" t="s">
        <v>188</v>
      </c>
      <c r="H11" s="185">
        <f>+B4+B5</f>
        <v>2.3249999999999997</v>
      </c>
    </row>
    <row r="12" spans="1:11" x14ac:dyDescent="0.25">
      <c r="A12" s="6" t="s">
        <v>189</v>
      </c>
      <c r="B12" s="145">
        <v>1.97</v>
      </c>
      <c r="D12" s="6" t="s">
        <v>189</v>
      </c>
      <c r="E12" s="145">
        <f>B4-0.055</f>
        <v>2.2849999999999997</v>
      </c>
      <c r="G12" s="6" t="s">
        <v>189</v>
      </c>
      <c r="H12" s="145">
        <f>+B4-0.07</f>
        <v>2.27</v>
      </c>
    </row>
    <row r="14" spans="1:11" x14ac:dyDescent="0.25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5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5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5">
      <c r="A17" s="6" t="s">
        <v>187</v>
      </c>
      <c r="B17" s="71">
        <f>2800*B2</f>
        <v>86800</v>
      </c>
      <c r="D17" s="6" t="s">
        <v>187</v>
      </c>
      <c r="E17" s="71">
        <f>500*B2</f>
        <v>15500</v>
      </c>
      <c r="G17" s="6" t="s">
        <v>187</v>
      </c>
      <c r="H17" s="71">
        <v>0</v>
      </c>
      <c r="J17" s="21"/>
      <c r="K17" s="179"/>
    </row>
    <row r="18" spans="1:11" x14ac:dyDescent="0.25">
      <c r="A18" s="6" t="s">
        <v>188</v>
      </c>
      <c r="B18" s="185">
        <f>B4+B5</f>
        <v>2.3249999999999997</v>
      </c>
      <c r="D18" s="6" t="s">
        <v>188</v>
      </c>
      <c r="E18" s="185">
        <f>B4+B5+0.002</f>
        <v>2.3269999999999995</v>
      </c>
      <c r="G18" s="6" t="s">
        <v>188</v>
      </c>
      <c r="H18" s="185">
        <f>H19</f>
        <v>2.44</v>
      </c>
      <c r="J18" s="21"/>
      <c r="K18" s="180"/>
    </row>
    <row r="19" spans="1:11" x14ac:dyDescent="0.25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2.44</v>
      </c>
      <c r="J19" s="21"/>
      <c r="K19" s="187"/>
    </row>
    <row r="20" spans="1:11" x14ac:dyDescent="0.25">
      <c r="J20" s="65"/>
      <c r="K20" s="65"/>
    </row>
    <row r="21" spans="1:11" x14ac:dyDescent="0.25">
      <c r="B21" s="66"/>
      <c r="C21" s="65"/>
    </row>
    <row r="22" spans="1:11" x14ac:dyDescent="0.25">
      <c r="A22" s="147"/>
      <c r="B22" s="148" t="s">
        <v>97</v>
      </c>
      <c r="C22" s="105"/>
      <c r="D22" s="105"/>
      <c r="E22" s="107"/>
    </row>
    <row r="23" spans="1:11" x14ac:dyDescent="0.25">
      <c r="A23" s="108"/>
      <c r="B23" s="149"/>
      <c r="C23" s="96"/>
      <c r="D23" s="96"/>
      <c r="E23" s="93"/>
      <c r="G23" s="6" t="s">
        <v>193</v>
      </c>
    </row>
    <row r="24" spans="1:11" x14ac:dyDescent="0.25">
      <c r="A24" s="108"/>
      <c r="B24" s="202" t="s">
        <v>98</v>
      </c>
      <c r="C24" s="204"/>
      <c r="D24" s="67" t="s">
        <v>99</v>
      </c>
      <c r="E24" s="61" t="s">
        <v>100</v>
      </c>
      <c r="G24" s="186">
        <f>SUM(B26:C31)</f>
        <v>1242442.4999999998</v>
      </c>
    </row>
    <row r="25" spans="1:11" x14ac:dyDescent="0.25">
      <c r="A25" s="108"/>
      <c r="B25" s="94"/>
      <c r="C25" s="131"/>
      <c r="D25" s="94"/>
      <c r="E25" s="131"/>
      <c r="G25" s="6" t="s">
        <v>194</v>
      </c>
    </row>
    <row r="26" spans="1:11" x14ac:dyDescent="0.25">
      <c r="A26" s="116">
        <v>72063</v>
      </c>
      <c r="B26" s="221">
        <f>B9*B11</f>
        <v>697499.99999999988</v>
      </c>
      <c r="C26" s="212"/>
      <c r="D26" s="94">
        <f>B12*B8</f>
        <v>591000</v>
      </c>
      <c r="E26" s="150">
        <f>(B11-B12)*B10</f>
        <v>110049.99999999993</v>
      </c>
      <c r="F26" t="s">
        <v>202</v>
      </c>
      <c r="G26" s="186">
        <f>SUM(D26:D31)</f>
        <v>1097737.5</v>
      </c>
    </row>
    <row r="27" spans="1:11" x14ac:dyDescent="0.25">
      <c r="A27" s="116">
        <v>70119</v>
      </c>
      <c r="B27" s="221">
        <f>B16*B18</f>
        <v>195299.99999999997</v>
      </c>
      <c r="C27" s="212"/>
      <c r="D27" s="94">
        <f>B19*B15</f>
        <v>168000</v>
      </c>
      <c r="E27" s="150">
        <f>B17*(B18-B19)</f>
        <v>28209.999999999978</v>
      </c>
      <c r="F27" t="s">
        <v>205</v>
      </c>
    </row>
    <row r="28" spans="1:11" x14ac:dyDescent="0.25">
      <c r="A28" s="116">
        <v>78417</v>
      </c>
      <c r="B28" s="221">
        <f>E16*E18</f>
        <v>34904.999999999993</v>
      </c>
      <c r="C28" s="212"/>
      <c r="D28" s="94">
        <f>E19*E15</f>
        <v>30900</v>
      </c>
      <c r="E28" s="150">
        <f>E17*(E18-E19)</f>
        <v>4138.4999999999918</v>
      </c>
      <c r="F28" t="s">
        <v>203</v>
      </c>
    </row>
    <row r="29" spans="1:11" x14ac:dyDescent="0.25">
      <c r="A29" s="116">
        <v>78418</v>
      </c>
      <c r="B29" s="221">
        <f>E11*E9</f>
        <v>17437.499999999996</v>
      </c>
      <c r="C29" s="212"/>
      <c r="D29" s="94">
        <f>E12*E8</f>
        <v>17137.499999999996</v>
      </c>
      <c r="E29" s="150">
        <f>E10*(E11-E12)</f>
        <v>310.00000000000028</v>
      </c>
      <c r="F29" t="s">
        <v>204</v>
      </c>
    </row>
    <row r="30" spans="1:11" x14ac:dyDescent="0.25">
      <c r="A30" s="116">
        <v>70114</v>
      </c>
      <c r="B30" s="221">
        <f>H18*H16</f>
        <v>18300</v>
      </c>
      <c r="C30" s="212"/>
      <c r="D30" s="94">
        <f>H15*H19:H19</f>
        <v>18300</v>
      </c>
      <c r="E30" s="150">
        <v>0</v>
      </c>
    </row>
    <row r="31" spans="1:11" x14ac:dyDescent="0.25">
      <c r="A31" s="116">
        <v>60952</v>
      </c>
      <c r="B31" s="221">
        <f>+H9*H11</f>
        <v>278999.99999999994</v>
      </c>
      <c r="C31" s="212"/>
      <c r="D31" s="94">
        <f>+H12*H8</f>
        <v>272400</v>
      </c>
      <c r="E31" s="150">
        <f>+(H11-H12)*H10</f>
        <v>6819.9999999999645</v>
      </c>
      <c r="F31" t="s">
        <v>146</v>
      </c>
    </row>
    <row r="32" spans="1:11" x14ac:dyDescent="0.25">
      <c r="A32" s="116" t="s">
        <v>195</v>
      </c>
      <c r="B32" s="221">
        <f>IF(E3&gt;E4,0,(E4-E3)*E5)</f>
        <v>0</v>
      </c>
      <c r="C32" s="212"/>
      <c r="D32" s="94">
        <f>IF(E3&gt;E4,E5*(E3-E4),0)</f>
        <v>0</v>
      </c>
      <c r="E32" s="150">
        <v>0</v>
      </c>
    </row>
    <row r="33" spans="1:12" x14ac:dyDescent="0.25">
      <c r="A33" s="108"/>
      <c r="B33" s="222"/>
      <c r="C33" s="223"/>
      <c r="D33" s="99"/>
      <c r="E33" s="151"/>
    </row>
    <row r="34" spans="1:12" x14ac:dyDescent="0.25">
      <c r="A34" s="152" t="s">
        <v>102</v>
      </c>
      <c r="B34" s="224">
        <f>SUM(B26:C33)</f>
        <v>1242442.4999999998</v>
      </c>
      <c r="C34" s="225"/>
      <c r="D34" s="99">
        <f>SUM(D26:D33)</f>
        <v>1097737.5</v>
      </c>
      <c r="E34" s="140">
        <f>SUM(E26:E33)</f>
        <v>149528.49999999988</v>
      </c>
    </row>
    <row r="35" spans="1:12" x14ac:dyDescent="0.25">
      <c r="B35" s="69"/>
      <c r="D35" s="70"/>
      <c r="E35" s="69"/>
    </row>
    <row r="37" spans="1:12" x14ac:dyDescent="0.25">
      <c r="B37" s="6" t="s">
        <v>103</v>
      </c>
      <c r="C37" s="219">
        <f>D34+E34-B34</f>
        <v>4823.5000000002328</v>
      </c>
      <c r="D37" s="220"/>
    </row>
    <row r="39" spans="1:12" x14ac:dyDescent="0.25">
      <c r="A39" s="1" t="s">
        <v>196</v>
      </c>
      <c r="D39" s="175">
        <f>+C37+'R&amp;C Model'!C38+'Industrial Model'!C34</f>
        <v>-1396114.9582799969</v>
      </c>
    </row>
    <row r="40" spans="1:12" x14ac:dyDescent="0.25">
      <c r="J40" s="69"/>
      <c r="L40" s="59"/>
    </row>
    <row r="41" spans="1:12" x14ac:dyDescent="0.25">
      <c r="A41" s="202" t="s">
        <v>175</v>
      </c>
      <c r="B41" s="203"/>
      <c r="C41" s="204"/>
    </row>
    <row r="42" spans="1:12" x14ac:dyDescent="0.25">
      <c r="A42" s="20">
        <v>72063</v>
      </c>
    </row>
    <row r="43" spans="1:12" x14ac:dyDescent="0.25">
      <c r="A43" s="176" t="s">
        <v>199</v>
      </c>
      <c r="C43" s="70">
        <f>(B10-B8)*(B11-B12)</f>
        <v>3549.9999999999977</v>
      </c>
      <c r="K43" s="59"/>
    </row>
    <row r="44" spans="1:12" x14ac:dyDescent="0.25">
      <c r="A44" s="176" t="s">
        <v>198</v>
      </c>
      <c r="C44" s="70">
        <f>(B8-B9)*(B11-E5)</f>
        <v>0</v>
      </c>
    </row>
    <row r="45" spans="1:12" x14ac:dyDescent="0.25">
      <c r="A45" s="20">
        <v>70119</v>
      </c>
      <c r="C45" s="70"/>
    </row>
    <row r="46" spans="1:12" x14ac:dyDescent="0.25">
      <c r="A46" s="176" t="s">
        <v>197</v>
      </c>
      <c r="C46" s="177">
        <f>(B17-B15)*(B18-B19)</f>
        <v>909.9999999999992</v>
      </c>
    </row>
    <row r="47" spans="1:12" x14ac:dyDescent="0.25">
      <c r="A47" s="176"/>
      <c r="C47" s="70"/>
    </row>
    <row r="48" spans="1:12" x14ac:dyDescent="0.25">
      <c r="A48" s="20" t="s">
        <v>177</v>
      </c>
      <c r="C48" s="178">
        <f>SUM(C43:C46)</f>
        <v>4459.9999999999973</v>
      </c>
    </row>
    <row r="49" spans="1:3" x14ac:dyDescent="0.25">
      <c r="A49" s="176"/>
      <c r="C49" s="4"/>
    </row>
    <row r="50" spans="1:3" x14ac:dyDescent="0.25">
      <c r="A50" s="176"/>
      <c r="C50" s="4"/>
    </row>
    <row r="51" spans="1:3" x14ac:dyDescent="0.25">
      <c r="A51" s="176"/>
      <c r="C51" s="4"/>
    </row>
    <row r="52" spans="1:3" x14ac:dyDescent="0.25">
      <c r="A52" s="176"/>
    </row>
    <row r="53" spans="1:3" x14ac:dyDescent="0.25">
      <c r="A53" s="176"/>
    </row>
    <row r="54" spans="1:3" x14ac:dyDescent="0.25">
      <c r="A54" s="176"/>
    </row>
    <row r="55" spans="1:3" x14ac:dyDescent="0.25">
      <c r="A55" s="176"/>
    </row>
    <row r="56" spans="1:3" x14ac:dyDescent="0.25">
      <c r="A56" s="176"/>
    </row>
    <row r="57" spans="1:3" x14ac:dyDescent="0.25">
      <c r="A57" s="176"/>
    </row>
    <row r="58" spans="1:3" x14ac:dyDescent="0.25">
      <c r="A58" s="176"/>
    </row>
    <row r="59" spans="1:3" x14ac:dyDescent="0.25">
      <c r="A59" s="176"/>
    </row>
    <row r="60" spans="1:3" x14ac:dyDescent="0.25">
      <c r="A60" s="176"/>
    </row>
    <row r="61" spans="1:3" x14ac:dyDescent="0.25">
      <c r="A61" s="176"/>
    </row>
    <row r="62" spans="1:3" x14ac:dyDescent="0.25">
      <c r="A62" s="176"/>
    </row>
    <row r="63" spans="1:3" x14ac:dyDescent="0.25">
      <c r="A63" s="176"/>
    </row>
    <row r="64" spans="1:3" x14ac:dyDescent="0.25">
      <c r="A64" s="176"/>
    </row>
    <row r="65" spans="1:1" x14ac:dyDescent="0.25">
      <c r="A65" s="176"/>
    </row>
    <row r="66" spans="1:1" x14ac:dyDescent="0.25">
      <c r="A66" s="176"/>
    </row>
    <row r="67" spans="1:1" x14ac:dyDescent="0.25">
      <c r="A67" s="176"/>
    </row>
    <row r="68" spans="1:1" x14ac:dyDescent="0.25">
      <c r="A68" s="176"/>
    </row>
    <row r="69" spans="1:1" x14ac:dyDescent="0.25">
      <c r="A69" s="176"/>
    </row>
    <row r="70" spans="1:1" x14ac:dyDescent="0.25">
      <c r="A70" s="176"/>
    </row>
    <row r="71" spans="1:1" x14ac:dyDescent="0.25">
      <c r="A71" s="176"/>
    </row>
    <row r="72" spans="1:1" x14ac:dyDescent="0.25">
      <c r="A72" s="176"/>
    </row>
    <row r="73" spans="1:1" x14ac:dyDescent="0.25">
      <c r="A73" s="176"/>
    </row>
    <row r="74" spans="1:1" x14ac:dyDescent="0.25">
      <c r="A74" s="176"/>
    </row>
    <row r="75" spans="1:1" x14ac:dyDescent="0.25">
      <c r="A75" s="176"/>
    </row>
    <row r="76" spans="1:1" x14ac:dyDescent="0.25">
      <c r="A76" s="176"/>
    </row>
    <row r="77" spans="1:1" x14ac:dyDescent="0.25">
      <c r="A77" s="176"/>
    </row>
    <row r="78" spans="1:1" x14ac:dyDescent="0.25">
      <c r="A78" s="176"/>
    </row>
    <row r="79" spans="1:1" x14ac:dyDescent="0.25">
      <c r="A79" s="176"/>
    </row>
    <row r="80" spans="1:1" x14ac:dyDescent="0.25">
      <c r="A80" s="176"/>
    </row>
    <row r="81" spans="1:1" x14ac:dyDescent="0.25">
      <c r="A81" s="176"/>
    </row>
    <row r="82" spans="1:1" x14ac:dyDescent="0.25">
      <c r="A82" s="176"/>
    </row>
    <row r="83" spans="1:1" x14ac:dyDescent="0.25">
      <c r="A83" s="176"/>
    </row>
    <row r="84" spans="1:1" x14ac:dyDescent="0.25">
      <c r="A84" s="176"/>
    </row>
    <row r="85" spans="1:1" x14ac:dyDescent="0.25">
      <c r="A85" s="176"/>
    </row>
    <row r="86" spans="1:1" x14ac:dyDescent="0.25">
      <c r="A86" s="176"/>
    </row>
    <row r="87" spans="1:1" x14ac:dyDescent="0.25">
      <c r="A87" s="176"/>
    </row>
    <row r="88" spans="1:1" x14ac:dyDescent="0.25">
      <c r="A88" s="176"/>
    </row>
    <row r="89" spans="1:1" x14ac:dyDescent="0.25">
      <c r="A89" s="176"/>
    </row>
    <row r="90" spans="1:1" x14ac:dyDescent="0.25">
      <c r="A90" s="176"/>
    </row>
    <row r="91" spans="1:1" x14ac:dyDescent="0.25">
      <c r="A91" s="176"/>
    </row>
    <row r="92" spans="1:1" x14ac:dyDescent="0.25">
      <c r="A92" s="176"/>
    </row>
    <row r="93" spans="1:1" x14ac:dyDescent="0.25">
      <c r="A93" s="176"/>
    </row>
    <row r="94" spans="1:1" x14ac:dyDescent="0.25">
      <c r="A94" s="176"/>
    </row>
    <row r="95" spans="1:1" x14ac:dyDescent="0.25">
      <c r="A95" s="176"/>
    </row>
    <row r="96" spans="1:1" x14ac:dyDescent="0.25">
      <c r="A96" s="176"/>
    </row>
    <row r="97" spans="1:1" x14ac:dyDescent="0.25">
      <c r="A97" s="176"/>
    </row>
    <row r="98" spans="1:1" x14ac:dyDescent="0.25">
      <c r="A98" s="176"/>
    </row>
    <row r="99" spans="1:1" x14ac:dyDescent="0.25">
      <c r="A99" s="176"/>
    </row>
    <row r="100" spans="1:1" x14ac:dyDescent="0.25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Booking</vt:lpstr>
      <vt:lpstr>Deferral Balances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2000-01-20T23:55:11Z</cp:lastPrinted>
  <dcterms:created xsi:type="dcterms:W3CDTF">1999-03-22T18:53:09Z</dcterms:created>
  <dcterms:modified xsi:type="dcterms:W3CDTF">2023-09-10T11:02:12Z</dcterms:modified>
</cp:coreProperties>
</file>