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 tabRatio="601" activeTab="2"/>
  </bookViews>
  <sheets>
    <sheet name="Booking" sheetId="1" r:id="rId1"/>
    <sheet name="Model Details" sheetId="7" r:id="rId2"/>
    <sheet name="R&amp;C Model" sheetId="4" r:id="rId3"/>
    <sheet name="1-10 vols" sheetId="2" r:id="rId4"/>
    <sheet name="Transport Schedule" sheetId="6" r:id="rId5"/>
    <sheet name="Industrial Model" sheetId="5" r:id="rId6"/>
    <sheet name="6,7,5 vols" sheetId="3" r:id="rId7"/>
    <sheet name="Other Deals" sheetId="8" r:id="rId8"/>
  </sheets>
  <definedNames>
    <definedName name="_xlnm.Print_Area" localSheetId="3">'1-10 vols'!$P$1:$AC$98</definedName>
    <definedName name="_xlnm.Print_Area" localSheetId="0">Booking!$A$1:$O$21</definedName>
    <definedName name="_xlnm.Print_Area" localSheetId="2">'R&amp;C Model'!$A$1:$K$45</definedName>
    <definedName name="_xlnm.Print_Area" localSheetId="4">'Transport Schedule'!$B$3:$C$87</definedName>
  </definedNames>
  <calcPr calcId="0" calcOnSave="0"/>
</workbook>
</file>

<file path=xl/calcChain.xml><?xml version="1.0" encoding="utf-8"?>
<calcChain xmlns="http://schemas.openxmlformats.org/spreadsheetml/2006/main">
  <c r="Q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L3" i="2"/>
  <c r="M3" i="2"/>
  <c r="P3" i="2"/>
  <c r="Q3" i="2"/>
  <c r="AE3" i="2"/>
  <c r="AH3" i="2"/>
  <c r="AK3" i="2"/>
  <c r="C4" i="2"/>
  <c r="D4" i="2"/>
  <c r="E4" i="2"/>
  <c r="F4" i="2"/>
  <c r="G4" i="2"/>
  <c r="H4" i="2"/>
  <c r="I4" i="2"/>
  <c r="J4" i="2"/>
  <c r="L4" i="2"/>
  <c r="M4" i="2"/>
  <c r="P4" i="2"/>
  <c r="Q4" i="2"/>
  <c r="AE4" i="2"/>
  <c r="AH4" i="2"/>
  <c r="AK4" i="2"/>
  <c r="C5" i="2"/>
  <c r="D5" i="2"/>
  <c r="E5" i="2"/>
  <c r="F5" i="2"/>
  <c r="G5" i="2"/>
  <c r="H5" i="2"/>
  <c r="I5" i="2"/>
  <c r="J5" i="2"/>
  <c r="L5" i="2"/>
  <c r="M5" i="2"/>
  <c r="P5" i="2"/>
  <c r="Q5" i="2"/>
  <c r="AE5" i="2"/>
  <c r="AH5" i="2"/>
  <c r="AK5" i="2"/>
  <c r="C6" i="2"/>
  <c r="D6" i="2"/>
  <c r="E6" i="2"/>
  <c r="F6" i="2"/>
  <c r="G6" i="2"/>
  <c r="H6" i="2"/>
  <c r="I6" i="2"/>
  <c r="J6" i="2"/>
  <c r="L6" i="2"/>
  <c r="M6" i="2"/>
  <c r="P6" i="2"/>
  <c r="Q6" i="2"/>
  <c r="AE6" i="2"/>
  <c r="AH6" i="2"/>
  <c r="AK6" i="2"/>
  <c r="C7" i="2"/>
  <c r="D7" i="2"/>
  <c r="E7" i="2"/>
  <c r="F7" i="2"/>
  <c r="G7" i="2"/>
  <c r="H7" i="2"/>
  <c r="I7" i="2"/>
  <c r="J7" i="2"/>
  <c r="L7" i="2"/>
  <c r="M7" i="2"/>
  <c r="P7" i="2"/>
  <c r="Q7" i="2"/>
  <c r="AE7" i="2"/>
  <c r="AH7" i="2"/>
  <c r="AK7" i="2"/>
  <c r="C8" i="2"/>
  <c r="D8" i="2"/>
  <c r="E8" i="2"/>
  <c r="F8" i="2"/>
  <c r="G8" i="2"/>
  <c r="H8" i="2"/>
  <c r="I8" i="2"/>
  <c r="J8" i="2"/>
  <c r="L8" i="2"/>
  <c r="M8" i="2"/>
  <c r="P8" i="2"/>
  <c r="Q8" i="2"/>
  <c r="AE8" i="2"/>
  <c r="AH8" i="2"/>
  <c r="AK8" i="2"/>
  <c r="C9" i="2"/>
  <c r="D9" i="2"/>
  <c r="E9" i="2"/>
  <c r="F9" i="2"/>
  <c r="G9" i="2"/>
  <c r="H9" i="2"/>
  <c r="I9" i="2"/>
  <c r="J9" i="2"/>
  <c r="L9" i="2"/>
  <c r="M9" i="2"/>
  <c r="P9" i="2"/>
  <c r="Q9" i="2"/>
  <c r="AE9" i="2"/>
  <c r="AK9" i="2"/>
  <c r="C10" i="2"/>
  <c r="D10" i="2"/>
  <c r="E10" i="2"/>
  <c r="F10" i="2"/>
  <c r="G10" i="2"/>
  <c r="H10" i="2"/>
  <c r="I10" i="2"/>
  <c r="J10" i="2"/>
  <c r="L10" i="2"/>
  <c r="M10" i="2"/>
  <c r="P10" i="2"/>
  <c r="Q10" i="2"/>
  <c r="S10" i="2"/>
  <c r="AE10" i="2"/>
  <c r="AK10" i="2"/>
  <c r="C11" i="2"/>
  <c r="D11" i="2"/>
  <c r="E11" i="2"/>
  <c r="F11" i="2"/>
  <c r="G11" i="2"/>
  <c r="H11" i="2"/>
  <c r="I11" i="2"/>
  <c r="J11" i="2"/>
  <c r="L11" i="2"/>
  <c r="M11" i="2"/>
  <c r="P11" i="2"/>
  <c r="Q11" i="2"/>
  <c r="S11" i="2"/>
  <c r="AE11" i="2"/>
  <c r="AK11" i="2"/>
  <c r="C12" i="2"/>
  <c r="D12" i="2"/>
  <c r="E12" i="2"/>
  <c r="F12" i="2"/>
  <c r="G12" i="2"/>
  <c r="H12" i="2"/>
  <c r="I12" i="2"/>
  <c r="J12" i="2"/>
  <c r="L12" i="2"/>
  <c r="M12" i="2"/>
  <c r="P12" i="2"/>
  <c r="Q12" i="2"/>
  <c r="S12" i="2"/>
  <c r="AE12" i="2"/>
  <c r="AK12" i="2"/>
  <c r="C13" i="2"/>
  <c r="D13" i="2"/>
  <c r="E13" i="2"/>
  <c r="F13" i="2"/>
  <c r="G13" i="2"/>
  <c r="H13" i="2"/>
  <c r="I13" i="2"/>
  <c r="J13" i="2"/>
  <c r="L13" i="2"/>
  <c r="M13" i="2"/>
  <c r="P13" i="2"/>
  <c r="Q13" i="2"/>
  <c r="S13" i="2"/>
  <c r="AE13" i="2"/>
  <c r="AK13" i="2"/>
  <c r="C14" i="2"/>
  <c r="D14" i="2"/>
  <c r="E14" i="2"/>
  <c r="F14" i="2"/>
  <c r="G14" i="2"/>
  <c r="H14" i="2"/>
  <c r="I14" i="2"/>
  <c r="J14" i="2"/>
  <c r="L14" i="2"/>
  <c r="M14" i="2"/>
  <c r="P14" i="2"/>
  <c r="Q14" i="2"/>
  <c r="S14" i="2"/>
  <c r="AK14" i="2"/>
  <c r="C15" i="2"/>
  <c r="D15" i="2"/>
  <c r="E15" i="2"/>
  <c r="F15" i="2"/>
  <c r="G15" i="2"/>
  <c r="H15" i="2"/>
  <c r="I15" i="2"/>
  <c r="J15" i="2"/>
  <c r="L15" i="2"/>
  <c r="M15" i="2"/>
  <c r="P15" i="2"/>
  <c r="Q15" i="2"/>
  <c r="AK15" i="2"/>
  <c r="C16" i="2"/>
  <c r="D16" i="2"/>
  <c r="E16" i="2"/>
  <c r="F16" i="2"/>
  <c r="G16" i="2"/>
  <c r="H16" i="2"/>
  <c r="I16" i="2"/>
  <c r="J16" i="2"/>
  <c r="L16" i="2"/>
  <c r="M16" i="2"/>
  <c r="P16" i="2"/>
  <c r="Q16" i="2"/>
  <c r="AK16" i="2"/>
  <c r="C17" i="2"/>
  <c r="D17" i="2"/>
  <c r="E17" i="2"/>
  <c r="F17" i="2"/>
  <c r="G17" i="2"/>
  <c r="H17" i="2"/>
  <c r="I17" i="2"/>
  <c r="J17" i="2"/>
  <c r="L17" i="2"/>
  <c r="M17" i="2"/>
  <c r="P17" i="2"/>
  <c r="Q17" i="2"/>
  <c r="AK17" i="2"/>
  <c r="C18" i="2"/>
  <c r="D18" i="2"/>
  <c r="E18" i="2"/>
  <c r="F18" i="2"/>
  <c r="G18" i="2"/>
  <c r="H18" i="2"/>
  <c r="I18" i="2"/>
  <c r="J18" i="2"/>
  <c r="L18" i="2"/>
  <c r="M18" i="2"/>
  <c r="P18" i="2"/>
  <c r="Q18" i="2"/>
  <c r="AK18" i="2"/>
  <c r="C19" i="2"/>
  <c r="D19" i="2"/>
  <c r="E19" i="2"/>
  <c r="F19" i="2"/>
  <c r="G19" i="2"/>
  <c r="H19" i="2"/>
  <c r="I19" i="2"/>
  <c r="J19" i="2"/>
  <c r="L19" i="2"/>
  <c r="M19" i="2"/>
  <c r="P19" i="2"/>
  <c r="Q19" i="2"/>
  <c r="AK19" i="2"/>
  <c r="C20" i="2"/>
  <c r="D20" i="2"/>
  <c r="E20" i="2"/>
  <c r="F20" i="2"/>
  <c r="G20" i="2"/>
  <c r="H20" i="2"/>
  <c r="I20" i="2"/>
  <c r="J20" i="2"/>
  <c r="L20" i="2"/>
  <c r="M20" i="2"/>
  <c r="P20" i="2"/>
  <c r="Q20" i="2"/>
  <c r="AK20" i="2"/>
  <c r="C21" i="2"/>
  <c r="D21" i="2"/>
  <c r="E21" i="2"/>
  <c r="F21" i="2"/>
  <c r="G21" i="2"/>
  <c r="H21" i="2"/>
  <c r="I21" i="2"/>
  <c r="J21" i="2"/>
  <c r="L21" i="2"/>
  <c r="M21" i="2"/>
  <c r="P21" i="2"/>
  <c r="Q21" i="2"/>
  <c r="AK21" i="2"/>
  <c r="C22" i="2"/>
  <c r="D22" i="2"/>
  <c r="E22" i="2"/>
  <c r="F22" i="2"/>
  <c r="G22" i="2"/>
  <c r="H22" i="2"/>
  <c r="I22" i="2"/>
  <c r="J22" i="2"/>
  <c r="L22" i="2"/>
  <c r="M22" i="2"/>
  <c r="P22" i="2"/>
  <c r="Q22" i="2"/>
  <c r="AK22" i="2"/>
  <c r="C23" i="2"/>
  <c r="D23" i="2"/>
  <c r="E23" i="2"/>
  <c r="F23" i="2"/>
  <c r="G23" i="2"/>
  <c r="H23" i="2"/>
  <c r="I23" i="2"/>
  <c r="J23" i="2"/>
  <c r="L23" i="2"/>
  <c r="M23" i="2"/>
  <c r="P23" i="2"/>
  <c r="Q23" i="2"/>
  <c r="AK23" i="2"/>
  <c r="C24" i="2"/>
  <c r="D24" i="2"/>
  <c r="E24" i="2"/>
  <c r="F24" i="2"/>
  <c r="G24" i="2"/>
  <c r="H24" i="2"/>
  <c r="I24" i="2"/>
  <c r="J24" i="2"/>
  <c r="L24" i="2"/>
  <c r="M24" i="2"/>
  <c r="P24" i="2"/>
  <c r="Q24" i="2"/>
  <c r="AK24" i="2"/>
  <c r="C25" i="2"/>
  <c r="D25" i="2"/>
  <c r="E25" i="2"/>
  <c r="F25" i="2"/>
  <c r="G25" i="2"/>
  <c r="H25" i="2"/>
  <c r="I25" i="2"/>
  <c r="J25" i="2"/>
  <c r="L25" i="2"/>
  <c r="M25" i="2"/>
  <c r="P25" i="2"/>
  <c r="Q25" i="2"/>
  <c r="AK25" i="2"/>
  <c r="C26" i="2"/>
  <c r="D26" i="2"/>
  <c r="E26" i="2"/>
  <c r="F26" i="2"/>
  <c r="G26" i="2"/>
  <c r="H26" i="2"/>
  <c r="I26" i="2"/>
  <c r="J26" i="2"/>
  <c r="L26" i="2"/>
  <c r="M26" i="2"/>
  <c r="P26" i="2"/>
  <c r="Q26" i="2"/>
  <c r="AK26" i="2"/>
  <c r="C27" i="2"/>
  <c r="D27" i="2"/>
  <c r="E27" i="2"/>
  <c r="F27" i="2"/>
  <c r="G27" i="2"/>
  <c r="H27" i="2"/>
  <c r="I27" i="2"/>
  <c r="J27" i="2"/>
  <c r="L27" i="2"/>
  <c r="M27" i="2"/>
  <c r="P27" i="2"/>
  <c r="Q27" i="2"/>
  <c r="C28" i="2"/>
  <c r="D28" i="2"/>
  <c r="E28" i="2"/>
  <c r="F28" i="2"/>
  <c r="G28" i="2"/>
  <c r="H28" i="2"/>
  <c r="I28" i="2"/>
  <c r="J28" i="2"/>
  <c r="L28" i="2"/>
  <c r="M28" i="2"/>
  <c r="P28" i="2"/>
  <c r="Q28" i="2"/>
  <c r="C29" i="2"/>
  <c r="D29" i="2"/>
  <c r="E29" i="2"/>
  <c r="F29" i="2"/>
  <c r="G29" i="2"/>
  <c r="H29" i="2"/>
  <c r="I29" i="2"/>
  <c r="J29" i="2"/>
  <c r="L29" i="2"/>
  <c r="M29" i="2"/>
  <c r="P29" i="2"/>
  <c r="Q29" i="2"/>
  <c r="D30" i="2"/>
  <c r="E30" i="2"/>
  <c r="F30" i="2"/>
  <c r="G30" i="2"/>
  <c r="H30" i="2"/>
  <c r="I30" i="2"/>
  <c r="J30" i="2"/>
  <c r="L30" i="2"/>
  <c r="M30" i="2"/>
  <c r="P30" i="2"/>
  <c r="Q30" i="2"/>
  <c r="D31" i="2"/>
  <c r="E31" i="2"/>
  <c r="F31" i="2"/>
  <c r="G31" i="2"/>
  <c r="H31" i="2"/>
  <c r="I31" i="2"/>
  <c r="J31" i="2"/>
  <c r="L31" i="2"/>
  <c r="M31" i="2"/>
  <c r="P31" i="2"/>
  <c r="Q31" i="2"/>
  <c r="D32" i="2"/>
  <c r="E32" i="2"/>
  <c r="F32" i="2"/>
  <c r="G32" i="2"/>
  <c r="H32" i="2"/>
  <c r="I32" i="2"/>
  <c r="J32" i="2"/>
  <c r="L32" i="2"/>
  <c r="M32" i="2"/>
  <c r="P32" i="2"/>
  <c r="Q32" i="2"/>
  <c r="D33" i="2"/>
  <c r="E33" i="2"/>
  <c r="F33" i="2"/>
  <c r="G33" i="2"/>
  <c r="H33" i="2"/>
  <c r="I33" i="2"/>
  <c r="J33" i="2"/>
  <c r="L33" i="2"/>
  <c r="M33" i="2"/>
  <c r="P33" i="2"/>
  <c r="Q33" i="2"/>
  <c r="D34" i="2"/>
  <c r="E34" i="2"/>
  <c r="F34" i="2"/>
  <c r="G34" i="2"/>
  <c r="H34" i="2"/>
  <c r="I34" i="2"/>
  <c r="J34" i="2"/>
  <c r="L34" i="2"/>
  <c r="M34" i="2"/>
  <c r="P34" i="2"/>
  <c r="Q34" i="2"/>
  <c r="AK34" i="2"/>
  <c r="D35" i="2"/>
  <c r="E35" i="2"/>
  <c r="F35" i="2"/>
  <c r="G35" i="2"/>
  <c r="H35" i="2"/>
  <c r="I35" i="2"/>
  <c r="J35" i="2"/>
  <c r="L35" i="2"/>
  <c r="M35" i="2"/>
  <c r="P35" i="2"/>
  <c r="Q35" i="2"/>
  <c r="AK35" i="2"/>
  <c r="D36" i="2"/>
  <c r="E36" i="2"/>
  <c r="F36" i="2"/>
  <c r="G36" i="2"/>
  <c r="H36" i="2"/>
  <c r="I36" i="2"/>
  <c r="J36" i="2"/>
  <c r="L36" i="2"/>
  <c r="M36" i="2"/>
  <c r="P36" i="2"/>
  <c r="Q36" i="2"/>
  <c r="AK36" i="2"/>
  <c r="D37" i="2"/>
  <c r="E37" i="2"/>
  <c r="F37" i="2"/>
  <c r="G37" i="2"/>
  <c r="H37" i="2"/>
  <c r="I37" i="2"/>
  <c r="J37" i="2"/>
  <c r="L37" i="2"/>
  <c r="M37" i="2"/>
  <c r="P37" i="2"/>
  <c r="Q37" i="2"/>
  <c r="AK37" i="2"/>
  <c r="D38" i="2"/>
  <c r="E38" i="2"/>
  <c r="F38" i="2"/>
  <c r="G38" i="2"/>
  <c r="H38" i="2"/>
  <c r="I38" i="2"/>
  <c r="J38" i="2"/>
  <c r="L38" i="2"/>
  <c r="M38" i="2"/>
  <c r="P38" i="2"/>
  <c r="Q38" i="2"/>
  <c r="AK38" i="2"/>
  <c r="D39" i="2"/>
  <c r="E39" i="2"/>
  <c r="F39" i="2"/>
  <c r="G39" i="2"/>
  <c r="H39" i="2"/>
  <c r="I39" i="2"/>
  <c r="J39" i="2"/>
  <c r="L39" i="2"/>
  <c r="M39" i="2"/>
  <c r="P39" i="2"/>
  <c r="Q39" i="2"/>
  <c r="D40" i="2"/>
  <c r="E40" i="2"/>
  <c r="F40" i="2"/>
  <c r="G40" i="2"/>
  <c r="H40" i="2"/>
  <c r="I40" i="2"/>
  <c r="J40" i="2"/>
  <c r="L40" i="2"/>
  <c r="M40" i="2"/>
  <c r="P40" i="2"/>
  <c r="Q40" i="2"/>
  <c r="D41" i="2"/>
  <c r="E41" i="2"/>
  <c r="F41" i="2"/>
  <c r="G41" i="2"/>
  <c r="H41" i="2"/>
  <c r="I41" i="2"/>
  <c r="J41" i="2"/>
  <c r="L41" i="2"/>
  <c r="M41" i="2"/>
  <c r="P41" i="2"/>
  <c r="Q41" i="2"/>
  <c r="D42" i="2"/>
  <c r="E42" i="2"/>
  <c r="F42" i="2"/>
  <c r="G42" i="2"/>
  <c r="H42" i="2"/>
  <c r="I42" i="2"/>
  <c r="J42" i="2"/>
  <c r="L42" i="2"/>
  <c r="M42" i="2"/>
  <c r="P42" i="2"/>
  <c r="Q42" i="2"/>
  <c r="D43" i="2"/>
  <c r="E43" i="2"/>
  <c r="F43" i="2"/>
  <c r="G43" i="2"/>
  <c r="H43" i="2"/>
  <c r="I43" i="2"/>
  <c r="J43" i="2"/>
  <c r="L43" i="2"/>
  <c r="M43" i="2"/>
  <c r="P43" i="2"/>
  <c r="Q43" i="2"/>
  <c r="D44" i="2"/>
  <c r="E44" i="2"/>
  <c r="F44" i="2"/>
  <c r="G44" i="2"/>
  <c r="H44" i="2"/>
  <c r="I44" i="2"/>
  <c r="J44" i="2"/>
  <c r="L44" i="2"/>
  <c r="M44" i="2"/>
  <c r="P44" i="2"/>
  <c r="Q44" i="2"/>
  <c r="D45" i="2"/>
  <c r="E45" i="2"/>
  <c r="F45" i="2"/>
  <c r="G45" i="2"/>
  <c r="H45" i="2"/>
  <c r="I45" i="2"/>
  <c r="J45" i="2"/>
  <c r="L45" i="2"/>
  <c r="M45" i="2"/>
  <c r="P45" i="2"/>
  <c r="Q45" i="2"/>
  <c r="D46" i="2"/>
  <c r="E46" i="2"/>
  <c r="F46" i="2"/>
  <c r="G46" i="2"/>
  <c r="H46" i="2"/>
  <c r="I46" i="2"/>
  <c r="J46" i="2"/>
  <c r="L46" i="2"/>
  <c r="M46" i="2"/>
  <c r="P46" i="2"/>
  <c r="Q46" i="2"/>
  <c r="AK46" i="2"/>
  <c r="D47" i="2"/>
  <c r="E47" i="2"/>
  <c r="F47" i="2"/>
  <c r="G47" i="2"/>
  <c r="H47" i="2"/>
  <c r="I47" i="2"/>
  <c r="J47" i="2"/>
  <c r="L47" i="2"/>
  <c r="M47" i="2"/>
  <c r="P47" i="2"/>
  <c r="Q47" i="2"/>
  <c r="AK47" i="2"/>
  <c r="D48" i="2"/>
  <c r="E48" i="2"/>
  <c r="F48" i="2"/>
  <c r="G48" i="2"/>
  <c r="H48" i="2"/>
  <c r="I48" i="2"/>
  <c r="J48" i="2"/>
  <c r="L48" i="2"/>
  <c r="M48" i="2"/>
  <c r="P48" i="2"/>
  <c r="Q48" i="2"/>
  <c r="AK48" i="2"/>
  <c r="D49" i="2"/>
  <c r="E49" i="2"/>
  <c r="F49" i="2"/>
  <c r="G49" i="2"/>
  <c r="H49" i="2"/>
  <c r="I49" i="2"/>
  <c r="J49" i="2"/>
  <c r="L49" i="2"/>
  <c r="M49" i="2"/>
  <c r="P49" i="2"/>
  <c r="Q49" i="2"/>
  <c r="AK49" i="2"/>
  <c r="D50" i="2"/>
  <c r="E50" i="2"/>
  <c r="F50" i="2"/>
  <c r="G50" i="2"/>
  <c r="H50" i="2"/>
  <c r="I50" i="2"/>
  <c r="J50" i="2"/>
  <c r="L50" i="2"/>
  <c r="M50" i="2"/>
  <c r="P50" i="2"/>
  <c r="Q50" i="2"/>
  <c r="AK50" i="2"/>
  <c r="D51" i="2"/>
  <c r="E51" i="2"/>
  <c r="F51" i="2"/>
  <c r="G51" i="2"/>
  <c r="H51" i="2"/>
  <c r="I51" i="2"/>
  <c r="J51" i="2"/>
  <c r="L51" i="2"/>
  <c r="M51" i="2"/>
  <c r="P51" i="2"/>
  <c r="Q51" i="2"/>
  <c r="D52" i="2"/>
  <c r="E52" i="2"/>
  <c r="F52" i="2"/>
  <c r="G52" i="2"/>
  <c r="H52" i="2"/>
  <c r="I52" i="2"/>
  <c r="J52" i="2"/>
  <c r="L52" i="2"/>
  <c r="M52" i="2"/>
  <c r="P52" i="2"/>
  <c r="Q52" i="2"/>
  <c r="D53" i="2"/>
  <c r="E53" i="2"/>
  <c r="F53" i="2"/>
  <c r="G53" i="2"/>
  <c r="H53" i="2"/>
  <c r="I53" i="2"/>
  <c r="J53" i="2"/>
  <c r="L53" i="2"/>
  <c r="M53" i="2"/>
  <c r="P53" i="2"/>
  <c r="Q53" i="2"/>
  <c r="D54" i="2"/>
  <c r="E54" i="2"/>
  <c r="F54" i="2"/>
  <c r="G54" i="2"/>
  <c r="H54" i="2"/>
  <c r="I54" i="2"/>
  <c r="J54" i="2"/>
  <c r="L54" i="2"/>
  <c r="M54" i="2"/>
  <c r="P54" i="2"/>
  <c r="Q54" i="2"/>
  <c r="D55" i="2"/>
  <c r="E55" i="2"/>
  <c r="F55" i="2"/>
  <c r="G55" i="2"/>
  <c r="H55" i="2"/>
  <c r="I55" i="2"/>
  <c r="J55" i="2"/>
  <c r="L55" i="2"/>
  <c r="M55" i="2"/>
  <c r="P55" i="2"/>
  <c r="Q55" i="2"/>
  <c r="D56" i="2"/>
  <c r="E56" i="2"/>
  <c r="F56" i="2"/>
  <c r="G56" i="2"/>
  <c r="H56" i="2"/>
  <c r="I56" i="2"/>
  <c r="J56" i="2"/>
  <c r="L56" i="2"/>
  <c r="M56" i="2"/>
  <c r="P56" i="2"/>
  <c r="Q56" i="2"/>
  <c r="D57" i="2"/>
  <c r="E57" i="2"/>
  <c r="F57" i="2"/>
  <c r="G57" i="2"/>
  <c r="H57" i="2"/>
  <c r="I57" i="2"/>
  <c r="J57" i="2"/>
  <c r="L57" i="2"/>
  <c r="M57" i="2"/>
  <c r="P57" i="2"/>
  <c r="Q57" i="2"/>
  <c r="D58" i="2"/>
  <c r="E58" i="2"/>
  <c r="F58" i="2"/>
  <c r="G58" i="2"/>
  <c r="H58" i="2"/>
  <c r="I58" i="2"/>
  <c r="J58" i="2"/>
  <c r="L58" i="2"/>
  <c r="M58" i="2"/>
  <c r="P58" i="2"/>
  <c r="Q58" i="2"/>
  <c r="AK58" i="2"/>
  <c r="D59" i="2"/>
  <c r="E59" i="2"/>
  <c r="F59" i="2"/>
  <c r="G59" i="2"/>
  <c r="H59" i="2"/>
  <c r="I59" i="2"/>
  <c r="J59" i="2"/>
  <c r="L59" i="2"/>
  <c r="M59" i="2"/>
  <c r="P59" i="2"/>
  <c r="Q59" i="2"/>
  <c r="AK59" i="2"/>
  <c r="D60" i="2"/>
  <c r="E60" i="2"/>
  <c r="F60" i="2"/>
  <c r="G60" i="2"/>
  <c r="H60" i="2"/>
  <c r="I60" i="2"/>
  <c r="J60" i="2"/>
  <c r="L60" i="2"/>
  <c r="M60" i="2"/>
  <c r="P60" i="2"/>
  <c r="Q60" i="2"/>
  <c r="AK60" i="2"/>
  <c r="D61" i="2"/>
  <c r="E61" i="2"/>
  <c r="F61" i="2"/>
  <c r="G61" i="2"/>
  <c r="H61" i="2"/>
  <c r="I61" i="2"/>
  <c r="J61" i="2"/>
  <c r="L61" i="2"/>
  <c r="M61" i="2"/>
  <c r="P61" i="2"/>
  <c r="Q61" i="2"/>
  <c r="AK61" i="2"/>
  <c r="D62" i="2"/>
  <c r="E62" i="2"/>
  <c r="F62" i="2"/>
  <c r="G62" i="2"/>
  <c r="H62" i="2"/>
  <c r="I62" i="2"/>
  <c r="J62" i="2"/>
  <c r="L62" i="2"/>
  <c r="M62" i="2"/>
  <c r="P62" i="2"/>
  <c r="Q62" i="2"/>
  <c r="AK62" i="2"/>
  <c r="D63" i="2"/>
  <c r="E63" i="2"/>
  <c r="F63" i="2"/>
  <c r="G63" i="2"/>
  <c r="H63" i="2"/>
  <c r="I63" i="2"/>
  <c r="J63" i="2"/>
  <c r="L63" i="2"/>
  <c r="M63" i="2"/>
  <c r="P63" i="2"/>
  <c r="Q63" i="2"/>
  <c r="D64" i="2"/>
  <c r="E64" i="2"/>
  <c r="F64" i="2"/>
  <c r="G64" i="2"/>
  <c r="H64" i="2"/>
  <c r="I64" i="2"/>
  <c r="J64" i="2"/>
  <c r="L64" i="2"/>
  <c r="M64" i="2"/>
  <c r="P64" i="2"/>
  <c r="Q64" i="2"/>
  <c r="D65" i="2"/>
  <c r="E65" i="2"/>
  <c r="F65" i="2"/>
  <c r="G65" i="2"/>
  <c r="H65" i="2"/>
  <c r="I65" i="2"/>
  <c r="J65" i="2"/>
  <c r="L65" i="2"/>
  <c r="M65" i="2"/>
  <c r="P65" i="2"/>
  <c r="Q65" i="2"/>
  <c r="D66" i="2"/>
  <c r="E66" i="2"/>
  <c r="F66" i="2"/>
  <c r="G66" i="2"/>
  <c r="H66" i="2"/>
  <c r="I66" i="2"/>
  <c r="J66" i="2"/>
  <c r="L66" i="2"/>
  <c r="M66" i="2"/>
  <c r="P66" i="2"/>
  <c r="Q66" i="2"/>
  <c r="D67" i="2"/>
  <c r="E67" i="2"/>
  <c r="F67" i="2"/>
  <c r="G67" i="2"/>
  <c r="H67" i="2"/>
  <c r="I67" i="2"/>
  <c r="J67" i="2"/>
  <c r="L67" i="2"/>
  <c r="M67" i="2"/>
  <c r="P67" i="2"/>
  <c r="Q67" i="2"/>
  <c r="D68" i="2"/>
  <c r="E68" i="2"/>
  <c r="F68" i="2"/>
  <c r="G68" i="2"/>
  <c r="H68" i="2"/>
  <c r="I68" i="2"/>
  <c r="J68" i="2"/>
  <c r="L68" i="2"/>
  <c r="M68" i="2"/>
  <c r="P68" i="2"/>
  <c r="Q68" i="2"/>
  <c r="D69" i="2"/>
  <c r="E69" i="2"/>
  <c r="F69" i="2"/>
  <c r="G69" i="2"/>
  <c r="H69" i="2"/>
  <c r="I69" i="2"/>
  <c r="J69" i="2"/>
  <c r="L69" i="2"/>
  <c r="M69" i="2"/>
  <c r="P69" i="2"/>
  <c r="Q69" i="2"/>
  <c r="D70" i="2"/>
  <c r="E70" i="2"/>
  <c r="F70" i="2"/>
  <c r="G70" i="2"/>
  <c r="H70" i="2"/>
  <c r="I70" i="2"/>
  <c r="J70" i="2"/>
  <c r="L70" i="2"/>
  <c r="M70" i="2"/>
  <c r="P70" i="2"/>
  <c r="Q70" i="2"/>
  <c r="AK70" i="2"/>
  <c r="D71" i="2"/>
  <c r="E71" i="2"/>
  <c r="F71" i="2"/>
  <c r="G71" i="2"/>
  <c r="H71" i="2"/>
  <c r="I71" i="2"/>
  <c r="J71" i="2"/>
  <c r="L71" i="2"/>
  <c r="M71" i="2"/>
  <c r="P71" i="2"/>
  <c r="Q71" i="2"/>
  <c r="AK71" i="2"/>
  <c r="D72" i="2"/>
  <c r="E72" i="2"/>
  <c r="F72" i="2"/>
  <c r="G72" i="2"/>
  <c r="H72" i="2"/>
  <c r="I72" i="2"/>
  <c r="J72" i="2"/>
  <c r="L72" i="2"/>
  <c r="M72" i="2"/>
  <c r="P72" i="2"/>
  <c r="Q72" i="2"/>
  <c r="AK72" i="2"/>
  <c r="D73" i="2"/>
  <c r="E73" i="2"/>
  <c r="F73" i="2"/>
  <c r="G73" i="2"/>
  <c r="H73" i="2"/>
  <c r="I73" i="2"/>
  <c r="J73" i="2"/>
  <c r="L73" i="2"/>
  <c r="M73" i="2"/>
  <c r="P73" i="2"/>
  <c r="Q73" i="2"/>
  <c r="AK73" i="2"/>
  <c r="D74" i="2"/>
  <c r="E74" i="2"/>
  <c r="F74" i="2"/>
  <c r="G74" i="2"/>
  <c r="H74" i="2"/>
  <c r="I74" i="2"/>
  <c r="J74" i="2"/>
  <c r="L74" i="2"/>
  <c r="M74" i="2"/>
  <c r="P74" i="2"/>
  <c r="Q74" i="2"/>
  <c r="AK74" i="2"/>
  <c r="D75" i="2"/>
  <c r="E75" i="2"/>
  <c r="F75" i="2"/>
  <c r="G75" i="2"/>
  <c r="H75" i="2"/>
  <c r="I75" i="2"/>
  <c r="J75" i="2"/>
  <c r="L75" i="2"/>
  <c r="M75" i="2"/>
  <c r="P75" i="2"/>
  <c r="Q75" i="2"/>
  <c r="D76" i="2"/>
  <c r="E76" i="2"/>
  <c r="F76" i="2"/>
  <c r="G76" i="2"/>
  <c r="H76" i="2"/>
  <c r="I76" i="2"/>
  <c r="J76" i="2"/>
  <c r="L76" i="2"/>
  <c r="M76" i="2"/>
  <c r="P76" i="2"/>
  <c r="Q76" i="2"/>
  <c r="D77" i="2"/>
  <c r="E77" i="2"/>
  <c r="F77" i="2"/>
  <c r="G77" i="2"/>
  <c r="H77" i="2"/>
  <c r="I77" i="2"/>
  <c r="J77" i="2"/>
  <c r="L77" i="2"/>
  <c r="M77" i="2"/>
  <c r="P77" i="2"/>
  <c r="Q77" i="2"/>
  <c r="D78" i="2"/>
  <c r="E78" i="2"/>
  <c r="F78" i="2"/>
  <c r="G78" i="2"/>
  <c r="H78" i="2"/>
  <c r="I78" i="2"/>
  <c r="J78" i="2"/>
  <c r="L78" i="2"/>
  <c r="M78" i="2"/>
  <c r="P78" i="2"/>
  <c r="Q78" i="2"/>
  <c r="D79" i="2"/>
  <c r="E79" i="2"/>
  <c r="F79" i="2"/>
  <c r="G79" i="2"/>
  <c r="H79" i="2"/>
  <c r="I79" i="2"/>
  <c r="J79" i="2"/>
  <c r="L79" i="2"/>
  <c r="M79" i="2"/>
  <c r="P79" i="2"/>
  <c r="Q79" i="2"/>
  <c r="D80" i="2"/>
  <c r="E80" i="2"/>
  <c r="F80" i="2"/>
  <c r="G80" i="2"/>
  <c r="H80" i="2"/>
  <c r="I80" i="2"/>
  <c r="J80" i="2"/>
  <c r="L80" i="2"/>
  <c r="M80" i="2"/>
  <c r="P80" i="2"/>
  <c r="Q80" i="2"/>
  <c r="D81" i="2"/>
  <c r="E81" i="2"/>
  <c r="F81" i="2"/>
  <c r="G81" i="2"/>
  <c r="H81" i="2"/>
  <c r="I81" i="2"/>
  <c r="J81" i="2"/>
  <c r="L81" i="2"/>
  <c r="M81" i="2"/>
  <c r="P81" i="2"/>
  <c r="Q81" i="2"/>
  <c r="D82" i="2"/>
  <c r="E82" i="2"/>
  <c r="F82" i="2"/>
  <c r="G82" i="2"/>
  <c r="H82" i="2"/>
  <c r="I82" i="2"/>
  <c r="J82" i="2"/>
  <c r="L82" i="2"/>
  <c r="M82" i="2"/>
  <c r="P82" i="2"/>
  <c r="Q82" i="2"/>
  <c r="AK82" i="2"/>
  <c r="D83" i="2"/>
  <c r="E83" i="2"/>
  <c r="F83" i="2"/>
  <c r="G83" i="2"/>
  <c r="H83" i="2"/>
  <c r="I83" i="2"/>
  <c r="J83" i="2"/>
  <c r="L83" i="2"/>
  <c r="M83" i="2"/>
  <c r="P83" i="2"/>
  <c r="Q83" i="2"/>
  <c r="AK83" i="2"/>
  <c r="D84" i="2"/>
  <c r="E84" i="2"/>
  <c r="F84" i="2"/>
  <c r="G84" i="2"/>
  <c r="H84" i="2"/>
  <c r="I84" i="2"/>
  <c r="J84" i="2"/>
  <c r="L84" i="2"/>
  <c r="M84" i="2"/>
  <c r="P84" i="2"/>
  <c r="Q84" i="2"/>
  <c r="AK84" i="2"/>
  <c r="D85" i="2"/>
  <c r="E85" i="2"/>
  <c r="F85" i="2"/>
  <c r="G85" i="2"/>
  <c r="H85" i="2"/>
  <c r="I85" i="2"/>
  <c r="J85" i="2"/>
  <c r="L85" i="2"/>
  <c r="M85" i="2"/>
  <c r="P85" i="2"/>
  <c r="Q85" i="2"/>
  <c r="AK85" i="2"/>
  <c r="D86" i="2"/>
  <c r="E86" i="2"/>
  <c r="F86" i="2"/>
  <c r="G86" i="2"/>
  <c r="H86" i="2"/>
  <c r="I86" i="2"/>
  <c r="J86" i="2"/>
  <c r="L86" i="2"/>
  <c r="M86" i="2"/>
  <c r="P86" i="2"/>
  <c r="Q86" i="2"/>
  <c r="AK86" i="2"/>
  <c r="L87" i="2"/>
  <c r="M87" i="2"/>
  <c r="P87" i="2"/>
  <c r="Q87" i="2"/>
  <c r="L88" i="2"/>
  <c r="M88" i="2"/>
  <c r="P88" i="2"/>
  <c r="Q88" i="2"/>
  <c r="L89" i="2"/>
  <c r="M89" i="2"/>
  <c r="P89" i="2"/>
  <c r="Q89" i="2"/>
  <c r="L90" i="2"/>
  <c r="M90" i="2"/>
  <c r="P90" i="2"/>
  <c r="Q90" i="2"/>
  <c r="L91" i="2"/>
  <c r="M91" i="2"/>
  <c r="P91" i="2"/>
  <c r="Q91" i="2"/>
  <c r="L92" i="2"/>
  <c r="M92" i="2"/>
  <c r="P92" i="2"/>
  <c r="Q92" i="2"/>
  <c r="L93" i="2"/>
  <c r="M93" i="2"/>
  <c r="P93" i="2"/>
  <c r="Q93" i="2"/>
  <c r="L94" i="2"/>
  <c r="M94" i="2"/>
  <c r="P94" i="2"/>
  <c r="Q94" i="2"/>
  <c r="L95" i="2"/>
  <c r="M95" i="2"/>
  <c r="P95" i="2"/>
  <c r="Q95" i="2"/>
  <c r="L96" i="2"/>
  <c r="M96" i="2"/>
  <c r="P96" i="2"/>
  <c r="Q96" i="2"/>
  <c r="L97" i="2"/>
  <c r="M97" i="2"/>
  <c r="P97" i="2"/>
  <c r="Q97" i="2"/>
  <c r="L98" i="2"/>
  <c r="M98" i="2"/>
  <c r="P98" i="2"/>
  <c r="Q98" i="2"/>
  <c r="I2" i="3"/>
  <c r="J2" i="3"/>
  <c r="K2" i="3"/>
  <c r="L2" i="3"/>
  <c r="M2" i="3"/>
  <c r="N2" i="3"/>
  <c r="O2" i="3"/>
  <c r="P2" i="3"/>
  <c r="Q2" i="3"/>
  <c r="C3" i="3"/>
  <c r="D3" i="3"/>
  <c r="E3" i="3"/>
  <c r="H3" i="3"/>
  <c r="I3" i="3"/>
  <c r="K3" i="3"/>
  <c r="O3" i="3"/>
  <c r="C4" i="3"/>
  <c r="D4" i="3"/>
  <c r="E4" i="3"/>
  <c r="H4" i="3"/>
  <c r="I4" i="3"/>
  <c r="K4" i="3"/>
  <c r="O4" i="3"/>
  <c r="C5" i="3"/>
  <c r="D5" i="3"/>
  <c r="E5" i="3"/>
  <c r="H5" i="3"/>
  <c r="I5" i="3"/>
  <c r="K5" i="3"/>
  <c r="O5" i="3"/>
  <c r="C6" i="3"/>
  <c r="D6" i="3"/>
  <c r="E6" i="3"/>
  <c r="H6" i="3"/>
  <c r="I6" i="3"/>
  <c r="K6" i="3"/>
  <c r="O6" i="3"/>
  <c r="C7" i="3"/>
  <c r="D7" i="3"/>
  <c r="E7" i="3"/>
  <c r="H7" i="3"/>
  <c r="I7" i="3"/>
  <c r="K7" i="3"/>
  <c r="O7" i="3"/>
  <c r="C8" i="3"/>
  <c r="D8" i="3"/>
  <c r="E8" i="3"/>
  <c r="H8" i="3"/>
  <c r="I8" i="3"/>
  <c r="K8" i="3"/>
  <c r="O8" i="3"/>
  <c r="C9" i="3"/>
  <c r="D9" i="3"/>
  <c r="E9" i="3"/>
  <c r="H9" i="3"/>
  <c r="I9" i="3"/>
  <c r="K9" i="3"/>
  <c r="O9" i="3"/>
  <c r="C10" i="3"/>
  <c r="D10" i="3"/>
  <c r="E10" i="3"/>
  <c r="H10" i="3"/>
  <c r="I10" i="3"/>
  <c r="K10" i="3"/>
  <c r="O10" i="3"/>
  <c r="C11" i="3"/>
  <c r="D11" i="3"/>
  <c r="E11" i="3"/>
  <c r="H11" i="3"/>
  <c r="I11" i="3"/>
  <c r="K11" i="3"/>
  <c r="O11" i="3"/>
  <c r="C12" i="3"/>
  <c r="D12" i="3"/>
  <c r="E12" i="3"/>
  <c r="H12" i="3"/>
  <c r="I12" i="3"/>
  <c r="K12" i="3"/>
  <c r="O12" i="3"/>
  <c r="C13" i="3"/>
  <c r="D13" i="3"/>
  <c r="E13" i="3"/>
  <c r="H13" i="3"/>
  <c r="I13" i="3"/>
  <c r="K13" i="3"/>
  <c r="O13" i="3"/>
  <c r="C14" i="3"/>
  <c r="D14" i="3"/>
  <c r="E14" i="3"/>
  <c r="H14" i="3"/>
  <c r="I14" i="3"/>
  <c r="K14" i="3"/>
  <c r="O14" i="3"/>
  <c r="C15" i="3"/>
  <c r="D15" i="3"/>
  <c r="E15" i="3"/>
  <c r="H15" i="3"/>
  <c r="I15" i="3"/>
  <c r="K15" i="3"/>
  <c r="O15" i="3"/>
  <c r="C16" i="3"/>
  <c r="D16" i="3"/>
  <c r="E16" i="3"/>
  <c r="H16" i="3"/>
  <c r="I16" i="3"/>
  <c r="K16" i="3"/>
  <c r="O16" i="3"/>
  <c r="C17" i="3"/>
  <c r="D17" i="3"/>
  <c r="E17" i="3"/>
  <c r="H17" i="3"/>
  <c r="I17" i="3"/>
  <c r="K17" i="3"/>
  <c r="O17" i="3"/>
  <c r="C18" i="3"/>
  <c r="D18" i="3"/>
  <c r="E18" i="3"/>
  <c r="H18" i="3"/>
  <c r="I18" i="3"/>
  <c r="K18" i="3"/>
  <c r="O18" i="3"/>
  <c r="C19" i="3"/>
  <c r="D19" i="3"/>
  <c r="E19" i="3"/>
  <c r="H19" i="3"/>
  <c r="I19" i="3"/>
  <c r="K19" i="3"/>
  <c r="O19" i="3"/>
  <c r="C20" i="3"/>
  <c r="D20" i="3"/>
  <c r="E20" i="3"/>
  <c r="H20" i="3"/>
  <c r="I20" i="3"/>
  <c r="K20" i="3"/>
  <c r="O20" i="3"/>
  <c r="C21" i="3"/>
  <c r="D21" i="3"/>
  <c r="E21" i="3"/>
  <c r="H21" i="3"/>
  <c r="I21" i="3"/>
  <c r="K21" i="3"/>
  <c r="O21" i="3"/>
  <c r="C22" i="3"/>
  <c r="D22" i="3"/>
  <c r="E22" i="3"/>
  <c r="H22" i="3"/>
  <c r="I22" i="3"/>
  <c r="K22" i="3"/>
  <c r="O22" i="3"/>
  <c r="C23" i="3"/>
  <c r="D23" i="3"/>
  <c r="E23" i="3"/>
  <c r="H23" i="3"/>
  <c r="I23" i="3"/>
  <c r="K23" i="3"/>
  <c r="O23" i="3"/>
  <c r="C24" i="3"/>
  <c r="D24" i="3"/>
  <c r="E24" i="3"/>
  <c r="H24" i="3"/>
  <c r="I24" i="3"/>
  <c r="K24" i="3"/>
  <c r="O24" i="3"/>
  <c r="C25" i="3"/>
  <c r="D25" i="3"/>
  <c r="E25" i="3"/>
  <c r="H25" i="3"/>
  <c r="I25" i="3"/>
  <c r="K25" i="3"/>
  <c r="O25" i="3"/>
  <c r="C26" i="3"/>
  <c r="D26" i="3"/>
  <c r="E26" i="3"/>
  <c r="H26" i="3"/>
  <c r="I26" i="3"/>
  <c r="K26" i="3"/>
  <c r="O26" i="3"/>
  <c r="C27" i="3"/>
  <c r="D27" i="3"/>
  <c r="E27" i="3"/>
  <c r="H27" i="3"/>
  <c r="I27" i="3"/>
  <c r="K27" i="3"/>
  <c r="O27" i="3"/>
  <c r="C28" i="3"/>
  <c r="D28" i="3"/>
  <c r="E28" i="3"/>
  <c r="H28" i="3"/>
  <c r="I28" i="3"/>
  <c r="K28" i="3"/>
  <c r="O28" i="3"/>
  <c r="C29" i="3"/>
  <c r="D29" i="3"/>
  <c r="E29" i="3"/>
  <c r="H29" i="3"/>
  <c r="I29" i="3"/>
  <c r="K29" i="3"/>
  <c r="O29" i="3"/>
  <c r="C30" i="3"/>
  <c r="D30" i="3"/>
  <c r="E30" i="3"/>
  <c r="H30" i="3"/>
  <c r="I30" i="3"/>
  <c r="K30" i="3"/>
  <c r="O30" i="3"/>
  <c r="C31" i="3"/>
  <c r="D31" i="3"/>
  <c r="E31" i="3"/>
  <c r="H31" i="3"/>
  <c r="I31" i="3"/>
  <c r="K31" i="3"/>
  <c r="O31" i="3"/>
  <c r="C32" i="3"/>
  <c r="D32" i="3"/>
  <c r="E32" i="3"/>
  <c r="H32" i="3"/>
  <c r="I32" i="3"/>
  <c r="K32" i="3"/>
  <c r="O32" i="3"/>
  <c r="C33" i="3"/>
  <c r="D33" i="3"/>
  <c r="E33" i="3"/>
  <c r="H33" i="3"/>
  <c r="I33" i="3"/>
  <c r="K33" i="3"/>
  <c r="O33" i="3"/>
  <c r="C34" i="3"/>
  <c r="D34" i="3"/>
  <c r="E34" i="3"/>
  <c r="H34" i="3"/>
  <c r="I34" i="3"/>
  <c r="K34" i="3"/>
  <c r="O34" i="3"/>
  <c r="C35" i="3"/>
  <c r="D35" i="3"/>
  <c r="E35" i="3"/>
  <c r="H35" i="3"/>
  <c r="I35" i="3"/>
  <c r="K35" i="3"/>
  <c r="O35" i="3"/>
  <c r="C36" i="3"/>
  <c r="D36" i="3"/>
  <c r="E36" i="3"/>
  <c r="H36" i="3"/>
  <c r="I36" i="3"/>
  <c r="K36" i="3"/>
  <c r="O36" i="3"/>
  <c r="C37" i="3"/>
  <c r="D37" i="3"/>
  <c r="E37" i="3"/>
  <c r="H37" i="3"/>
  <c r="I37" i="3"/>
  <c r="K37" i="3"/>
  <c r="O37" i="3"/>
  <c r="C38" i="3"/>
  <c r="D38" i="3"/>
  <c r="E38" i="3"/>
  <c r="H38" i="3"/>
  <c r="I38" i="3"/>
  <c r="K38" i="3"/>
  <c r="O38" i="3"/>
  <c r="C39" i="3"/>
  <c r="D39" i="3"/>
  <c r="E39" i="3"/>
  <c r="H39" i="3"/>
  <c r="I39" i="3"/>
  <c r="K39" i="3"/>
  <c r="O39" i="3"/>
  <c r="C40" i="3"/>
  <c r="D40" i="3"/>
  <c r="E40" i="3"/>
  <c r="H40" i="3"/>
  <c r="I40" i="3"/>
  <c r="K40" i="3"/>
  <c r="O40" i="3"/>
  <c r="C41" i="3"/>
  <c r="D41" i="3"/>
  <c r="E41" i="3"/>
  <c r="H41" i="3"/>
  <c r="I41" i="3"/>
  <c r="K41" i="3"/>
  <c r="O41" i="3"/>
  <c r="C42" i="3"/>
  <c r="D42" i="3"/>
  <c r="E42" i="3"/>
  <c r="H42" i="3"/>
  <c r="I42" i="3"/>
  <c r="K42" i="3"/>
  <c r="O42" i="3"/>
  <c r="C43" i="3"/>
  <c r="D43" i="3"/>
  <c r="E43" i="3"/>
  <c r="H43" i="3"/>
  <c r="I43" i="3"/>
  <c r="K43" i="3"/>
  <c r="O43" i="3"/>
  <c r="C44" i="3"/>
  <c r="D44" i="3"/>
  <c r="E44" i="3"/>
  <c r="H44" i="3"/>
  <c r="I44" i="3"/>
  <c r="K44" i="3"/>
  <c r="O44" i="3"/>
  <c r="C45" i="3"/>
  <c r="D45" i="3"/>
  <c r="E45" i="3"/>
  <c r="H45" i="3"/>
  <c r="I45" i="3"/>
  <c r="K45" i="3"/>
  <c r="O45" i="3"/>
  <c r="C46" i="3"/>
  <c r="D46" i="3"/>
  <c r="E46" i="3"/>
  <c r="H46" i="3"/>
  <c r="I46" i="3"/>
  <c r="K46" i="3"/>
  <c r="O46" i="3"/>
  <c r="C47" i="3"/>
  <c r="D47" i="3"/>
  <c r="E47" i="3"/>
  <c r="H47" i="3"/>
  <c r="I47" i="3"/>
  <c r="K47" i="3"/>
  <c r="O47" i="3"/>
  <c r="C48" i="3"/>
  <c r="D48" i="3"/>
  <c r="E48" i="3"/>
  <c r="H48" i="3"/>
  <c r="I48" i="3"/>
  <c r="K48" i="3"/>
  <c r="O48" i="3"/>
  <c r="C49" i="3"/>
  <c r="D49" i="3"/>
  <c r="E49" i="3"/>
  <c r="H49" i="3"/>
  <c r="I49" i="3"/>
  <c r="K49" i="3"/>
  <c r="O49" i="3"/>
  <c r="C50" i="3"/>
  <c r="D50" i="3"/>
  <c r="E50" i="3"/>
  <c r="H50" i="3"/>
  <c r="I50" i="3"/>
  <c r="K50" i="3"/>
  <c r="O50" i="3"/>
  <c r="C51" i="3"/>
  <c r="D51" i="3"/>
  <c r="E51" i="3"/>
  <c r="H51" i="3"/>
  <c r="I51" i="3"/>
  <c r="K51" i="3"/>
  <c r="O51" i="3"/>
  <c r="C52" i="3"/>
  <c r="D52" i="3"/>
  <c r="E52" i="3"/>
  <c r="H52" i="3"/>
  <c r="I52" i="3"/>
  <c r="K52" i="3"/>
  <c r="O52" i="3"/>
  <c r="C53" i="3"/>
  <c r="D53" i="3"/>
  <c r="E53" i="3"/>
  <c r="H53" i="3"/>
  <c r="I53" i="3"/>
  <c r="K53" i="3"/>
  <c r="O53" i="3"/>
  <c r="C54" i="3"/>
  <c r="D54" i="3"/>
  <c r="E54" i="3"/>
  <c r="H54" i="3"/>
  <c r="I54" i="3"/>
  <c r="K54" i="3"/>
  <c r="O54" i="3"/>
  <c r="C55" i="3"/>
  <c r="D55" i="3"/>
  <c r="E55" i="3"/>
  <c r="H55" i="3"/>
  <c r="I55" i="3"/>
  <c r="K55" i="3"/>
  <c r="O55" i="3"/>
  <c r="C56" i="3"/>
  <c r="D56" i="3"/>
  <c r="E56" i="3"/>
  <c r="H56" i="3"/>
  <c r="I56" i="3"/>
  <c r="K56" i="3"/>
  <c r="O56" i="3"/>
  <c r="C57" i="3"/>
  <c r="D57" i="3"/>
  <c r="E57" i="3"/>
  <c r="H57" i="3"/>
  <c r="I57" i="3"/>
  <c r="K57" i="3"/>
  <c r="O57" i="3"/>
  <c r="C58" i="3"/>
  <c r="D58" i="3"/>
  <c r="E58" i="3"/>
  <c r="H58" i="3"/>
  <c r="I58" i="3"/>
  <c r="K58" i="3"/>
  <c r="O58" i="3"/>
  <c r="C59" i="3"/>
  <c r="D59" i="3"/>
  <c r="E59" i="3"/>
  <c r="H59" i="3"/>
  <c r="I59" i="3"/>
  <c r="K59" i="3"/>
  <c r="O59" i="3"/>
  <c r="C60" i="3"/>
  <c r="D60" i="3"/>
  <c r="E60" i="3"/>
  <c r="H60" i="3"/>
  <c r="I60" i="3"/>
  <c r="K60" i="3"/>
  <c r="O60" i="3"/>
  <c r="C61" i="3"/>
  <c r="D61" i="3"/>
  <c r="E61" i="3"/>
  <c r="H61" i="3"/>
  <c r="I61" i="3"/>
  <c r="K61" i="3"/>
  <c r="O61" i="3"/>
  <c r="C62" i="3"/>
  <c r="D62" i="3"/>
  <c r="E62" i="3"/>
  <c r="H62" i="3"/>
  <c r="I62" i="3"/>
  <c r="K62" i="3"/>
  <c r="O62" i="3"/>
  <c r="C63" i="3"/>
  <c r="D63" i="3"/>
  <c r="E63" i="3"/>
  <c r="H63" i="3"/>
  <c r="I63" i="3"/>
  <c r="K63" i="3"/>
  <c r="O63" i="3"/>
  <c r="C64" i="3"/>
  <c r="D64" i="3"/>
  <c r="E64" i="3"/>
  <c r="H64" i="3"/>
  <c r="I64" i="3"/>
  <c r="K64" i="3"/>
  <c r="O64" i="3"/>
  <c r="C65" i="3"/>
  <c r="D65" i="3"/>
  <c r="E65" i="3"/>
  <c r="H65" i="3"/>
  <c r="I65" i="3"/>
  <c r="K65" i="3"/>
  <c r="O65" i="3"/>
  <c r="C66" i="3"/>
  <c r="D66" i="3"/>
  <c r="E66" i="3"/>
  <c r="H66" i="3"/>
  <c r="I66" i="3"/>
  <c r="K66" i="3"/>
  <c r="O66" i="3"/>
  <c r="C67" i="3"/>
  <c r="D67" i="3"/>
  <c r="E67" i="3"/>
  <c r="H67" i="3"/>
  <c r="I67" i="3"/>
  <c r="K67" i="3"/>
  <c r="O67" i="3"/>
  <c r="C68" i="3"/>
  <c r="D68" i="3"/>
  <c r="E68" i="3"/>
  <c r="H68" i="3"/>
  <c r="I68" i="3"/>
  <c r="K68" i="3"/>
  <c r="O68" i="3"/>
  <c r="C69" i="3"/>
  <c r="D69" i="3"/>
  <c r="E69" i="3"/>
  <c r="H69" i="3"/>
  <c r="I69" i="3"/>
  <c r="K69" i="3"/>
  <c r="O69" i="3"/>
  <c r="C70" i="3"/>
  <c r="D70" i="3"/>
  <c r="E70" i="3"/>
  <c r="H70" i="3"/>
  <c r="I70" i="3"/>
  <c r="K70" i="3"/>
  <c r="O70" i="3"/>
  <c r="C71" i="3"/>
  <c r="D71" i="3"/>
  <c r="E71" i="3"/>
  <c r="H71" i="3"/>
  <c r="I71" i="3"/>
  <c r="K71" i="3"/>
  <c r="O71" i="3"/>
  <c r="C72" i="3"/>
  <c r="D72" i="3"/>
  <c r="E72" i="3"/>
  <c r="H72" i="3"/>
  <c r="I72" i="3"/>
  <c r="K72" i="3"/>
  <c r="O72" i="3"/>
  <c r="C73" i="3"/>
  <c r="D73" i="3"/>
  <c r="E73" i="3"/>
  <c r="H73" i="3"/>
  <c r="I73" i="3"/>
  <c r="K73" i="3"/>
  <c r="O73" i="3"/>
  <c r="C74" i="3"/>
  <c r="D74" i="3"/>
  <c r="E74" i="3"/>
  <c r="H74" i="3"/>
  <c r="I74" i="3"/>
  <c r="K74" i="3"/>
  <c r="O74" i="3"/>
  <c r="C75" i="3"/>
  <c r="D75" i="3"/>
  <c r="E75" i="3"/>
  <c r="H75" i="3"/>
  <c r="I75" i="3"/>
  <c r="K75" i="3"/>
  <c r="O75" i="3"/>
  <c r="C76" i="3"/>
  <c r="D76" i="3"/>
  <c r="E76" i="3"/>
  <c r="H76" i="3"/>
  <c r="I76" i="3"/>
  <c r="K76" i="3"/>
  <c r="O76" i="3"/>
  <c r="C77" i="3"/>
  <c r="D77" i="3"/>
  <c r="E77" i="3"/>
  <c r="H77" i="3"/>
  <c r="I77" i="3"/>
  <c r="K77" i="3"/>
  <c r="O77" i="3"/>
  <c r="C78" i="3"/>
  <c r="D78" i="3"/>
  <c r="E78" i="3"/>
  <c r="H78" i="3"/>
  <c r="I78" i="3"/>
  <c r="K78" i="3"/>
  <c r="O78" i="3"/>
  <c r="C79" i="3"/>
  <c r="D79" i="3"/>
  <c r="E79" i="3"/>
  <c r="H79" i="3"/>
  <c r="I79" i="3"/>
  <c r="K79" i="3"/>
  <c r="O79" i="3"/>
  <c r="C80" i="3"/>
  <c r="D80" i="3"/>
  <c r="E80" i="3"/>
  <c r="H80" i="3"/>
  <c r="I80" i="3"/>
  <c r="K80" i="3"/>
  <c r="O80" i="3"/>
  <c r="C81" i="3"/>
  <c r="D81" i="3"/>
  <c r="E81" i="3"/>
  <c r="H81" i="3"/>
  <c r="I81" i="3"/>
  <c r="K81" i="3"/>
  <c r="O81" i="3"/>
  <c r="C82" i="3"/>
  <c r="D82" i="3"/>
  <c r="E82" i="3"/>
  <c r="H82" i="3"/>
  <c r="I82" i="3"/>
  <c r="K82" i="3"/>
  <c r="O82" i="3"/>
  <c r="C83" i="3"/>
  <c r="D83" i="3"/>
  <c r="E83" i="3"/>
  <c r="H83" i="3"/>
  <c r="I83" i="3"/>
  <c r="K83" i="3"/>
  <c r="O83" i="3"/>
  <c r="C84" i="3"/>
  <c r="D84" i="3"/>
  <c r="E84" i="3"/>
  <c r="H84" i="3"/>
  <c r="I84" i="3"/>
  <c r="K84" i="3"/>
  <c r="O84" i="3"/>
  <c r="C85" i="3"/>
  <c r="D85" i="3"/>
  <c r="E85" i="3"/>
  <c r="H85" i="3"/>
  <c r="I85" i="3"/>
  <c r="K85" i="3"/>
  <c r="O85" i="3"/>
  <c r="C86" i="3"/>
  <c r="D86" i="3"/>
  <c r="E86" i="3"/>
  <c r="H86" i="3"/>
  <c r="I86" i="3"/>
  <c r="K86" i="3"/>
  <c r="O86" i="3"/>
  <c r="B1" i="5"/>
  <c r="B2" i="5"/>
  <c r="B3" i="5"/>
  <c r="B5" i="5"/>
  <c r="B6" i="5"/>
  <c r="B9" i="5"/>
  <c r="B10" i="5"/>
  <c r="B11" i="5"/>
  <c r="B12" i="5"/>
  <c r="E13" i="5"/>
  <c r="A15" i="5"/>
  <c r="B15" i="5"/>
  <c r="A16" i="5"/>
  <c r="B16" i="5"/>
  <c r="A17" i="5"/>
  <c r="B17" i="5"/>
  <c r="A18" i="5"/>
  <c r="B18" i="5"/>
  <c r="B25" i="5"/>
  <c r="D25" i="5"/>
  <c r="E25" i="5"/>
  <c r="D26" i="5"/>
  <c r="E26" i="5"/>
  <c r="B27" i="5"/>
  <c r="D27" i="5"/>
  <c r="B31" i="5"/>
  <c r="D31" i="5"/>
  <c r="E31" i="5"/>
  <c r="C34" i="5"/>
  <c r="C38" i="5"/>
  <c r="C40" i="5"/>
  <c r="B1" i="8"/>
  <c r="B2" i="8"/>
  <c r="E3" i="8"/>
  <c r="B4" i="8"/>
  <c r="E4" i="8"/>
  <c r="B5" i="8"/>
  <c r="B8" i="8"/>
  <c r="E8" i="8"/>
  <c r="H8" i="8"/>
  <c r="B10" i="8"/>
  <c r="E10" i="8"/>
  <c r="H10" i="8"/>
  <c r="B11" i="8"/>
  <c r="E11" i="8"/>
  <c r="H11" i="8"/>
  <c r="E12" i="8"/>
  <c r="H12" i="8"/>
  <c r="B15" i="8"/>
  <c r="E15" i="8"/>
  <c r="H15" i="8"/>
  <c r="B17" i="8"/>
  <c r="E17" i="8"/>
  <c r="B18" i="8"/>
  <c r="E18" i="8"/>
  <c r="H18" i="8"/>
  <c r="H19" i="8"/>
  <c r="G24" i="8"/>
  <c r="B26" i="8"/>
  <c r="D26" i="8"/>
  <c r="E26" i="8"/>
  <c r="G26" i="8"/>
  <c r="B27" i="8"/>
  <c r="D27" i="8"/>
  <c r="E27" i="8"/>
  <c r="B28" i="8"/>
  <c r="D28" i="8"/>
  <c r="E28" i="8"/>
  <c r="B29" i="8"/>
  <c r="D29" i="8"/>
  <c r="E29" i="8"/>
  <c r="B30" i="8"/>
  <c r="D30" i="8"/>
  <c r="B31" i="8"/>
  <c r="D31" i="8"/>
  <c r="E31" i="8"/>
  <c r="B32" i="8"/>
  <c r="D32" i="8"/>
  <c r="B34" i="8"/>
  <c r="D34" i="8"/>
  <c r="E34" i="8"/>
  <c r="C37" i="8"/>
  <c r="D39" i="8"/>
  <c r="C43" i="8"/>
  <c r="C44" i="8"/>
  <c r="C46" i="8"/>
  <c r="C48" i="8"/>
  <c r="B2" i="4"/>
  <c r="B3" i="4"/>
  <c r="B4" i="4"/>
  <c r="D5" i="4"/>
  <c r="E5" i="4"/>
  <c r="B12" i="4"/>
  <c r="B13" i="4"/>
  <c r="Z13" i="4"/>
  <c r="Z14" i="4"/>
  <c r="Z15" i="4"/>
  <c r="Z16" i="4"/>
  <c r="M17" i="4"/>
  <c r="Z19" i="4"/>
  <c r="Z20" i="4"/>
  <c r="D27" i="4"/>
  <c r="E27" i="4"/>
  <c r="B28" i="4"/>
  <c r="D28" i="4"/>
  <c r="E28" i="4"/>
  <c r="G28" i="4"/>
  <c r="H28" i="4"/>
  <c r="I28" i="4"/>
  <c r="L28" i="4"/>
  <c r="Y28" i="4"/>
  <c r="B29" i="4"/>
  <c r="D29" i="4"/>
  <c r="E29" i="4"/>
  <c r="G29" i="4"/>
  <c r="H29" i="4"/>
  <c r="I29" i="4"/>
  <c r="L29" i="4"/>
  <c r="A30" i="4"/>
  <c r="D30" i="4"/>
  <c r="E30" i="4"/>
  <c r="G30" i="4"/>
  <c r="H30" i="4"/>
  <c r="I30" i="4"/>
  <c r="L30" i="4"/>
  <c r="D31" i="4"/>
  <c r="E31" i="4"/>
  <c r="G31" i="4"/>
  <c r="H31" i="4"/>
  <c r="I31" i="4"/>
  <c r="L31" i="4"/>
  <c r="D32" i="4"/>
  <c r="E32" i="4"/>
  <c r="H32" i="4"/>
  <c r="I32" i="4"/>
  <c r="L32" i="4"/>
  <c r="D33" i="4"/>
  <c r="E33" i="4"/>
  <c r="H33" i="4"/>
  <c r="I33" i="4"/>
  <c r="J33" i="4"/>
  <c r="L33" i="4"/>
  <c r="Y33" i="4"/>
  <c r="D34" i="4"/>
  <c r="E34" i="4"/>
  <c r="H34" i="4"/>
  <c r="I34" i="4"/>
  <c r="L34" i="4"/>
  <c r="E35" i="4"/>
  <c r="B36" i="4"/>
  <c r="D36" i="4"/>
  <c r="E36" i="4"/>
  <c r="H36" i="4"/>
  <c r="C38" i="4"/>
  <c r="D41" i="4"/>
  <c r="D42" i="4"/>
  <c r="D43" i="4"/>
  <c r="D44" i="4"/>
  <c r="D46" i="4"/>
  <c r="D48" i="4"/>
</calcChain>
</file>

<file path=xl/sharedStrings.xml><?xml version="1.0" encoding="utf-8"?>
<sst xmlns="http://schemas.openxmlformats.org/spreadsheetml/2006/main" count="313" uniqueCount="215">
  <si>
    <t>Transaction #</t>
  </si>
  <si>
    <t>Customer Px</t>
  </si>
  <si>
    <t>Tagg #</t>
  </si>
  <si>
    <t>Other Charge</t>
  </si>
  <si>
    <t>Xport Charge</t>
  </si>
  <si>
    <t>Phys Prem</t>
  </si>
  <si>
    <t>Sitara #</t>
  </si>
  <si>
    <t>Daily Vol</t>
  </si>
  <si>
    <t>Description</t>
  </si>
  <si>
    <t>R&amp;C</t>
  </si>
  <si>
    <t>Tx Coast R&amp;C supply</t>
  </si>
  <si>
    <t>Tx Coast Commercial</t>
  </si>
  <si>
    <t>Vidor</t>
  </si>
  <si>
    <t>So Tx R&amp;C</t>
  </si>
  <si>
    <t>See Detail</t>
  </si>
  <si>
    <t>I+.45</t>
  </si>
  <si>
    <t>I+.403</t>
  </si>
  <si>
    <t>S0926.1</t>
  </si>
  <si>
    <t>ES0926.1</t>
  </si>
  <si>
    <t>Detail</t>
  </si>
  <si>
    <t>EE7377.1</t>
  </si>
  <si>
    <t>E26107.2</t>
  </si>
  <si>
    <t>ES0923.1</t>
  </si>
  <si>
    <t>Term</t>
  </si>
  <si>
    <t>4/99-6/01</t>
  </si>
  <si>
    <t>4/99-9/99</t>
  </si>
  <si>
    <t>4/99-2/00</t>
  </si>
  <si>
    <t>S0628.1</t>
  </si>
  <si>
    <t>S0923.1</t>
  </si>
  <si>
    <t>Huntsville</t>
  </si>
  <si>
    <t>Conroe</t>
  </si>
  <si>
    <t>Woodlands</t>
  </si>
  <si>
    <t>up to 15,000</t>
  </si>
  <si>
    <t>up to 22,000</t>
  </si>
  <si>
    <t>up to 24,000</t>
  </si>
  <si>
    <t>4/99-3/06</t>
  </si>
  <si>
    <t>I+.45/.60*</t>
  </si>
  <si>
    <t>* Price is I+.45 until 7/01 and I+.60 thereafter</t>
  </si>
  <si>
    <t>Days</t>
  </si>
  <si>
    <t>Month</t>
  </si>
  <si>
    <t>Total Booked Trans #1-10</t>
  </si>
  <si>
    <t>Total Booked Trans #6,7,5</t>
  </si>
  <si>
    <t>70211*</t>
  </si>
  <si>
    <t>*70211 is the tkt for Huntsville vols where up to 15,000/d is priced at I+.45/.60.  Tagg #ES0923.1 aggregates these volumes with Conroe and the Woodlands.</t>
  </si>
  <si>
    <t>The Total aggregate volume is less than that of the deal volume b/c Entex is expected to pull much less than their max at this mtr (#0073).  Therefore each</t>
  </si>
  <si>
    <t xml:space="preserve"> tkt takes a percentage of the total risk assigned volume.  Total risk assigned volume is listed under the column heading ES0923.1</t>
  </si>
  <si>
    <t>70222*</t>
  </si>
  <si>
    <t>70235*</t>
  </si>
  <si>
    <t>(22000/(15000+24000+22000)) or 36.07%.</t>
  </si>
  <si>
    <t xml:space="preserve">**70222 is the Conroe portion of the above where up to 20,000/d is priced at I+.45/.60.  The conroe portion of risk assigned volumes is </t>
  </si>
  <si>
    <t>***70235 is the Woodlands portion of the above volume where up to 24,000/d is priced at I+.45/.60.  The Woodlands portion of risk assigned volumes(ES0923.1)</t>
  </si>
  <si>
    <t>is (24000/15000+24000+22000)) or 39.344%.</t>
  </si>
  <si>
    <t>The Huntsville portion of this volume is (15000/(15000+24000+22000)) or 24.59%.</t>
  </si>
  <si>
    <t xml:space="preserve"> 70201*</t>
  </si>
  <si>
    <t>Trans #</t>
  </si>
  <si>
    <t>2-5,7</t>
  </si>
  <si>
    <t>Transactions #6 and 5 have an aggregate risk assigned volume of 30,000/d.  This number has been split out between two counterparties - Entex (#6) and Unit (#5).</t>
  </si>
  <si>
    <t>See Dtl</t>
  </si>
  <si>
    <t>ES0628.1</t>
  </si>
  <si>
    <t>I+.769/.60</t>
  </si>
  <si>
    <t>Angelina Co. R&amp;C</t>
  </si>
  <si>
    <t>up to 14,000</t>
  </si>
  <si>
    <t>4/99-3/07</t>
  </si>
  <si>
    <t>Meter #</t>
  </si>
  <si>
    <t>All mtrs below</t>
  </si>
  <si>
    <t>5792,7107,7108,7109</t>
  </si>
  <si>
    <t>Unit Gas Enfolio</t>
  </si>
  <si>
    <t>up to 70,000</t>
  </si>
  <si>
    <t>up to 8,000</t>
  </si>
  <si>
    <t>Entex Industrial Enfolio</t>
  </si>
  <si>
    <t>Angelina Co. Industrial</t>
  </si>
  <si>
    <t>ES7405.1</t>
  </si>
  <si>
    <t>ES7400.1</t>
  </si>
  <si>
    <t>7107,7108,7109</t>
  </si>
  <si>
    <t>None</t>
  </si>
  <si>
    <t>I-.12</t>
  </si>
  <si>
    <t>1st 30/d I-.07, remainder I+.05</t>
  </si>
  <si>
    <t>Transport is withheld and accrued in winter mos at following rates</t>
  </si>
  <si>
    <t>Excess Vols from Transactions #2-9 Roll up to Trans #1</t>
  </si>
  <si>
    <t>Global #</t>
  </si>
  <si>
    <t>Synergi #</t>
  </si>
  <si>
    <t>Overflow**</t>
  </si>
  <si>
    <t>** Removed 10,000/d from risk assigned vols on 3/24/99 b/c ECT buys a put from Entex for floor on this vol.  This new ticket number is 70860.</t>
  </si>
  <si>
    <t>ES0926.1,   ES0628.1, ES0923.1</t>
  </si>
  <si>
    <t>Trans #7</t>
  </si>
  <si>
    <t>Overflow/d</t>
  </si>
  <si>
    <t>16-91000-303</t>
  </si>
  <si>
    <t>16-41991-301</t>
  </si>
  <si>
    <t>2000,1046,1195</t>
  </si>
  <si>
    <t>Vol/d</t>
  </si>
  <si>
    <t>Total Index</t>
  </si>
  <si>
    <t>Sitara Vols</t>
  </si>
  <si>
    <t>Index</t>
  </si>
  <si>
    <t>Mid</t>
  </si>
  <si>
    <t>Booked Phys Prem</t>
  </si>
  <si>
    <t>Fixed Price</t>
  </si>
  <si>
    <t>Actual Vols</t>
  </si>
  <si>
    <t>OA Matrix</t>
  </si>
  <si>
    <t>Flash</t>
  </si>
  <si>
    <t>Actual</t>
  </si>
  <si>
    <t>Liquidations</t>
  </si>
  <si>
    <t>Total Fixed</t>
  </si>
  <si>
    <t>Totals</t>
  </si>
  <si>
    <t>OA</t>
  </si>
  <si>
    <t>Desk Price Adjustment</t>
  </si>
  <si>
    <t>Conroe, Huntsville, Woodlands</t>
  </si>
  <si>
    <t>In DD/MM/YY Format</t>
  </si>
  <si>
    <t>Huntsville(70211)</t>
  </si>
  <si>
    <t>Conroe(70222)</t>
  </si>
  <si>
    <t>Woodlands(70235)</t>
  </si>
  <si>
    <t>Deal #</t>
  </si>
  <si>
    <t>Cust Px</t>
  </si>
  <si>
    <t>EV1565.1</t>
  </si>
  <si>
    <t>Rate</t>
  </si>
  <si>
    <t>Other Adder</t>
  </si>
  <si>
    <t>Transport Adder</t>
  </si>
  <si>
    <t>in order to ensure accurate OA figure</t>
  </si>
  <si>
    <t>The model is fairly simple to use.</t>
  </si>
  <si>
    <r>
      <t xml:space="preserve">The </t>
    </r>
    <r>
      <rPr>
        <sz val="10"/>
        <color indexed="10"/>
        <rFont val="Arial"/>
        <family val="2"/>
      </rPr>
      <t/>
    </r>
  </si>
  <si>
    <t>yellow</t>
  </si>
  <si>
    <t>fields</t>
  </si>
  <si>
    <t xml:space="preserve">red </t>
  </si>
  <si>
    <t>fields are fixed and will update automatically based on the month</t>
  </si>
  <si>
    <t>Vol/mo</t>
  </si>
  <si>
    <t xml:space="preserve">All Vols on </t>
  </si>
  <si>
    <t>Meter #0073</t>
  </si>
  <si>
    <t>Get a vol expectation for meter #0073</t>
  </si>
  <si>
    <t>DO NOT REMOVE THESE FIELDS</t>
  </si>
  <si>
    <t>Invoice</t>
  </si>
  <si>
    <t>Estimate</t>
  </si>
  <si>
    <t>1)</t>
  </si>
  <si>
    <t>2)</t>
  </si>
  <si>
    <t>Total Entex Residential and Commercial Vols</t>
  </si>
  <si>
    <t>Should Equal Actuals</t>
  </si>
  <si>
    <t>Net Impact to the NGP&amp;L</t>
  </si>
  <si>
    <t>- The problem areas for this deal are mostly driven by volume.</t>
  </si>
  <si>
    <t>- Entex will always create a variance b/c of the volume booked in TAGG as compare w/ actual volumes.  Entex has huge swing capability therefore</t>
  </si>
  <si>
    <t>- the booked volumes are only approximations based on historical pulls.</t>
  </si>
  <si>
    <t>- A second problem area is created by the "up to" volumes on meter 0073 (Conroe, Huntsville, Woodlands)</t>
  </si>
  <si>
    <t>- a negative variance will be created ( due to the difference in price on 0073 vols and excess vols) and vice versa.</t>
  </si>
  <si>
    <t xml:space="preserve">Input values in the </t>
  </si>
  <si>
    <t>Desk Mgmt Fee ES2206.4,ES8053.4,ET5235.5,E30588.3</t>
  </si>
  <si>
    <t>Liquidation on additional premium for fixed price tiers</t>
  </si>
  <si>
    <t>ES2026.1</t>
  </si>
  <si>
    <t>Unit Gas Transmission</t>
  </si>
  <si>
    <t>16-91000-301</t>
  </si>
  <si>
    <t>E05228.1</t>
  </si>
  <si>
    <t>I-.07</t>
  </si>
  <si>
    <t>3/96-6/01</t>
  </si>
  <si>
    <t>Additional Unit Gas Deals that were not encompassed by new deal</t>
  </si>
  <si>
    <t>vol/d</t>
  </si>
  <si>
    <t>Desk Price</t>
  </si>
  <si>
    <t>Obtain these vols from Economics Detail or Logistics</t>
  </si>
  <si>
    <t>NOTE: If you insert any columns on the 1-10 vols sheet or the 6,7,5 vols sheet the model will be thrown off.</t>
  </si>
  <si>
    <t>Trans # 6 and 5 S7405.1</t>
  </si>
  <si>
    <t>Trans # 7 S7400.1</t>
  </si>
  <si>
    <t>Phys Prem.</t>
  </si>
  <si>
    <t>Accrual Items</t>
  </si>
  <si>
    <t>Trans #5,6</t>
  </si>
  <si>
    <t>Trans # 5,6</t>
  </si>
  <si>
    <t>Trans # 7</t>
  </si>
  <si>
    <t>HSC Index</t>
  </si>
  <si>
    <t>HSC mid</t>
  </si>
  <si>
    <t>Booked Volume</t>
  </si>
  <si>
    <t>Actual Volume</t>
  </si>
  <si>
    <t>Customer Price</t>
  </si>
  <si>
    <t>Volume</t>
  </si>
  <si>
    <t>Adjustment/MMBTU</t>
  </si>
  <si>
    <t>DO NOT INCLUDE INDUSTRIAL VOLUMES</t>
  </si>
  <si>
    <t xml:space="preserve">Include Huntsville, </t>
  </si>
  <si>
    <t>Conroe, Woodlands.</t>
  </si>
  <si>
    <t>Sitara ticket</t>
  </si>
  <si>
    <t>70495, 81540</t>
  </si>
  <si>
    <t>70495,70499</t>
  </si>
  <si>
    <t>Nominal PX</t>
  </si>
  <si>
    <t>Variance ID:</t>
  </si>
  <si>
    <t>HWC Actual&gt;Firm</t>
  </si>
  <si>
    <t>Net Impact to P&amp;L</t>
  </si>
  <si>
    <t>- this meter will always cause a variance once again b/c of the bookings in TAGG.  If Entex pulls more than booked in TAGG at this meter</t>
  </si>
  <si>
    <t>Total Flashed</t>
  </si>
  <si>
    <t>Total Actuals</t>
  </si>
  <si>
    <t>UA4 Rate</t>
  </si>
  <si>
    <t>Sitara# 72063</t>
  </si>
  <si>
    <t>Sitara# 78418</t>
  </si>
  <si>
    <t>Sitara# 60952</t>
  </si>
  <si>
    <t>Actuals</t>
  </si>
  <si>
    <t>Flashed Vol</t>
  </si>
  <si>
    <t>Booked Vol</t>
  </si>
  <si>
    <t>Desk PX</t>
  </si>
  <si>
    <t>Customer PX</t>
  </si>
  <si>
    <t>Sitara#70119</t>
  </si>
  <si>
    <t>Sitara# 78417</t>
  </si>
  <si>
    <t>Sitara#70114</t>
  </si>
  <si>
    <t>Actual Flash</t>
  </si>
  <si>
    <t>Total Invoice</t>
  </si>
  <si>
    <t>UA4</t>
  </si>
  <si>
    <t>TOTAL ENTEX EFFECT TO NGP&amp;L</t>
  </si>
  <si>
    <t xml:space="preserve">   Actuals&lt;Firm</t>
  </si>
  <si>
    <t xml:space="preserve">   UA4</t>
  </si>
  <si>
    <t xml:space="preserve">   Actuals&gt;Firm</t>
  </si>
  <si>
    <t>Desk Mgmt Fee</t>
  </si>
  <si>
    <t>Trans #10 does not roll up to #1</t>
  </si>
  <si>
    <t>E10708.2</t>
  </si>
  <si>
    <t>E27383.1</t>
  </si>
  <si>
    <t>E19854.1</t>
  </si>
  <si>
    <t>E50439.1</t>
  </si>
  <si>
    <t>Estimated in 7/99-8/99 P&amp;L, 10/99</t>
  </si>
  <si>
    <t>Total Booked</t>
  </si>
  <si>
    <t>Greatwood EN28161.1</t>
  </si>
  <si>
    <t>Desk Management Fee</t>
  </si>
  <si>
    <t>Actual&lt;Firm</t>
  </si>
  <si>
    <t>Option</t>
  </si>
  <si>
    <t>70549 Transport</t>
  </si>
  <si>
    <t>Input vols from 70549</t>
  </si>
  <si>
    <t>Fixed Price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</si>
</sst>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00##"/>
    <numFmt numFmtId="169" formatCode="\9\600####"/>
    <numFmt numFmtId="171" formatCode="###\-\4\1\9\9\1\-###"/>
    <numFmt numFmtId="173" formatCode="\9\60\1####"/>
    <numFmt numFmtId="174" formatCode="###\-\9\1000\-###"/>
    <numFmt numFmtId="175" formatCode="0.0000"/>
    <numFmt numFmtId="176" formatCode="\I\+&quot;$&quot;0.###"/>
    <numFmt numFmtId="178" formatCode="&quot;$&quot;#,##0.000_);\(&quot;$&quot;#,##0.000\)"/>
    <numFmt numFmtId="183" formatCode="&quot;$&quot;#,##0.0000_);\(&quot;$&quot;#,##0.0000\)"/>
    <numFmt numFmtId="184" formatCode="&quot;$&quot;#,##0"/>
    <numFmt numFmtId="186" formatCode="&quot;$&quot;#,##0.000"/>
    <numFmt numFmtId="187" formatCode="&quot;$&quot;#,##0.00"/>
    <numFmt numFmtId="188" formatCode="&quot;$&quot;#,##0.0000"/>
    <numFmt numFmtId="190" formatCode="_(* #,##0.00000_);_(* \(#,##0.00000\);_(* &quot;-&quot;??_);_(@_)"/>
    <numFmt numFmtId="195" formatCode="&quot;$&quot;#,##0.000000_);[Red]\(&quot;$&quot;#,##0.0000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50"/>
      <name val="Arial"/>
      <family val="2"/>
    </font>
    <font>
      <sz val="10"/>
      <color indexed="51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 applyAlignment="1">
      <alignment horizontal="center" wrapText="1"/>
    </xf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69" fontId="3" fillId="0" borderId="0" xfId="0" applyNumberFormat="1" applyFont="1" applyAlignment="1">
      <alignment horizontal="center" wrapText="1"/>
    </xf>
    <xf numFmtId="171" fontId="3" fillId="0" borderId="0" xfId="0" applyNumberFormat="1" applyFont="1" applyAlignment="1">
      <alignment horizontal="center" wrapText="1"/>
    </xf>
    <xf numFmtId="173" fontId="3" fillId="0" borderId="0" xfId="0" applyNumberFormat="1" applyFont="1" applyAlignment="1">
      <alignment horizontal="center" wrapText="1"/>
    </xf>
    <xf numFmtId="173" fontId="3" fillId="0" borderId="4" xfId="0" applyNumberFormat="1" applyFont="1" applyBorder="1" applyAlignment="1">
      <alignment horizontal="center" wrapText="1"/>
    </xf>
    <xf numFmtId="171" fontId="3" fillId="0" borderId="4" xfId="0" applyNumberFormat="1" applyFont="1" applyBorder="1" applyAlignment="1">
      <alignment horizontal="center" wrapText="1"/>
    </xf>
    <xf numFmtId="17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173" fontId="3" fillId="0" borderId="0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171" fontId="3" fillId="0" borderId="0" xfId="0" applyNumberFormat="1" applyFont="1" applyBorder="1" applyAlignment="1">
      <alignment horizontal="center" wrapText="1"/>
    </xf>
    <xf numFmtId="3" fontId="0" fillId="0" borderId="0" xfId="0" applyNumberFormat="1"/>
    <xf numFmtId="44" fontId="2" fillId="2" borderId="1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44" fontId="2" fillId="0" borderId="0" xfId="0" applyNumberFormat="1" applyFont="1" applyFill="1" applyBorder="1" applyAlignment="1">
      <alignment horizontal="center" wrapText="1"/>
    </xf>
    <xf numFmtId="166" fontId="0" fillId="0" borderId="0" xfId="1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5" fontId="0" fillId="0" borderId="0" xfId="0" applyNumberFormat="1"/>
    <xf numFmtId="5" fontId="0" fillId="0" borderId="0" xfId="0" applyNumberFormat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7" fontId="0" fillId="0" borderId="0" xfId="0" applyNumberFormat="1"/>
    <xf numFmtId="6" fontId="0" fillId="0" borderId="0" xfId="0" applyNumberFormat="1"/>
    <xf numFmtId="37" fontId="0" fillId="0" borderId="0" xfId="0" applyNumberFormat="1" applyBorder="1"/>
    <xf numFmtId="5" fontId="0" fillId="0" borderId="0" xfId="0" applyNumberFormat="1" applyBorder="1"/>
    <xf numFmtId="7" fontId="0" fillId="0" borderId="0" xfId="0" applyNumberFormat="1" applyBorder="1"/>
    <xf numFmtId="3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3" fontId="0" fillId="0" borderId="0" xfId="1" applyNumberFormat="1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6" fontId="0" fillId="0" borderId="0" xfId="0" applyNumberFormat="1" applyBorder="1"/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5" fontId="2" fillId="5" borderId="3" xfId="0" applyNumberFormat="1" applyFont="1" applyFill="1" applyBorder="1" applyAlignment="1">
      <alignment horizontal="center"/>
    </xf>
    <xf numFmtId="0" fontId="11" fillId="0" borderId="0" xfId="0" applyFont="1"/>
    <xf numFmtId="37" fontId="2" fillId="7" borderId="1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0" fillId="5" borderId="6" xfId="0" applyFill="1" applyBorder="1"/>
    <xf numFmtId="5" fontId="0" fillId="5" borderId="0" xfId="0" applyNumberForma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4" xfId="0" applyFill="1" applyBorder="1"/>
    <xf numFmtId="0" fontId="0" fillId="5" borderId="7" xfId="0" applyFill="1" applyBorder="1"/>
    <xf numFmtId="5" fontId="0" fillId="5" borderId="4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17" fontId="2" fillId="6" borderId="6" xfId="0" applyNumberFormat="1" applyFont="1" applyFill="1" applyBorder="1" applyAlignment="1">
      <alignment horizontal="center"/>
    </xf>
    <xf numFmtId="17" fontId="2" fillId="6" borderId="7" xfId="0" applyNumberFormat="1" applyFont="1" applyFill="1" applyBorder="1" applyAlignment="1">
      <alignment horizontal="center"/>
    </xf>
    <xf numFmtId="37" fontId="2" fillId="5" borderId="8" xfId="0" applyNumberFormat="1" applyFont="1" applyFill="1" applyBorder="1"/>
    <xf numFmtId="0" fontId="0" fillId="5" borderId="9" xfId="0" applyFill="1" applyBorder="1"/>
    <xf numFmtId="37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5" fontId="0" fillId="5" borderId="6" xfId="0" applyNumberFormat="1" applyFill="1" applyBorder="1"/>
    <xf numFmtId="7" fontId="0" fillId="5" borderId="6" xfId="0" applyNumberFormat="1" applyFill="1" applyBorder="1"/>
    <xf numFmtId="0" fontId="2" fillId="5" borderId="0" xfId="0" applyFont="1" applyFill="1" applyBorder="1"/>
    <xf numFmtId="0" fontId="2" fillId="5" borderId="6" xfId="0" applyFont="1" applyFill="1" applyBorder="1"/>
    <xf numFmtId="0" fontId="0" fillId="5" borderId="12" xfId="0" applyFill="1" applyBorder="1"/>
    <xf numFmtId="0" fontId="2" fillId="5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76" fontId="0" fillId="5" borderId="6" xfId="0" applyNumberFormat="1" applyFill="1" applyBorder="1" applyAlignment="1">
      <alignment horizontal="center"/>
    </xf>
    <xf numFmtId="178" fontId="0" fillId="5" borderId="6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76" fontId="0" fillId="5" borderId="7" xfId="0" applyNumberFormat="1" applyFill="1" applyBorder="1" applyAlignment="1">
      <alignment horizontal="center"/>
    </xf>
    <xf numFmtId="37" fontId="0" fillId="5" borderId="14" xfId="0" applyNumberForma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37" fontId="0" fillId="5" borderId="16" xfId="0" applyNumberFormat="1" applyFill="1" applyBorder="1" applyAlignment="1">
      <alignment horizontal="center"/>
    </xf>
    <xf numFmtId="37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quotePrefix="1"/>
    <xf numFmtId="0" fontId="11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84" fontId="2" fillId="2" borderId="1" xfId="0" applyNumberFormat="1" applyFont="1" applyFill="1" applyBorder="1" applyAlignment="1">
      <alignment horizontal="center" wrapText="1"/>
    </xf>
    <xf numFmtId="184" fontId="0" fillId="0" borderId="0" xfId="0" applyNumberFormat="1" applyAlignment="1">
      <alignment horizontal="center"/>
    </xf>
    <xf numFmtId="5" fontId="0" fillId="5" borderId="6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86" fontId="2" fillId="4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3" fontId="10" fillId="0" borderId="0" xfId="0" applyNumberFormat="1" applyFont="1" applyAlignment="1">
      <alignment horizontal="center"/>
    </xf>
    <xf numFmtId="7" fontId="0" fillId="0" borderId="0" xfId="1" applyNumberFormat="1" applyFont="1" applyBorder="1" applyAlignment="1">
      <alignment horizontal="center"/>
    </xf>
    <xf numFmtId="183" fontId="0" fillId="0" borderId="0" xfId="0" applyNumberFormat="1"/>
    <xf numFmtId="178" fontId="2" fillId="4" borderId="1" xfId="0" applyNumberFormat="1" applyFont="1" applyFill="1" applyBorder="1" applyAlignment="1">
      <alignment horizontal="center"/>
    </xf>
    <xf numFmtId="183" fontId="2" fillId="4" borderId="1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5" borderId="9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6" fontId="0" fillId="5" borderId="6" xfId="0" applyNumberFormat="1" applyFill="1" applyBorder="1" applyAlignment="1">
      <alignment horizontal="center"/>
    </xf>
    <xf numFmtId="6" fontId="0" fillId="5" borderId="7" xfId="0" applyNumberFormat="1" applyFill="1" applyBorder="1" applyAlignment="1">
      <alignment horizontal="center"/>
    </xf>
    <xf numFmtId="0" fontId="2" fillId="5" borderId="12" xfId="0" applyFont="1" applyFill="1" applyBorder="1"/>
    <xf numFmtId="0" fontId="12" fillId="0" borderId="0" xfId="0" applyFon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0" fillId="0" borderId="0" xfId="0" quotePrefix="1" applyFont="1" applyAlignment="1">
      <alignment horizontal="center" wrapText="1"/>
    </xf>
    <xf numFmtId="178" fontId="0" fillId="5" borderId="14" xfId="0" applyNumberFormat="1" applyFill="1" applyBorder="1" applyAlignment="1">
      <alignment horizontal="center"/>
    </xf>
    <xf numFmtId="43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3" xfId="0" quotePrefix="1" applyBorder="1" applyAlignment="1">
      <alignment horizontal="center" wrapText="1"/>
    </xf>
    <xf numFmtId="187" fontId="0" fillId="0" borderId="0" xfId="0" applyNumberFormat="1"/>
    <xf numFmtId="178" fontId="0" fillId="0" borderId="0" xfId="0" applyNumberFormat="1"/>
    <xf numFmtId="17" fontId="2" fillId="3" borderId="1" xfId="0" applyNumberFormat="1" applyFont="1" applyFill="1" applyBorder="1" applyAlignment="1" applyProtection="1">
      <alignment horizontal="center"/>
      <protection locked="0"/>
    </xf>
    <xf numFmtId="3" fontId="2" fillId="3" borderId="1" xfId="0" applyNumberFormat="1" applyFont="1" applyFill="1" applyBorder="1" applyAlignment="1" applyProtection="1">
      <alignment horizontal="center"/>
      <protection locked="0"/>
    </xf>
    <xf numFmtId="186" fontId="2" fillId="3" borderId="1" xfId="0" applyNumberFormat="1" applyFont="1" applyFill="1" applyBorder="1" applyAlignment="1" applyProtection="1">
      <alignment horizontal="center"/>
      <protection locked="0"/>
    </xf>
    <xf numFmtId="188" fontId="2" fillId="3" borderId="1" xfId="0" applyNumberFormat="1" applyFont="1" applyFill="1" applyBorder="1" applyAlignment="1" applyProtection="1">
      <alignment horizontal="center"/>
      <protection locked="0"/>
    </xf>
    <xf numFmtId="178" fontId="2" fillId="3" borderId="14" xfId="0" applyNumberFormat="1" applyFont="1" applyFill="1" applyBorder="1" applyAlignment="1" applyProtection="1">
      <alignment horizontal="center"/>
      <protection locked="0"/>
    </xf>
    <xf numFmtId="183" fontId="2" fillId="3" borderId="1" xfId="0" applyNumberFormat="1" applyFont="1" applyFill="1" applyBorder="1" applyAlignment="1" applyProtection="1">
      <alignment horizontal="center"/>
      <protection locked="0"/>
    </xf>
    <xf numFmtId="5" fontId="2" fillId="5" borderId="5" xfId="0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4" xfId="0" applyNumberFormat="1" applyBorder="1" applyAlignment="1">
      <alignment horizontal="center"/>
    </xf>
    <xf numFmtId="5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5" fontId="0" fillId="0" borderId="4" xfId="0" applyNumberFormat="1" applyBorder="1" applyAlignment="1">
      <alignment horizontal="center"/>
    </xf>
    <xf numFmtId="5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78" fontId="2" fillId="3" borderId="14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188" fontId="2" fillId="3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5" fontId="2" fillId="4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6" fontId="0" fillId="0" borderId="8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188" fontId="2" fillId="4" borderId="1" xfId="0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90" fontId="0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95" fontId="0" fillId="0" borderId="0" xfId="0" applyNumberFormat="1"/>
    <xf numFmtId="166" fontId="0" fillId="0" borderId="0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5" fontId="0" fillId="5" borderId="1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5" fontId="2" fillId="4" borderId="12" xfId="0" applyNumberFormat="1" applyFont="1" applyFill="1" applyBorder="1" applyAlignment="1">
      <alignment horizontal="center"/>
    </xf>
    <xf numFmtId="5" fontId="2" fillId="4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5" fontId="0" fillId="5" borderId="6" xfId="0" applyNumberFormat="1" applyFill="1" applyBorder="1" applyAlignment="1">
      <alignment horizontal="center"/>
    </xf>
    <xf numFmtId="5" fontId="2" fillId="5" borderId="2" xfId="0" applyNumberFormat="1" applyFont="1" applyFill="1" applyBorder="1" applyAlignment="1">
      <alignment horizontal="center"/>
    </xf>
    <xf numFmtId="5" fontId="2" fillId="5" borderId="5" xfId="0" applyNumberFormat="1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5" fontId="2" fillId="4" borderId="2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5" fontId="0" fillId="5" borderId="0" xfId="0" applyNumberFormat="1" applyFill="1" applyBorder="1" applyAlignment="1">
      <alignment horizontal="center"/>
    </xf>
    <xf numFmtId="5" fontId="0" fillId="5" borderId="4" xfId="0" applyNumberFormat="1" applyFill="1" applyBorder="1" applyAlignment="1">
      <alignment horizontal="center"/>
    </xf>
    <xf numFmtId="5" fontId="0" fillId="5" borderId="7" xfId="0" applyNumberFormat="1" applyFill="1" applyBorder="1" applyAlignment="1">
      <alignment horizontal="center"/>
    </xf>
    <xf numFmtId="5" fontId="0" fillId="5" borderId="3" xfId="0" applyNumberForma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2</xdr:col>
      <xdr:colOff>0</xdr:colOff>
      <xdr:row>7</xdr:row>
      <xdr:rowOff>144780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158240" y="815340"/>
          <a:ext cx="419100" cy="861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7</xdr:row>
      <xdr:rowOff>457200</xdr:rowOff>
    </xdr:from>
    <xdr:to>
      <xdr:col>1</xdr:col>
      <xdr:colOff>373380</xdr:colOff>
      <xdr:row>9</xdr:row>
      <xdr:rowOff>228600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 flipV="1">
          <a:off x="1165860" y="1988820"/>
          <a:ext cx="36576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99060</xdr:rowOff>
    </xdr:from>
    <xdr:to>
      <xdr:col>4</xdr:col>
      <xdr:colOff>365760</xdr:colOff>
      <xdr:row>0</xdr:row>
      <xdr:rowOff>99060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>
          <a:off x="2141220" y="99060"/>
          <a:ext cx="2202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16</xdr:row>
      <xdr:rowOff>53340</xdr:rowOff>
    </xdr:from>
    <xdr:to>
      <xdr:col>2</xdr:col>
      <xdr:colOff>541020</xdr:colOff>
      <xdr:row>17</xdr:row>
      <xdr:rowOff>45720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2072640" y="2689860"/>
          <a:ext cx="4953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495300</xdr:colOff>
      <xdr:row>18</xdr:row>
      <xdr:rowOff>129540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V="1">
          <a:off x="2103120" y="2918460"/>
          <a:ext cx="41910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160020</xdr:colOff>
      <xdr:row>5</xdr:row>
      <xdr:rowOff>99060</xdr:rowOff>
    </xdr:from>
    <xdr:to>
      <xdr:col>4</xdr:col>
      <xdr:colOff>365760</xdr:colOff>
      <xdr:row>5</xdr:row>
      <xdr:rowOff>99060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H="1">
          <a:off x="2186940" y="937260"/>
          <a:ext cx="2156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19</xdr:row>
      <xdr:rowOff>30480</xdr:rowOff>
    </xdr:from>
    <xdr:to>
      <xdr:col>0</xdr:col>
      <xdr:colOff>640080</xdr:colOff>
      <xdr:row>20</xdr:row>
      <xdr:rowOff>106680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V="1">
          <a:off x="640080" y="31623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769620</xdr:colOff>
      <xdr:row>31</xdr:row>
      <xdr:rowOff>160020</xdr:rowOff>
    </xdr:from>
    <xdr:to>
      <xdr:col>6</xdr:col>
      <xdr:colOff>304800</xdr:colOff>
      <xdr:row>38</xdr:row>
      <xdr:rowOff>45720</xdr:rowOff>
    </xdr:to>
    <xdr:sp macro="" textlink="">
      <xdr:nvSpPr>
        <xdr:cNvPr id="3086" name="Line 14"/>
        <xdr:cNvSpPr>
          <a:spLocks noChangeShapeType="1"/>
        </xdr:cNvSpPr>
      </xdr:nvSpPr>
      <xdr:spPr bwMode="auto">
        <a:xfrm flipH="1" flipV="1">
          <a:off x="4747260" y="5212080"/>
          <a:ext cx="99060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411480</xdr:colOff>
      <xdr:row>5</xdr:row>
      <xdr:rowOff>121920</xdr:rowOff>
    </xdr:from>
    <xdr:to>
      <xdr:col>9</xdr:col>
      <xdr:colOff>739140</xdr:colOff>
      <xdr:row>5</xdr:row>
      <xdr:rowOff>121920</xdr:rowOff>
    </xdr:to>
    <xdr:sp macro="" textlink="">
      <xdr:nvSpPr>
        <xdr:cNvPr id="3104" name="Line 32"/>
        <xdr:cNvSpPr>
          <a:spLocks noChangeShapeType="1"/>
        </xdr:cNvSpPr>
      </xdr:nvSpPr>
      <xdr:spPr bwMode="auto">
        <a:xfrm>
          <a:off x="7726680" y="960120"/>
          <a:ext cx="327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632460</xdr:colOff>
      <xdr:row>26</xdr:row>
      <xdr:rowOff>121920</xdr:rowOff>
    </xdr:from>
    <xdr:to>
      <xdr:col>6</xdr:col>
      <xdr:colOff>7620</xdr:colOff>
      <xdr:row>40</xdr:row>
      <xdr:rowOff>7620</xdr:rowOff>
    </xdr:to>
    <xdr:sp macro="" textlink="">
      <xdr:nvSpPr>
        <xdr:cNvPr id="3107" name="Line 35"/>
        <xdr:cNvSpPr>
          <a:spLocks noChangeShapeType="1"/>
        </xdr:cNvSpPr>
      </xdr:nvSpPr>
      <xdr:spPr bwMode="auto">
        <a:xfrm flipH="1" flipV="1">
          <a:off x="4610100" y="4335780"/>
          <a:ext cx="830580" cy="2247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601980</xdr:colOff>
      <xdr:row>30</xdr:row>
      <xdr:rowOff>0</xdr:rowOff>
    </xdr:from>
    <xdr:to>
      <xdr:col>0</xdr:col>
      <xdr:colOff>601980</xdr:colOff>
      <xdr:row>31</xdr:row>
      <xdr:rowOff>60960</xdr:rowOff>
    </xdr:to>
    <xdr:sp macro="" textlink="">
      <xdr:nvSpPr>
        <xdr:cNvPr id="3108" name="Line 36"/>
        <xdr:cNvSpPr>
          <a:spLocks noChangeShapeType="1"/>
        </xdr:cNvSpPr>
      </xdr:nvSpPr>
      <xdr:spPr bwMode="auto">
        <a:xfrm flipV="1">
          <a:off x="601980" y="488442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6"/>
  <sheetViews>
    <sheetView topLeftCell="D1" workbookViewId="0">
      <selection activeCell="J6" sqref="J6:J7"/>
    </sheetView>
  </sheetViews>
  <sheetFormatPr defaultRowHeight="13.2" x14ac:dyDescent="0.25"/>
  <cols>
    <col min="1" max="1" width="16.88671875" customWidth="1"/>
    <col min="2" max="2" width="6.109375" customWidth="1"/>
    <col min="3" max="3" width="13.5546875" customWidth="1"/>
    <col min="4" max="4" width="20.44140625" customWidth="1"/>
    <col min="5" max="5" width="7.5546875" customWidth="1"/>
    <col min="6" max="6" width="12.33203125" customWidth="1"/>
    <col min="7" max="7" width="9.6640625" customWidth="1"/>
    <col min="8" max="8" width="12.109375" bestFit="1" customWidth="1"/>
    <col min="9" max="9" width="7.88671875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16" ht="28.5" customHeight="1" x14ac:dyDescent="0.25">
      <c r="C1" s="44" t="s">
        <v>0</v>
      </c>
      <c r="D1" s="44" t="s">
        <v>8</v>
      </c>
      <c r="E1" s="45" t="s">
        <v>7</v>
      </c>
      <c r="F1" s="45" t="s">
        <v>23</v>
      </c>
      <c r="G1" s="45" t="s">
        <v>79</v>
      </c>
      <c r="H1" s="45" t="s">
        <v>80</v>
      </c>
      <c r="I1" s="44" t="s">
        <v>6</v>
      </c>
      <c r="J1" s="44" t="s">
        <v>2</v>
      </c>
      <c r="K1" s="44" t="s">
        <v>63</v>
      </c>
      <c r="L1" s="45" t="s">
        <v>5</v>
      </c>
      <c r="M1" s="45" t="s">
        <v>3</v>
      </c>
      <c r="N1" s="45" t="s">
        <v>4</v>
      </c>
      <c r="O1" s="45" t="s">
        <v>1</v>
      </c>
    </row>
    <row r="2" spans="1:16" s="28" customFormat="1" ht="26.4" x14ac:dyDescent="0.25">
      <c r="C2" s="6">
        <v>1</v>
      </c>
      <c r="D2" s="52" t="s">
        <v>81</v>
      </c>
      <c r="E2" s="27" t="s">
        <v>57</v>
      </c>
      <c r="F2" s="27" t="s">
        <v>35</v>
      </c>
      <c r="G2" s="48">
        <v>9120</v>
      </c>
      <c r="H2" s="47">
        <v>16301</v>
      </c>
      <c r="I2" s="35">
        <v>87513</v>
      </c>
      <c r="J2" s="7" t="s">
        <v>58</v>
      </c>
      <c r="K2" s="31" t="s">
        <v>64</v>
      </c>
      <c r="L2" s="29"/>
      <c r="M2" s="27">
        <v>0.06</v>
      </c>
      <c r="N2" s="27" t="s">
        <v>14</v>
      </c>
      <c r="O2" s="27" t="s">
        <v>59</v>
      </c>
    </row>
    <row r="3" spans="1:16" x14ac:dyDescent="0.25">
      <c r="C3" s="6">
        <v>2</v>
      </c>
      <c r="D3" t="s">
        <v>9</v>
      </c>
      <c r="E3" s="4">
        <v>5000</v>
      </c>
      <c r="F3" s="4" t="s">
        <v>25</v>
      </c>
      <c r="G3" s="48">
        <v>9120</v>
      </c>
      <c r="H3" s="47">
        <v>16301</v>
      </c>
      <c r="I3" s="12">
        <v>70201</v>
      </c>
      <c r="J3" s="4" t="s">
        <v>20</v>
      </c>
      <c r="K3" s="4">
        <v>2000</v>
      </c>
      <c r="L3" s="4"/>
      <c r="M3" s="4">
        <v>0.06</v>
      </c>
      <c r="N3" s="4" t="s">
        <v>14</v>
      </c>
      <c r="O3" s="4">
        <v>3.1360000000000001</v>
      </c>
    </row>
    <row r="4" spans="1:16" x14ac:dyDescent="0.25">
      <c r="C4" s="6">
        <v>3</v>
      </c>
      <c r="D4" t="s">
        <v>10</v>
      </c>
      <c r="E4" s="4">
        <v>4000</v>
      </c>
      <c r="F4" s="4" t="s">
        <v>24</v>
      </c>
      <c r="G4" s="48">
        <v>9120</v>
      </c>
      <c r="H4" s="47">
        <v>16301</v>
      </c>
      <c r="I4" s="12">
        <v>70201</v>
      </c>
      <c r="J4" s="7" t="s">
        <v>22</v>
      </c>
      <c r="K4" s="7">
        <v>2000</v>
      </c>
      <c r="L4" s="4"/>
      <c r="M4" s="4">
        <v>0.06</v>
      </c>
      <c r="N4" s="4" t="s">
        <v>14</v>
      </c>
      <c r="O4" s="4" t="s">
        <v>15</v>
      </c>
    </row>
    <row r="5" spans="1:16" x14ac:dyDescent="0.25">
      <c r="C5" s="6">
        <v>4</v>
      </c>
      <c r="D5" t="s">
        <v>11</v>
      </c>
      <c r="E5" s="4">
        <v>5000</v>
      </c>
      <c r="F5" s="4" t="s">
        <v>26</v>
      </c>
      <c r="G5" s="48">
        <v>9120</v>
      </c>
      <c r="H5" s="47">
        <v>16301</v>
      </c>
      <c r="I5" s="12">
        <v>70201</v>
      </c>
      <c r="J5" s="4" t="s">
        <v>21</v>
      </c>
      <c r="K5" s="4">
        <v>2000</v>
      </c>
      <c r="L5" s="4"/>
      <c r="M5" s="4">
        <v>0.06</v>
      </c>
      <c r="N5" s="4" t="s">
        <v>14</v>
      </c>
      <c r="O5" s="4">
        <v>2.71</v>
      </c>
    </row>
    <row r="6" spans="1:16" x14ac:dyDescent="0.25">
      <c r="C6" s="6">
        <v>5</v>
      </c>
      <c r="D6" t="s">
        <v>12</v>
      </c>
      <c r="E6" s="4">
        <v>2500</v>
      </c>
      <c r="F6" s="4" t="s">
        <v>24</v>
      </c>
      <c r="G6" s="48">
        <v>9120</v>
      </c>
      <c r="H6" s="47">
        <v>16301</v>
      </c>
      <c r="I6" s="12">
        <v>70201</v>
      </c>
      <c r="J6" s="4" t="s">
        <v>18</v>
      </c>
      <c r="K6" s="4">
        <v>2000</v>
      </c>
      <c r="L6" s="4">
        <v>0.34300000000000003</v>
      </c>
      <c r="M6" s="4">
        <v>0.06</v>
      </c>
      <c r="N6" s="4" t="s">
        <v>14</v>
      </c>
      <c r="O6" s="4" t="s">
        <v>16</v>
      </c>
    </row>
    <row r="7" spans="1:16" x14ac:dyDescent="0.25">
      <c r="C7" s="6">
        <v>7</v>
      </c>
      <c r="D7" t="s">
        <v>13</v>
      </c>
      <c r="E7" s="4">
        <v>4000</v>
      </c>
      <c r="F7" s="4" t="s">
        <v>24</v>
      </c>
      <c r="G7" s="48">
        <v>9120</v>
      </c>
      <c r="H7" s="47">
        <v>16301</v>
      </c>
      <c r="I7" s="12">
        <v>70201</v>
      </c>
      <c r="J7" s="4" t="s">
        <v>18</v>
      </c>
      <c r="K7" s="4">
        <v>2000</v>
      </c>
      <c r="L7" s="4">
        <v>0.34300000000000003</v>
      </c>
      <c r="M7" s="4">
        <v>0.06</v>
      </c>
      <c r="N7" s="4" t="s">
        <v>14</v>
      </c>
      <c r="O7" s="4" t="s">
        <v>16</v>
      </c>
    </row>
    <row r="8" spans="1:16" ht="42.75" customHeight="1" x14ac:dyDescent="0.25">
      <c r="A8" s="43" t="s">
        <v>78</v>
      </c>
      <c r="C8" s="4">
        <v>6</v>
      </c>
      <c r="D8" t="s">
        <v>29</v>
      </c>
      <c r="E8" s="14" t="s">
        <v>32</v>
      </c>
      <c r="F8" s="4" t="s">
        <v>35</v>
      </c>
      <c r="G8" s="48">
        <v>9120</v>
      </c>
      <c r="H8" s="47">
        <v>16301</v>
      </c>
      <c r="I8" s="13">
        <v>70211</v>
      </c>
      <c r="J8" s="4" t="s">
        <v>22</v>
      </c>
      <c r="K8" s="30">
        <v>73</v>
      </c>
      <c r="L8" s="4">
        <v>0.39</v>
      </c>
      <c r="M8" s="4">
        <v>0.06</v>
      </c>
      <c r="N8" s="4" t="s">
        <v>14</v>
      </c>
      <c r="O8" s="4" t="s">
        <v>36</v>
      </c>
    </row>
    <row r="9" spans="1:16" ht="26.4" x14ac:dyDescent="0.25">
      <c r="C9" s="4">
        <v>8</v>
      </c>
      <c r="D9" t="s">
        <v>30</v>
      </c>
      <c r="E9" s="14" t="s">
        <v>33</v>
      </c>
      <c r="F9" s="4" t="s">
        <v>35</v>
      </c>
      <c r="G9" s="48">
        <v>9120</v>
      </c>
      <c r="H9" s="47">
        <v>16301</v>
      </c>
      <c r="I9" s="16">
        <v>70222</v>
      </c>
      <c r="J9" s="4" t="s">
        <v>22</v>
      </c>
      <c r="K9" s="30">
        <v>73</v>
      </c>
      <c r="L9" s="4">
        <v>0.39</v>
      </c>
      <c r="M9" s="4">
        <v>0.06</v>
      </c>
      <c r="N9" s="4" t="s">
        <v>14</v>
      </c>
      <c r="O9" s="4" t="s">
        <v>36</v>
      </c>
    </row>
    <row r="10" spans="1:16" ht="26.4" x14ac:dyDescent="0.25">
      <c r="C10" s="38">
        <v>9</v>
      </c>
      <c r="D10" s="39" t="s">
        <v>31</v>
      </c>
      <c r="E10" s="40" t="s">
        <v>34</v>
      </c>
      <c r="F10" s="38" t="s">
        <v>35</v>
      </c>
      <c r="G10" s="49">
        <v>9120</v>
      </c>
      <c r="H10" s="50">
        <v>16301</v>
      </c>
      <c r="I10" s="41">
        <v>70235</v>
      </c>
      <c r="J10" s="38" t="s">
        <v>22</v>
      </c>
      <c r="K10" s="42">
        <v>73</v>
      </c>
      <c r="L10" s="38">
        <v>0.39</v>
      </c>
      <c r="M10" s="38">
        <v>0.06</v>
      </c>
      <c r="N10" s="38" t="s">
        <v>14</v>
      </c>
      <c r="O10" s="38" t="s">
        <v>36</v>
      </c>
    </row>
    <row r="11" spans="1:16" x14ac:dyDescent="0.25">
      <c r="C11" s="4"/>
      <c r="E11" s="14"/>
      <c r="F11" s="4"/>
      <c r="G11" s="4"/>
      <c r="H11" s="4"/>
      <c r="I11" s="17"/>
      <c r="J11" s="4"/>
      <c r="K11" s="30"/>
      <c r="L11" s="4"/>
      <c r="M11" s="4"/>
      <c r="N11" s="4"/>
      <c r="O11" s="4"/>
    </row>
    <row r="12" spans="1:16" ht="26.4" x14ac:dyDescent="0.25">
      <c r="A12" s="43" t="s">
        <v>201</v>
      </c>
      <c r="C12" s="4">
        <v>10</v>
      </c>
      <c r="D12" t="s">
        <v>60</v>
      </c>
      <c r="E12" s="14" t="s">
        <v>61</v>
      </c>
      <c r="F12" s="4" t="s">
        <v>62</v>
      </c>
      <c r="G12" s="56">
        <v>9120</v>
      </c>
      <c r="H12" s="4" t="s">
        <v>87</v>
      </c>
      <c r="I12" s="32">
        <v>70549</v>
      </c>
      <c r="J12" s="4" t="s">
        <v>58</v>
      </c>
      <c r="K12" s="31" t="s">
        <v>65</v>
      </c>
      <c r="L12" s="4"/>
      <c r="M12" s="4">
        <v>0.06</v>
      </c>
      <c r="N12" s="4" t="s">
        <v>14</v>
      </c>
      <c r="O12" s="4" t="s">
        <v>59</v>
      </c>
    </row>
    <row r="13" spans="1:16" x14ac:dyDescent="0.25">
      <c r="A13" s="33"/>
      <c r="B13" s="33"/>
      <c r="C13" s="34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</row>
    <row r="14" spans="1:16" x14ac:dyDescent="0.25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ht="39.6" x14ac:dyDescent="0.25">
      <c r="C15" s="4">
        <v>6</v>
      </c>
      <c r="D15" t="s">
        <v>69</v>
      </c>
      <c r="E15" s="14" t="s">
        <v>67</v>
      </c>
      <c r="F15" s="4" t="s">
        <v>35</v>
      </c>
      <c r="G15" s="46">
        <v>4582</v>
      </c>
      <c r="H15" s="58">
        <v>16306</v>
      </c>
      <c r="I15" s="156" t="s">
        <v>172</v>
      </c>
      <c r="J15" s="4" t="s">
        <v>71</v>
      </c>
      <c r="K15" s="38">
        <v>2000</v>
      </c>
      <c r="L15" s="4"/>
      <c r="M15" s="4">
        <v>0.02</v>
      </c>
      <c r="N15" s="4" t="s">
        <v>74</v>
      </c>
      <c r="O15" s="31" t="s">
        <v>76</v>
      </c>
    </row>
    <row r="16" spans="1:16" ht="26.4" x14ac:dyDescent="0.25">
      <c r="C16" s="4">
        <v>7</v>
      </c>
      <c r="D16" t="s">
        <v>70</v>
      </c>
      <c r="E16" s="14" t="s">
        <v>68</v>
      </c>
      <c r="F16" s="4" t="s">
        <v>35</v>
      </c>
      <c r="G16" s="46">
        <v>4582</v>
      </c>
      <c r="H16" s="58">
        <v>16306</v>
      </c>
      <c r="I16" s="13">
        <v>70550</v>
      </c>
      <c r="J16" s="4" t="s">
        <v>72</v>
      </c>
      <c r="K16" s="163" t="s">
        <v>73</v>
      </c>
      <c r="L16" s="4"/>
      <c r="N16" s="4">
        <v>0.1089</v>
      </c>
      <c r="O16" s="4" t="s">
        <v>75</v>
      </c>
    </row>
    <row r="17" spans="3:15" ht="39.6" x14ac:dyDescent="0.25">
      <c r="C17" s="4">
        <v>5</v>
      </c>
      <c r="D17" t="s">
        <v>66</v>
      </c>
      <c r="E17" s="14" t="s">
        <v>67</v>
      </c>
      <c r="F17" s="4" t="s">
        <v>35</v>
      </c>
      <c r="G17" s="46">
        <v>2879</v>
      </c>
      <c r="H17" s="57" t="s">
        <v>86</v>
      </c>
      <c r="I17" s="37">
        <v>70499</v>
      </c>
      <c r="J17" s="4" t="s">
        <v>71</v>
      </c>
      <c r="K17" s="163" t="s">
        <v>88</v>
      </c>
      <c r="L17" s="4"/>
      <c r="M17" s="4">
        <v>0.02</v>
      </c>
      <c r="N17" s="4" t="s">
        <v>74</v>
      </c>
      <c r="O17" s="31" t="s">
        <v>76</v>
      </c>
    </row>
    <row r="18" spans="3:15" x14ac:dyDescent="0.25">
      <c r="C18" s="4"/>
      <c r="E18" s="14"/>
      <c r="F18" s="4"/>
      <c r="G18" s="46"/>
      <c r="H18" s="51"/>
      <c r="I18" s="37"/>
      <c r="J18" s="4"/>
      <c r="K18" s="4"/>
      <c r="L18" s="4"/>
      <c r="M18" s="4"/>
      <c r="N18" s="4"/>
      <c r="O18" s="31"/>
    </row>
    <row r="19" spans="3:15" x14ac:dyDescent="0.25">
      <c r="C19" s="4"/>
      <c r="E19" s="14"/>
      <c r="F19" s="4"/>
      <c r="G19" s="46"/>
      <c r="H19" s="51"/>
      <c r="I19" s="37"/>
      <c r="J19" s="4"/>
      <c r="K19" s="4"/>
      <c r="L19" s="4"/>
      <c r="M19" s="4"/>
      <c r="N19" s="4"/>
      <c r="O19" s="31"/>
    </row>
    <row r="20" spans="3:15" x14ac:dyDescent="0.25">
      <c r="C20" s="53" t="s">
        <v>82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 t="s">
        <v>112</v>
      </c>
      <c r="O20" s="4"/>
    </row>
    <row r="22" spans="3:15" x14ac:dyDescent="0.25">
      <c r="C22" s="1" t="s">
        <v>149</v>
      </c>
    </row>
    <row r="23" spans="3:15" s="4" customFormat="1" x14ac:dyDescent="0.25">
      <c r="C23" s="4">
        <v>1</v>
      </c>
      <c r="D23" s="4" t="s">
        <v>144</v>
      </c>
      <c r="E23" s="4">
        <v>4000</v>
      </c>
      <c r="F23" s="4" t="s">
        <v>148</v>
      </c>
      <c r="G23" s="4">
        <v>96002879</v>
      </c>
      <c r="H23" s="4" t="s">
        <v>145</v>
      </c>
      <c r="I23" s="4">
        <v>60952</v>
      </c>
      <c r="J23" s="4" t="s">
        <v>146</v>
      </c>
      <c r="K23" s="4">
        <v>2000</v>
      </c>
      <c r="L23" s="4">
        <v>-7.1999999999999995E-2</v>
      </c>
      <c r="M23" s="4">
        <v>2E-3</v>
      </c>
      <c r="O23" s="4" t="s">
        <v>147</v>
      </c>
    </row>
    <row r="30" spans="3:15" x14ac:dyDescent="0.25">
      <c r="C30" s="1" t="s">
        <v>19</v>
      </c>
    </row>
    <row r="31" spans="3:15" ht="39.6" x14ac:dyDescent="0.25">
      <c r="C31" s="5" t="s">
        <v>83</v>
      </c>
      <c r="D31" s="3" t="s">
        <v>77</v>
      </c>
      <c r="J31" t="s">
        <v>37</v>
      </c>
    </row>
    <row r="32" spans="3:15" x14ac:dyDescent="0.25">
      <c r="C32" s="2">
        <v>36465</v>
      </c>
      <c r="D32">
        <v>4.0099999999999997E-2</v>
      </c>
    </row>
    <row r="33" spans="3:4" x14ac:dyDescent="0.25">
      <c r="C33" s="2">
        <v>36495</v>
      </c>
      <c r="D33">
        <v>3.5700000000000003E-2</v>
      </c>
    </row>
    <row r="34" spans="3:4" x14ac:dyDescent="0.25">
      <c r="C34" s="2">
        <v>36526</v>
      </c>
      <c r="D34">
        <v>2.7900000000000001E-2</v>
      </c>
    </row>
    <row r="35" spans="3:4" x14ac:dyDescent="0.25">
      <c r="C35" s="2">
        <v>36557</v>
      </c>
      <c r="D35">
        <v>2.7699999999999999E-2</v>
      </c>
    </row>
    <row r="36" spans="3:4" x14ac:dyDescent="0.25">
      <c r="C36" s="2">
        <v>36586</v>
      </c>
      <c r="D36">
        <v>2.81E-2</v>
      </c>
    </row>
    <row r="37" spans="3:4" x14ac:dyDescent="0.25">
      <c r="C37" s="2">
        <v>36831</v>
      </c>
      <c r="D37">
        <v>0.04</v>
      </c>
    </row>
    <row r="38" spans="3:4" x14ac:dyDescent="0.25">
      <c r="C38" s="2">
        <v>36861</v>
      </c>
      <c r="D38">
        <v>3.56E-2</v>
      </c>
    </row>
    <row r="39" spans="3:4" x14ac:dyDescent="0.25">
      <c r="C39" s="2">
        <v>36892</v>
      </c>
      <c r="D39">
        <v>2.7900000000000001E-2</v>
      </c>
    </row>
    <row r="40" spans="3:4" x14ac:dyDescent="0.25">
      <c r="C40" s="2">
        <v>36923</v>
      </c>
      <c r="D40">
        <v>2.76E-2</v>
      </c>
    </row>
    <row r="41" spans="3:4" x14ac:dyDescent="0.25">
      <c r="C41" s="2">
        <v>36951</v>
      </c>
      <c r="D41">
        <v>2.8000000000000001E-2</v>
      </c>
    </row>
    <row r="42" spans="3:4" x14ac:dyDescent="0.25">
      <c r="C42" s="2">
        <v>37196</v>
      </c>
      <c r="D42">
        <v>3.9899999999999998E-2</v>
      </c>
    </row>
    <row r="43" spans="3:4" x14ac:dyDescent="0.25">
      <c r="C43" s="2">
        <v>37226</v>
      </c>
      <c r="D43">
        <v>3.56E-2</v>
      </c>
    </row>
    <row r="44" spans="3:4" x14ac:dyDescent="0.25">
      <c r="C44" s="2">
        <v>37257</v>
      </c>
      <c r="D44">
        <v>2.7900000000000001E-2</v>
      </c>
    </row>
    <row r="45" spans="3:4" x14ac:dyDescent="0.25">
      <c r="C45" s="2">
        <v>37288</v>
      </c>
      <c r="D45">
        <v>2.76E-2</v>
      </c>
    </row>
    <row r="46" spans="3:4" x14ac:dyDescent="0.25">
      <c r="C46" s="2">
        <v>37316</v>
      </c>
      <c r="D46">
        <v>2.8000000000000001E-2</v>
      </c>
    </row>
    <row r="47" spans="3:4" x14ac:dyDescent="0.25">
      <c r="C47" s="2">
        <v>37561</v>
      </c>
      <c r="D47">
        <v>0.02</v>
      </c>
    </row>
    <row r="48" spans="3:4" x14ac:dyDescent="0.25">
      <c r="C48" s="2">
        <v>37591</v>
      </c>
      <c r="D48">
        <v>2.3699999999999999E-2</v>
      </c>
    </row>
    <row r="49" spans="3:8" x14ac:dyDescent="0.25">
      <c r="C49" s="2">
        <v>37622</v>
      </c>
      <c r="D49">
        <v>1.84E-2</v>
      </c>
    </row>
    <row r="50" spans="3:8" x14ac:dyDescent="0.25">
      <c r="C50" s="2">
        <v>37653</v>
      </c>
      <c r="D50">
        <v>1.4200000000000001E-2</v>
      </c>
    </row>
    <row r="51" spans="3:8" x14ac:dyDescent="0.25">
      <c r="C51" s="2">
        <v>37681</v>
      </c>
      <c r="D51">
        <v>1.18E-2</v>
      </c>
    </row>
    <row r="52" spans="3:8" x14ac:dyDescent="0.25">
      <c r="C52" s="2">
        <v>37926</v>
      </c>
      <c r="D52">
        <v>0.02</v>
      </c>
    </row>
    <row r="53" spans="3:8" x14ac:dyDescent="0.25">
      <c r="C53" s="2">
        <v>37956</v>
      </c>
      <c r="D53">
        <v>2.3699999999999999E-2</v>
      </c>
    </row>
    <row r="54" spans="3:8" x14ac:dyDescent="0.25">
      <c r="C54" s="2">
        <v>37987</v>
      </c>
      <c r="D54">
        <v>1.84E-2</v>
      </c>
    </row>
    <row r="55" spans="3:8" x14ac:dyDescent="0.25">
      <c r="C55" s="2">
        <v>38018</v>
      </c>
      <c r="D55">
        <v>1.4200000000000001E-2</v>
      </c>
    </row>
    <row r="56" spans="3:8" x14ac:dyDescent="0.25">
      <c r="C56" s="2">
        <v>38047</v>
      </c>
      <c r="D56">
        <v>1.18E-2</v>
      </c>
    </row>
    <row r="57" spans="3:8" x14ac:dyDescent="0.25">
      <c r="C57" s="2">
        <v>38292</v>
      </c>
      <c r="D57">
        <v>0.02</v>
      </c>
    </row>
    <row r="58" spans="3:8" x14ac:dyDescent="0.25">
      <c r="C58" s="2">
        <v>38322</v>
      </c>
      <c r="D58">
        <v>2.3699999999999999E-2</v>
      </c>
    </row>
    <row r="59" spans="3:8" x14ac:dyDescent="0.25">
      <c r="C59" s="2">
        <v>38353</v>
      </c>
      <c r="D59">
        <v>1.84E-2</v>
      </c>
    </row>
    <row r="60" spans="3:8" x14ac:dyDescent="0.25">
      <c r="C60" s="2">
        <v>38384</v>
      </c>
      <c r="D60">
        <v>1.4200000000000001E-2</v>
      </c>
    </row>
    <row r="61" spans="3:8" x14ac:dyDescent="0.25">
      <c r="C61" s="2">
        <v>38412</v>
      </c>
      <c r="D61">
        <v>1.18E-2</v>
      </c>
    </row>
    <row r="62" spans="3:8" x14ac:dyDescent="0.25">
      <c r="C62" s="2">
        <v>38657</v>
      </c>
      <c r="D62">
        <v>0.02</v>
      </c>
      <c r="F62" s="83">
        <v>4771187.1538050007</v>
      </c>
      <c r="H62" s="158"/>
    </row>
    <row r="63" spans="3:8" x14ac:dyDescent="0.25">
      <c r="C63" s="2">
        <v>38687</v>
      </c>
      <c r="D63">
        <v>2.3699999999999999E-2</v>
      </c>
      <c r="F63" s="83">
        <v>7921915.4538990008</v>
      </c>
      <c r="H63" s="158"/>
    </row>
    <row r="64" spans="3:8" x14ac:dyDescent="0.25">
      <c r="C64" s="2">
        <v>38718</v>
      </c>
      <c r="D64">
        <v>1.84E-2</v>
      </c>
      <c r="F64" s="83">
        <v>9674800.2720309999</v>
      </c>
      <c r="H64" s="158"/>
    </row>
    <row r="65" spans="3:8" x14ac:dyDescent="0.25">
      <c r="C65" s="2">
        <v>38749</v>
      </c>
      <c r="D65">
        <v>1.4200000000000001E-2</v>
      </c>
      <c r="F65" s="83">
        <v>6801133.1298910007</v>
      </c>
      <c r="H65" s="158"/>
    </row>
    <row r="66" spans="3:8" x14ac:dyDescent="0.25">
      <c r="C66" s="2">
        <v>38777</v>
      </c>
      <c r="D66">
        <v>1.18E-2</v>
      </c>
      <c r="F66" s="83">
        <v>5668267.6397819994</v>
      </c>
      <c r="H66" s="158"/>
    </row>
  </sheetData>
  <pageMargins left="0.75" right="0.75" top="1" bottom="1" header="0.5" footer="0.5"/>
  <pageSetup scale="72" orientation="landscape" r:id="rId1"/>
  <headerFooter alignWithMargins="0">
    <oddHeader>&amp;CEntex Deal 4/1/99 - 3/31/06
Details</oddHeader>
    <oddFooter>&amp;Co:\erms\1intra\texas\oa\monthly models\&amp;F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4"/>
  <sheetViews>
    <sheetView workbookViewId="0">
      <selection activeCell="J18" sqref="J18"/>
    </sheetView>
  </sheetViews>
  <sheetFormatPr defaultRowHeight="13.2" x14ac:dyDescent="0.25"/>
  <cols>
    <col min="1" max="1" width="2.109375" customWidth="1"/>
    <col min="2" max="2" width="5" customWidth="1"/>
    <col min="3" max="3" width="10.44140625" customWidth="1"/>
    <col min="4" max="4" width="8" customWidth="1"/>
  </cols>
  <sheetData>
    <row r="2" spans="1:5" x14ac:dyDescent="0.25">
      <c r="B2" s="1" t="s">
        <v>117</v>
      </c>
    </row>
    <row r="4" spans="1:5" x14ac:dyDescent="0.25">
      <c r="A4" s="1" t="s">
        <v>130</v>
      </c>
      <c r="B4" s="28" t="s">
        <v>140</v>
      </c>
      <c r="D4" s="87" t="s">
        <v>119</v>
      </c>
      <c r="E4" t="s">
        <v>120</v>
      </c>
    </row>
    <row r="5" spans="1:5" x14ac:dyDescent="0.25">
      <c r="B5" s="126" t="s">
        <v>135</v>
      </c>
      <c r="D5" s="125"/>
    </row>
    <row r="6" spans="1:5" x14ac:dyDescent="0.25">
      <c r="B6" s="126" t="s">
        <v>136</v>
      </c>
      <c r="D6" s="125"/>
    </row>
    <row r="7" spans="1:5" x14ac:dyDescent="0.25">
      <c r="B7" s="126" t="s">
        <v>137</v>
      </c>
      <c r="D7" s="125"/>
    </row>
    <row r="8" spans="1:5" x14ac:dyDescent="0.25">
      <c r="B8" s="126" t="s">
        <v>138</v>
      </c>
      <c r="D8" s="125"/>
    </row>
    <row r="9" spans="1:5" x14ac:dyDescent="0.25">
      <c r="B9" s="126" t="s">
        <v>178</v>
      </c>
      <c r="D9" s="125"/>
    </row>
    <row r="10" spans="1:5" x14ac:dyDescent="0.25">
      <c r="B10" s="126" t="s">
        <v>139</v>
      </c>
      <c r="D10" s="125"/>
    </row>
    <row r="11" spans="1:5" x14ac:dyDescent="0.25">
      <c r="A11" s="1" t="s">
        <v>131</v>
      </c>
      <c r="B11" t="s">
        <v>118</v>
      </c>
      <c r="C11" s="86" t="s">
        <v>121</v>
      </c>
      <c r="D11" t="s">
        <v>122</v>
      </c>
    </row>
    <row r="12" spans="1:5" x14ac:dyDescent="0.25">
      <c r="A12" s="1"/>
    </row>
    <row r="14" spans="1:5" x14ac:dyDescent="0.25">
      <c r="A14" t="s">
        <v>153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56"/>
  <sheetViews>
    <sheetView tabSelected="1" workbookViewId="0">
      <selection activeCell="D1" sqref="D1"/>
    </sheetView>
  </sheetViews>
  <sheetFormatPr defaultRowHeight="13.2" x14ac:dyDescent="0.25"/>
  <cols>
    <col min="1" max="1" width="17.88671875" customWidth="1"/>
    <col min="2" max="2" width="11.6640625" customWidth="1"/>
    <col min="3" max="3" width="13.109375" customWidth="1"/>
    <col min="4" max="4" width="15.33203125" customWidth="1"/>
    <col min="5" max="5" width="11.5546875" customWidth="1"/>
    <col min="6" max="6" width="9.6640625" bestFit="1" customWidth="1"/>
    <col min="8" max="8" width="9.6640625" bestFit="1" customWidth="1"/>
    <col min="10" max="10" width="11.88671875" customWidth="1"/>
    <col min="11" max="11" width="16.44140625" customWidth="1"/>
    <col min="12" max="12" width="10.6640625" customWidth="1"/>
    <col min="13" max="13" width="9.33203125" customWidth="1"/>
  </cols>
  <sheetData>
    <row r="1" spans="1:26" x14ac:dyDescent="0.25">
      <c r="A1" s="6" t="s">
        <v>39</v>
      </c>
      <c r="B1" s="166">
        <v>36495</v>
      </c>
      <c r="F1" s="90" t="s">
        <v>106</v>
      </c>
      <c r="L1" s="1" t="s">
        <v>127</v>
      </c>
    </row>
    <row r="2" spans="1:26" x14ac:dyDescent="0.25">
      <c r="A2" s="6" t="s">
        <v>38</v>
      </c>
      <c r="B2" s="68">
        <f>VLOOKUP(B1,'1-10 vols'!A1:B150,2,FALSE)</f>
        <v>31</v>
      </c>
      <c r="M2" s="88">
        <v>37043</v>
      </c>
    </row>
    <row r="3" spans="1:26" x14ac:dyDescent="0.25">
      <c r="A3" s="6" t="s">
        <v>207</v>
      </c>
      <c r="B3" s="71">
        <f>VLOOKUP(B1,'1-10 vols'!$A$3:$P$150,16,FALSE)+IF(B1&lt;N34,25000*B2)</f>
        <v>7147222</v>
      </c>
    </row>
    <row r="4" spans="1:26" x14ac:dyDescent="0.25">
      <c r="A4" s="6" t="s">
        <v>101</v>
      </c>
      <c r="B4" s="71">
        <f>(VLOOKUP(B1,'1-10 vols'!A1:AI150,31,FALSE)+VLOOKUP(B1,'1-10 vols'!A1:AI150,28,FALSE)+VLOOKUP(B1,'1-10 vols'!A1:AI150,34,FALSE))+(IF(B1&gt;M2,0,4000*B2))</f>
        <v>480500</v>
      </c>
      <c r="D4" s="59"/>
      <c r="F4" s="28"/>
    </row>
    <row r="5" spans="1:26" x14ac:dyDescent="0.25">
      <c r="D5" s="59">
        <f>+B6-B3</f>
        <v>-2844689</v>
      </c>
      <c r="E5" s="59">
        <f>+D5/B2</f>
        <v>-91764.161290322576</v>
      </c>
    </row>
    <row r="6" spans="1:26" x14ac:dyDescent="0.25">
      <c r="A6" s="21" t="s">
        <v>96</v>
      </c>
      <c r="B6" s="167">
        <v>4302533</v>
      </c>
      <c r="F6" s="90" t="s">
        <v>132</v>
      </c>
      <c r="K6" s="1" t="s">
        <v>169</v>
      </c>
    </row>
    <row r="7" spans="1:26" x14ac:dyDescent="0.25">
      <c r="A7" s="21"/>
      <c r="B7" s="1"/>
      <c r="F7" s="153" t="s">
        <v>168</v>
      </c>
      <c r="G7" s="3"/>
      <c r="H7" s="3"/>
      <c r="K7" s="1" t="s">
        <v>170</v>
      </c>
    </row>
    <row r="8" spans="1:26" x14ac:dyDescent="0.25">
      <c r="A8" s="21"/>
      <c r="B8" s="1"/>
    </row>
    <row r="9" spans="1:26" ht="11.25" customHeight="1" x14ac:dyDescent="0.25">
      <c r="A9" s="6" t="s">
        <v>92</v>
      </c>
      <c r="B9" s="168">
        <v>2.11</v>
      </c>
      <c r="D9" s="59"/>
    </row>
    <row r="10" spans="1:26" x14ac:dyDescent="0.25">
      <c r="A10" s="6" t="s">
        <v>93</v>
      </c>
      <c r="B10" s="169">
        <v>-0.02</v>
      </c>
      <c r="D10" s="164"/>
    </row>
    <row r="11" spans="1:26" x14ac:dyDescent="0.25">
      <c r="A11" s="6" t="s">
        <v>114</v>
      </c>
      <c r="B11" s="133">
        <v>0.06</v>
      </c>
      <c r="H11" s="59"/>
    </row>
    <row r="12" spans="1:26" x14ac:dyDescent="0.25">
      <c r="A12" s="6" t="s">
        <v>115</v>
      </c>
      <c r="B12" s="192">
        <f>VLOOKUP(B1,'Transport Schedule'!B3:C150,2)</f>
        <v>3.5700000000000003E-2</v>
      </c>
      <c r="H12" s="59"/>
    </row>
    <row r="13" spans="1:26" x14ac:dyDescent="0.25">
      <c r="A13" s="6" t="s">
        <v>151</v>
      </c>
      <c r="B13" s="192">
        <f>SUM(B9:B12)</f>
        <v>2.1856999999999998</v>
      </c>
      <c r="H13" s="124"/>
      <c r="Z13">
        <f>SUM(V11:V24)</f>
        <v>0</v>
      </c>
    </row>
    <row r="14" spans="1:26" x14ac:dyDescent="0.25">
      <c r="A14" s="66"/>
      <c r="B14" s="81"/>
      <c r="F14" s="59"/>
      <c r="H14" s="124"/>
      <c r="O14" s="1"/>
      <c r="Z14">
        <f>1.86+0.769</f>
        <v>2.629</v>
      </c>
    </row>
    <row r="15" spans="1:26" x14ac:dyDescent="0.25">
      <c r="A15" s="66"/>
      <c r="B15" s="81"/>
      <c r="I15" s="59"/>
      <c r="O15" s="1"/>
      <c r="Z15">
        <f>Z13*Z14</f>
        <v>0</v>
      </c>
    </row>
    <row r="16" spans="1:26" ht="12" customHeight="1" x14ac:dyDescent="0.25">
      <c r="A16" s="85" t="s">
        <v>91</v>
      </c>
      <c r="B16" s="81"/>
      <c r="H16" s="124"/>
      <c r="I16" s="124"/>
      <c r="O16" s="1"/>
      <c r="Z16">
        <f>Z15+4067617</f>
        <v>4067617</v>
      </c>
    </row>
    <row r="17" spans="1:26" ht="13.5" customHeight="1" x14ac:dyDescent="0.25">
      <c r="A17" s="21" t="s">
        <v>107</v>
      </c>
      <c r="B17" s="167">
        <v>60500</v>
      </c>
      <c r="M17" s="91">
        <f>VLOOKUP(B1,'1-10 vols'!A1:Z86,25)-(IF(B1&gt;M30,0,4000*B2))</f>
        <v>311334</v>
      </c>
      <c r="O17" s="1"/>
    </row>
    <row r="18" spans="1:26" ht="12.75" customHeight="1" x14ac:dyDescent="0.25">
      <c r="A18" s="21" t="s">
        <v>108</v>
      </c>
      <c r="B18" s="167">
        <v>38500</v>
      </c>
      <c r="D18" s="1" t="s">
        <v>152</v>
      </c>
    </row>
    <row r="19" spans="1:26" ht="13.5" customHeight="1" x14ac:dyDescent="0.25">
      <c r="A19" s="21" t="s">
        <v>109</v>
      </c>
      <c r="B19" s="167">
        <v>370500</v>
      </c>
      <c r="D19" s="1" t="s">
        <v>116</v>
      </c>
      <c r="G19" s="90" t="s">
        <v>126</v>
      </c>
      <c r="K19" s="3"/>
      <c r="L19" s="3"/>
      <c r="Z19">
        <f>1.9075*Z13</f>
        <v>0</v>
      </c>
    </row>
    <row r="20" spans="1:26" ht="11.25" customHeight="1" x14ac:dyDescent="0.25">
      <c r="A20" s="66"/>
      <c r="B20" s="65"/>
      <c r="K20" s="3"/>
      <c r="L20" s="3"/>
      <c r="Z20">
        <f>Z19+2374805</f>
        <v>2374805</v>
      </c>
    </row>
    <row r="21" spans="1:26" ht="11.25" customHeight="1" x14ac:dyDescent="0.25">
      <c r="A21" s="66"/>
      <c r="B21" s="65"/>
      <c r="J21" s="69"/>
      <c r="K21" s="3"/>
      <c r="L21" s="3"/>
    </row>
    <row r="22" spans="1:26" ht="11.25" customHeight="1" x14ac:dyDescent="0.25">
      <c r="A22" s="127" t="s">
        <v>124</v>
      </c>
      <c r="B22" s="65"/>
      <c r="D22" s="165"/>
      <c r="F22" s="69"/>
      <c r="J22" s="69"/>
      <c r="K22" s="3"/>
      <c r="L22" s="3"/>
    </row>
    <row r="23" spans="1:26" x14ac:dyDescent="0.25">
      <c r="A23" s="128" t="s">
        <v>125</v>
      </c>
      <c r="B23" s="66"/>
      <c r="C23" s="65"/>
      <c r="K23" s="3"/>
      <c r="L23" s="3"/>
    </row>
    <row r="24" spans="1:26" x14ac:dyDescent="0.25">
      <c r="A24" s="65"/>
      <c r="B24" s="114" t="s">
        <v>97</v>
      </c>
      <c r="C24" s="105"/>
      <c r="D24" s="105"/>
      <c r="E24" s="105"/>
      <c r="F24" s="105"/>
      <c r="G24" s="105"/>
      <c r="H24" s="105"/>
      <c r="I24" s="105"/>
      <c r="J24" s="105"/>
      <c r="K24" s="106"/>
      <c r="L24" s="107"/>
    </row>
    <row r="25" spans="1:26" x14ac:dyDescent="0.25">
      <c r="A25" s="65"/>
      <c r="B25" s="115"/>
      <c r="C25" s="96"/>
      <c r="D25" s="96"/>
      <c r="E25" s="96"/>
      <c r="F25" s="96"/>
      <c r="G25" s="96"/>
      <c r="H25" s="96"/>
      <c r="I25" s="96"/>
      <c r="J25" s="96"/>
      <c r="K25" s="96"/>
      <c r="L25" s="93"/>
    </row>
    <row r="26" spans="1:26" x14ac:dyDescent="0.25">
      <c r="A26" s="65"/>
      <c r="B26" s="198" t="s">
        <v>129</v>
      </c>
      <c r="C26" s="200"/>
      <c r="D26" s="9" t="s">
        <v>128</v>
      </c>
      <c r="E26" s="61" t="s">
        <v>100</v>
      </c>
      <c r="F26" s="100"/>
      <c r="G26" s="198" t="s">
        <v>8</v>
      </c>
      <c r="H26" s="199"/>
      <c r="I26" s="200"/>
      <c r="J26" s="96"/>
      <c r="K26" s="96"/>
      <c r="L26" s="109"/>
      <c r="M26" s="3"/>
    </row>
    <row r="27" spans="1:26" x14ac:dyDescent="0.25">
      <c r="A27" s="81" t="s">
        <v>200</v>
      </c>
      <c r="B27" s="201"/>
      <c r="C27" s="202"/>
      <c r="D27" s="94">
        <f>+A30*0.13</f>
        <v>11843</v>
      </c>
      <c r="E27" s="94">
        <f>VLOOKUP($B$1,'1-10 vols'!$A$3:$AM$98,37)</f>
        <v>1140000</v>
      </c>
      <c r="F27" s="94"/>
      <c r="G27" s="85" t="s">
        <v>110</v>
      </c>
      <c r="H27" s="85" t="s">
        <v>123</v>
      </c>
      <c r="I27" s="85" t="s">
        <v>111</v>
      </c>
      <c r="J27" s="96"/>
      <c r="K27" s="96"/>
      <c r="L27" s="110" t="s">
        <v>174</v>
      </c>
      <c r="M27" s="3"/>
    </row>
    <row r="28" spans="1:26" x14ac:dyDescent="0.25">
      <c r="A28" s="65"/>
      <c r="B28" s="201">
        <f>B6*B13</f>
        <v>9404046.3780999985</v>
      </c>
      <c r="C28" s="208"/>
      <c r="D28" s="94">
        <f>IF(B1&lt;M28,H28*I28,0)</f>
        <v>0</v>
      </c>
      <c r="E28" s="95">
        <f>(B9-(VLOOKUP($B$1,'1-10 vols'!$A$1:$AI$150,35)))*(VLOOKUP($B$1,'1-10 vols'!$A$1:$AI$150,34))</f>
        <v>0</v>
      </c>
      <c r="F28" s="95"/>
      <c r="G28" s="114" t="str">
        <f>IF(B1&lt;M28,"EE7377.1","-")</f>
        <v>-</v>
      </c>
      <c r="H28" s="121" t="b">
        <f>IF(B1&lt;M28,IF(B6-H32&gt;5000*B2,5000*B2,IF(B6-H32&gt;0,B6-H32,0)))</f>
        <v>0</v>
      </c>
      <c r="I28" s="157" t="str">
        <f>IF(B1&lt;M28,3.136,"-")</f>
        <v>-</v>
      </c>
      <c r="J28" s="96"/>
      <c r="K28" s="96"/>
      <c r="L28" s="118" t="str">
        <f>I28</f>
        <v>-</v>
      </c>
      <c r="M28" s="101">
        <v>36434</v>
      </c>
      <c r="Y28">
        <f>4393605-1832130-2611329</f>
        <v>-49854</v>
      </c>
    </row>
    <row r="29" spans="1:26" x14ac:dyDescent="0.25">
      <c r="A29" s="21" t="s">
        <v>212</v>
      </c>
      <c r="B29" s="201">
        <f>+A30*0.13</f>
        <v>11843</v>
      </c>
      <c r="C29" s="202"/>
      <c r="D29" s="94">
        <f>IF(B1&lt;M29,(H29*(I29)),0)</f>
        <v>420050</v>
      </c>
      <c r="E29" s="95">
        <f>($B$9-(VLOOKUP($B$1,'1-10 vols'!$A$1:$AI$150,32)))*(VLOOKUP($B$1,'1-10 vols'!$A$1:$AI$150,31))</f>
        <v>41694.999999999985</v>
      </c>
      <c r="F29" s="95"/>
      <c r="G29" s="116" t="str">
        <f>IF(B1&lt;M30,"E26107.2","-")</f>
        <v>E26107.2</v>
      </c>
      <c r="H29" s="122">
        <f>IF(B1&lt;M29,IF(B6-H28-H32&gt;5000*B2,5000*B2,IF(B6-H28-H32&gt;0,B6-H28-H32,0)))</f>
        <v>155000</v>
      </c>
      <c r="I29" s="118">
        <f>IF(B1&lt;M29,2.71,"-")</f>
        <v>2.71</v>
      </c>
      <c r="J29" s="96"/>
      <c r="K29" s="96"/>
      <c r="L29" s="118">
        <f>+I29</f>
        <v>2.71</v>
      </c>
      <c r="M29" s="102">
        <v>36586</v>
      </c>
    </row>
    <row r="30" spans="1:26" x14ac:dyDescent="0.25">
      <c r="A30" s="167">
        <f>65338+25762</f>
        <v>91100</v>
      </c>
      <c r="B30" s="201"/>
      <c r="C30" s="202"/>
      <c r="D30" s="94">
        <f>IF(B1&lt;M30,H30*(B9+I30),0)</f>
        <v>317440</v>
      </c>
      <c r="E30" s="95">
        <f>(B10-(VLOOKUP($B$1,'1-10 vols'!$A$1:$AI$150,26)))*(VLOOKUP($B$1,'1-10 vols'!$A$1:$AI$150,25))</f>
        <v>-162945.51620000001</v>
      </c>
      <c r="F30" s="95"/>
      <c r="G30" s="116" t="str">
        <f>IF(B2&lt;M31,"ES0923.1","-")</f>
        <v>ES0923.1</v>
      </c>
      <c r="H30" s="122">
        <f>IF(B1&lt;M30,IF(B6-H28-H29-H32&gt;4000*B2,4000*B2,IF(B6-H28-H29-H32&gt;0,B6-H28-H29-H32,0)))</f>
        <v>124000</v>
      </c>
      <c r="I30" s="117">
        <f>IF(B1&lt;M30,0.45,"-")</f>
        <v>0.45</v>
      </c>
      <c r="J30" s="96"/>
      <c r="K30" s="96"/>
      <c r="L30" s="118">
        <f>I30+B9</f>
        <v>2.56</v>
      </c>
      <c r="M30" s="101">
        <v>37073</v>
      </c>
    </row>
    <row r="31" spans="1:26" x14ac:dyDescent="0.25">
      <c r="A31" s="65"/>
      <c r="B31" s="203"/>
      <c r="C31" s="202"/>
      <c r="D31" s="94">
        <f>IF(B1&lt;M31,H31*(B9+I31),0)</f>
        <v>506369.5</v>
      </c>
      <c r="E31" s="95">
        <f>($B$10-(VLOOKUP($B$1,'1-10 vols'!$A$1:$AI$150,29)))*(VLOOKUP($B$1,'1-10 vols'!$A1:$AI$150,28))</f>
        <v>-65950.950000000012</v>
      </c>
      <c r="F31" s="95"/>
      <c r="G31" s="116" t="str">
        <f>IF(B1&lt;M31,"ES0926.1","-")</f>
        <v>ES0926.1</v>
      </c>
      <c r="H31" s="122">
        <f>IF(B1&lt;M31,IF((B6-H28-H29-H30-H32)&gt;6500*B2,6500*B2,IF((B6-H28-H29-H30-H32)&gt;0,B6-H28-H29-H32,0)))</f>
        <v>201500</v>
      </c>
      <c r="I31" s="117">
        <f>IF(B1&lt;M31,0.403,"-")</f>
        <v>0.40300000000000002</v>
      </c>
      <c r="J31" s="96"/>
      <c r="K31" s="96"/>
      <c r="L31" s="118">
        <f>I31+B9</f>
        <v>2.5129999999999999</v>
      </c>
      <c r="M31" s="103">
        <v>37073</v>
      </c>
    </row>
    <row r="32" spans="1:26" x14ac:dyDescent="0.25">
      <c r="A32" s="65"/>
      <c r="B32" s="203"/>
      <c r="C32" s="202"/>
      <c r="D32" s="94">
        <f>H32*(B9+I32)</f>
        <v>1201920</v>
      </c>
      <c r="E32" s="95">
        <f>VLOOKUP($B$1,'1-10 vols'!A1:AS150,39)</f>
        <v>-19530</v>
      </c>
      <c r="F32" s="95"/>
      <c r="G32" s="115"/>
      <c r="H32" s="122">
        <f>IF(B1&gt;M34,0,SUM(B17:B19))</f>
        <v>469500</v>
      </c>
      <c r="I32" s="117">
        <f>IF(B1&gt;M34,0,IF(B1&lt;M32,0.45,0.6))</f>
        <v>0.45</v>
      </c>
      <c r="J32" s="111" t="s">
        <v>105</v>
      </c>
      <c r="K32" s="96"/>
      <c r="L32" s="118">
        <f>I32+B9</f>
        <v>2.56</v>
      </c>
      <c r="M32" s="103">
        <v>37073</v>
      </c>
    </row>
    <row r="33" spans="1:25" x14ac:dyDescent="0.25">
      <c r="A33" s="195" t="s">
        <v>213</v>
      </c>
      <c r="B33" s="203"/>
      <c r="C33" s="202"/>
      <c r="D33" s="94">
        <f>IF(B1&lt;M33,IF(B9&lt;1.7,H33*(1.7+0.769),H33*(B9+0.769)),0)</f>
        <v>0</v>
      </c>
      <c r="E33" s="95">
        <f>IF(B1&lt;M33,(IF(B9&lt;1.7,(1.7-B9)*10000*B2,0)),0)</f>
        <v>0</v>
      </c>
      <c r="F33" s="95"/>
      <c r="G33" s="116" t="s">
        <v>112</v>
      </c>
      <c r="H33" s="122" t="b">
        <f>IF(B1&lt;M33,IF(B6-SUM(H28:H32)&gt;10000*B2,10000*B2,IF((B6-SUM(H28:H32))&gt;0,B6-SUM(H28:H32),0)))</f>
        <v>0</v>
      </c>
      <c r="I33" s="118">
        <f>IF(B9&lt;1.7,1.7+0.769,B9+0.769)</f>
        <v>2.879</v>
      </c>
      <c r="J33" s="111" t="str">
        <f>IF(B1&lt;M33,"Floor of $2.469 on Sitara #70860","-")</f>
        <v>-</v>
      </c>
      <c r="K33" s="96"/>
      <c r="L33" s="118">
        <f>I33</f>
        <v>2.879</v>
      </c>
      <c r="M33" s="101">
        <v>36465</v>
      </c>
      <c r="Y33">
        <f>1578091+123997</f>
        <v>1702088</v>
      </c>
    </row>
    <row r="34" spans="1:25" x14ac:dyDescent="0.25">
      <c r="A34" s="65"/>
      <c r="B34" s="211"/>
      <c r="C34" s="212"/>
      <c r="D34" s="99">
        <f>(H34-(IF(B1&lt;N34,25000*B2,0)))*(B9+I34)+25000*B2*(0.719+IF(B9&lt;2.3,2.3,B9))</f>
        <v>9760442.5069999993</v>
      </c>
      <c r="E34" s="95">
        <f>($B$10-(VLOOKUP($B$1,'1-10 vols'!$A$1:$AI$150,20)))*(VLOOKUP($B$1,'1-10 vols'!$A$1:$AI$150,19))+($B$10-(VLOOKUP($B$1,'1-10 vols'!$A$1:$AI$150,23)))*(VLOOKUP($B$1,'1-10 vols'!$A$1:$AI$150,22))+IF(B1&lt;N34,25000*B2*((-VLOOKUP($B$1,'1-10 vols'!A3:AM98,20)+0.05+'R&amp;C Model'!B10)),0)</f>
        <v>-4474902.0004000003</v>
      </c>
      <c r="F34" s="95"/>
      <c r="G34" s="119" t="s">
        <v>58</v>
      </c>
      <c r="H34" s="123">
        <f>IF((B6-(SUM(H28:H33)))&lt;0,0,B6-(SUM(H28:H33)))</f>
        <v>3352533</v>
      </c>
      <c r="I34" s="120">
        <f>IF(B1&gt;M34, 0.59,0.769)</f>
        <v>0.76900000000000002</v>
      </c>
      <c r="J34" s="96"/>
      <c r="K34" s="96"/>
      <c r="L34" s="118">
        <f>I34+B9</f>
        <v>2.879</v>
      </c>
      <c r="M34" s="88">
        <v>38777</v>
      </c>
      <c r="N34" s="88">
        <v>36617</v>
      </c>
    </row>
    <row r="35" spans="1:25" x14ac:dyDescent="0.25">
      <c r="A35" s="21" t="s">
        <v>211</v>
      </c>
      <c r="B35" s="108"/>
      <c r="C35" s="96"/>
      <c r="D35" s="96"/>
      <c r="E35" s="95">
        <f>+IF(B1&lt;N34,IF(B9&lt;2.3,(B9-2.3)*25000*B2,0),0)</f>
        <v>-147249.99999999997</v>
      </c>
      <c r="F35" s="96"/>
      <c r="G35" s="96"/>
      <c r="H35" s="96"/>
      <c r="I35" s="96"/>
      <c r="J35" s="96"/>
      <c r="K35" s="96"/>
      <c r="L35" s="112"/>
    </row>
    <row r="36" spans="1:25" ht="13.8" thickBot="1" x14ac:dyDescent="0.3">
      <c r="A36" s="21" t="s">
        <v>102</v>
      </c>
      <c r="B36" s="209">
        <f>SUM(B27:B34)</f>
        <v>9415889.3780999985</v>
      </c>
      <c r="C36" s="210"/>
      <c r="D36" s="89">
        <f>SUM(D27:D34)</f>
        <v>12218065.006999999</v>
      </c>
      <c r="E36" s="172">
        <f>SUM(E27:E35)</f>
        <v>-3688883.4665999999</v>
      </c>
      <c r="F36" s="96"/>
      <c r="G36" s="96"/>
      <c r="H36" s="104">
        <f>SUM(H28:H34)</f>
        <v>4302533</v>
      </c>
      <c r="I36" s="96" t="s">
        <v>133</v>
      </c>
      <c r="J36" s="96"/>
      <c r="K36" s="96"/>
      <c r="L36" s="93"/>
    </row>
    <row r="37" spans="1:25" ht="13.8" thickTop="1" x14ac:dyDescent="0.25">
      <c r="A37" s="65"/>
      <c r="B37" s="113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25" x14ac:dyDescent="0.25">
      <c r="A38" s="206" t="s">
        <v>134</v>
      </c>
      <c r="B38" s="207"/>
      <c r="C38" s="204">
        <f>D36+E36-B36</f>
        <v>-886707.83770000003</v>
      </c>
      <c r="D38" s="205"/>
    </row>
    <row r="39" spans="1:25" x14ac:dyDescent="0.25">
      <c r="G39" s="1" t="s">
        <v>142</v>
      </c>
      <c r="K39" s="3"/>
      <c r="M39" s="3"/>
    </row>
    <row r="40" spans="1:25" x14ac:dyDescent="0.25">
      <c r="A40" s="198" t="s">
        <v>175</v>
      </c>
      <c r="B40" s="199"/>
      <c r="C40" s="199"/>
      <c r="D40" s="200"/>
      <c r="G40" s="1" t="s">
        <v>143</v>
      </c>
      <c r="I40" s="3"/>
      <c r="J40" s="3"/>
      <c r="K40" s="3"/>
      <c r="L40" s="3"/>
      <c r="M40" s="3"/>
    </row>
    <row r="41" spans="1:25" x14ac:dyDescent="0.25">
      <c r="A41" s="1" t="s">
        <v>210</v>
      </c>
      <c r="D41" s="173">
        <f>($H$36-$B$3)*IF(B1&gt;M34,(I34+B9-B13),(I33-B13))</f>
        <v>-1972222.8837000008</v>
      </c>
      <c r="G41" s="188" t="s">
        <v>206</v>
      </c>
      <c r="H41" s="124"/>
    </row>
    <row r="42" spans="1:25" x14ac:dyDescent="0.25">
      <c r="A42" s="1" t="s">
        <v>176</v>
      </c>
      <c r="D42" s="190">
        <f>($M$17-SUM(B17:B19))*(0.769-0.45)</f>
        <v>-50454.953999999998</v>
      </c>
      <c r="H42" s="124"/>
    </row>
    <row r="43" spans="1:25" x14ac:dyDescent="0.25">
      <c r="A43" s="1" t="s">
        <v>214</v>
      </c>
      <c r="D43" s="190">
        <f>IF(B1&lt;M29,E32+(2.71-VLOOKUP(B1,'1-10 vols'!A3:AL98,32)-0.769)*VLOOKUP(B1,'1-10 vols'!A3:AL98,31),0)</f>
        <v>-4030.0000000000036</v>
      </c>
      <c r="H43" s="124"/>
    </row>
    <row r="44" spans="1:25" x14ac:dyDescent="0.25">
      <c r="A44" s="1" t="s">
        <v>209</v>
      </c>
      <c r="D44" s="174">
        <f>+E27</f>
        <v>1140000</v>
      </c>
      <c r="I44" s="3"/>
      <c r="J44" s="3"/>
      <c r="K44" s="3"/>
      <c r="L44" s="3"/>
      <c r="M44" s="3"/>
    </row>
    <row r="45" spans="1:25" x14ac:dyDescent="0.25">
      <c r="A45" s="1"/>
      <c r="D45" s="190"/>
      <c r="F45" s="3"/>
      <c r="G45" s="3"/>
      <c r="I45" s="3"/>
      <c r="J45" s="3"/>
      <c r="K45" s="3"/>
      <c r="L45" s="3"/>
      <c r="M45" s="3"/>
    </row>
    <row r="46" spans="1:25" ht="13.8" thickBot="1" x14ac:dyDescent="0.3">
      <c r="A46" s="1" t="s">
        <v>177</v>
      </c>
      <c r="D46" s="189">
        <f>SUM(D41:D45)</f>
        <v>-886707.83770000073</v>
      </c>
      <c r="F46" s="3"/>
      <c r="G46" s="3"/>
      <c r="I46" s="3"/>
      <c r="J46" s="3"/>
      <c r="K46" s="3"/>
      <c r="L46" s="3"/>
      <c r="M46" s="3"/>
    </row>
    <row r="47" spans="1:25" ht="13.8" thickTop="1" x14ac:dyDescent="0.25">
      <c r="I47" s="3"/>
      <c r="J47" s="3"/>
      <c r="K47" s="3"/>
      <c r="L47" s="3"/>
      <c r="M47" s="3"/>
    </row>
    <row r="48" spans="1:25" x14ac:dyDescent="0.25">
      <c r="D48" s="173">
        <f>+C38-D46</f>
        <v>0</v>
      </c>
      <c r="E48" s="196"/>
      <c r="I48" s="3"/>
      <c r="J48" s="3"/>
      <c r="K48" s="92"/>
      <c r="L48" s="3"/>
      <c r="M48" s="3"/>
    </row>
    <row r="49" spans="3:13" x14ac:dyDescent="0.25">
      <c r="D49" s="69"/>
      <c r="E49" s="84"/>
      <c r="I49" s="3"/>
      <c r="J49" s="3"/>
      <c r="K49" s="3"/>
      <c r="L49" s="3"/>
      <c r="M49" s="3"/>
    </row>
    <row r="50" spans="3:13" x14ac:dyDescent="0.25">
      <c r="D50" s="69"/>
      <c r="E50" s="3"/>
      <c r="I50" s="3"/>
      <c r="J50" s="3"/>
      <c r="K50" s="3"/>
      <c r="L50" s="3"/>
      <c r="M50" s="3"/>
    </row>
    <row r="51" spans="3:13" x14ac:dyDescent="0.25">
      <c r="D51" s="78"/>
      <c r="E51" s="76"/>
    </row>
    <row r="52" spans="3:13" x14ac:dyDescent="0.25">
      <c r="D52" s="3"/>
    </row>
    <row r="53" spans="3:13" x14ac:dyDescent="0.25">
      <c r="D53" s="69"/>
    </row>
    <row r="55" spans="3:13" x14ac:dyDescent="0.25">
      <c r="D55" s="69"/>
    </row>
    <row r="56" spans="3:13" x14ac:dyDescent="0.25">
      <c r="C56" s="69"/>
    </row>
  </sheetData>
  <mergeCells count="14">
    <mergeCell ref="B29:C29"/>
    <mergeCell ref="B33:C33"/>
    <mergeCell ref="B34:C34"/>
    <mergeCell ref="B27:C27"/>
    <mergeCell ref="A40:D40"/>
    <mergeCell ref="B30:C30"/>
    <mergeCell ref="B31:C31"/>
    <mergeCell ref="B32:C32"/>
    <mergeCell ref="C38:D38"/>
    <mergeCell ref="G26:I26"/>
    <mergeCell ref="A38:B38"/>
    <mergeCell ref="B28:C28"/>
    <mergeCell ref="B26:C26"/>
    <mergeCell ref="B36:C36"/>
  </mergeCells>
  <pageMargins left="0.75" right="0.75" top="1" bottom="1" header="0.5" footer="0.5"/>
  <pageSetup scale="8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386"/>
  <sheetViews>
    <sheetView workbookViewId="0">
      <pane xSplit="2220" topLeftCell="AB1" activePane="topRight"/>
      <selection activeCell="B12" sqref="B12"/>
      <selection pane="topRight" activeCell="AG11" sqref="AG11:AG13"/>
    </sheetView>
  </sheetViews>
  <sheetFormatPr defaultRowHeight="13.2" x14ac:dyDescent="0.25"/>
  <cols>
    <col min="3" max="3" width="11.44140625" customWidth="1"/>
    <col min="4" max="5" width="9.88671875" customWidth="1"/>
    <col min="6" max="9" width="10" customWidth="1"/>
    <col min="12" max="12" width="10.6640625" style="162" customWidth="1"/>
    <col min="13" max="13" width="11.44140625" customWidth="1"/>
    <col min="14" max="14" width="10.5546875" customWidth="1"/>
    <col min="15" max="15" width="9.33203125" bestFit="1" customWidth="1"/>
    <col min="16" max="16" width="11.33203125" customWidth="1"/>
    <col min="19" max="19" width="11.109375" customWidth="1"/>
    <col min="20" max="20" width="8.44140625" bestFit="1" customWidth="1"/>
    <col min="21" max="24" width="12.5546875" customWidth="1"/>
    <col min="25" max="25" width="10.33203125" bestFit="1" customWidth="1"/>
    <col min="26" max="27" width="8.88671875" customWidth="1"/>
    <col min="28" max="28" width="11.33203125" bestFit="1" customWidth="1"/>
    <col min="29" max="29" width="8.6640625" customWidth="1"/>
    <col min="30" max="31" width="11.33203125" customWidth="1"/>
    <col min="32" max="32" width="9.44140625" customWidth="1"/>
    <col min="35" max="35" width="8.109375" customWidth="1"/>
    <col min="37" max="37" width="18.109375" style="130" customWidth="1"/>
  </cols>
  <sheetData>
    <row r="1" spans="1:39" ht="41.25" customHeight="1" x14ac:dyDescent="0.25">
      <c r="A1" s="22" t="s">
        <v>39</v>
      </c>
      <c r="B1" s="22" t="s">
        <v>38</v>
      </c>
      <c r="C1" s="23" t="s">
        <v>53</v>
      </c>
      <c r="D1" s="213" t="s">
        <v>42</v>
      </c>
      <c r="E1" s="213"/>
      <c r="F1" s="214" t="s">
        <v>46</v>
      </c>
      <c r="G1" s="214"/>
      <c r="H1" s="213" t="s">
        <v>47</v>
      </c>
      <c r="I1" s="213"/>
      <c r="J1" s="22">
        <v>70549</v>
      </c>
      <c r="K1" s="22"/>
      <c r="L1" s="159">
        <v>70548</v>
      </c>
      <c r="M1" s="6" t="s">
        <v>85</v>
      </c>
      <c r="N1" s="6"/>
      <c r="O1" s="6"/>
      <c r="P1" s="19" t="s">
        <v>40</v>
      </c>
      <c r="Q1" s="19" t="s">
        <v>89</v>
      </c>
      <c r="S1" s="19" t="s">
        <v>27</v>
      </c>
      <c r="T1" s="60" t="s">
        <v>94</v>
      </c>
      <c r="U1" s="62"/>
      <c r="V1" s="19" t="s">
        <v>208</v>
      </c>
      <c r="W1" s="60" t="s">
        <v>94</v>
      </c>
      <c r="X1" s="62"/>
      <c r="Y1" s="9" t="s">
        <v>28</v>
      </c>
      <c r="Z1" s="60" t="s">
        <v>94</v>
      </c>
      <c r="AA1" s="62"/>
      <c r="AB1" s="9" t="s">
        <v>17</v>
      </c>
      <c r="AC1" s="60" t="s">
        <v>94</v>
      </c>
      <c r="AD1" s="21"/>
      <c r="AE1" s="24" t="s">
        <v>21</v>
      </c>
      <c r="AF1" s="19" t="s">
        <v>95</v>
      </c>
      <c r="AH1" s="64" t="s">
        <v>20</v>
      </c>
      <c r="AI1" s="19" t="s">
        <v>95</v>
      </c>
      <c r="AK1" s="129" t="s">
        <v>141</v>
      </c>
      <c r="AM1" s="64" t="s">
        <v>143</v>
      </c>
    </row>
    <row r="2" spans="1:39" ht="15" customHeight="1" x14ac:dyDescent="0.25">
      <c r="A2" s="9" t="s">
        <v>54</v>
      </c>
      <c r="B2" s="21"/>
      <c r="C2" s="132" t="s">
        <v>55</v>
      </c>
      <c r="D2" s="132">
        <v>6</v>
      </c>
      <c r="E2" s="134" t="s">
        <v>150</v>
      </c>
      <c r="F2" s="132">
        <v>8</v>
      </c>
      <c r="G2" s="25" t="s">
        <v>150</v>
      </c>
      <c r="H2" s="132">
        <v>9</v>
      </c>
      <c r="I2" s="134" t="s">
        <v>150</v>
      </c>
      <c r="J2" s="61">
        <v>10</v>
      </c>
      <c r="K2" s="21"/>
      <c r="L2" s="160">
        <v>1</v>
      </c>
      <c r="P2" s="141">
        <v>16</v>
      </c>
      <c r="Q2" s="142">
        <f>P2+1</f>
        <v>17</v>
      </c>
      <c r="R2" s="142">
        <f t="shared" ref="R2:AM2" si="0">Q2+1</f>
        <v>18</v>
      </c>
      <c r="S2" s="142">
        <f t="shared" si="0"/>
        <v>19</v>
      </c>
      <c r="T2" s="142">
        <f t="shared" si="0"/>
        <v>20</v>
      </c>
      <c r="U2" s="142">
        <f t="shared" si="0"/>
        <v>21</v>
      </c>
      <c r="V2" s="142">
        <f t="shared" si="0"/>
        <v>22</v>
      </c>
      <c r="W2" s="142">
        <f t="shared" si="0"/>
        <v>23</v>
      </c>
      <c r="X2" s="142">
        <f t="shared" si="0"/>
        <v>24</v>
      </c>
      <c r="Y2" s="142">
        <f t="shared" si="0"/>
        <v>25</v>
      </c>
      <c r="Z2" s="142">
        <f t="shared" si="0"/>
        <v>26</v>
      </c>
      <c r="AA2" s="142">
        <f t="shared" si="0"/>
        <v>27</v>
      </c>
      <c r="AB2" s="142">
        <f t="shared" si="0"/>
        <v>28</v>
      </c>
      <c r="AC2" s="142">
        <f t="shared" si="0"/>
        <v>29</v>
      </c>
      <c r="AD2" s="142">
        <f t="shared" si="0"/>
        <v>30</v>
      </c>
      <c r="AE2" s="142">
        <f t="shared" si="0"/>
        <v>31</v>
      </c>
      <c r="AF2" s="142">
        <f t="shared" si="0"/>
        <v>32</v>
      </c>
      <c r="AG2" s="142">
        <f t="shared" si="0"/>
        <v>33</v>
      </c>
      <c r="AH2" s="142">
        <f t="shared" si="0"/>
        <v>34</v>
      </c>
      <c r="AI2" s="142">
        <f t="shared" si="0"/>
        <v>35</v>
      </c>
      <c r="AJ2" s="142">
        <f t="shared" si="0"/>
        <v>36</v>
      </c>
      <c r="AK2" s="142">
        <f t="shared" si="0"/>
        <v>37</v>
      </c>
      <c r="AL2" s="142">
        <f t="shared" si="0"/>
        <v>38</v>
      </c>
      <c r="AM2" s="142">
        <f t="shared" si="0"/>
        <v>39</v>
      </c>
    </row>
    <row r="3" spans="1:39" s="4" customFormat="1" x14ac:dyDescent="0.25">
      <c r="A3" s="11">
        <v>36251</v>
      </c>
      <c r="B3" s="15">
        <v>30</v>
      </c>
      <c r="C3" s="18">
        <f t="shared" ref="C3:C8" si="1">20500*B3</f>
        <v>615000</v>
      </c>
      <c r="D3" s="18">
        <f>15/(15+22+24)*Y3</f>
        <v>62112.540983606559</v>
      </c>
      <c r="E3" s="18">
        <f>D3/B3</f>
        <v>2070.4180327868853</v>
      </c>
      <c r="F3" s="18">
        <f>22/(15+22+24)*Y3</f>
        <v>91098.393442622953</v>
      </c>
      <c r="G3" s="18">
        <f>F3/B3</f>
        <v>3036.6131147540987</v>
      </c>
      <c r="H3" s="18">
        <f>24/(15+22+24)*Y3</f>
        <v>99380.065573770495</v>
      </c>
      <c r="I3" s="18">
        <f>H3/B3</f>
        <v>3312.6688524590163</v>
      </c>
      <c r="J3" s="18">
        <f>5000*B3</f>
        <v>150000</v>
      </c>
      <c r="K3" s="18"/>
      <c r="L3" s="18">
        <f>S3-J3-C3+AB3</f>
        <v>1582420</v>
      </c>
      <c r="M3" s="18">
        <f t="shared" ref="M3:M34" si="2">L3/B3</f>
        <v>52747.333333333336</v>
      </c>
      <c r="N3" s="135"/>
      <c r="O3" s="135"/>
      <c r="P3" s="83">
        <f t="shared" ref="P3:P9" si="3">S3+Y3+AB3</f>
        <v>2600011</v>
      </c>
      <c r="Q3" s="18">
        <f t="shared" ref="Q3:Q34" si="4">P3/B3</f>
        <v>86667.03333333334</v>
      </c>
      <c r="S3" s="18">
        <v>2152420</v>
      </c>
      <c r="T3" s="136">
        <v>0.70920000000000005</v>
      </c>
      <c r="U3" s="137"/>
      <c r="V3" s="137">
        <v>0</v>
      </c>
      <c r="W3" s="137">
        <v>0</v>
      </c>
      <c r="X3" s="137"/>
      <c r="Y3" s="82">
        <v>252591</v>
      </c>
      <c r="Z3" s="138">
        <v>0.39</v>
      </c>
      <c r="AA3" s="18"/>
      <c r="AB3" s="18">
        <v>195000</v>
      </c>
      <c r="AC3" s="63">
        <v>0.34300000000000003</v>
      </c>
      <c r="AD3" s="18"/>
      <c r="AE3" s="18">
        <f t="shared" ref="AE3:AE13" si="5">5000*B3</f>
        <v>150000</v>
      </c>
      <c r="AF3" s="63">
        <v>1.841</v>
      </c>
      <c r="AG3" s="139"/>
      <c r="AH3" s="18">
        <f t="shared" ref="AH3:AH8" si="6">5000*B3</f>
        <v>150000</v>
      </c>
      <c r="AI3" s="4">
        <v>2.2669999999999999</v>
      </c>
      <c r="AK3" s="130">
        <f>61000*B3*0.017</f>
        <v>31110.000000000004</v>
      </c>
      <c r="AM3" s="130">
        <v>-49538</v>
      </c>
    </row>
    <row r="4" spans="1:39" s="4" customFormat="1" x14ac:dyDescent="0.25">
      <c r="A4" s="11">
        <v>36281</v>
      </c>
      <c r="B4" s="15">
        <v>31</v>
      </c>
      <c r="C4" s="18">
        <f t="shared" si="1"/>
        <v>635500</v>
      </c>
      <c r="D4" s="18">
        <f>15/(15+22+24)*(Y4-4000*B4)</f>
        <v>22146.147540983606</v>
      </c>
      <c r="E4" s="18">
        <f t="shared" ref="E4:E67" si="7">D4/B4</f>
        <v>714.39185616076145</v>
      </c>
      <c r="F4" s="18">
        <f>22/(15+22+24)*(Y4-4000*B4)</f>
        <v>32481.016393442624</v>
      </c>
      <c r="G4" s="18">
        <f t="shared" ref="G4:G67" si="8">F4/B4</f>
        <v>1047.7747223691169</v>
      </c>
      <c r="H4" s="18">
        <f>24/(15+22+24)*(Y4-4000*B4)</f>
        <v>35433.836065573771</v>
      </c>
      <c r="I4" s="18">
        <f t="shared" ref="I4:I67" si="9">H4/B4</f>
        <v>1143.0269698572183</v>
      </c>
      <c r="J4" s="18">
        <f t="shared" ref="J4:J67" si="10">5000*B4</f>
        <v>155000</v>
      </c>
      <c r="K4" s="18"/>
      <c r="L4" s="18">
        <f>S4-J4-C4+AB4+4000*B4</f>
        <v>1086262.3</v>
      </c>
      <c r="M4" s="18">
        <f t="shared" si="2"/>
        <v>35040.719354838708</v>
      </c>
      <c r="N4" s="135"/>
      <c r="O4" s="135"/>
      <c r="P4" s="83">
        <f t="shared" si="3"/>
        <v>1966823.3</v>
      </c>
      <c r="Q4" s="18">
        <f t="shared" si="4"/>
        <v>63445.912903225806</v>
      </c>
      <c r="S4" s="18">
        <v>1551262.3</v>
      </c>
      <c r="T4" s="136">
        <v>0.70920000000000005</v>
      </c>
      <c r="U4" s="137"/>
      <c r="V4" s="137">
        <v>0</v>
      </c>
      <c r="W4" s="137">
        <v>0</v>
      </c>
      <c r="X4" s="137"/>
      <c r="Y4" s="82">
        <v>214061</v>
      </c>
      <c r="Z4" s="138">
        <v>0.39</v>
      </c>
      <c r="AA4" s="18"/>
      <c r="AB4" s="18">
        <v>201500</v>
      </c>
      <c r="AC4" s="63">
        <v>0.34300000000000003</v>
      </c>
      <c r="AD4" s="18"/>
      <c r="AE4" s="18">
        <f t="shared" si="5"/>
        <v>155000</v>
      </c>
      <c r="AF4" s="63">
        <v>1.841</v>
      </c>
      <c r="AG4" s="139"/>
      <c r="AH4" s="18">
        <f t="shared" si="6"/>
        <v>155000</v>
      </c>
      <c r="AI4" s="4">
        <v>2.2669999999999999</v>
      </c>
      <c r="AK4" s="130">
        <f t="shared" ref="AK4:AK9" si="11">61000*B4*0.017</f>
        <v>32147.000000000004</v>
      </c>
      <c r="AM4" s="130">
        <v>-49538</v>
      </c>
    </row>
    <row r="5" spans="1:39" s="4" customFormat="1" x14ac:dyDescent="0.25">
      <c r="A5" s="11">
        <v>36312</v>
      </c>
      <c r="B5" s="15">
        <v>30</v>
      </c>
      <c r="C5" s="18">
        <f t="shared" si="1"/>
        <v>615000</v>
      </c>
      <c r="D5" s="18">
        <f t="shared" ref="D5:D29" si="12">15/(15+22+24)*(Y5-4000*B5)</f>
        <v>15965.163934426229</v>
      </c>
      <c r="E5" s="18">
        <f t="shared" si="7"/>
        <v>532.17213114754099</v>
      </c>
      <c r="F5" s="18">
        <f t="shared" ref="F5:F29" si="13">22/(15+22+24)*(Y5-4000*B5)</f>
        <v>23415.573770491803</v>
      </c>
      <c r="G5" s="18">
        <f t="shared" si="8"/>
        <v>780.51912568306011</v>
      </c>
      <c r="H5" s="18">
        <f t="shared" ref="H5:H29" si="14">24/(15+22+24)*(Y5-4000*B5)</f>
        <v>25544.262295081968</v>
      </c>
      <c r="I5" s="18">
        <f t="shared" si="9"/>
        <v>851.47540983606564</v>
      </c>
      <c r="J5" s="18">
        <f t="shared" si="10"/>
        <v>150000</v>
      </c>
      <c r="K5" s="18"/>
      <c r="L5" s="18">
        <f>S5-J5-C5+AB5+4000*B5</f>
        <v>596386.30000000005</v>
      </c>
      <c r="M5" s="18">
        <f t="shared" si="2"/>
        <v>19879.543333333335</v>
      </c>
      <c r="N5" s="135"/>
      <c r="O5" s="135"/>
      <c r="P5" s="83">
        <f t="shared" si="3"/>
        <v>1426311.3</v>
      </c>
      <c r="Q5" s="18">
        <f t="shared" si="4"/>
        <v>47543.71</v>
      </c>
      <c r="S5" s="18">
        <v>1046386.3</v>
      </c>
      <c r="T5" s="136">
        <v>0.70920000000000005</v>
      </c>
      <c r="U5" s="137"/>
      <c r="V5" s="137">
        <v>0</v>
      </c>
      <c r="W5" s="137">
        <v>0</v>
      </c>
      <c r="X5" s="137"/>
      <c r="Y5" s="82">
        <v>184925</v>
      </c>
      <c r="Z5" s="138">
        <v>0.39</v>
      </c>
      <c r="AA5" s="18"/>
      <c r="AB5" s="18">
        <v>195000</v>
      </c>
      <c r="AC5" s="63">
        <v>0.34300000000000003</v>
      </c>
      <c r="AD5" s="18"/>
      <c r="AE5" s="18">
        <f t="shared" si="5"/>
        <v>150000</v>
      </c>
      <c r="AF5" s="63">
        <v>1.841</v>
      </c>
      <c r="AG5" s="139"/>
      <c r="AH5" s="18">
        <f t="shared" si="6"/>
        <v>150000</v>
      </c>
      <c r="AI5" s="4">
        <v>2.2669999999999999</v>
      </c>
      <c r="AK5" s="130">
        <f t="shared" si="11"/>
        <v>31110.000000000004</v>
      </c>
      <c r="AM5" s="130">
        <v>-49538</v>
      </c>
    </row>
    <row r="6" spans="1:39" s="4" customFormat="1" x14ac:dyDescent="0.25">
      <c r="A6" s="11">
        <v>36342</v>
      </c>
      <c r="B6" s="15">
        <v>31</v>
      </c>
      <c r="C6" s="18">
        <f t="shared" si="1"/>
        <v>635500</v>
      </c>
      <c r="D6" s="18">
        <f t="shared" si="12"/>
        <v>17447.704918032785</v>
      </c>
      <c r="E6" s="18">
        <f t="shared" si="7"/>
        <v>562.82919090428334</v>
      </c>
      <c r="F6" s="18">
        <f t="shared" si="13"/>
        <v>25589.967213114756</v>
      </c>
      <c r="G6" s="18">
        <f t="shared" si="8"/>
        <v>825.48281332628244</v>
      </c>
      <c r="H6" s="18">
        <f t="shared" si="14"/>
        <v>27916.327868852459</v>
      </c>
      <c r="I6" s="18">
        <f t="shared" si="9"/>
        <v>900.5267054468535</v>
      </c>
      <c r="J6" s="18">
        <f t="shared" si="10"/>
        <v>155000</v>
      </c>
      <c r="K6" s="18"/>
      <c r="L6" s="18">
        <f t="shared" ref="L6:L29" si="15">S6-J6-C6+AB6+4000*B6</f>
        <v>634169.5</v>
      </c>
      <c r="M6" s="18">
        <f t="shared" si="2"/>
        <v>20457.080645161292</v>
      </c>
      <c r="N6" s="135"/>
      <c r="O6" s="135"/>
      <c r="P6" s="83">
        <f t="shared" si="3"/>
        <v>1495623.5</v>
      </c>
      <c r="Q6" s="18">
        <f t="shared" si="4"/>
        <v>48245.919354838712</v>
      </c>
      <c r="S6" s="18">
        <v>1099169.5</v>
      </c>
      <c r="T6" s="136">
        <v>0.70920000000000005</v>
      </c>
      <c r="U6" s="137"/>
      <c r="V6" s="137">
        <v>0</v>
      </c>
      <c r="W6" s="137">
        <v>0</v>
      </c>
      <c r="X6" s="137"/>
      <c r="Y6" s="82">
        <v>194954</v>
      </c>
      <c r="Z6" s="138">
        <v>0.39</v>
      </c>
      <c r="AA6" s="18"/>
      <c r="AB6" s="18">
        <v>201500</v>
      </c>
      <c r="AC6" s="63">
        <v>0.34300000000000003</v>
      </c>
      <c r="AD6" s="18"/>
      <c r="AE6" s="18">
        <f t="shared" si="5"/>
        <v>155000</v>
      </c>
      <c r="AF6" s="63">
        <v>1.841</v>
      </c>
      <c r="AG6" s="139"/>
      <c r="AH6" s="18">
        <f t="shared" si="6"/>
        <v>155000</v>
      </c>
      <c r="AI6" s="4">
        <v>2.2669999999999999</v>
      </c>
      <c r="AK6" s="130">
        <f t="shared" si="11"/>
        <v>32147.000000000004</v>
      </c>
      <c r="AM6" s="130">
        <v>-49538</v>
      </c>
    </row>
    <row r="7" spans="1:39" s="4" customFormat="1" x14ac:dyDescent="0.25">
      <c r="A7" s="11">
        <v>36373</v>
      </c>
      <c r="B7" s="15">
        <v>31</v>
      </c>
      <c r="C7" s="18">
        <f t="shared" si="1"/>
        <v>635500</v>
      </c>
      <c r="D7" s="18">
        <f t="shared" si="12"/>
        <v>16708.278688524591</v>
      </c>
      <c r="E7" s="18">
        <f t="shared" si="7"/>
        <v>538.97673188789008</v>
      </c>
      <c r="F7" s="18">
        <f t="shared" si="13"/>
        <v>24505.475409836068</v>
      </c>
      <c r="G7" s="18">
        <f t="shared" si="8"/>
        <v>790.49920676890542</v>
      </c>
      <c r="H7" s="18">
        <f t="shared" si="14"/>
        <v>26733.245901639344</v>
      </c>
      <c r="I7" s="18">
        <f t="shared" si="9"/>
        <v>862.362771020624</v>
      </c>
      <c r="J7" s="18">
        <f t="shared" si="10"/>
        <v>155000</v>
      </c>
      <c r="K7" s="18"/>
      <c r="L7" s="18">
        <f t="shared" si="15"/>
        <v>1043543.8</v>
      </c>
      <c r="M7" s="18">
        <f t="shared" si="2"/>
        <v>33662.70322580645</v>
      </c>
      <c r="N7" s="135"/>
      <c r="O7" s="135"/>
      <c r="P7" s="83">
        <f t="shared" si="3"/>
        <v>1901990.8</v>
      </c>
      <c r="Q7" s="18">
        <f t="shared" si="4"/>
        <v>61354.541935483874</v>
      </c>
      <c r="S7" s="18">
        <v>1508543.8</v>
      </c>
      <c r="T7" s="136">
        <v>0.70899999999999996</v>
      </c>
      <c r="U7" s="137"/>
      <c r="V7" s="137">
        <v>0</v>
      </c>
      <c r="W7" s="137">
        <v>0</v>
      </c>
      <c r="X7" s="137"/>
      <c r="Y7" s="82">
        <v>191947</v>
      </c>
      <c r="Z7" s="138">
        <v>0.39</v>
      </c>
      <c r="AA7" s="18"/>
      <c r="AB7" s="18">
        <v>201500</v>
      </c>
      <c r="AC7" s="63">
        <v>0.34300000000000003</v>
      </c>
      <c r="AD7" s="18"/>
      <c r="AE7" s="18">
        <f t="shared" si="5"/>
        <v>155000</v>
      </c>
      <c r="AF7" s="63">
        <v>1.841</v>
      </c>
      <c r="AG7" s="139"/>
      <c r="AH7" s="18">
        <f t="shared" si="6"/>
        <v>155000</v>
      </c>
      <c r="AI7" s="4">
        <v>2.2669999999999999</v>
      </c>
      <c r="AK7" s="130">
        <f t="shared" si="11"/>
        <v>32147.000000000004</v>
      </c>
      <c r="AM7" s="130">
        <v>-31000</v>
      </c>
    </row>
    <row r="8" spans="1:39" s="4" customFormat="1" x14ac:dyDescent="0.25">
      <c r="A8" s="11">
        <v>36404</v>
      </c>
      <c r="B8" s="15">
        <v>30</v>
      </c>
      <c r="C8" s="18">
        <f t="shared" si="1"/>
        <v>615000</v>
      </c>
      <c r="D8" s="18">
        <f t="shared" si="12"/>
        <v>14722.377049180328</v>
      </c>
      <c r="E8" s="18">
        <f t="shared" si="7"/>
        <v>490.74590163934425</v>
      </c>
      <c r="F8" s="18">
        <f t="shared" si="13"/>
        <v>21592.819672131147</v>
      </c>
      <c r="G8" s="18">
        <f t="shared" si="8"/>
        <v>719.76065573770495</v>
      </c>
      <c r="H8" s="18">
        <f t="shared" si="14"/>
        <v>23555.803278688523</v>
      </c>
      <c r="I8" s="18">
        <f t="shared" si="9"/>
        <v>785.19344262295078</v>
      </c>
      <c r="J8" s="18">
        <f t="shared" si="10"/>
        <v>150000</v>
      </c>
      <c r="K8" s="18"/>
      <c r="L8" s="18">
        <f t="shared" si="15"/>
        <v>801614.3</v>
      </c>
      <c r="M8" s="18">
        <f t="shared" si="2"/>
        <v>26720.476666666669</v>
      </c>
      <c r="N8" s="135"/>
      <c r="O8" s="135"/>
      <c r="P8" s="83">
        <f t="shared" si="3"/>
        <v>1626485.3</v>
      </c>
      <c r="Q8" s="18">
        <f t="shared" si="4"/>
        <v>54216.176666666666</v>
      </c>
      <c r="S8" s="18">
        <v>1251614.3</v>
      </c>
      <c r="T8" s="136">
        <v>0.70899999999999996</v>
      </c>
      <c r="U8" s="137"/>
      <c r="V8" s="137">
        <v>0</v>
      </c>
      <c r="W8" s="137">
        <v>0</v>
      </c>
      <c r="X8" s="137"/>
      <c r="Y8" s="82">
        <v>179871</v>
      </c>
      <c r="Z8" s="138">
        <v>0.39</v>
      </c>
      <c r="AA8" s="18"/>
      <c r="AB8" s="18">
        <v>195000</v>
      </c>
      <c r="AC8" s="63">
        <v>0.34300000000000003</v>
      </c>
      <c r="AD8" s="18"/>
      <c r="AE8" s="18">
        <f t="shared" si="5"/>
        <v>150000</v>
      </c>
      <c r="AF8" s="63">
        <v>1.841</v>
      </c>
      <c r="AG8" s="139"/>
      <c r="AH8" s="18">
        <f t="shared" si="6"/>
        <v>150000</v>
      </c>
      <c r="AI8" s="4">
        <v>2.2669999999999999</v>
      </c>
      <c r="AK8" s="130">
        <f t="shared" si="11"/>
        <v>31110.000000000004</v>
      </c>
      <c r="AM8" s="130">
        <v>-30000</v>
      </c>
    </row>
    <row r="9" spans="1:39" s="4" customFormat="1" x14ac:dyDescent="0.25">
      <c r="A9" s="11">
        <v>36434</v>
      </c>
      <c r="B9" s="15">
        <v>31</v>
      </c>
      <c r="C9" s="18">
        <f>15500*B9</f>
        <v>480500</v>
      </c>
      <c r="D9" s="18">
        <f t="shared" si="12"/>
        <v>29532.295081967211</v>
      </c>
      <c r="E9" s="18">
        <f t="shared" si="7"/>
        <v>952.65468006345839</v>
      </c>
      <c r="F9" s="18">
        <f t="shared" si="13"/>
        <v>43314.032786885247</v>
      </c>
      <c r="G9" s="18">
        <f t="shared" si="8"/>
        <v>1397.2268640930724</v>
      </c>
      <c r="H9" s="18">
        <f t="shared" si="14"/>
        <v>47251.672131147541</v>
      </c>
      <c r="I9" s="18">
        <f t="shared" si="9"/>
        <v>1524.2474881015337</v>
      </c>
      <c r="J9" s="18">
        <f t="shared" si="10"/>
        <v>155000</v>
      </c>
      <c r="K9" s="18"/>
      <c r="L9" s="18">
        <f t="shared" si="15"/>
        <v>1428522.6</v>
      </c>
      <c r="M9" s="18">
        <f t="shared" si="2"/>
        <v>46081.374193548392</v>
      </c>
      <c r="N9" s="135"/>
      <c r="O9" s="135"/>
      <c r="P9" s="83">
        <f t="shared" si="3"/>
        <v>2184120.6</v>
      </c>
      <c r="Q9" s="18">
        <f t="shared" si="4"/>
        <v>70455.50322580646</v>
      </c>
      <c r="S9" s="18">
        <v>1738522.6</v>
      </c>
      <c r="T9" s="136">
        <v>0.70899999999999996</v>
      </c>
      <c r="U9" s="137"/>
      <c r="V9" s="137">
        <v>0</v>
      </c>
      <c r="W9" s="191">
        <v>0</v>
      </c>
      <c r="X9" s="137"/>
      <c r="Y9" s="82">
        <v>244098</v>
      </c>
      <c r="Z9" s="138">
        <v>0.39</v>
      </c>
      <c r="AA9" s="18"/>
      <c r="AB9" s="18">
        <v>201500</v>
      </c>
      <c r="AC9" s="63">
        <v>0.34300000000000003</v>
      </c>
      <c r="AD9" s="18"/>
      <c r="AE9" s="18">
        <f t="shared" si="5"/>
        <v>155000</v>
      </c>
      <c r="AF9" s="63">
        <v>1.841</v>
      </c>
      <c r="AG9" s="139"/>
      <c r="AH9" s="18"/>
      <c r="AK9" s="130">
        <f t="shared" si="11"/>
        <v>32147.000000000004</v>
      </c>
      <c r="AM9" s="130">
        <v>-15500</v>
      </c>
    </row>
    <row r="10" spans="1:39" s="4" customFormat="1" x14ac:dyDescent="0.25">
      <c r="A10" s="11">
        <v>36465</v>
      </c>
      <c r="B10" s="15">
        <v>30</v>
      </c>
      <c r="C10" s="18">
        <f>15500*B10</f>
        <v>465000</v>
      </c>
      <c r="D10" s="18">
        <f t="shared" si="12"/>
        <v>55095</v>
      </c>
      <c r="E10" s="18">
        <f t="shared" si="7"/>
        <v>1836.5</v>
      </c>
      <c r="F10" s="18">
        <f t="shared" si="13"/>
        <v>80806</v>
      </c>
      <c r="G10" s="18">
        <f t="shared" si="8"/>
        <v>2693.5333333333333</v>
      </c>
      <c r="H10" s="18">
        <f t="shared" si="14"/>
        <v>88152</v>
      </c>
      <c r="I10" s="18">
        <f t="shared" si="9"/>
        <v>2938.4</v>
      </c>
      <c r="J10" s="18">
        <f t="shared" si="10"/>
        <v>150000</v>
      </c>
      <c r="K10" s="18"/>
      <c r="L10" s="18">
        <f t="shared" si="15"/>
        <v>2599005.7999999998</v>
      </c>
      <c r="M10" s="18">
        <f t="shared" si="2"/>
        <v>86633.526666666658</v>
      </c>
      <c r="N10" s="135"/>
      <c r="O10" s="135"/>
      <c r="P10" s="83">
        <f>S10+Y10+AB10+V10</f>
        <v>3438058.8</v>
      </c>
      <c r="Q10" s="18">
        <f t="shared" si="4"/>
        <v>114601.95999999999</v>
      </c>
      <c r="S10" s="18">
        <f>3649005.8-25000*B10</f>
        <v>2899005.8</v>
      </c>
      <c r="T10" s="136">
        <v>0.66890000000000005</v>
      </c>
      <c r="U10" s="137"/>
      <c r="V10" s="137">
        <v>0</v>
      </c>
      <c r="W10" s="136">
        <v>0</v>
      </c>
      <c r="X10" s="137"/>
      <c r="Y10" s="82">
        <v>344053</v>
      </c>
      <c r="Z10" s="138">
        <v>0.34993012784037486</v>
      </c>
      <c r="AA10" s="18"/>
      <c r="AB10" s="18">
        <v>195000</v>
      </c>
      <c r="AC10" s="63">
        <v>0.30293012784037487</v>
      </c>
      <c r="AD10" s="18"/>
      <c r="AE10" s="18">
        <f t="shared" si="5"/>
        <v>150000</v>
      </c>
      <c r="AF10" s="63">
        <v>1.841</v>
      </c>
      <c r="AG10" s="139"/>
      <c r="AH10" s="18"/>
      <c r="AK10" s="130">
        <f>780000+260000+100000</f>
        <v>1140000</v>
      </c>
      <c r="AM10" s="130">
        <v>-15000</v>
      </c>
    </row>
    <row r="11" spans="1:39" s="4" customFormat="1" x14ac:dyDescent="0.25">
      <c r="A11" s="11">
        <v>36495</v>
      </c>
      <c r="B11" s="15">
        <v>31</v>
      </c>
      <c r="C11" s="18">
        <f>15500*B11</f>
        <v>480500</v>
      </c>
      <c r="D11" s="18">
        <f t="shared" si="12"/>
        <v>76557.540983606552</v>
      </c>
      <c r="E11" s="18">
        <f t="shared" si="7"/>
        <v>2469.5980962453727</v>
      </c>
      <c r="F11" s="18">
        <f t="shared" si="13"/>
        <v>112284.39344262295</v>
      </c>
      <c r="G11" s="18">
        <f t="shared" si="8"/>
        <v>3622.0772078265468</v>
      </c>
      <c r="H11" s="18">
        <f t="shared" si="14"/>
        <v>122492.06557377049</v>
      </c>
      <c r="I11" s="18">
        <f t="shared" si="9"/>
        <v>3951.3569539925966</v>
      </c>
      <c r="J11" s="18">
        <f t="shared" si="10"/>
        <v>155000</v>
      </c>
      <c r="K11" s="18"/>
      <c r="L11" s="18">
        <f t="shared" si="15"/>
        <v>5425388</v>
      </c>
      <c r="M11" s="18">
        <f t="shared" si="2"/>
        <v>175012.51612903227</v>
      </c>
      <c r="N11" s="135"/>
      <c r="O11" s="135"/>
      <c r="P11" s="83">
        <f t="shared" ref="P11:P74" si="16">S11+Y11+AB11+V11</f>
        <v>6372222</v>
      </c>
      <c r="Q11" s="18">
        <f t="shared" si="4"/>
        <v>205555.54838709679</v>
      </c>
      <c r="S11" s="18">
        <f>6510388-25000*B11</f>
        <v>5735388</v>
      </c>
      <c r="T11" s="136">
        <v>0.67330000000000001</v>
      </c>
      <c r="U11" s="137"/>
      <c r="V11" s="137">
        <v>0</v>
      </c>
      <c r="W11" s="136">
        <v>0</v>
      </c>
      <c r="X11" s="137"/>
      <c r="Y11" s="82">
        <v>435334</v>
      </c>
      <c r="Z11" s="138">
        <v>0.3543</v>
      </c>
      <c r="AA11" s="194"/>
      <c r="AB11" s="18">
        <v>201500</v>
      </c>
      <c r="AC11" s="63">
        <v>0.30730000000000002</v>
      </c>
      <c r="AD11" s="193"/>
      <c r="AE11" s="18">
        <f t="shared" si="5"/>
        <v>155000</v>
      </c>
      <c r="AF11" s="63">
        <v>1.841</v>
      </c>
      <c r="AG11" s="197"/>
      <c r="AH11" s="197"/>
      <c r="AK11" s="130">
        <f>780000+260000+100000</f>
        <v>1140000</v>
      </c>
      <c r="AM11" s="130">
        <v>-19530</v>
      </c>
    </row>
    <row r="12" spans="1:39" s="4" customFormat="1" x14ac:dyDescent="0.25">
      <c r="A12" s="11">
        <v>36526</v>
      </c>
      <c r="B12" s="15">
        <v>31</v>
      </c>
      <c r="C12" s="18">
        <f>15500*B12</f>
        <v>480500</v>
      </c>
      <c r="D12" s="18">
        <f t="shared" si="12"/>
        <v>100964.5081967213</v>
      </c>
      <c r="E12" s="18">
        <f t="shared" si="7"/>
        <v>3256.9196192490745</v>
      </c>
      <c r="F12" s="18">
        <f t="shared" si="13"/>
        <v>148081.27868852459</v>
      </c>
      <c r="G12" s="18">
        <f t="shared" si="8"/>
        <v>4776.8154415653089</v>
      </c>
      <c r="H12" s="18">
        <f t="shared" si="14"/>
        <v>161543.21311475409</v>
      </c>
      <c r="I12" s="18">
        <f t="shared" si="9"/>
        <v>5211.0713907985191</v>
      </c>
      <c r="J12" s="18">
        <f t="shared" si="10"/>
        <v>155000</v>
      </c>
      <c r="K12" s="18"/>
      <c r="L12" s="18">
        <f t="shared" si="15"/>
        <v>6979707.7999999998</v>
      </c>
      <c r="M12" s="18">
        <f t="shared" si="2"/>
        <v>225151.86451612902</v>
      </c>
      <c r="N12" s="135"/>
      <c r="O12" s="135"/>
      <c r="P12" s="83">
        <f t="shared" si="16"/>
        <v>8025796.7999999998</v>
      </c>
      <c r="Q12" s="18">
        <f t="shared" si="4"/>
        <v>258896.67096774193</v>
      </c>
      <c r="S12" s="18">
        <f>8064707.8-25000*B12</f>
        <v>7289707.7999999998</v>
      </c>
      <c r="T12" s="136">
        <v>0.68110000000000004</v>
      </c>
      <c r="U12" s="137"/>
      <c r="V12" s="137">
        <v>0</v>
      </c>
      <c r="W12" s="136">
        <v>0</v>
      </c>
      <c r="X12" s="137"/>
      <c r="Y12" s="82">
        <v>534589</v>
      </c>
      <c r="Z12" s="138">
        <v>0.36209999999999998</v>
      </c>
      <c r="AA12" s="194"/>
      <c r="AB12" s="18">
        <v>201500</v>
      </c>
      <c r="AC12" s="63">
        <v>0.31509999999999999</v>
      </c>
      <c r="AD12" s="193"/>
      <c r="AE12" s="18">
        <f t="shared" si="5"/>
        <v>155000</v>
      </c>
      <c r="AF12" s="63">
        <v>1.8149999999999999</v>
      </c>
      <c r="AG12" s="197"/>
      <c r="AH12" s="197"/>
      <c r="AK12" s="130">
        <f>780000+260000+100000</f>
        <v>1140000</v>
      </c>
      <c r="AM12" s="130">
        <v>-19530</v>
      </c>
    </row>
    <row r="13" spans="1:39" s="4" customFormat="1" x14ac:dyDescent="0.25">
      <c r="A13" s="11">
        <v>36557</v>
      </c>
      <c r="B13" s="15">
        <v>29</v>
      </c>
      <c r="C13" s="18">
        <f>15500*B13</f>
        <v>449500</v>
      </c>
      <c r="D13" s="18">
        <f t="shared" si="12"/>
        <v>66698.360655737706</v>
      </c>
      <c r="E13" s="18">
        <f t="shared" si="7"/>
        <v>2299.9434708875069</v>
      </c>
      <c r="F13" s="18">
        <f t="shared" si="13"/>
        <v>97824.262295081964</v>
      </c>
      <c r="G13" s="18">
        <f t="shared" si="8"/>
        <v>3373.2504239683435</v>
      </c>
      <c r="H13" s="18">
        <f t="shared" si="14"/>
        <v>106717.37704918033</v>
      </c>
      <c r="I13" s="18">
        <f t="shared" si="9"/>
        <v>3679.9095534200114</v>
      </c>
      <c r="J13" s="18">
        <f t="shared" si="10"/>
        <v>145000</v>
      </c>
      <c r="K13" s="18"/>
      <c r="L13" s="18">
        <f t="shared" si="15"/>
        <v>4524864.5999999996</v>
      </c>
      <c r="M13" s="18">
        <f t="shared" si="2"/>
        <v>156029.81379310344</v>
      </c>
      <c r="N13" s="135"/>
      <c r="O13" s="135"/>
      <c r="P13" s="83">
        <f t="shared" si="16"/>
        <v>5449328.5999999996</v>
      </c>
      <c r="Q13" s="18">
        <f t="shared" si="4"/>
        <v>187907.88275862069</v>
      </c>
      <c r="S13" s="18">
        <f>5539864.6-25000*B13</f>
        <v>4814864.5999999996</v>
      </c>
      <c r="T13" s="136">
        <v>0.68130000000000002</v>
      </c>
      <c r="U13" s="137"/>
      <c r="V13" s="137">
        <v>58724</v>
      </c>
      <c r="W13" s="136">
        <v>0.67900000000000005</v>
      </c>
      <c r="X13" s="137"/>
      <c r="Y13" s="82">
        <v>387240</v>
      </c>
      <c r="Z13" s="138">
        <v>0.36230000000000001</v>
      </c>
      <c r="AA13" s="194"/>
      <c r="AB13" s="18">
        <v>188500</v>
      </c>
      <c r="AC13" s="63">
        <v>0.31530000000000002</v>
      </c>
      <c r="AD13" s="193"/>
      <c r="AE13" s="18">
        <f t="shared" si="5"/>
        <v>145000</v>
      </c>
      <c r="AF13" s="63">
        <v>1.8149999999999999</v>
      </c>
      <c r="AG13" s="197"/>
      <c r="AH13" s="197"/>
      <c r="AK13" s="130">
        <f>780000+260000+100000</f>
        <v>1140000</v>
      </c>
      <c r="AM13" s="130">
        <v>-18270</v>
      </c>
    </row>
    <row r="14" spans="1:39" s="4" customFormat="1" x14ac:dyDescent="0.25">
      <c r="A14" s="11">
        <v>36586</v>
      </c>
      <c r="B14" s="15">
        <v>31</v>
      </c>
      <c r="C14" s="18">
        <f t="shared" ref="C14:C29" si="17">10500*B14</f>
        <v>325500</v>
      </c>
      <c r="D14" s="18">
        <f t="shared" si="12"/>
        <v>57550.819672131147</v>
      </c>
      <c r="E14" s="18">
        <f t="shared" si="7"/>
        <v>1856.4780539397145</v>
      </c>
      <c r="F14" s="18">
        <f t="shared" si="13"/>
        <v>84407.868852459025</v>
      </c>
      <c r="G14" s="18">
        <f t="shared" si="8"/>
        <v>2722.8344791115815</v>
      </c>
      <c r="H14" s="18">
        <f t="shared" si="14"/>
        <v>92081.311475409835</v>
      </c>
      <c r="I14" s="18">
        <f t="shared" si="9"/>
        <v>2970.3648863035432</v>
      </c>
      <c r="J14" s="18">
        <f t="shared" si="10"/>
        <v>155000</v>
      </c>
      <c r="K14" s="18"/>
      <c r="L14" s="18">
        <f t="shared" si="15"/>
        <v>3535660.2</v>
      </c>
      <c r="M14" s="18">
        <f t="shared" si="2"/>
        <v>114053.55483870968</v>
      </c>
      <c r="N14" s="135"/>
      <c r="O14" s="135"/>
      <c r="P14" s="83">
        <f t="shared" si="16"/>
        <v>4299048.2</v>
      </c>
      <c r="Q14" s="18">
        <f t="shared" si="4"/>
        <v>138678.97419354841</v>
      </c>
      <c r="S14" s="18">
        <f>4465660.2-25000*B14</f>
        <v>3690660.2</v>
      </c>
      <c r="T14" s="136">
        <v>0.68089999999999995</v>
      </c>
      <c r="U14" s="137"/>
      <c r="V14" s="137">
        <v>48848</v>
      </c>
      <c r="W14" s="136">
        <v>0.67900000000000005</v>
      </c>
      <c r="X14" s="137"/>
      <c r="Y14" s="82">
        <v>358040</v>
      </c>
      <c r="Z14" s="138">
        <v>0.3619</v>
      </c>
      <c r="AA14" s="194"/>
      <c r="AB14" s="18">
        <v>201500</v>
      </c>
      <c r="AC14" s="63">
        <v>0.31490000000000001</v>
      </c>
      <c r="AD14" s="193"/>
      <c r="AE14" s="18"/>
      <c r="AF14" s="18"/>
      <c r="AG14" s="139"/>
      <c r="AH14" s="18"/>
      <c r="AK14" s="130">
        <f>780000+260000+100000</f>
        <v>1140000</v>
      </c>
    </row>
    <row r="15" spans="1:39" s="4" customFormat="1" x14ac:dyDescent="0.25">
      <c r="A15" s="11">
        <v>36617</v>
      </c>
      <c r="B15" s="15">
        <v>30</v>
      </c>
      <c r="C15" s="18">
        <f t="shared" si="17"/>
        <v>315000</v>
      </c>
      <c r="D15" s="18">
        <f t="shared" si="12"/>
        <v>32930.40983606557</v>
      </c>
      <c r="E15" s="18">
        <f t="shared" si="7"/>
        <v>1097.6803278688524</v>
      </c>
      <c r="F15" s="18">
        <f t="shared" si="13"/>
        <v>48297.934426229513</v>
      </c>
      <c r="G15" s="18">
        <f t="shared" si="8"/>
        <v>1609.9311475409838</v>
      </c>
      <c r="H15" s="18">
        <f t="shared" si="14"/>
        <v>52688.655737704918</v>
      </c>
      <c r="I15" s="18">
        <f t="shared" si="9"/>
        <v>1756.2885245901639</v>
      </c>
      <c r="J15" s="18">
        <f t="shared" si="10"/>
        <v>150000</v>
      </c>
      <c r="K15" s="18"/>
      <c r="L15" s="18">
        <f t="shared" si="15"/>
        <v>2030103.7000000002</v>
      </c>
      <c r="M15" s="18">
        <f t="shared" si="2"/>
        <v>67670.123333333337</v>
      </c>
      <c r="N15" s="135"/>
      <c r="O15" s="135"/>
      <c r="P15" s="83">
        <f t="shared" si="16"/>
        <v>2655252.7000000002</v>
      </c>
      <c r="Q15" s="18">
        <f t="shared" si="4"/>
        <v>88508.42333333334</v>
      </c>
      <c r="S15" s="18">
        <v>2180103.7000000002</v>
      </c>
      <c r="T15" s="136">
        <v>0.70899999999999996</v>
      </c>
      <c r="U15" s="137"/>
      <c r="V15" s="137">
        <v>26232</v>
      </c>
      <c r="W15" s="136">
        <v>0.67900000000000005</v>
      </c>
      <c r="X15" s="137"/>
      <c r="Y15" s="82">
        <v>253917</v>
      </c>
      <c r="Z15" s="138">
        <v>0.39</v>
      </c>
      <c r="AA15" s="194"/>
      <c r="AB15" s="18">
        <v>195000</v>
      </c>
      <c r="AC15" s="63">
        <v>0.34300000000000003</v>
      </c>
      <c r="AD15" s="193"/>
      <c r="AE15" s="18"/>
      <c r="AF15" s="18"/>
      <c r="AG15" s="139"/>
      <c r="AH15" s="18"/>
      <c r="AK15" s="130">
        <f t="shared" ref="AK15:AK21" si="18">61000*B15*0.017</f>
        <v>31110.000000000004</v>
      </c>
    </row>
    <row r="16" spans="1:39" s="4" customFormat="1" x14ac:dyDescent="0.25">
      <c r="A16" s="11">
        <v>36647</v>
      </c>
      <c r="B16" s="15">
        <v>31</v>
      </c>
      <c r="C16" s="18">
        <f t="shared" si="17"/>
        <v>325500</v>
      </c>
      <c r="D16" s="18">
        <f t="shared" si="12"/>
        <v>22367.459016393441</v>
      </c>
      <c r="E16" s="18">
        <f t="shared" si="7"/>
        <v>721.53093601269165</v>
      </c>
      <c r="F16" s="18">
        <f t="shared" si="13"/>
        <v>32805.606557377054</v>
      </c>
      <c r="G16" s="18">
        <f t="shared" si="8"/>
        <v>1058.2453728186147</v>
      </c>
      <c r="H16" s="18">
        <f t="shared" si="14"/>
        <v>35787.934426229505</v>
      </c>
      <c r="I16" s="18">
        <f t="shared" si="9"/>
        <v>1154.4494976203066</v>
      </c>
      <c r="J16" s="18">
        <f t="shared" si="10"/>
        <v>155000</v>
      </c>
      <c r="K16" s="18"/>
      <c r="L16" s="18">
        <f t="shared" si="15"/>
        <v>1418301.3</v>
      </c>
      <c r="M16" s="18">
        <f t="shared" si="2"/>
        <v>45751.654838709677</v>
      </c>
      <c r="N16" s="135"/>
      <c r="O16" s="135"/>
      <c r="P16" s="83">
        <f t="shared" si="16"/>
        <v>2010527.3</v>
      </c>
      <c r="Q16" s="18">
        <f t="shared" si="4"/>
        <v>64855.719354838708</v>
      </c>
      <c r="S16" s="18">
        <v>1573301.3</v>
      </c>
      <c r="T16" s="136">
        <v>0.70899999999999996</v>
      </c>
      <c r="U16" s="137"/>
      <c r="V16" s="137">
        <v>20765</v>
      </c>
      <c r="W16" s="136">
        <v>0.67900000000000005</v>
      </c>
      <c r="X16" s="137"/>
      <c r="Y16" s="82">
        <v>214961</v>
      </c>
      <c r="Z16" s="138">
        <v>0.39</v>
      </c>
      <c r="AA16" s="194"/>
      <c r="AB16" s="18">
        <v>201500</v>
      </c>
      <c r="AC16" s="63">
        <v>0.34300000000000003</v>
      </c>
      <c r="AD16" s="193"/>
      <c r="AE16" s="18"/>
      <c r="AF16" s="18"/>
      <c r="AG16" s="139"/>
      <c r="AH16" s="18"/>
      <c r="AK16" s="130">
        <f t="shared" si="18"/>
        <v>32147.000000000004</v>
      </c>
    </row>
    <row r="17" spans="1:37" s="4" customFormat="1" x14ac:dyDescent="0.25">
      <c r="A17" s="11">
        <v>36678</v>
      </c>
      <c r="B17" s="15">
        <v>30</v>
      </c>
      <c r="C17" s="18">
        <f t="shared" si="17"/>
        <v>315000</v>
      </c>
      <c r="D17" s="18">
        <f t="shared" si="12"/>
        <v>16125</v>
      </c>
      <c r="E17" s="18">
        <f t="shared" si="7"/>
        <v>537.5</v>
      </c>
      <c r="F17" s="18">
        <f t="shared" si="13"/>
        <v>23650</v>
      </c>
      <c r="G17" s="18">
        <f t="shared" si="8"/>
        <v>788.33333333333337</v>
      </c>
      <c r="H17" s="18">
        <f t="shared" si="14"/>
        <v>25800</v>
      </c>
      <c r="I17" s="18">
        <f t="shared" si="9"/>
        <v>860</v>
      </c>
      <c r="J17" s="18">
        <f t="shared" si="10"/>
        <v>150000</v>
      </c>
      <c r="K17" s="18"/>
      <c r="L17" s="18">
        <f t="shared" si="15"/>
        <v>913182.10000000009</v>
      </c>
      <c r="M17" s="18">
        <f t="shared" si="2"/>
        <v>30439.403333333335</v>
      </c>
      <c r="N17" s="135"/>
      <c r="O17" s="135"/>
      <c r="P17" s="83">
        <f t="shared" si="16"/>
        <v>1459452.1</v>
      </c>
      <c r="Q17" s="18">
        <f t="shared" si="4"/>
        <v>48648.403333333335</v>
      </c>
      <c r="S17" s="18">
        <v>1063182.1000000001</v>
      </c>
      <c r="T17" s="136">
        <v>0.70899999999999996</v>
      </c>
      <c r="U17" s="137"/>
      <c r="V17" s="137">
        <v>15695</v>
      </c>
      <c r="W17" s="136">
        <v>0.67900000000000005</v>
      </c>
      <c r="X17" s="137"/>
      <c r="Y17" s="82">
        <v>185575</v>
      </c>
      <c r="Z17" s="138">
        <v>0.39</v>
      </c>
      <c r="AA17" s="194"/>
      <c r="AB17" s="18">
        <v>195000</v>
      </c>
      <c r="AC17" s="63">
        <v>0.34300000000000003</v>
      </c>
      <c r="AD17" s="193"/>
      <c r="AE17" s="18"/>
      <c r="AF17" s="18"/>
      <c r="AG17" s="139"/>
      <c r="AH17" s="18"/>
      <c r="AK17" s="130">
        <f t="shared" si="18"/>
        <v>31110.000000000004</v>
      </c>
    </row>
    <row r="18" spans="1:37" s="4" customFormat="1" x14ac:dyDescent="0.25">
      <c r="A18" s="11">
        <v>36708</v>
      </c>
      <c r="B18" s="15">
        <v>31</v>
      </c>
      <c r="C18" s="18">
        <f t="shared" si="17"/>
        <v>325500</v>
      </c>
      <c r="D18" s="18">
        <f t="shared" si="12"/>
        <v>17622.049180327867</v>
      </c>
      <c r="E18" s="18">
        <f t="shared" si="7"/>
        <v>568.45319936541512</v>
      </c>
      <c r="F18" s="18">
        <f t="shared" si="13"/>
        <v>25845.672131147541</v>
      </c>
      <c r="G18" s="18">
        <f t="shared" si="8"/>
        <v>833.73135906927553</v>
      </c>
      <c r="H18" s="18">
        <f t="shared" si="14"/>
        <v>28195.278688524591</v>
      </c>
      <c r="I18" s="18">
        <f t="shared" si="9"/>
        <v>909.52511898466423</v>
      </c>
      <c r="J18" s="18">
        <f t="shared" si="10"/>
        <v>155000</v>
      </c>
      <c r="K18" s="18"/>
      <c r="L18" s="18">
        <f t="shared" si="15"/>
        <v>961652</v>
      </c>
      <c r="M18" s="18">
        <f t="shared" si="2"/>
        <v>31021.032258064515</v>
      </c>
      <c r="N18" s="135"/>
      <c r="O18" s="135"/>
      <c r="P18" s="83">
        <f t="shared" si="16"/>
        <v>1530039</v>
      </c>
      <c r="Q18" s="18">
        <f t="shared" si="4"/>
        <v>49356.096774193546</v>
      </c>
      <c r="S18" s="18">
        <v>1116652</v>
      </c>
      <c r="T18" s="136">
        <v>0.70899999999999996</v>
      </c>
      <c r="U18" s="137"/>
      <c r="V18" s="137">
        <v>16224</v>
      </c>
      <c r="W18" s="136">
        <v>0.67900000000000005</v>
      </c>
      <c r="X18" s="137"/>
      <c r="Y18" s="82">
        <v>195663</v>
      </c>
      <c r="Z18" s="138">
        <v>0.39</v>
      </c>
      <c r="AA18" s="194"/>
      <c r="AB18" s="18">
        <v>201500</v>
      </c>
      <c r="AC18" s="63">
        <v>0.34300000000000003</v>
      </c>
      <c r="AD18" s="193"/>
      <c r="AE18" s="18"/>
      <c r="AF18" s="18"/>
      <c r="AG18" s="139"/>
      <c r="AH18" s="18"/>
      <c r="AK18" s="130">
        <f t="shared" si="18"/>
        <v>32147.000000000004</v>
      </c>
    </row>
    <row r="19" spans="1:37" s="4" customFormat="1" x14ac:dyDescent="0.25">
      <c r="A19" s="11">
        <v>36739</v>
      </c>
      <c r="B19" s="15">
        <v>31</v>
      </c>
      <c r="C19" s="18">
        <f t="shared" si="17"/>
        <v>325500</v>
      </c>
      <c r="D19" s="18">
        <f t="shared" si="12"/>
        <v>16875.245901639344</v>
      </c>
      <c r="E19" s="18">
        <f t="shared" si="7"/>
        <v>544.362771020624</v>
      </c>
      <c r="F19" s="18">
        <f t="shared" si="13"/>
        <v>24750.360655737706</v>
      </c>
      <c r="G19" s="18">
        <f t="shared" si="8"/>
        <v>798.39873083024861</v>
      </c>
      <c r="H19" s="18">
        <f t="shared" si="14"/>
        <v>27000.39344262295</v>
      </c>
      <c r="I19" s="18">
        <f t="shared" si="9"/>
        <v>870.98043363299837</v>
      </c>
      <c r="J19" s="18">
        <f t="shared" si="10"/>
        <v>155000</v>
      </c>
      <c r="K19" s="18"/>
      <c r="L19" s="18">
        <f t="shared" si="15"/>
        <v>1375063</v>
      </c>
      <c r="M19" s="18">
        <f t="shared" si="2"/>
        <v>44356.870967741932</v>
      </c>
      <c r="N19" s="135"/>
      <c r="O19" s="135"/>
      <c r="P19" s="83">
        <f t="shared" si="16"/>
        <v>1944513</v>
      </c>
      <c r="Q19" s="18">
        <f t="shared" si="4"/>
        <v>62726.225806451614</v>
      </c>
      <c r="S19" s="18">
        <v>1530063</v>
      </c>
      <c r="T19" s="136">
        <v>0.70899999999999996</v>
      </c>
      <c r="U19" s="137"/>
      <c r="V19" s="137">
        <v>20324</v>
      </c>
      <c r="W19" s="136">
        <v>0.67900000000000005</v>
      </c>
      <c r="X19" s="137"/>
      <c r="Y19" s="82">
        <v>192626</v>
      </c>
      <c r="Z19" s="138">
        <v>0.39</v>
      </c>
      <c r="AA19" s="194"/>
      <c r="AB19" s="18">
        <v>201500</v>
      </c>
      <c r="AC19" s="63">
        <v>0.34300000000000003</v>
      </c>
      <c r="AD19" s="193"/>
      <c r="AE19" s="18"/>
      <c r="AF19" s="18"/>
      <c r="AG19" s="139"/>
      <c r="AH19" s="18"/>
      <c r="AK19" s="130">
        <f t="shared" si="18"/>
        <v>32147.000000000004</v>
      </c>
    </row>
    <row r="20" spans="1:37" s="4" customFormat="1" x14ac:dyDescent="0.25">
      <c r="A20" s="11">
        <v>36770</v>
      </c>
      <c r="B20" s="15">
        <v>30</v>
      </c>
      <c r="C20" s="18">
        <f t="shared" si="17"/>
        <v>315000</v>
      </c>
      <c r="D20" s="18">
        <f t="shared" si="12"/>
        <v>14869.672131147541</v>
      </c>
      <c r="E20" s="18">
        <f t="shared" si="7"/>
        <v>495.65573770491807</v>
      </c>
      <c r="F20" s="18">
        <f t="shared" si="13"/>
        <v>21808.852459016394</v>
      </c>
      <c r="G20" s="18">
        <f t="shared" si="8"/>
        <v>726.96174863387978</v>
      </c>
      <c r="H20" s="18">
        <f t="shared" si="14"/>
        <v>23791.475409836065</v>
      </c>
      <c r="I20" s="18">
        <f t="shared" si="9"/>
        <v>793.04918032786884</v>
      </c>
      <c r="J20" s="18">
        <f t="shared" si="10"/>
        <v>150000</v>
      </c>
      <c r="K20" s="18"/>
      <c r="L20" s="18">
        <f t="shared" si="15"/>
        <v>1120433.3</v>
      </c>
      <c r="M20" s="18">
        <f t="shared" si="2"/>
        <v>37347.776666666665</v>
      </c>
      <c r="N20" s="135"/>
      <c r="O20" s="135"/>
      <c r="P20" s="83">
        <f t="shared" si="16"/>
        <v>1663538.3</v>
      </c>
      <c r="Q20" s="18">
        <f t="shared" si="4"/>
        <v>55451.276666666665</v>
      </c>
      <c r="S20" s="18">
        <v>1270433.3</v>
      </c>
      <c r="T20" s="136">
        <v>0.70899999999999996</v>
      </c>
      <c r="U20" s="137"/>
      <c r="V20" s="137">
        <v>17635</v>
      </c>
      <c r="W20" s="136">
        <v>0.67900000000000005</v>
      </c>
      <c r="X20" s="137"/>
      <c r="Y20" s="82">
        <v>180470</v>
      </c>
      <c r="Z20" s="138">
        <v>0.39</v>
      </c>
      <c r="AA20" s="194"/>
      <c r="AB20" s="18">
        <v>195000</v>
      </c>
      <c r="AC20" s="63">
        <v>0.34300000000000003</v>
      </c>
      <c r="AD20" s="193"/>
      <c r="AE20" s="18"/>
      <c r="AF20" s="18"/>
      <c r="AG20" s="139"/>
      <c r="AH20" s="18"/>
      <c r="AK20" s="130">
        <f t="shared" si="18"/>
        <v>31110.000000000004</v>
      </c>
    </row>
    <row r="21" spans="1:37" s="4" customFormat="1" x14ac:dyDescent="0.25">
      <c r="A21" s="11">
        <v>36800</v>
      </c>
      <c r="B21" s="15">
        <v>31</v>
      </c>
      <c r="C21" s="18">
        <f t="shared" si="17"/>
        <v>325500</v>
      </c>
      <c r="D21" s="18">
        <f t="shared" si="12"/>
        <v>29827.62295081967</v>
      </c>
      <c r="E21" s="18">
        <f t="shared" si="7"/>
        <v>962.181385510312</v>
      </c>
      <c r="F21" s="18">
        <f t="shared" si="13"/>
        <v>43747.180327868853</v>
      </c>
      <c r="G21" s="18">
        <f t="shared" si="8"/>
        <v>1411.1993654151242</v>
      </c>
      <c r="H21" s="18">
        <f t="shared" si="14"/>
        <v>47724.196721311477</v>
      </c>
      <c r="I21" s="18">
        <f t="shared" si="9"/>
        <v>1539.4902168164992</v>
      </c>
      <c r="J21" s="18">
        <f t="shared" si="10"/>
        <v>155000</v>
      </c>
      <c r="K21" s="18"/>
      <c r="L21" s="18">
        <f t="shared" si="15"/>
        <v>1607437.1</v>
      </c>
      <c r="M21" s="18">
        <f t="shared" si="2"/>
        <v>51852.809677419355</v>
      </c>
      <c r="N21" s="135"/>
      <c r="O21" s="135"/>
      <c r="P21" s="83">
        <f t="shared" si="16"/>
        <v>2231632.1</v>
      </c>
      <c r="Q21" s="18">
        <f t="shared" si="4"/>
        <v>71988.132258064521</v>
      </c>
      <c r="S21" s="18">
        <v>1762437.1</v>
      </c>
      <c r="T21" s="136">
        <v>0.70899999999999996</v>
      </c>
      <c r="U21" s="137"/>
      <c r="V21" s="137">
        <v>22396</v>
      </c>
      <c r="W21" s="136">
        <v>0.67900000000000005</v>
      </c>
      <c r="X21" s="137"/>
      <c r="Y21" s="82">
        <v>245299</v>
      </c>
      <c r="Z21" s="138">
        <v>0.39</v>
      </c>
      <c r="AA21" s="194"/>
      <c r="AB21" s="18">
        <v>201500</v>
      </c>
      <c r="AC21" s="63">
        <v>0.34300000000000003</v>
      </c>
      <c r="AD21" s="193"/>
      <c r="AE21" s="18"/>
      <c r="AF21" s="18"/>
      <c r="AG21" s="139"/>
      <c r="AK21" s="130">
        <f t="shared" si="18"/>
        <v>32147.000000000004</v>
      </c>
    </row>
    <row r="22" spans="1:37" s="4" customFormat="1" x14ac:dyDescent="0.25">
      <c r="A22" s="11">
        <v>36831</v>
      </c>
      <c r="B22" s="15">
        <v>30</v>
      </c>
      <c r="C22" s="18">
        <f t="shared" si="17"/>
        <v>315000</v>
      </c>
      <c r="D22" s="18">
        <f t="shared" si="12"/>
        <v>55645.819672131147</v>
      </c>
      <c r="E22" s="18">
        <f t="shared" si="7"/>
        <v>1854.860655737705</v>
      </c>
      <c r="F22" s="18">
        <f t="shared" si="13"/>
        <v>81613.868852459025</v>
      </c>
      <c r="G22" s="18">
        <f t="shared" si="8"/>
        <v>2720.4622950819676</v>
      </c>
      <c r="H22" s="18">
        <f t="shared" si="14"/>
        <v>89033.311475409835</v>
      </c>
      <c r="I22" s="18">
        <f t="shared" si="9"/>
        <v>2967.777049180328</v>
      </c>
      <c r="J22" s="18">
        <f t="shared" si="10"/>
        <v>150000</v>
      </c>
      <c r="K22" s="18"/>
      <c r="L22" s="18">
        <f t="shared" si="15"/>
        <v>3545687.9</v>
      </c>
      <c r="M22" s="18">
        <f t="shared" si="2"/>
        <v>118189.59666666666</v>
      </c>
      <c r="N22" s="135"/>
      <c r="O22" s="135"/>
      <c r="P22" s="83">
        <f t="shared" si="16"/>
        <v>4277893.9000000004</v>
      </c>
      <c r="Q22" s="18">
        <f t="shared" si="4"/>
        <v>142596.46333333335</v>
      </c>
      <c r="S22" s="18">
        <v>3695687.9</v>
      </c>
      <c r="T22" s="136">
        <v>0.66900000000000004</v>
      </c>
      <c r="U22" s="137"/>
      <c r="V22" s="137">
        <v>40913</v>
      </c>
      <c r="W22" s="136">
        <v>0.67900000000000005</v>
      </c>
      <c r="X22" s="137"/>
      <c r="Y22" s="82">
        <v>346293</v>
      </c>
      <c r="Z22" s="138">
        <v>0.35</v>
      </c>
      <c r="AA22" s="194"/>
      <c r="AB22" s="18">
        <v>195000</v>
      </c>
      <c r="AC22" s="63">
        <v>0.30299999999999999</v>
      </c>
      <c r="AD22" s="193"/>
      <c r="AE22" s="18"/>
      <c r="AF22" s="18"/>
      <c r="AG22" s="139"/>
      <c r="AK22" s="130">
        <f>780000+260000+100000</f>
        <v>1140000</v>
      </c>
    </row>
    <row r="23" spans="1:37" s="4" customFormat="1" x14ac:dyDescent="0.25">
      <c r="A23" s="11">
        <v>36861</v>
      </c>
      <c r="B23" s="15">
        <v>31</v>
      </c>
      <c r="C23" s="18">
        <f t="shared" si="17"/>
        <v>325500</v>
      </c>
      <c r="D23" s="18">
        <f t="shared" si="12"/>
        <v>77323.032786885247</v>
      </c>
      <c r="E23" s="18">
        <f t="shared" si="7"/>
        <v>2494.2913802221046</v>
      </c>
      <c r="F23" s="18">
        <f t="shared" si="13"/>
        <v>113407.11475409837</v>
      </c>
      <c r="G23" s="18">
        <f t="shared" si="8"/>
        <v>3658.2940243257535</v>
      </c>
      <c r="H23" s="18">
        <f t="shared" si="14"/>
        <v>123716.85245901639</v>
      </c>
      <c r="I23" s="18">
        <f t="shared" si="9"/>
        <v>3990.8662083553672</v>
      </c>
      <c r="J23" s="18">
        <f t="shared" si="10"/>
        <v>155000</v>
      </c>
      <c r="K23" s="18"/>
      <c r="L23" s="18">
        <f t="shared" si="15"/>
        <v>6430710.2999999998</v>
      </c>
      <c r="M23" s="18">
        <f t="shared" si="2"/>
        <v>207442.26774193547</v>
      </c>
      <c r="N23" s="135"/>
      <c r="O23" s="135"/>
      <c r="P23" s="83">
        <f t="shared" si="16"/>
        <v>7295226.2999999998</v>
      </c>
      <c r="Q23" s="18">
        <f t="shared" si="4"/>
        <v>235329.88064516129</v>
      </c>
      <c r="S23" s="18">
        <v>6585710.2999999998</v>
      </c>
      <c r="T23" s="136">
        <v>0.6734</v>
      </c>
      <c r="U23" s="137"/>
      <c r="V23" s="137">
        <v>69569</v>
      </c>
      <c r="W23" s="136">
        <v>0.67900000000000005</v>
      </c>
      <c r="X23" s="137"/>
      <c r="Y23" s="82">
        <v>438447</v>
      </c>
      <c r="Z23" s="138">
        <v>0.35439999999999999</v>
      </c>
      <c r="AA23" s="194"/>
      <c r="AB23" s="18">
        <v>201500</v>
      </c>
      <c r="AC23" s="63">
        <v>0.30740000000000001</v>
      </c>
      <c r="AD23" s="193"/>
      <c r="AE23" s="18"/>
      <c r="AF23" s="18"/>
      <c r="AG23" s="139"/>
      <c r="AK23" s="130">
        <f>780000+260000+100000</f>
        <v>1140000</v>
      </c>
    </row>
    <row r="24" spans="1:37" s="4" customFormat="1" x14ac:dyDescent="0.25">
      <c r="A24" s="11">
        <v>36892</v>
      </c>
      <c r="B24" s="15">
        <v>31</v>
      </c>
      <c r="C24" s="18">
        <f t="shared" si="17"/>
        <v>325500</v>
      </c>
      <c r="D24" s="18">
        <f t="shared" si="12"/>
        <v>101974.18032786885</v>
      </c>
      <c r="E24" s="18">
        <f t="shared" si="7"/>
        <v>3289.4896879957691</v>
      </c>
      <c r="F24" s="18">
        <f t="shared" si="13"/>
        <v>149562.13114754099</v>
      </c>
      <c r="G24" s="18">
        <f t="shared" si="8"/>
        <v>4824.5848757271287</v>
      </c>
      <c r="H24" s="18">
        <f t="shared" si="14"/>
        <v>163158.68852459016</v>
      </c>
      <c r="I24" s="18">
        <f t="shared" si="9"/>
        <v>5263.1835007932314</v>
      </c>
      <c r="J24" s="18">
        <f t="shared" si="10"/>
        <v>155000</v>
      </c>
      <c r="K24" s="18"/>
      <c r="L24" s="18">
        <f t="shared" si="15"/>
        <v>7999339.5</v>
      </c>
      <c r="M24" s="18">
        <f t="shared" si="2"/>
        <v>258043.20967741936</v>
      </c>
      <c r="N24" s="135"/>
      <c r="O24" s="135"/>
      <c r="P24" s="83">
        <f t="shared" si="16"/>
        <v>8981031.5</v>
      </c>
      <c r="Q24" s="18">
        <f t="shared" si="4"/>
        <v>289710.69354838709</v>
      </c>
      <c r="S24" s="18">
        <v>8154339.5</v>
      </c>
      <c r="T24" s="136">
        <v>0.68110000000000004</v>
      </c>
      <c r="U24" s="137"/>
      <c r="V24" s="137">
        <v>86497</v>
      </c>
      <c r="W24" s="136">
        <v>0.67900000000000005</v>
      </c>
      <c r="X24" s="137"/>
      <c r="Y24" s="82">
        <v>538695</v>
      </c>
      <c r="Z24" s="138">
        <v>0.36209999999999998</v>
      </c>
      <c r="AA24" s="194"/>
      <c r="AB24" s="18">
        <v>201500</v>
      </c>
      <c r="AC24" s="63">
        <v>0.31509999999999999</v>
      </c>
      <c r="AD24" s="193"/>
      <c r="AE24" s="18"/>
      <c r="AF24" s="18"/>
      <c r="AG24" s="139"/>
      <c r="AK24" s="130">
        <f>780000+260000+100000</f>
        <v>1140000</v>
      </c>
    </row>
    <row r="25" spans="1:37" s="4" customFormat="1" x14ac:dyDescent="0.25">
      <c r="A25" s="11">
        <v>36923</v>
      </c>
      <c r="B25" s="15">
        <v>28</v>
      </c>
      <c r="C25" s="18">
        <f t="shared" si="17"/>
        <v>294000</v>
      </c>
      <c r="D25" s="18">
        <f t="shared" si="12"/>
        <v>67365.24590163934</v>
      </c>
      <c r="E25" s="18">
        <f t="shared" si="7"/>
        <v>2405.9016393442621</v>
      </c>
      <c r="F25" s="18">
        <f t="shared" si="13"/>
        <v>98802.360655737706</v>
      </c>
      <c r="G25" s="18">
        <f t="shared" si="8"/>
        <v>3528.655737704918</v>
      </c>
      <c r="H25" s="18">
        <f t="shared" si="14"/>
        <v>107784.39344262295</v>
      </c>
      <c r="I25" s="18">
        <f t="shared" si="9"/>
        <v>3849.4426229508199</v>
      </c>
      <c r="J25" s="18">
        <f t="shared" si="10"/>
        <v>140000</v>
      </c>
      <c r="K25" s="18"/>
      <c r="L25" s="18">
        <f t="shared" si="15"/>
        <v>5481910.9000000004</v>
      </c>
      <c r="M25" s="18">
        <f t="shared" si="2"/>
        <v>195782.53214285715</v>
      </c>
      <c r="N25" s="135"/>
      <c r="O25" s="135"/>
      <c r="P25" s="83">
        <f t="shared" si="16"/>
        <v>6250661.9000000004</v>
      </c>
      <c r="Q25" s="18">
        <f t="shared" si="4"/>
        <v>223237.92500000002</v>
      </c>
      <c r="S25" s="18">
        <v>5621910.9000000004</v>
      </c>
      <c r="T25" s="136">
        <v>0.68140000000000001</v>
      </c>
      <c r="U25" s="137"/>
      <c r="V25" s="137">
        <v>60799</v>
      </c>
      <c r="W25" s="136">
        <v>0.67900000000000005</v>
      </c>
      <c r="X25" s="137"/>
      <c r="Y25" s="82">
        <v>385952</v>
      </c>
      <c r="Z25" s="138">
        <v>0.3624</v>
      </c>
      <c r="AA25" s="194"/>
      <c r="AB25" s="18">
        <v>182000</v>
      </c>
      <c r="AC25" s="63">
        <v>0.31540000000000001</v>
      </c>
      <c r="AD25" s="193"/>
      <c r="AE25" s="18"/>
      <c r="AF25" s="18"/>
      <c r="AG25" s="139"/>
      <c r="AK25" s="130">
        <f>780000+260000+100000</f>
        <v>1140000</v>
      </c>
    </row>
    <row r="26" spans="1:37" s="4" customFormat="1" x14ac:dyDescent="0.25">
      <c r="A26" s="11">
        <v>36951</v>
      </c>
      <c r="B26" s="15">
        <v>31</v>
      </c>
      <c r="C26" s="18">
        <f t="shared" si="17"/>
        <v>325500</v>
      </c>
      <c r="D26" s="18">
        <f t="shared" si="12"/>
        <v>58126.475409836065</v>
      </c>
      <c r="E26" s="18">
        <f t="shared" si="7"/>
        <v>1875.0475938656796</v>
      </c>
      <c r="F26" s="18">
        <f t="shared" si="13"/>
        <v>85252.163934426237</v>
      </c>
      <c r="G26" s="18">
        <f t="shared" si="8"/>
        <v>2750.0698043363304</v>
      </c>
      <c r="H26" s="18">
        <f t="shared" si="14"/>
        <v>93002.360655737706</v>
      </c>
      <c r="I26" s="18">
        <f t="shared" si="9"/>
        <v>3000.0761501850875</v>
      </c>
      <c r="J26" s="18">
        <f t="shared" si="10"/>
        <v>155000</v>
      </c>
      <c r="K26" s="18"/>
      <c r="L26" s="18">
        <f t="shared" si="15"/>
        <v>4364519.0999999996</v>
      </c>
      <c r="M26" s="18">
        <f t="shared" si="2"/>
        <v>140790.9387096774</v>
      </c>
      <c r="N26" s="135"/>
      <c r="O26" s="135"/>
      <c r="P26" s="83">
        <f t="shared" si="16"/>
        <v>5131974.0999999996</v>
      </c>
      <c r="Q26" s="18">
        <f t="shared" si="4"/>
        <v>165547.55161290322</v>
      </c>
      <c r="S26" s="18">
        <v>4519519.0999999996</v>
      </c>
      <c r="T26" s="136">
        <v>0.68100000000000005</v>
      </c>
      <c r="U26" s="137"/>
      <c r="V26" s="137">
        <v>50574</v>
      </c>
      <c r="W26" s="136">
        <v>0.67900000000000005</v>
      </c>
      <c r="X26" s="137"/>
      <c r="Y26" s="82">
        <v>360381</v>
      </c>
      <c r="Z26" s="138">
        <v>0.36199999999999999</v>
      </c>
      <c r="AA26" s="194"/>
      <c r="AB26" s="18">
        <v>201500</v>
      </c>
      <c r="AC26" s="63">
        <v>0.315</v>
      </c>
      <c r="AD26" s="193"/>
      <c r="AE26" s="18"/>
      <c r="AF26" s="63"/>
      <c r="AG26" s="139"/>
      <c r="AK26" s="130">
        <f>780000+260000+100000</f>
        <v>1140000</v>
      </c>
    </row>
    <row r="27" spans="1:37" s="4" customFormat="1" x14ac:dyDescent="0.25">
      <c r="A27" s="11">
        <v>36982</v>
      </c>
      <c r="B27" s="15">
        <v>30</v>
      </c>
      <c r="C27" s="18">
        <f t="shared" si="17"/>
        <v>315000</v>
      </c>
      <c r="D27" s="18">
        <f t="shared" si="12"/>
        <v>33259.918032786882</v>
      </c>
      <c r="E27" s="18">
        <f t="shared" si="7"/>
        <v>1108.6639344262294</v>
      </c>
      <c r="F27" s="18">
        <f t="shared" si="13"/>
        <v>48781.2131147541</v>
      </c>
      <c r="G27" s="18">
        <f t="shared" si="8"/>
        <v>1626.04043715847</v>
      </c>
      <c r="H27" s="18">
        <f t="shared" si="14"/>
        <v>53215.868852459018</v>
      </c>
      <c r="I27" s="18">
        <f t="shared" si="9"/>
        <v>1773.8622950819672</v>
      </c>
      <c r="J27" s="18">
        <f t="shared" si="10"/>
        <v>150000</v>
      </c>
      <c r="K27" s="18"/>
      <c r="L27" s="18">
        <f t="shared" si="15"/>
        <v>2057853.2000000002</v>
      </c>
      <c r="M27" s="18">
        <f t="shared" si="2"/>
        <v>68595.106666666674</v>
      </c>
      <c r="N27" s="135"/>
      <c r="O27" s="135"/>
      <c r="P27" s="83">
        <f t="shared" si="16"/>
        <v>2685269.2</v>
      </c>
      <c r="Q27" s="18">
        <f t="shared" si="4"/>
        <v>89508.973333333342</v>
      </c>
      <c r="S27" s="18">
        <v>2207853.2000000002</v>
      </c>
      <c r="T27" s="136">
        <v>0.70899999999999996</v>
      </c>
      <c r="U27" s="137"/>
      <c r="V27" s="137">
        <v>27159</v>
      </c>
      <c r="W27" s="136">
        <v>0.67900000000000005</v>
      </c>
      <c r="X27" s="137"/>
      <c r="Y27" s="82">
        <v>255257</v>
      </c>
      <c r="Z27" s="138">
        <v>0.39</v>
      </c>
      <c r="AA27" s="194"/>
      <c r="AB27" s="18">
        <v>195000</v>
      </c>
      <c r="AC27" s="63">
        <v>0.34300000000000003</v>
      </c>
      <c r="AD27" s="193"/>
      <c r="AE27" s="18"/>
      <c r="AF27" s="63"/>
      <c r="AG27" s="139"/>
      <c r="AK27" s="130"/>
    </row>
    <row r="28" spans="1:37" s="4" customFormat="1" x14ac:dyDescent="0.25">
      <c r="A28" s="11">
        <v>37012</v>
      </c>
      <c r="B28" s="15">
        <v>31</v>
      </c>
      <c r="C28" s="18">
        <f t="shared" si="17"/>
        <v>325500</v>
      </c>
      <c r="D28" s="18">
        <f t="shared" si="12"/>
        <v>22591.22950819672</v>
      </c>
      <c r="E28" s="18">
        <f t="shared" si="7"/>
        <v>728.74933897408778</v>
      </c>
      <c r="F28" s="18">
        <f t="shared" si="13"/>
        <v>33133.803278688523</v>
      </c>
      <c r="G28" s="18">
        <f t="shared" si="8"/>
        <v>1068.832363828662</v>
      </c>
      <c r="H28" s="18">
        <f t="shared" si="14"/>
        <v>36145.967213114753</v>
      </c>
      <c r="I28" s="18">
        <f t="shared" si="9"/>
        <v>1165.9989423585405</v>
      </c>
      <c r="J28" s="18">
        <f t="shared" si="10"/>
        <v>155000</v>
      </c>
      <c r="K28" s="18"/>
      <c r="L28" s="18">
        <f t="shared" si="15"/>
        <v>1440349.6</v>
      </c>
      <c r="M28" s="18">
        <f t="shared" si="2"/>
        <v>46462.89032258065</v>
      </c>
      <c r="N28" s="135"/>
      <c r="O28" s="135"/>
      <c r="P28" s="83">
        <f t="shared" si="16"/>
        <v>2034219.6</v>
      </c>
      <c r="Q28" s="18">
        <f t="shared" si="4"/>
        <v>65619.987096774203</v>
      </c>
      <c r="S28" s="18">
        <v>1595349.6</v>
      </c>
      <c r="T28" s="136">
        <v>0.70899999999999996</v>
      </c>
      <c r="U28" s="137"/>
      <c r="V28" s="137">
        <v>21499</v>
      </c>
      <c r="W28" s="136">
        <v>0.67900000000000005</v>
      </c>
      <c r="X28" s="137"/>
      <c r="Y28" s="82">
        <v>215871</v>
      </c>
      <c r="Z28" s="138">
        <v>0.39</v>
      </c>
      <c r="AA28" s="194"/>
      <c r="AB28" s="18">
        <v>201500</v>
      </c>
      <c r="AC28" s="63">
        <v>0.34300000000000003</v>
      </c>
      <c r="AD28" s="193"/>
      <c r="AE28" s="18"/>
      <c r="AF28" s="18"/>
      <c r="AG28" s="139"/>
      <c r="AK28" s="130"/>
    </row>
    <row r="29" spans="1:37" s="4" customFormat="1" x14ac:dyDescent="0.25">
      <c r="A29" s="11">
        <v>37043</v>
      </c>
      <c r="B29" s="15">
        <v>30</v>
      </c>
      <c r="C29" s="18">
        <f t="shared" si="17"/>
        <v>315000</v>
      </c>
      <c r="D29" s="18">
        <f t="shared" si="12"/>
        <v>16286.065573770491</v>
      </c>
      <c r="E29" s="18">
        <f t="shared" si="7"/>
        <v>542.86885245901635</v>
      </c>
      <c r="F29" s="18">
        <f t="shared" si="13"/>
        <v>23886.22950819672</v>
      </c>
      <c r="G29" s="18">
        <f t="shared" si="8"/>
        <v>796.20765027322398</v>
      </c>
      <c r="H29" s="18">
        <f t="shared" si="14"/>
        <v>26057.704918032785</v>
      </c>
      <c r="I29" s="18">
        <f t="shared" si="9"/>
        <v>868.59016393442619</v>
      </c>
      <c r="J29" s="18">
        <f t="shared" si="10"/>
        <v>150000</v>
      </c>
      <c r="K29" s="18"/>
      <c r="L29" s="18">
        <f t="shared" si="15"/>
        <v>929934.89999999991</v>
      </c>
      <c r="M29" s="18">
        <f t="shared" si="2"/>
        <v>30997.829999999998</v>
      </c>
      <c r="N29" s="135"/>
      <c r="O29" s="135"/>
      <c r="P29" s="83">
        <f t="shared" si="16"/>
        <v>1477414.9</v>
      </c>
      <c r="Q29" s="18">
        <f t="shared" si="4"/>
        <v>49247.16333333333</v>
      </c>
      <c r="S29" s="18">
        <v>1079934.8999999999</v>
      </c>
      <c r="T29" s="136">
        <v>0.70899999999999996</v>
      </c>
      <c r="U29" s="137"/>
      <c r="V29" s="137">
        <v>16250</v>
      </c>
      <c r="W29" s="136">
        <v>0.67900000000000005</v>
      </c>
      <c r="X29" s="137"/>
      <c r="Y29" s="82">
        <v>186230</v>
      </c>
      <c r="Z29" s="138">
        <v>0.39</v>
      </c>
      <c r="AA29" s="194"/>
      <c r="AB29" s="18">
        <v>195000</v>
      </c>
      <c r="AC29" s="63">
        <v>0.34300000000000003</v>
      </c>
      <c r="AD29" s="193"/>
      <c r="AE29" s="18"/>
      <c r="AF29" s="18"/>
      <c r="AG29" s="139"/>
      <c r="AK29" s="130"/>
    </row>
    <row r="30" spans="1:37" s="4" customFormat="1" x14ac:dyDescent="0.25">
      <c r="A30" s="11">
        <v>37073</v>
      </c>
      <c r="B30" s="15">
        <v>31</v>
      </c>
      <c r="C30" s="18"/>
      <c r="D30" s="18">
        <f t="shared" ref="D30:D67" si="19">15/(15+22+24)*Y30</f>
        <v>17798.480225655738</v>
      </c>
      <c r="E30" s="18">
        <f t="shared" si="7"/>
        <v>574.1445234082496</v>
      </c>
      <c r="F30" s="18">
        <f t="shared" ref="F30:F67" si="20">22/(15+22+24)*Y30</f>
        <v>26104.437664295081</v>
      </c>
      <c r="G30" s="18">
        <f t="shared" si="8"/>
        <v>842.07863433209934</v>
      </c>
      <c r="H30" s="18">
        <f t="shared" ref="H30:H67" si="21">24/(15+22+24)*Y30</f>
        <v>28477.568361049176</v>
      </c>
      <c r="I30" s="18">
        <f t="shared" si="9"/>
        <v>918.63123745319922</v>
      </c>
      <c r="J30" s="18">
        <f t="shared" si="10"/>
        <v>155000</v>
      </c>
      <c r="K30" s="18"/>
      <c r="L30" s="18">
        <f>S30-J30-C30+AB30</f>
        <v>1304598.2</v>
      </c>
      <c r="M30" s="18">
        <f t="shared" si="2"/>
        <v>42083.812903225808</v>
      </c>
      <c r="N30" s="135"/>
      <c r="O30" s="135"/>
      <c r="P30" s="83">
        <f t="shared" si="16"/>
        <v>1548775.686251</v>
      </c>
      <c r="Q30" s="18">
        <f t="shared" si="4"/>
        <v>49960.506008096774</v>
      </c>
      <c r="S30" s="18">
        <v>1459598.2</v>
      </c>
      <c r="T30" s="136">
        <v>0.70899999999999996</v>
      </c>
      <c r="U30" s="137"/>
      <c r="V30" s="137">
        <v>16797</v>
      </c>
      <c r="W30" s="136">
        <v>0.67900000000000005</v>
      </c>
      <c r="X30" s="137"/>
      <c r="Y30" s="82">
        <v>72380.486250999995</v>
      </c>
      <c r="Z30" s="138">
        <v>0.54</v>
      </c>
      <c r="AA30" s="194"/>
      <c r="AB30" s="18"/>
      <c r="AC30" s="63"/>
      <c r="AD30" s="18"/>
      <c r="AE30" s="18"/>
      <c r="AF30" s="18"/>
      <c r="AG30" s="139"/>
      <c r="AK30" s="130"/>
    </row>
    <row r="31" spans="1:37" s="4" customFormat="1" x14ac:dyDescent="0.25">
      <c r="A31" s="11">
        <v>37104</v>
      </c>
      <c r="B31" s="15">
        <v>31</v>
      </c>
      <c r="C31" s="18"/>
      <c r="D31" s="18">
        <f t="shared" si="19"/>
        <v>17044.194396639341</v>
      </c>
      <c r="E31" s="18">
        <f t="shared" si="7"/>
        <v>549.81272247223683</v>
      </c>
      <c r="F31" s="18">
        <f t="shared" si="20"/>
        <v>24998.151781737703</v>
      </c>
      <c r="G31" s="18">
        <f t="shared" si="8"/>
        <v>806.39199295928074</v>
      </c>
      <c r="H31" s="18">
        <f t="shared" si="21"/>
        <v>27270.711034622949</v>
      </c>
      <c r="I31" s="18">
        <f t="shared" si="9"/>
        <v>879.70035595557897</v>
      </c>
      <c r="J31" s="18">
        <f t="shared" si="10"/>
        <v>155000</v>
      </c>
      <c r="K31" s="18"/>
      <c r="L31" s="18">
        <f>S31-J31-C31+AB31</f>
        <v>1722086.2</v>
      </c>
      <c r="M31" s="18">
        <f t="shared" si="2"/>
        <v>55551.167741935482</v>
      </c>
      <c r="N31" s="135"/>
      <c r="O31" s="135"/>
      <c r="P31" s="83">
        <f t="shared" si="16"/>
        <v>1967441.257213</v>
      </c>
      <c r="Q31" s="18">
        <f t="shared" si="4"/>
        <v>63465.847006870965</v>
      </c>
      <c r="S31" s="18">
        <v>1877086.2</v>
      </c>
      <c r="T31" s="136">
        <v>0.70899999999999996</v>
      </c>
      <c r="U31" s="137"/>
      <c r="V31" s="137">
        <v>21042</v>
      </c>
      <c r="W31" s="136">
        <v>0.67900000000000005</v>
      </c>
      <c r="X31" s="137"/>
      <c r="Y31" s="82">
        <v>69313.057212999993</v>
      </c>
      <c r="Z31" s="138">
        <v>0.54</v>
      </c>
      <c r="AA31" s="194"/>
      <c r="AB31" s="18"/>
      <c r="AC31" s="63"/>
      <c r="AD31" s="18"/>
      <c r="AE31" s="18"/>
      <c r="AF31" s="18"/>
      <c r="AG31" s="139"/>
      <c r="AK31" s="130"/>
    </row>
    <row r="32" spans="1:37" s="4" customFormat="1" x14ac:dyDescent="0.25">
      <c r="A32" s="11">
        <v>37135</v>
      </c>
      <c r="B32" s="15">
        <v>30</v>
      </c>
      <c r="C32" s="18"/>
      <c r="D32" s="18">
        <f t="shared" si="19"/>
        <v>15018.437934344262</v>
      </c>
      <c r="E32" s="18">
        <f t="shared" si="7"/>
        <v>500.61459781147539</v>
      </c>
      <c r="F32" s="18">
        <f t="shared" si="20"/>
        <v>22027.042303704919</v>
      </c>
      <c r="G32" s="18">
        <f t="shared" si="8"/>
        <v>734.23474345683064</v>
      </c>
      <c r="H32" s="18">
        <f t="shared" si="21"/>
        <v>24029.500694950821</v>
      </c>
      <c r="I32" s="18">
        <f t="shared" si="9"/>
        <v>800.98335649836065</v>
      </c>
      <c r="J32" s="18">
        <f t="shared" si="10"/>
        <v>150000</v>
      </c>
      <c r="K32" s="18"/>
      <c r="L32" s="18">
        <f>S32-J32-C32+AB32</f>
        <v>1454229.4</v>
      </c>
      <c r="M32" s="18">
        <f t="shared" si="2"/>
        <v>48474.313333333332</v>
      </c>
      <c r="N32" s="135"/>
      <c r="O32" s="135"/>
      <c r="P32" s="83">
        <f t="shared" si="16"/>
        <v>1683562.380933</v>
      </c>
      <c r="Q32" s="18">
        <f t="shared" si="4"/>
        <v>56118.746031100003</v>
      </c>
      <c r="S32" s="18">
        <v>1604229.4</v>
      </c>
      <c r="T32" s="136">
        <v>0.70899999999999996</v>
      </c>
      <c r="U32" s="137"/>
      <c r="V32" s="137">
        <v>18258</v>
      </c>
      <c r="W32" s="136">
        <v>0.67900000000000005</v>
      </c>
      <c r="X32" s="137"/>
      <c r="Y32" s="82">
        <v>61074.980932999999</v>
      </c>
      <c r="Z32" s="138">
        <v>0.54</v>
      </c>
      <c r="AA32" s="194"/>
      <c r="AB32" s="18"/>
      <c r="AC32" s="63"/>
      <c r="AD32" s="18"/>
      <c r="AE32" s="18"/>
      <c r="AF32" s="18"/>
      <c r="AG32" s="139"/>
      <c r="AK32" s="130"/>
    </row>
    <row r="33" spans="1:37" s="4" customFormat="1" x14ac:dyDescent="0.25">
      <c r="A33" s="11">
        <v>37165</v>
      </c>
      <c r="B33" s="15">
        <v>31</v>
      </c>
      <c r="C33" s="18"/>
      <c r="D33" s="18">
        <f t="shared" si="19"/>
        <v>30126.055080491802</v>
      </c>
      <c r="E33" s="18">
        <f t="shared" si="7"/>
        <v>971.80822840296139</v>
      </c>
      <c r="F33" s="18">
        <f t="shared" si="20"/>
        <v>44184.88078472131</v>
      </c>
      <c r="G33" s="18">
        <f t="shared" si="8"/>
        <v>1425.3187349910099</v>
      </c>
      <c r="H33" s="18">
        <f t="shared" si="21"/>
        <v>48201.688128786882</v>
      </c>
      <c r="I33" s="18">
        <f t="shared" si="9"/>
        <v>1554.8931654447381</v>
      </c>
      <c r="J33" s="18">
        <f t="shared" si="10"/>
        <v>155000</v>
      </c>
      <c r="K33" s="18"/>
      <c r="L33" s="18">
        <f>S33-J33-C33+AB33</f>
        <v>1956878.7000000002</v>
      </c>
      <c r="M33" s="18">
        <f t="shared" si="2"/>
        <v>63125.119354838716</v>
      </c>
      <c r="N33" s="135"/>
      <c r="O33" s="135"/>
      <c r="P33" s="83">
        <f t="shared" si="16"/>
        <v>2257579.323994</v>
      </c>
      <c r="Q33" s="18">
        <f t="shared" si="4"/>
        <v>72825.139483677412</v>
      </c>
      <c r="S33" s="18">
        <v>2111878.7000000002</v>
      </c>
      <c r="T33" s="136">
        <v>0.70899999999999996</v>
      </c>
      <c r="U33" s="137"/>
      <c r="V33" s="137">
        <v>23188</v>
      </c>
      <c r="W33" s="136">
        <v>0.67900000000000005</v>
      </c>
      <c r="X33" s="137"/>
      <c r="Y33" s="82">
        <v>122512.62399399999</v>
      </c>
      <c r="Z33" s="138">
        <v>0.54</v>
      </c>
      <c r="AA33" s="194"/>
      <c r="AB33" s="18"/>
      <c r="AC33" s="63"/>
      <c r="AD33" s="18"/>
      <c r="AE33" s="18"/>
      <c r="AF33" s="18"/>
      <c r="AG33" s="139"/>
      <c r="AK33" s="130"/>
    </row>
    <row r="34" spans="1:37" s="4" customFormat="1" x14ac:dyDescent="0.25">
      <c r="A34" s="11">
        <v>37196</v>
      </c>
      <c r="B34" s="15">
        <v>30</v>
      </c>
      <c r="C34" s="18"/>
      <c r="D34" s="18">
        <f t="shared" si="19"/>
        <v>56202.522809508198</v>
      </c>
      <c r="E34" s="18">
        <f t="shared" si="7"/>
        <v>1873.4174269836067</v>
      </c>
      <c r="F34" s="18">
        <f t="shared" si="20"/>
        <v>82430.36678727869</v>
      </c>
      <c r="G34" s="18">
        <f t="shared" si="8"/>
        <v>2747.6788929092895</v>
      </c>
      <c r="H34" s="18">
        <f t="shared" si="21"/>
        <v>89924.03649521312</v>
      </c>
      <c r="I34" s="18">
        <f t="shared" si="9"/>
        <v>2997.4678831737706</v>
      </c>
      <c r="J34" s="18">
        <f t="shared" si="10"/>
        <v>150000</v>
      </c>
      <c r="K34" s="18"/>
      <c r="L34" s="18">
        <f>S34-J34-C34+AB34</f>
        <v>3906781.5</v>
      </c>
      <c r="M34" s="18">
        <f t="shared" si="2"/>
        <v>130226.05</v>
      </c>
      <c r="N34" s="135"/>
      <c r="O34" s="135"/>
      <c r="P34" s="83">
        <f t="shared" si="16"/>
        <v>4327696.4260919997</v>
      </c>
      <c r="Q34" s="18">
        <f t="shared" si="4"/>
        <v>144256.5475364</v>
      </c>
      <c r="S34" s="18">
        <v>4056781.5</v>
      </c>
      <c r="T34" s="136">
        <v>0.66910000000000003</v>
      </c>
      <c r="U34" s="137"/>
      <c r="V34" s="137">
        <v>42358</v>
      </c>
      <c r="W34" s="136">
        <v>0.67900000000000005</v>
      </c>
      <c r="X34" s="137"/>
      <c r="Y34" s="82">
        <v>228556.92609200001</v>
      </c>
      <c r="Z34" s="138">
        <v>0.50009999999999999</v>
      </c>
      <c r="AA34" s="194"/>
      <c r="AB34" s="18"/>
      <c r="AC34" s="63"/>
      <c r="AD34" s="18"/>
      <c r="AE34" s="18"/>
      <c r="AF34" s="18"/>
      <c r="AG34" s="139"/>
      <c r="AK34" s="130">
        <f>780000+260000+100000</f>
        <v>1140000</v>
      </c>
    </row>
    <row r="35" spans="1:37" s="4" customFormat="1" x14ac:dyDescent="0.25">
      <c r="A35" s="11">
        <v>37226</v>
      </c>
      <c r="B35" s="15">
        <v>31</v>
      </c>
      <c r="C35" s="18"/>
      <c r="D35" s="18">
        <f t="shared" si="19"/>
        <v>78096.404113032797</v>
      </c>
      <c r="E35" s="18">
        <f t="shared" si="7"/>
        <v>2519.2388423558968</v>
      </c>
      <c r="F35" s="18">
        <f t="shared" si="20"/>
        <v>114541.39269911477</v>
      </c>
      <c r="G35" s="18">
        <f t="shared" si="8"/>
        <v>3694.8836354553155</v>
      </c>
      <c r="H35" s="18">
        <f t="shared" si="21"/>
        <v>124954.24658085247</v>
      </c>
      <c r="I35" s="18">
        <f t="shared" si="9"/>
        <v>4030.7821477694347</v>
      </c>
      <c r="J35" s="18">
        <f t="shared" si="10"/>
        <v>155000</v>
      </c>
      <c r="K35" s="18"/>
      <c r="L35" s="18">
        <f t="shared" ref="L35:L66" si="22">S35-J35-C35+AB35</f>
        <v>6831231.5</v>
      </c>
      <c r="M35" s="18">
        <f t="shared" ref="M35:M66" si="23">L35/B35</f>
        <v>220362.30645161291</v>
      </c>
      <c r="N35" s="135"/>
      <c r="O35" s="135"/>
      <c r="P35" s="83">
        <f t="shared" si="16"/>
        <v>7375850.543393</v>
      </c>
      <c r="Q35" s="18">
        <f t="shared" ref="Q35:Q66" si="24">P35/B35</f>
        <v>237930.66269009677</v>
      </c>
      <c r="S35" s="18">
        <v>6986231.5</v>
      </c>
      <c r="T35" s="136">
        <v>0.6734</v>
      </c>
      <c r="U35" s="137"/>
      <c r="V35" s="137">
        <v>72027</v>
      </c>
      <c r="W35" s="136">
        <v>0.67900000000000005</v>
      </c>
      <c r="X35" s="137"/>
      <c r="Y35" s="82">
        <v>317592.04339300003</v>
      </c>
      <c r="Z35" s="138">
        <v>0.50439999999999996</v>
      </c>
      <c r="AA35" s="194"/>
      <c r="AB35" s="18"/>
      <c r="AC35" s="63"/>
      <c r="AD35" s="18"/>
      <c r="AE35" s="18"/>
      <c r="AF35" s="18"/>
      <c r="AG35" s="139"/>
      <c r="AK35" s="130">
        <f>780000+260000+100000</f>
        <v>1140000</v>
      </c>
    </row>
    <row r="36" spans="1:37" s="4" customFormat="1" x14ac:dyDescent="0.25">
      <c r="A36" s="11">
        <v>37257</v>
      </c>
      <c r="B36" s="15">
        <v>31</v>
      </c>
      <c r="C36" s="18"/>
      <c r="D36" s="18">
        <f t="shared" si="19"/>
        <v>102994.03066795082</v>
      </c>
      <c r="E36" s="18">
        <f t="shared" si="7"/>
        <v>3322.3880860629297</v>
      </c>
      <c r="F36" s="18">
        <f t="shared" si="20"/>
        <v>151057.91164632788</v>
      </c>
      <c r="G36" s="18">
        <f t="shared" si="8"/>
        <v>4872.8358595589634</v>
      </c>
      <c r="H36" s="18">
        <f t="shared" si="21"/>
        <v>164790.44906872133</v>
      </c>
      <c r="I36" s="18">
        <f t="shared" si="9"/>
        <v>5315.8209377006879</v>
      </c>
      <c r="J36" s="18">
        <f t="shared" si="10"/>
        <v>155000</v>
      </c>
      <c r="K36" s="18"/>
      <c r="L36" s="18">
        <f t="shared" si="22"/>
        <v>8415326.3000000007</v>
      </c>
      <c r="M36" s="18">
        <f t="shared" si="23"/>
        <v>271462.13870967744</v>
      </c>
      <c r="N36" s="135"/>
      <c r="O36" s="135"/>
      <c r="P36" s="83">
        <f t="shared" si="16"/>
        <v>9078806.6913830005</v>
      </c>
      <c r="Q36" s="18">
        <f t="shared" si="24"/>
        <v>292864.73198009678</v>
      </c>
      <c r="S36" s="18">
        <v>8570326.3000000007</v>
      </c>
      <c r="T36" s="136">
        <v>0.68110000000000004</v>
      </c>
      <c r="U36" s="137"/>
      <c r="V36" s="137">
        <v>89638</v>
      </c>
      <c r="W36" s="136">
        <v>0.67900000000000005</v>
      </c>
      <c r="X36" s="137"/>
      <c r="Y36" s="82">
        <v>418842.39138300001</v>
      </c>
      <c r="Z36" s="138">
        <v>0.5121</v>
      </c>
      <c r="AA36" s="194"/>
      <c r="AB36" s="18"/>
      <c r="AC36" s="63"/>
      <c r="AD36" s="18"/>
      <c r="AE36" s="18"/>
      <c r="AF36" s="18"/>
      <c r="AG36" s="139"/>
      <c r="AK36" s="130">
        <f>780000+260000+100000</f>
        <v>1140000</v>
      </c>
    </row>
    <row r="37" spans="1:37" s="4" customFormat="1" x14ac:dyDescent="0.25">
      <c r="A37" s="11">
        <v>37288</v>
      </c>
      <c r="B37" s="15">
        <v>28</v>
      </c>
      <c r="C37" s="18"/>
      <c r="D37" s="18">
        <f t="shared" si="19"/>
        <v>68039.116860491806</v>
      </c>
      <c r="E37" s="18">
        <f t="shared" si="7"/>
        <v>2429.9684593032789</v>
      </c>
      <c r="F37" s="18">
        <f t="shared" si="20"/>
        <v>99790.704728721321</v>
      </c>
      <c r="G37" s="18">
        <f t="shared" si="8"/>
        <v>3563.9537403114759</v>
      </c>
      <c r="H37" s="18">
        <f t="shared" si="21"/>
        <v>108862.58697678689</v>
      </c>
      <c r="I37" s="18">
        <f t="shared" si="9"/>
        <v>3887.9495348852461</v>
      </c>
      <c r="J37" s="18">
        <f t="shared" si="10"/>
        <v>140000</v>
      </c>
      <c r="K37" s="18"/>
      <c r="L37" s="18">
        <f t="shared" si="22"/>
        <v>5840556.4000000004</v>
      </c>
      <c r="M37" s="18">
        <f t="shared" si="23"/>
        <v>208591.30000000002</v>
      </c>
      <c r="N37" s="135"/>
      <c r="O37" s="135"/>
      <c r="P37" s="83">
        <f t="shared" si="16"/>
        <v>6320255.8085660003</v>
      </c>
      <c r="Q37" s="18">
        <f t="shared" si="24"/>
        <v>225723.42173450001</v>
      </c>
      <c r="S37" s="18">
        <v>5980556.4000000004</v>
      </c>
      <c r="T37" s="136">
        <v>0.68140000000000001</v>
      </c>
      <c r="U37" s="137"/>
      <c r="V37" s="137">
        <v>63007</v>
      </c>
      <c r="W37" s="136">
        <v>0.67900000000000005</v>
      </c>
      <c r="X37" s="137"/>
      <c r="Y37" s="82">
        <v>276692.408566</v>
      </c>
      <c r="Z37" s="138">
        <v>0.51239999999999997</v>
      </c>
      <c r="AA37" s="194"/>
      <c r="AB37" s="18"/>
      <c r="AC37" s="63"/>
      <c r="AD37" s="18"/>
      <c r="AE37" s="18"/>
      <c r="AF37" s="18"/>
      <c r="AG37" s="139"/>
      <c r="AK37" s="130">
        <f>780000+260000+100000</f>
        <v>1140000</v>
      </c>
    </row>
    <row r="38" spans="1:37" s="4" customFormat="1" x14ac:dyDescent="0.25">
      <c r="A38" s="11">
        <v>37316</v>
      </c>
      <c r="B38" s="15">
        <v>31</v>
      </c>
      <c r="C38" s="18"/>
      <c r="D38" s="18">
        <f t="shared" si="19"/>
        <v>58707.79525401639</v>
      </c>
      <c r="E38" s="18">
        <f t="shared" si="7"/>
        <v>1893.7998469037545</v>
      </c>
      <c r="F38" s="18">
        <f t="shared" si="20"/>
        <v>86104.76637255738</v>
      </c>
      <c r="G38" s="18">
        <f t="shared" si="8"/>
        <v>2777.5731087921736</v>
      </c>
      <c r="H38" s="18">
        <f t="shared" si="21"/>
        <v>93932.472406426226</v>
      </c>
      <c r="I38" s="18">
        <f t="shared" si="9"/>
        <v>3030.0797550460074</v>
      </c>
      <c r="J38" s="18">
        <f t="shared" si="10"/>
        <v>155000</v>
      </c>
      <c r="K38" s="18"/>
      <c r="L38" s="18">
        <f t="shared" si="22"/>
        <v>4744375.3</v>
      </c>
      <c r="M38" s="18">
        <f t="shared" si="23"/>
        <v>153044.36451612902</v>
      </c>
      <c r="N38" s="135"/>
      <c r="O38" s="135"/>
      <c r="P38" s="83">
        <f t="shared" si="16"/>
        <v>5190531.3340329994</v>
      </c>
      <c r="Q38" s="18">
        <f t="shared" si="24"/>
        <v>167436.49464622579</v>
      </c>
      <c r="S38" s="18">
        <v>4899375.3</v>
      </c>
      <c r="T38" s="136">
        <v>0.68100000000000005</v>
      </c>
      <c r="U38" s="137"/>
      <c r="V38" s="137">
        <v>52411</v>
      </c>
      <c r="W38" s="136">
        <v>0.67900000000000005</v>
      </c>
      <c r="X38" s="137"/>
      <c r="Y38" s="82">
        <v>238745.034033</v>
      </c>
      <c r="Z38" s="138">
        <v>0.51200000000000001</v>
      </c>
      <c r="AA38" s="194"/>
      <c r="AB38" s="18"/>
      <c r="AC38" s="63"/>
      <c r="AD38" s="18"/>
      <c r="AE38" s="18"/>
      <c r="AF38" s="18"/>
      <c r="AG38" s="139"/>
      <c r="AK38" s="130">
        <f>780000+260000+100000</f>
        <v>1140000</v>
      </c>
    </row>
    <row r="39" spans="1:37" s="4" customFormat="1" x14ac:dyDescent="0.25">
      <c r="A39" s="11">
        <v>37347</v>
      </c>
      <c r="B39" s="15">
        <v>30</v>
      </c>
      <c r="C39" s="18"/>
      <c r="D39" s="18">
        <f t="shared" si="19"/>
        <v>33592.536814918029</v>
      </c>
      <c r="E39" s="18">
        <f t="shared" si="7"/>
        <v>1119.7512271639343</v>
      </c>
      <c r="F39" s="18">
        <f t="shared" si="20"/>
        <v>49269.053995213115</v>
      </c>
      <c r="G39" s="18">
        <f t="shared" si="8"/>
        <v>1642.3017998404371</v>
      </c>
      <c r="H39" s="18">
        <f t="shared" si="21"/>
        <v>53748.058903868849</v>
      </c>
      <c r="I39" s="18">
        <f t="shared" si="9"/>
        <v>1791.6019634622949</v>
      </c>
      <c r="J39" s="18">
        <f t="shared" si="10"/>
        <v>150000</v>
      </c>
      <c r="K39" s="18"/>
      <c r="L39" s="18">
        <f t="shared" si="22"/>
        <v>2700872.1</v>
      </c>
      <c r="M39" s="18">
        <f t="shared" si="23"/>
        <v>90029.07</v>
      </c>
      <c r="N39" s="135"/>
      <c r="O39" s="135"/>
      <c r="P39" s="83">
        <f t="shared" si="16"/>
        <v>3015626.7497140002</v>
      </c>
      <c r="Q39" s="18">
        <f t="shared" si="24"/>
        <v>100520.89165713334</v>
      </c>
      <c r="S39" s="18">
        <v>2850872.1</v>
      </c>
      <c r="T39" s="136">
        <v>0.70899999999999996</v>
      </c>
      <c r="U39" s="137"/>
      <c r="V39" s="137">
        <v>28145</v>
      </c>
      <c r="W39" s="136">
        <v>0.67900000000000005</v>
      </c>
      <c r="X39" s="137"/>
      <c r="Y39" s="82">
        <v>136609.649714</v>
      </c>
      <c r="Z39" s="138">
        <v>0.54</v>
      </c>
      <c r="AA39" s="194"/>
      <c r="AB39" s="18"/>
      <c r="AC39" s="63"/>
      <c r="AD39" s="18"/>
      <c r="AE39" s="18"/>
      <c r="AF39" s="18"/>
      <c r="AG39" s="139"/>
      <c r="AK39" s="130"/>
    </row>
    <row r="40" spans="1:37" s="4" customFormat="1" x14ac:dyDescent="0.25">
      <c r="A40" s="11">
        <v>37377</v>
      </c>
      <c r="B40" s="15">
        <v>31</v>
      </c>
      <c r="C40" s="18"/>
      <c r="D40" s="18">
        <f t="shared" si="19"/>
        <v>22817.223416311474</v>
      </c>
      <c r="E40" s="18">
        <f t="shared" si="7"/>
        <v>736.03946504230555</v>
      </c>
      <c r="F40" s="18">
        <f t="shared" si="20"/>
        <v>33465.261010590162</v>
      </c>
      <c r="G40" s="18">
        <f t="shared" si="8"/>
        <v>1079.524548728715</v>
      </c>
      <c r="H40" s="18">
        <f t="shared" si="21"/>
        <v>36507.557466098362</v>
      </c>
      <c r="I40" s="18">
        <f t="shared" si="9"/>
        <v>1177.663144067689</v>
      </c>
      <c r="J40" s="18">
        <f t="shared" si="10"/>
        <v>155000</v>
      </c>
      <c r="K40" s="18"/>
      <c r="L40" s="18">
        <f t="shared" si="22"/>
        <v>2098110.2999999998</v>
      </c>
      <c r="M40" s="18">
        <f t="shared" si="23"/>
        <v>67680.977419354836</v>
      </c>
      <c r="N40" s="135"/>
      <c r="O40" s="135"/>
      <c r="P40" s="83">
        <f t="shared" si="16"/>
        <v>2368179.3418929996</v>
      </c>
      <c r="Q40" s="18">
        <f t="shared" si="24"/>
        <v>76392.881996548371</v>
      </c>
      <c r="S40" s="18">
        <v>2253110.2999999998</v>
      </c>
      <c r="T40" s="136">
        <v>0.70899999999999996</v>
      </c>
      <c r="U40" s="137"/>
      <c r="V40" s="137">
        <v>22279</v>
      </c>
      <c r="W40" s="136">
        <v>0.67900000000000005</v>
      </c>
      <c r="X40" s="137"/>
      <c r="Y40" s="82">
        <v>92790.041893000001</v>
      </c>
      <c r="Z40" s="138">
        <v>0.54</v>
      </c>
      <c r="AA40" s="194"/>
      <c r="AB40" s="18"/>
      <c r="AC40" s="63"/>
      <c r="AD40" s="18"/>
      <c r="AE40" s="18"/>
      <c r="AF40" s="18"/>
      <c r="AG40" s="139"/>
      <c r="AK40" s="130"/>
    </row>
    <row r="41" spans="1:37" s="4" customFormat="1" x14ac:dyDescent="0.25">
      <c r="A41" s="11">
        <v>37408</v>
      </c>
      <c r="B41" s="15">
        <v>30</v>
      </c>
      <c r="C41" s="18"/>
      <c r="D41" s="18">
        <f t="shared" si="19"/>
        <v>16449.164686229506</v>
      </c>
      <c r="E41" s="18">
        <f t="shared" si="7"/>
        <v>548.30548954098356</v>
      </c>
      <c r="F41" s="18">
        <f t="shared" si="20"/>
        <v>24125.44153980328</v>
      </c>
      <c r="G41" s="18">
        <f t="shared" si="8"/>
        <v>804.1813846601093</v>
      </c>
      <c r="H41" s="18">
        <f t="shared" si="21"/>
        <v>26318.663497967213</v>
      </c>
      <c r="I41" s="18">
        <f t="shared" si="9"/>
        <v>877.28878326557378</v>
      </c>
      <c r="J41" s="18">
        <f t="shared" si="10"/>
        <v>150000</v>
      </c>
      <c r="K41" s="18"/>
      <c r="L41" s="18">
        <f t="shared" si="22"/>
        <v>1561847.1</v>
      </c>
      <c r="M41" s="18">
        <f t="shared" si="23"/>
        <v>52061.57</v>
      </c>
      <c r="N41" s="135"/>
      <c r="O41" s="135"/>
      <c r="P41" s="83">
        <f t="shared" si="16"/>
        <v>1795580.3697240001</v>
      </c>
      <c r="Q41" s="18">
        <f t="shared" si="24"/>
        <v>59852.678990800006</v>
      </c>
      <c r="S41" s="18">
        <v>1711847.1</v>
      </c>
      <c r="T41" s="136">
        <v>0.70899999999999996</v>
      </c>
      <c r="U41" s="137"/>
      <c r="V41" s="137">
        <v>16840</v>
      </c>
      <c r="W41" s="136">
        <v>0.67900000000000005</v>
      </c>
      <c r="X41" s="137"/>
      <c r="Y41" s="82">
        <v>66893.269723999998</v>
      </c>
      <c r="Z41" s="138">
        <v>0.54</v>
      </c>
      <c r="AA41" s="194"/>
      <c r="AB41" s="18"/>
      <c r="AC41" s="63"/>
      <c r="AD41" s="18"/>
      <c r="AE41" s="18"/>
      <c r="AF41" s="18"/>
      <c r="AG41" s="139"/>
      <c r="AK41" s="130"/>
    </row>
    <row r="42" spans="1:37" s="4" customFormat="1" x14ac:dyDescent="0.25">
      <c r="A42" s="11">
        <v>37438</v>
      </c>
      <c r="B42" s="15">
        <v>31</v>
      </c>
      <c r="C42" s="18"/>
      <c r="D42" s="18">
        <f t="shared" si="19"/>
        <v>17976.465028032788</v>
      </c>
      <c r="E42" s="18">
        <f t="shared" si="7"/>
        <v>579.885968646219</v>
      </c>
      <c r="F42" s="18">
        <f t="shared" si="20"/>
        <v>26365.482041114756</v>
      </c>
      <c r="G42" s="18">
        <f t="shared" si="8"/>
        <v>850.49942068112114</v>
      </c>
      <c r="H42" s="18">
        <f t="shared" si="21"/>
        <v>28762.34404485246</v>
      </c>
      <c r="I42" s="18">
        <f t="shared" si="9"/>
        <v>927.81754983395035</v>
      </c>
      <c r="J42" s="18">
        <f t="shared" si="10"/>
        <v>155000</v>
      </c>
      <c r="K42" s="18"/>
      <c r="L42" s="18">
        <f t="shared" si="22"/>
        <v>1632210.9</v>
      </c>
      <c r="M42" s="18">
        <f t="shared" si="23"/>
        <v>52651.964516129032</v>
      </c>
      <c r="N42" s="135"/>
      <c r="O42" s="135"/>
      <c r="P42" s="83">
        <f t="shared" si="16"/>
        <v>1877722.1911139998</v>
      </c>
      <c r="Q42" s="18">
        <f t="shared" si="24"/>
        <v>60571.683584322578</v>
      </c>
      <c r="S42" s="18">
        <v>1787210.9</v>
      </c>
      <c r="T42" s="136">
        <v>0.70899999999999996</v>
      </c>
      <c r="U42" s="137"/>
      <c r="V42" s="137">
        <v>17407</v>
      </c>
      <c r="W42" s="136">
        <v>0.67900000000000005</v>
      </c>
      <c r="X42" s="137"/>
      <c r="Y42" s="82">
        <v>73104.291114000007</v>
      </c>
      <c r="Z42" s="138">
        <v>0.54</v>
      </c>
      <c r="AA42" s="194"/>
      <c r="AB42" s="18"/>
      <c r="AC42" s="63"/>
      <c r="AD42" s="18"/>
      <c r="AE42" s="18"/>
      <c r="AF42" s="18"/>
      <c r="AG42" s="139"/>
      <c r="AK42" s="130"/>
    </row>
    <row r="43" spans="1:37" s="4" customFormat="1" x14ac:dyDescent="0.25">
      <c r="A43" s="11">
        <v>37469</v>
      </c>
      <c r="B43" s="15">
        <v>31</v>
      </c>
      <c r="C43" s="18"/>
      <c r="D43" s="18">
        <f t="shared" si="19"/>
        <v>17214.636340573772</v>
      </c>
      <c r="E43" s="18">
        <f t="shared" si="7"/>
        <v>555.31084969592814</v>
      </c>
      <c r="F43" s="18">
        <f t="shared" si="20"/>
        <v>25248.133299508198</v>
      </c>
      <c r="G43" s="18">
        <f t="shared" si="8"/>
        <v>814.45591288736125</v>
      </c>
      <c r="H43" s="18">
        <f t="shared" si="21"/>
        <v>27543.418144918032</v>
      </c>
      <c r="I43" s="18">
        <f t="shared" si="9"/>
        <v>888.49735951348487</v>
      </c>
      <c r="J43" s="18">
        <f t="shared" si="10"/>
        <v>155000</v>
      </c>
      <c r="K43" s="18"/>
      <c r="L43" s="18">
        <f t="shared" si="22"/>
        <v>2053816.7000000002</v>
      </c>
      <c r="M43" s="18">
        <f t="shared" si="23"/>
        <v>66252.151612903239</v>
      </c>
      <c r="N43" s="135"/>
      <c r="O43" s="135"/>
      <c r="P43" s="83">
        <f t="shared" si="16"/>
        <v>2300628.8877850003</v>
      </c>
      <c r="Q43" s="18">
        <f t="shared" si="24"/>
        <v>74213.835089838714</v>
      </c>
      <c r="S43" s="18">
        <v>2208816.7000000002</v>
      </c>
      <c r="T43" s="136">
        <v>0.70899999999999996</v>
      </c>
      <c r="U43" s="137"/>
      <c r="V43" s="137">
        <v>21806</v>
      </c>
      <c r="W43" s="136">
        <v>0.67900000000000005</v>
      </c>
      <c r="X43" s="137"/>
      <c r="Y43" s="82">
        <v>70006.187785000002</v>
      </c>
      <c r="Z43" s="138">
        <v>0.54</v>
      </c>
      <c r="AA43" s="194"/>
      <c r="AB43" s="18"/>
      <c r="AC43" s="63"/>
      <c r="AD43" s="18"/>
      <c r="AE43" s="18"/>
      <c r="AF43" s="18"/>
      <c r="AG43" s="139"/>
      <c r="AK43" s="130"/>
    </row>
    <row r="44" spans="1:37" s="4" customFormat="1" x14ac:dyDescent="0.25">
      <c r="A44" s="11">
        <v>37500</v>
      </c>
      <c r="B44" s="15">
        <v>30</v>
      </c>
      <c r="C44" s="18"/>
      <c r="D44" s="18">
        <f t="shared" si="19"/>
        <v>15168.622313852458</v>
      </c>
      <c r="E44" s="18">
        <f t="shared" si="7"/>
        <v>505.62074379508192</v>
      </c>
      <c r="F44" s="18">
        <f t="shared" si="20"/>
        <v>22247.312726983608</v>
      </c>
      <c r="G44" s="18">
        <f t="shared" si="8"/>
        <v>741.57709089945354</v>
      </c>
      <c r="H44" s="18">
        <f t="shared" si="21"/>
        <v>24269.795702163934</v>
      </c>
      <c r="I44" s="18">
        <f t="shared" si="9"/>
        <v>808.99319007213114</v>
      </c>
      <c r="J44" s="18">
        <f t="shared" si="10"/>
        <v>150000</v>
      </c>
      <c r="K44" s="18"/>
      <c r="L44" s="18">
        <f t="shared" si="22"/>
        <v>1773205.4</v>
      </c>
      <c r="M44" s="18">
        <f t="shared" si="23"/>
        <v>59106.846666666665</v>
      </c>
      <c r="N44" s="135"/>
      <c r="O44" s="135"/>
      <c r="P44" s="83">
        <f t="shared" si="16"/>
        <v>2003812.130743</v>
      </c>
      <c r="Q44" s="18">
        <f t="shared" si="24"/>
        <v>66793.737691433329</v>
      </c>
      <c r="S44" s="18">
        <v>1923205.4</v>
      </c>
      <c r="T44" s="136">
        <v>0.70899999999999996</v>
      </c>
      <c r="U44" s="137"/>
      <c r="V44" s="137">
        <v>18921</v>
      </c>
      <c r="W44" s="136">
        <v>0.67900000000000005</v>
      </c>
      <c r="X44" s="137"/>
      <c r="Y44" s="82">
        <v>61685.730743</v>
      </c>
      <c r="Z44" s="138">
        <v>0.54</v>
      </c>
      <c r="AA44" s="194"/>
      <c r="AB44" s="18"/>
      <c r="AC44" s="63"/>
      <c r="AD44" s="18"/>
      <c r="AE44" s="18"/>
      <c r="AF44" s="18"/>
      <c r="AG44" s="139"/>
      <c r="AK44" s="130"/>
    </row>
    <row r="45" spans="1:37" s="4" customFormat="1" x14ac:dyDescent="0.25">
      <c r="A45" s="11">
        <v>37530</v>
      </c>
      <c r="B45" s="15">
        <v>31</v>
      </c>
      <c r="C45" s="18"/>
      <c r="D45" s="18">
        <f t="shared" si="19"/>
        <v>30427.315631311478</v>
      </c>
      <c r="E45" s="18">
        <f t="shared" si="7"/>
        <v>981.526310687467</v>
      </c>
      <c r="F45" s="18">
        <f t="shared" si="20"/>
        <v>44626.729592590171</v>
      </c>
      <c r="G45" s="18">
        <f t="shared" si="8"/>
        <v>1439.5719223416183</v>
      </c>
      <c r="H45" s="18">
        <f t="shared" si="21"/>
        <v>48683.705010098362</v>
      </c>
      <c r="I45" s="18">
        <f t="shared" si="9"/>
        <v>1570.4420970999472</v>
      </c>
      <c r="J45" s="18">
        <f t="shared" si="10"/>
        <v>155000</v>
      </c>
      <c r="K45" s="18"/>
      <c r="L45" s="18">
        <f t="shared" si="22"/>
        <v>2291052.7000000002</v>
      </c>
      <c r="M45" s="18">
        <f t="shared" si="23"/>
        <v>73904.925806451618</v>
      </c>
      <c r="N45" s="135"/>
      <c r="O45" s="135"/>
      <c r="P45" s="83">
        <f t="shared" si="16"/>
        <v>2593820.4502340001</v>
      </c>
      <c r="Q45" s="18">
        <f t="shared" si="24"/>
        <v>83671.627426903229</v>
      </c>
      <c r="S45" s="18">
        <v>2446052.7000000002</v>
      </c>
      <c r="T45" s="136">
        <v>0.70899999999999996</v>
      </c>
      <c r="U45" s="137"/>
      <c r="V45" s="137">
        <v>24030</v>
      </c>
      <c r="W45" s="136">
        <v>0.67900000000000005</v>
      </c>
      <c r="X45" s="137"/>
      <c r="Y45" s="82">
        <v>123737.75023400001</v>
      </c>
      <c r="Z45" s="138">
        <v>0.54</v>
      </c>
      <c r="AA45" s="194"/>
      <c r="AB45" s="18"/>
      <c r="AC45" s="63"/>
      <c r="AD45" s="18"/>
      <c r="AE45" s="18"/>
      <c r="AF45" s="18"/>
      <c r="AG45" s="139"/>
      <c r="AK45" s="130"/>
    </row>
    <row r="46" spans="1:37" s="4" customFormat="1" x14ac:dyDescent="0.25">
      <c r="A46" s="11">
        <v>37561</v>
      </c>
      <c r="B46" s="15">
        <v>30</v>
      </c>
      <c r="C46" s="18"/>
      <c r="D46" s="18">
        <f t="shared" si="19"/>
        <v>56764.548037622953</v>
      </c>
      <c r="E46" s="18">
        <f t="shared" si="7"/>
        <v>1892.1516012540985</v>
      </c>
      <c r="F46" s="18">
        <f t="shared" si="20"/>
        <v>83254.670455180327</v>
      </c>
      <c r="G46" s="18">
        <f t="shared" si="8"/>
        <v>2775.1556818393442</v>
      </c>
      <c r="H46" s="18">
        <f t="shared" si="21"/>
        <v>90823.276860196725</v>
      </c>
      <c r="I46" s="18">
        <f t="shared" si="9"/>
        <v>3027.4425620065576</v>
      </c>
      <c r="J46" s="18">
        <f t="shared" si="10"/>
        <v>150000</v>
      </c>
      <c r="K46" s="18"/>
      <c r="L46" s="18">
        <f t="shared" si="22"/>
        <v>4253296.9000000004</v>
      </c>
      <c r="M46" s="18">
        <f t="shared" si="23"/>
        <v>141776.56333333335</v>
      </c>
      <c r="N46" s="135"/>
      <c r="O46" s="135"/>
      <c r="P46" s="83">
        <f t="shared" si="16"/>
        <v>4678035.3953530006</v>
      </c>
      <c r="Q46" s="18">
        <f t="shared" si="24"/>
        <v>155934.51317843335</v>
      </c>
      <c r="S46" s="18">
        <v>4403296.9000000004</v>
      </c>
      <c r="T46" s="136">
        <v>0.68899999999999995</v>
      </c>
      <c r="U46" s="137"/>
      <c r="V46" s="137">
        <v>43896</v>
      </c>
      <c r="W46" s="136">
        <v>0.67900000000000005</v>
      </c>
      <c r="X46" s="137"/>
      <c r="Y46" s="82">
        <v>230842.49535300001</v>
      </c>
      <c r="Z46" s="138">
        <v>0.52</v>
      </c>
      <c r="AA46" s="194"/>
      <c r="AB46" s="18"/>
      <c r="AC46" s="63"/>
      <c r="AD46" s="18"/>
      <c r="AE46" s="18"/>
      <c r="AF46" s="18"/>
      <c r="AG46" s="139"/>
      <c r="AK46" s="130">
        <f>780000+260000+100000</f>
        <v>1140000</v>
      </c>
    </row>
    <row r="47" spans="1:37" s="4" customFormat="1" x14ac:dyDescent="0.25">
      <c r="A47" s="11">
        <v>37591</v>
      </c>
      <c r="B47" s="15">
        <v>31</v>
      </c>
      <c r="C47" s="18"/>
      <c r="D47" s="18">
        <f t="shared" si="19"/>
        <v>78877.368154180323</v>
      </c>
      <c r="E47" s="18">
        <f t="shared" si="7"/>
        <v>2544.4312307800105</v>
      </c>
      <c r="F47" s="18">
        <f t="shared" si="20"/>
        <v>115686.80662613115</v>
      </c>
      <c r="G47" s="18">
        <f t="shared" si="8"/>
        <v>3731.8324718106824</v>
      </c>
      <c r="H47" s="18">
        <f t="shared" si="21"/>
        <v>126203.78904668853</v>
      </c>
      <c r="I47" s="18">
        <f t="shared" si="9"/>
        <v>4071.089969248017</v>
      </c>
      <c r="J47" s="18">
        <f t="shared" si="10"/>
        <v>155000</v>
      </c>
      <c r="K47" s="18"/>
      <c r="L47" s="18">
        <f t="shared" si="22"/>
        <v>7216962.7000000002</v>
      </c>
      <c r="M47" s="18">
        <f t="shared" si="23"/>
        <v>232805.24838709677</v>
      </c>
      <c r="N47" s="135"/>
      <c r="O47" s="135"/>
      <c r="P47" s="83">
        <f t="shared" si="16"/>
        <v>7767373.6638270002</v>
      </c>
      <c r="Q47" s="18">
        <f t="shared" si="24"/>
        <v>250560.4407686129</v>
      </c>
      <c r="S47" s="18">
        <v>7371962.7000000002</v>
      </c>
      <c r="T47" s="136">
        <v>0.68530000000000002</v>
      </c>
      <c r="U47" s="137"/>
      <c r="V47" s="137">
        <v>74643</v>
      </c>
      <c r="W47" s="136">
        <v>0.67900000000000005</v>
      </c>
      <c r="X47" s="137"/>
      <c r="Y47" s="82">
        <v>320767.963827</v>
      </c>
      <c r="Z47" s="138">
        <v>0.51629999999999998</v>
      </c>
      <c r="AA47" s="194"/>
      <c r="AB47" s="18"/>
      <c r="AC47" s="63"/>
      <c r="AD47" s="18"/>
      <c r="AE47" s="18"/>
      <c r="AF47" s="18"/>
      <c r="AG47" s="139"/>
      <c r="AK47" s="130">
        <f>780000+260000+100000</f>
        <v>1140000</v>
      </c>
    </row>
    <row r="48" spans="1:37" s="4" customFormat="1" x14ac:dyDescent="0.25">
      <c r="A48" s="11">
        <v>37622</v>
      </c>
      <c r="B48" s="15">
        <v>31</v>
      </c>
      <c r="C48" s="18"/>
      <c r="D48" s="18">
        <f t="shared" si="19"/>
        <v>104023.97097467213</v>
      </c>
      <c r="E48" s="18">
        <f t="shared" si="7"/>
        <v>3355.6119669249074</v>
      </c>
      <c r="F48" s="18">
        <f t="shared" si="20"/>
        <v>152568.49076285245</v>
      </c>
      <c r="G48" s="18">
        <f t="shared" si="8"/>
        <v>4921.5642181565308</v>
      </c>
      <c r="H48" s="18">
        <f t="shared" si="21"/>
        <v>166438.35355947539</v>
      </c>
      <c r="I48" s="18">
        <f t="shared" si="9"/>
        <v>5368.9791470798509</v>
      </c>
      <c r="J48" s="18">
        <f t="shared" si="10"/>
        <v>155000</v>
      </c>
      <c r="K48" s="18"/>
      <c r="L48" s="18">
        <f t="shared" si="22"/>
        <v>8816678.8000000007</v>
      </c>
      <c r="M48" s="18">
        <f t="shared" si="23"/>
        <v>284408.99354838714</v>
      </c>
      <c r="N48" s="135"/>
      <c r="O48" s="135"/>
      <c r="P48" s="83">
        <f t="shared" si="16"/>
        <v>9487691.6152970009</v>
      </c>
      <c r="Q48" s="18">
        <f t="shared" si="24"/>
        <v>306054.56823538715</v>
      </c>
      <c r="S48" s="18">
        <v>8971678.8000000007</v>
      </c>
      <c r="T48" s="136">
        <v>0.69059999999999999</v>
      </c>
      <c r="U48" s="137"/>
      <c r="V48" s="137">
        <v>92982</v>
      </c>
      <c r="W48" s="136">
        <v>0.67900000000000005</v>
      </c>
      <c r="X48" s="137"/>
      <c r="Y48" s="82">
        <v>423030.81529699999</v>
      </c>
      <c r="Z48" s="138">
        <v>0.52159999999999995</v>
      </c>
      <c r="AA48" s="194"/>
      <c r="AB48" s="18"/>
      <c r="AC48" s="63"/>
      <c r="AD48" s="18"/>
      <c r="AE48" s="18"/>
      <c r="AF48" s="18"/>
      <c r="AG48" s="139"/>
      <c r="AK48" s="130">
        <f>780000+260000+100000</f>
        <v>1140000</v>
      </c>
    </row>
    <row r="49" spans="1:37" s="4" customFormat="1" x14ac:dyDescent="0.25">
      <c r="A49" s="11">
        <v>37653</v>
      </c>
      <c r="B49" s="15">
        <v>28</v>
      </c>
      <c r="C49" s="18"/>
      <c r="D49" s="18">
        <f t="shared" si="19"/>
        <v>68719.508029180332</v>
      </c>
      <c r="E49" s="18">
        <f t="shared" si="7"/>
        <v>2454.2681438992977</v>
      </c>
      <c r="F49" s="18">
        <f t="shared" si="20"/>
        <v>100788.61177613116</v>
      </c>
      <c r="G49" s="18">
        <f t="shared" si="8"/>
        <v>3599.5932777189701</v>
      </c>
      <c r="H49" s="18">
        <f t="shared" si="21"/>
        <v>109951.21284668853</v>
      </c>
      <c r="I49" s="18">
        <f t="shared" si="9"/>
        <v>3926.8290302388764</v>
      </c>
      <c r="J49" s="18">
        <f t="shared" si="10"/>
        <v>140000</v>
      </c>
      <c r="K49" s="18"/>
      <c r="L49" s="18">
        <f t="shared" si="22"/>
        <v>6185809.0999999996</v>
      </c>
      <c r="M49" s="18">
        <f t="shared" si="23"/>
        <v>220921.75357142856</v>
      </c>
      <c r="N49" s="135"/>
      <c r="O49" s="135"/>
      <c r="P49" s="83">
        <f t="shared" si="16"/>
        <v>6670625.4326519994</v>
      </c>
      <c r="Q49" s="18">
        <f t="shared" si="24"/>
        <v>238236.62259471425</v>
      </c>
      <c r="S49" s="18">
        <v>6325809.0999999996</v>
      </c>
      <c r="T49" s="136">
        <v>0.69479999999999997</v>
      </c>
      <c r="U49" s="137"/>
      <c r="V49" s="137">
        <v>65357</v>
      </c>
      <c r="W49" s="136">
        <v>0.67900000000000005</v>
      </c>
      <c r="X49" s="137"/>
      <c r="Y49" s="82">
        <v>279459.33265200001</v>
      </c>
      <c r="Z49" s="138">
        <v>0.52580000000000005</v>
      </c>
      <c r="AA49" s="194"/>
      <c r="AB49" s="18"/>
      <c r="AC49" s="63"/>
      <c r="AD49" s="18"/>
      <c r="AE49" s="18"/>
      <c r="AF49" s="18"/>
      <c r="AG49" s="139"/>
      <c r="AK49" s="130">
        <f>780000+260000+100000</f>
        <v>1140000</v>
      </c>
    </row>
    <row r="50" spans="1:37" s="4" customFormat="1" x14ac:dyDescent="0.25">
      <c r="A50" s="11">
        <v>37681</v>
      </c>
      <c r="B50" s="15">
        <v>31</v>
      </c>
      <c r="C50" s="18"/>
      <c r="D50" s="18">
        <f t="shared" si="19"/>
        <v>59294.873206475415</v>
      </c>
      <c r="E50" s="18">
        <f t="shared" si="7"/>
        <v>1912.7378453701747</v>
      </c>
      <c r="F50" s="18">
        <f t="shared" si="20"/>
        <v>86965.814036163938</v>
      </c>
      <c r="G50" s="18">
        <f t="shared" si="8"/>
        <v>2805.3488398762561</v>
      </c>
      <c r="H50" s="18">
        <f t="shared" si="21"/>
        <v>94871.797130360661</v>
      </c>
      <c r="I50" s="18">
        <f t="shared" si="9"/>
        <v>3060.3805525922794</v>
      </c>
      <c r="J50" s="18">
        <f t="shared" si="10"/>
        <v>155000</v>
      </c>
      <c r="K50" s="18"/>
      <c r="L50" s="18">
        <f t="shared" si="22"/>
        <v>5109235.9000000004</v>
      </c>
      <c r="M50" s="18">
        <f t="shared" si="23"/>
        <v>164814.0612903226</v>
      </c>
      <c r="N50" s="135"/>
      <c r="O50" s="135"/>
      <c r="P50" s="83">
        <f t="shared" si="16"/>
        <v>5559734.3843730008</v>
      </c>
      <c r="Q50" s="18">
        <f t="shared" si="24"/>
        <v>179346.2704636452</v>
      </c>
      <c r="S50" s="18">
        <v>5264235.9000000004</v>
      </c>
      <c r="T50" s="136">
        <v>0.69720000000000004</v>
      </c>
      <c r="U50" s="137"/>
      <c r="V50" s="137">
        <v>54366</v>
      </c>
      <c r="W50" s="136">
        <v>0.67900000000000005</v>
      </c>
      <c r="X50" s="137"/>
      <c r="Y50" s="82">
        <v>241132.48437300001</v>
      </c>
      <c r="Z50" s="138">
        <v>0.5282</v>
      </c>
      <c r="AA50" s="194"/>
      <c r="AB50" s="18"/>
      <c r="AC50" s="63"/>
      <c r="AD50" s="18"/>
      <c r="AE50" s="18"/>
      <c r="AF50" s="18"/>
      <c r="AG50" s="139"/>
      <c r="AK50" s="130">
        <f>780000+260000+100000</f>
        <v>1140000</v>
      </c>
    </row>
    <row r="51" spans="1:37" s="4" customFormat="1" x14ac:dyDescent="0.25">
      <c r="A51" s="11">
        <v>37712</v>
      </c>
      <c r="B51" s="15">
        <v>30</v>
      </c>
      <c r="C51" s="18"/>
      <c r="D51" s="18">
        <f t="shared" si="19"/>
        <v>33928.462183278687</v>
      </c>
      <c r="E51" s="18">
        <f t="shared" si="7"/>
        <v>1130.9487394426228</v>
      </c>
      <c r="F51" s="18">
        <f t="shared" si="20"/>
        <v>49761.744535475409</v>
      </c>
      <c r="G51" s="18">
        <f t="shared" si="8"/>
        <v>1658.7248178491802</v>
      </c>
      <c r="H51" s="18">
        <f t="shared" si="21"/>
        <v>54285.539493245902</v>
      </c>
      <c r="I51" s="18">
        <f t="shared" si="9"/>
        <v>1809.5179831081966</v>
      </c>
      <c r="J51" s="18">
        <f t="shared" si="10"/>
        <v>150000</v>
      </c>
      <c r="K51" s="18"/>
      <c r="L51" s="18">
        <f t="shared" si="22"/>
        <v>2729163.2</v>
      </c>
      <c r="M51" s="18">
        <f t="shared" si="23"/>
        <v>90972.106666666674</v>
      </c>
      <c r="N51" s="135"/>
      <c r="O51" s="135"/>
      <c r="P51" s="83">
        <f t="shared" si="16"/>
        <v>3046333.9462120002</v>
      </c>
      <c r="Q51" s="18">
        <f t="shared" si="24"/>
        <v>101544.46487373333</v>
      </c>
      <c r="S51" s="18">
        <v>2879163.2</v>
      </c>
      <c r="T51" s="136">
        <v>0.70899999999999996</v>
      </c>
      <c r="U51" s="137"/>
      <c r="V51" s="137">
        <v>29195</v>
      </c>
      <c r="W51" s="136">
        <v>0.67900000000000005</v>
      </c>
      <c r="X51" s="137"/>
      <c r="Y51" s="82">
        <v>137975.746212</v>
      </c>
      <c r="Z51" s="138">
        <v>0.54</v>
      </c>
      <c r="AA51" s="194"/>
      <c r="AB51" s="18"/>
      <c r="AC51" s="63"/>
      <c r="AD51" s="18"/>
      <c r="AE51" s="18"/>
      <c r="AF51" s="18"/>
      <c r="AG51" s="139"/>
      <c r="AK51" s="130"/>
    </row>
    <row r="52" spans="1:37" s="4" customFormat="1" x14ac:dyDescent="0.25">
      <c r="A52" s="11">
        <v>37742</v>
      </c>
      <c r="B52" s="15">
        <v>31</v>
      </c>
      <c r="C52" s="18"/>
      <c r="D52" s="18">
        <f t="shared" si="19"/>
        <v>23045.395650491802</v>
      </c>
      <c r="E52" s="18">
        <f t="shared" si="7"/>
        <v>743.39985969328393</v>
      </c>
      <c r="F52" s="18">
        <f t="shared" si="20"/>
        <v>33799.913620721309</v>
      </c>
      <c r="G52" s="18">
        <f t="shared" si="8"/>
        <v>1090.3197942168165</v>
      </c>
      <c r="H52" s="18">
        <f t="shared" si="21"/>
        <v>36872.633040786881</v>
      </c>
      <c r="I52" s="18">
        <f t="shared" si="9"/>
        <v>1189.4397755092543</v>
      </c>
      <c r="J52" s="18">
        <f t="shared" si="10"/>
        <v>155000</v>
      </c>
      <c r="K52" s="18"/>
      <c r="L52" s="18">
        <f t="shared" si="22"/>
        <v>2120585.7000000002</v>
      </c>
      <c r="M52" s="18">
        <f t="shared" si="23"/>
        <v>68405.990322580648</v>
      </c>
      <c r="N52" s="135"/>
      <c r="O52" s="135"/>
      <c r="P52" s="83">
        <f t="shared" si="16"/>
        <v>2392414.642312</v>
      </c>
      <c r="Q52" s="18">
        <f t="shared" si="24"/>
        <v>77174.665881032255</v>
      </c>
      <c r="S52" s="18">
        <v>2275585.7000000002</v>
      </c>
      <c r="T52" s="136">
        <v>0.70899999999999996</v>
      </c>
      <c r="U52" s="137"/>
      <c r="V52" s="137">
        <v>23111</v>
      </c>
      <c r="W52" s="136">
        <v>0.67900000000000005</v>
      </c>
      <c r="X52" s="137"/>
      <c r="Y52" s="82">
        <v>93717.942311999999</v>
      </c>
      <c r="Z52" s="138">
        <v>0.54</v>
      </c>
      <c r="AA52" s="194"/>
      <c r="AB52" s="18"/>
      <c r="AC52" s="63"/>
      <c r="AD52" s="18"/>
      <c r="AE52" s="18"/>
      <c r="AF52" s="18"/>
      <c r="AG52" s="139"/>
      <c r="AK52" s="130"/>
    </row>
    <row r="53" spans="1:37" s="4" customFormat="1" x14ac:dyDescent="0.25">
      <c r="A53" s="11">
        <v>37773</v>
      </c>
      <c r="B53" s="15">
        <v>30</v>
      </c>
      <c r="C53" s="18"/>
      <c r="D53" s="18">
        <f t="shared" si="19"/>
        <v>16613.656333032784</v>
      </c>
      <c r="E53" s="18">
        <f t="shared" si="7"/>
        <v>553.78854443442617</v>
      </c>
      <c r="F53" s="18">
        <f t="shared" si="20"/>
        <v>24366.695955114752</v>
      </c>
      <c r="G53" s="18">
        <f t="shared" si="8"/>
        <v>812.22319850382507</v>
      </c>
      <c r="H53" s="18">
        <f t="shared" si="21"/>
        <v>26581.850132852458</v>
      </c>
      <c r="I53" s="18">
        <f t="shared" si="9"/>
        <v>886.06167109508192</v>
      </c>
      <c r="J53" s="18">
        <f t="shared" si="10"/>
        <v>150000</v>
      </c>
      <c r="K53" s="18"/>
      <c r="L53" s="18">
        <f t="shared" si="22"/>
        <v>1578920.4</v>
      </c>
      <c r="M53" s="18">
        <f t="shared" si="23"/>
        <v>52630.68</v>
      </c>
      <c r="N53" s="135"/>
      <c r="O53" s="135"/>
      <c r="P53" s="83">
        <f t="shared" si="16"/>
        <v>1813950.6024209999</v>
      </c>
      <c r="Q53" s="18">
        <f t="shared" si="24"/>
        <v>60465.0200807</v>
      </c>
      <c r="S53" s="18">
        <v>1728920.4</v>
      </c>
      <c r="T53" s="136">
        <v>0.70899999999999996</v>
      </c>
      <c r="U53" s="137"/>
      <c r="V53" s="137">
        <v>17468</v>
      </c>
      <c r="W53" s="136">
        <v>0.67900000000000005</v>
      </c>
      <c r="X53" s="137"/>
      <c r="Y53" s="82">
        <v>67562.202420999995</v>
      </c>
      <c r="Z53" s="138">
        <v>0.54</v>
      </c>
      <c r="AA53" s="194"/>
      <c r="AB53" s="18"/>
      <c r="AC53" s="63"/>
      <c r="AD53" s="18"/>
      <c r="AE53" s="18"/>
      <c r="AF53" s="18"/>
      <c r="AG53" s="139"/>
      <c r="AK53" s="130"/>
    </row>
    <row r="54" spans="1:37" s="4" customFormat="1" x14ac:dyDescent="0.25">
      <c r="A54" s="11">
        <v>37803</v>
      </c>
      <c r="B54" s="15">
        <v>31</v>
      </c>
      <c r="C54" s="18"/>
      <c r="D54" s="18">
        <f t="shared" si="19"/>
        <v>18156.229678278691</v>
      </c>
      <c r="E54" s="18">
        <f t="shared" si="7"/>
        <v>585.68482833157066</v>
      </c>
      <c r="F54" s="18">
        <f t="shared" si="20"/>
        <v>26629.136861475414</v>
      </c>
      <c r="G54" s="18">
        <f t="shared" si="8"/>
        <v>859.00441488630372</v>
      </c>
      <c r="H54" s="18">
        <f t="shared" si="21"/>
        <v>29049.967485245903</v>
      </c>
      <c r="I54" s="18">
        <f t="shared" si="9"/>
        <v>937.09572533051301</v>
      </c>
      <c r="J54" s="18">
        <f t="shared" si="10"/>
        <v>155000</v>
      </c>
      <c r="K54" s="18"/>
      <c r="L54" s="18">
        <f t="shared" si="22"/>
        <v>1649990.6</v>
      </c>
      <c r="M54" s="18">
        <f t="shared" si="23"/>
        <v>53225.503225806453</v>
      </c>
      <c r="N54" s="135"/>
      <c r="O54" s="135"/>
      <c r="P54" s="83">
        <f t="shared" si="16"/>
        <v>1896882.9340250001</v>
      </c>
      <c r="Q54" s="18">
        <f t="shared" si="24"/>
        <v>61189.772065322584</v>
      </c>
      <c r="S54" s="18">
        <v>1804990.6</v>
      </c>
      <c r="T54" s="136">
        <v>0.70899999999999996</v>
      </c>
      <c r="U54" s="137"/>
      <c r="V54" s="137">
        <v>18057</v>
      </c>
      <c r="W54" s="136">
        <v>0.67900000000000005</v>
      </c>
      <c r="X54" s="137"/>
      <c r="Y54" s="82">
        <v>73835.334025000004</v>
      </c>
      <c r="Z54" s="138">
        <v>0.54</v>
      </c>
      <c r="AA54" s="194"/>
      <c r="AB54" s="18"/>
      <c r="AC54" s="63"/>
      <c r="AD54" s="18"/>
      <c r="AE54" s="18"/>
      <c r="AF54" s="18"/>
      <c r="AG54" s="139"/>
      <c r="AK54" s="130"/>
    </row>
    <row r="55" spans="1:37" s="4" customFormat="1" x14ac:dyDescent="0.25">
      <c r="A55" s="11">
        <v>37834</v>
      </c>
      <c r="B55" s="15">
        <v>31</v>
      </c>
      <c r="C55" s="18"/>
      <c r="D55" s="18">
        <f t="shared" si="19"/>
        <v>17386.78270401639</v>
      </c>
      <c r="E55" s="18">
        <f t="shared" si="7"/>
        <v>560.8639581940771</v>
      </c>
      <c r="F55" s="18">
        <f t="shared" si="20"/>
        <v>25500.614632557375</v>
      </c>
      <c r="G55" s="18">
        <f t="shared" si="8"/>
        <v>822.60047201797988</v>
      </c>
      <c r="H55" s="18">
        <f t="shared" si="21"/>
        <v>27818.852326426226</v>
      </c>
      <c r="I55" s="18">
        <f t="shared" si="9"/>
        <v>897.3823331105234</v>
      </c>
      <c r="J55" s="18">
        <f t="shared" si="10"/>
        <v>155000</v>
      </c>
      <c r="K55" s="18"/>
      <c r="L55" s="18">
        <f t="shared" si="22"/>
        <v>2075756.4</v>
      </c>
      <c r="M55" s="18">
        <f t="shared" si="23"/>
        <v>66959.883870967737</v>
      </c>
      <c r="N55" s="135"/>
      <c r="O55" s="135"/>
      <c r="P55" s="83">
        <f t="shared" si="16"/>
        <v>2324082.6496629999</v>
      </c>
      <c r="Q55" s="18">
        <f t="shared" si="24"/>
        <v>74970.408053645151</v>
      </c>
      <c r="S55" s="18">
        <v>2230756.4</v>
      </c>
      <c r="T55" s="136">
        <v>0.70899999999999996</v>
      </c>
      <c r="U55" s="137"/>
      <c r="V55" s="137">
        <v>22620</v>
      </c>
      <c r="W55" s="136">
        <v>0.67900000000000005</v>
      </c>
      <c r="X55" s="137"/>
      <c r="Y55" s="82">
        <v>70706.249662999995</v>
      </c>
      <c r="Z55" s="138">
        <v>0.54</v>
      </c>
      <c r="AA55" s="194"/>
      <c r="AB55" s="18"/>
      <c r="AC55" s="63"/>
      <c r="AD55" s="18"/>
      <c r="AE55" s="18"/>
      <c r="AF55" s="18"/>
      <c r="AG55" s="139"/>
      <c r="AK55" s="130"/>
    </row>
    <row r="56" spans="1:37" s="4" customFormat="1" x14ac:dyDescent="0.25">
      <c r="A56" s="11">
        <v>37865</v>
      </c>
      <c r="B56" s="15">
        <v>30</v>
      </c>
      <c r="C56" s="18"/>
      <c r="D56" s="18">
        <f t="shared" si="19"/>
        <v>15320.308536885244</v>
      </c>
      <c r="E56" s="18">
        <f t="shared" si="7"/>
        <v>510.67695122950812</v>
      </c>
      <c r="F56" s="18">
        <f t="shared" si="20"/>
        <v>22469.785854098362</v>
      </c>
      <c r="G56" s="18">
        <f t="shared" si="8"/>
        <v>748.99286180327874</v>
      </c>
      <c r="H56" s="18">
        <f t="shared" si="21"/>
        <v>24512.493659016392</v>
      </c>
      <c r="I56" s="18">
        <f t="shared" si="9"/>
        <v>817.08312196721306</v>
      </c>
      <c r="J56" s="18">
        <f t="shared" si="10"/>
        <v>150000</v>
      </c>
      <c r="K56" s="18"/>
      <c r="L56" s="18">
        <f t="shared" si="22"/>
        <v>1792363.2</v>
      </c>
      <c r="M56" s="18">
        <f t="shared" si="23"/>
        <v>59745.439999999995</v>
      </c>
      <c r="N56" s="135"/>
      <c r="O56" s="135"/>
      <c r="P56" s="83">
        <f t="shared" si="16"/>
        <v>2024292.7880499999</v>
      </c>
      <c r="Q56" s="18">
        <f t="shared" si="24"/>
        <v>67476.426268333322</v>
      </c>
      <c r="S56" s="18">
        <v>1942363.2</v>
      </c>
      <c r="T56" s="136">
        <v>0.70899999999999996</v>
      </c>
      <c r="U56" s="137"/>
      <c r="V56" s="137">
        <v>19627</v>
      </c>
      <c r="W56" s="136">
        <v>0.67900000000000005</v>
      </c>
      <c r="X56" s="137"/>
      <c r="Y56" s="82">
        <v>62302.588049999998</v>
      </c>
      <c r="Z56" s="138">
        <v>0.54</v>
      </c>
      <c r="AA56" s="194"/>
      <c r="AB56" s="18"/>
      <c r="AC56" s="63"/>
      <c r="AD56" s="18"/>
      <c r="AE56" s="18"/>
      <c r="AF56" s="18"/>
      <c r="AG56" s="139"/>
      <c r="AK56" s="130"/>
    </row>
    <row r="57" spans="1:37" s="4" customFormat="1" x14ac:dyDescent="0.25">
      <c r="A57" s="11">
        <v>37895</v>
      </c>
      <c r="B57" s="15">
        <v>31</v>
      </c>
      <c r="C57" s="18"/>
      <c r="D57" s="18">
        <f t="shared" si="19"/>
        <v>30731.588787540983</v>
      </c>
      <c r="E57" s="18">
        <f t="shared" si="7"/>
        <v>991.34157379164458</v>
      </c>
      <c r="F57" s="18">
        <f t="shared" si="20"/>
        <v>45072.996888393442</v>
      </c>
      <c r="G57" s="18">
        <f t="shared" si="8"/>
        <v>1453.9676415610788</v>
      </c>
      <c r="H57" s="18">
        <f t="shared" si="21"/>
        <v>49170.542060065571</v>
      </c>
      <c r="I57" s="18">
        <f t="shared" si="9"/>
        <v>1586.1465180666314</v>
      </c>
      <c r="J57" s="18">
        <f t="shared" si="10"/>
        <v>155000</v>
      </c>
      <c r="K57" s="18"/>
      <c r="L57" s="18">
        <f t="shared" si="22"/>
        <v>2315460.4</v>
      </c>
      <c r="M57" s="18">
        <f t="shared" si="23"/>
        <v>74692.270967741933</v>
      </c>
      <c r="N57" s="135"/>
      <c r="O57" s="135"/>
      <c r="P57" s="83">
        <f t="shared" si="16"/>
        <v>2620361.5277359998</v>
      </c>
      <c r="Q57" s="18">
        <f t="shared" si="24"/>
        <v>84527.791217290316</v>
      </c>
      <c r="S57" s="18">
        <v>2470460.4</v>
      </c>
      <c r="T57" s="136">
        <v>0.70899999999999996</v>
      </c>
      <c r="U57" s="137"/>
      <c r="V57" s="137">
        <v>24926</v>
      </c>
      <c r="W57" s="136">
        <v>0.67900000000000005</v>
      </c>
      <c r="X57" s="137"/>
      <c r="Y57" s="82">
        <v>124975.12773599999</v>
      </c>
      <c r="Z57" s="138">
        <v>0.54</v>
      </c>
      <c r="AA57" s="194"/>
      <c r="AB57" s="18"/>
      <c r="AC57" s="63"/>
      <c r="AD57" s="18"/>
      <c r="AE57" s="18"/>
      <c r="AF57" s="18"/>
      <c r="AG57" s="139"/>
      <c r="AK57" s="130"/>
    </row>
    <row r="58" spans="1:37" s="4" customFormat="1" x14ac:dyDescent="0.25">
      <c r="A58" s="11">
        <v>37926</v>
      </c>
      <c r="B58" s="15">
        <v>30</v>
      </c>
      <c r="C58" s="18"/>
      <c r="D58" s="18">
        <f t="shared" si="19"/>
        <v>57332.193518114749</v>
      </c>
      <c r="E58" s="18">
        <f t="shared" si="7"/>
        <v>1911.0731172704916</v>
      </c>
      <c r="F58" s="18">
        <f t="shared" si="20"/>
        <v>84087.217159901644</v>
      </c>
      <c r="G58" s="18">
        <f t="shared" si="8"/>
        <v>2802.9072386633879</v>
      </c>
      <c r="H58" s="18">
        <f t="shared" si="21"/>
        <v>91731.509628983607</v>
      </c>
      <c r="I58" s="18">
        <f t="shared" si="9"/>
        <v>3057.7169876327871</v>
      </c>
      <c r="J58" s="18">
        <f t="shared" si="10"/>
        <v>150000</v>
      </c>
      <c r="K58" s="18"/>
      <c r="L58" s="18">
        <f t="shared" si="22"/>
        <v>4296217.3</v>
      </c>
      <c r="M58" s="18">
        <f t="shared" si="23"/>
        <v>143207.24333333332</v>
      </c>
      <c r="N58" s="135"/>
      <c r="O58" s="135"/>
      <c r="P58" s="83">
        <f t="shared" si="16"/>
        <v>4724902.220307</v>
      </c>
      <c r="Q58" s="18">
        <f t="shared" si="24"/>
        <v>157496.74067689999</v>
      </c>
      <c r="S58" s="18">
        <v>4446217.3</v>
      </c>
      <c r="T58" s="136">
        <v>0.68899999999999995</v>
      </c>
      <c r="U58" s="137"/>
      <c r="V58" s="137">
        <v>45534</v>
      </c>
      <c r="W58" s="136">
        <v>0.67900000000000005</v>
      </c>
      <c r="X58" s="137"/>
      <c r="Y58" s="82">
        <v>233150.92030699999</v>
      </c>
      <c r="Z58" s="138">
        <v>0.52</v>
      </c>
      <c r="AA58" s="194"/>
      <c r="AB58" s="18"/>
      <c r="AC58" s="63"/>
      <c r="AD58" s="18"/>
      <c r="AE58" s="18"/>
      <c r="AF58" s="18"/>
      <c r="AG58" s="139"/>
      <c r="AK58" s="130">
        <f>780000+260000+100000</f>
        <v>1140000</v>
      </c>
    </row>
    <row r="59" spans="1:37" s="4" customFormat="1" x14ac:dyDescent="0.25">
      <c r="A59" s="11">
        <v>37956</v>
      </c>
      <c r="B59" s="15">
        <v>31</v>
      </c>
      <c r="C59" s="18"/>
      <c r="D59" s="18">
        <f t="shared" si="19"/>
        <v>79666.141835901639</v>
      </c>
      <c r="E59" s="18">
        <f t="shared" si="7"/>
        <v>2569.8755430936012</v>
      </c>
      <c r="F59" s="18">
        <f t="shared" si="20"/>
        <v>116843.67469265574</v>
      </c>
      <c r="G59" s="18">
        <f t="shared" si="8"/>
        <v>3769.1507965372821</v>
      </c>
      <c r="H59" s="18">
        <f t="shared" si="21"/>
        <v>127465.82693744262</v>
      </c>
      <c r="I59" s="18">
        <f t="shared" si="9"/>
        <v>4111.8008689497619</v>
      </c>
      <c r="J59" s="18">
        <f t="shared" si="10"/>
        <v>155000</v>
      </c>
      <c r="K59" s="18"/>
      <c r="L59" s="18">
        <f t="shared" si="22"/>
        <v>7289391.0999999996</v>
      </c>
      <c r="M59" s="18">
        <f t="shared" si="23"/>
        <v>235141.64838709676</v>
      </c>
      <c r="N59" s="135"/>
      <c r="O59" s="135"/>
      <c r="P59" s="83">
        <f t="shared" si="16"/>
        <v>7845794.7434659991</v>
      </c>
      <c r="Q59" s="18">
        <f t="shared" si="24"/>
        <v>253090.15301503224</v>
      </c>
      <c r="S59" s="18">
        <v>7444391.0999999996</v>
      </c>
      <c r="T59" s="136">
        <v>0.68530000000000002</v>
      </c>
      <c r="U59" s="137"/>
      <c r="V59" s="137">
        <v>77428</v>
      </c>
      <c r="W59" s="136">
        <v>0.67900000000000005</v>
      </c>
      <c r="X59" s="137"/>
      <c r="Y59" s="82">
        <v>323975.64346599998</v>
      </c>
      <c r="Z59" s="138">
        <v>0.51629999999999998</v>
      </c>
      <c r="AA59" s="194"/>
      <c r="AB59" s="18"/>
      <c r="AC59" s="63"/>
      <c r="AD59" s="18"/>
      <c r="AE59" s="18"/>
      <c r="AF59" s="18"/>
      <c r="AG59" s="139"/>
      <c r="AK59" s="130">
        <f>780000+260000+100000</f>
        <v>1140000</v>
      </c>
    </row>
    <row r="60" spans="1:37" s="4" customFormat="1" x14ac:dyDescent="0.25">
      <c r="A60" s="11">
        <v>37987</v>
      </c>
      <c r="B60" s="15">
        <v>31</v>
      </c>
      <c r="C60" s="18"/>
      <c r="D60" s="18">
        <f t="shared" si="19"/>
        <v>105064.21068442623</v>
      </c>
      <c r="E60" s="18">
        <f t="shared" si="7"/>
        <v>3389.1680865943945</v>
      </c>
      <c r="F60" s="18">
        <f t="shared" si="20"/>
        <v>154094.17567049182</v>
      </c>
      <c r="G60" s="18">
        <f t="shared" si="8"/>
        <v>4970.7798603384463</v>
      </c>
      <c r="H60" s="18">
        <f t="shared" si="21"/>
        <v>168102.73709508197</v>
      </c>
      <c r="I60" s="18">
        <f t="shared" si="9"/>
        <v>5422.6689385510317</v>
      </c>
      <c r="J60" s="18">
        <f t="shared" si="10"/>
        <v>155000</v>
      </c>
      <c r="K60" s="18"/>
      <c r="L60" s="18">
        <f t="shared" si="22"/>
        <v>8904884.5999999996</v>
      </c>
      <c r="M60" s="18">
        <f t="shared" si="23"/>
        <v>287254.34193548386</v>
      </c>
      <c r="N60" s="135"/>
      <c r="O60" s="135"/>
      <c r="P60" s="83">
        <f t="shared" si="16"/>
        <v>9580127.7234499995</v>
      </c>
      <c r="Q60" s="18">
        <f t="shared" si="24"/>
        <v>309036.37817580643</v>
      </c>
      <c r="S60" s="18">
        <v>9059884.5999999996</v>
      </c>
      <c r="T60" s="136">
        <v>0.69059999999999999</v>
      </c>
      <c r="U60" s="137"/>
      <c r="V60" s="137">
        <v>92982</v>
      </c>
      <c r="W60" s="136">
        <v>0.67900000000000005</v>
      </c>
      <c r="X60" s="137"/>
      <c r="Y60" s="82">
        <v>427261.12345000001</v>
      </c>
      <c r="Z60" s="138">
        <v>0.52159999999999995</v>
      </c>
      <c r="AA60" s="194"/>
      <c r="AB60" s="18"/>
      <c r="AC60" s="63"/>
      <c r="AD60" s="18"/>
      <c r="AE60" s="18"/>
      <c r="AF60" s="18"/>
      <c r="AG60" s="139"/>
      <c r="AK60" s="130">
        <f>780000+260000+100000</f>
        <v>1140000</v>
      </c>
    </row>
    <row r="61" spans="1:37" s="4" customFormat="1" x14ac:dyDescent="0.25">
      <c r="A61" s="11">
        <v>38018</v>
      </c>
      <c r="B61" s="15">
        <v>28</v>
      </c>
      <c r="C61" s="18"/>
      <c r="D61" s="18">
        <f t="shared" si="19"/>
        <v>69406.703109344264</v>
      </c>
      <c r="E61" s="18">
        <f t="shared" si="7"/>
        <v>2478.8108253337236</v>
      </c>
      <c r="F61" s="18">
        <f t="shared" si="20"/>
        <v>101796.49789370492</v>
      </c>
      <c r="G61" s="18">
        <f t="shared" si="8"/>
        <v>3635.5892104894615</v>
      </c>
      <c r="H61" s="18">
        <f t="shared" si="21"/>
        <v>111050.7249749508</v>
      </c>
      <c r="I61" s="18">
        <f t="shared" si="9"/>
        <v>3966.0973205339574</v>
      </c>
      <c r="J61" s="18">
        <f t="shared" si="10"/>
        <v>140000</v>
      </c>
      <c r="K61" s="18"/>
      <c r="L61" s="18">
        <f t="shared" si="22"/>
        <v>6250154.2000000002</v>
      </c>
      <c r="M61" s="18">
        <f t="shared" si="23"/>
        <v>223219.79285714286</v>
      </c>
      <c r="N61" s="135"/>
      <c r="O61" s="135"/>
      <c r="P61" s="83">
        <f t="shared" si="16"/>
        <v>6737765.1259780005</v>
      </c>
      <c r="Q61" s="18">
        <f t="shared" si="24"/>
        <v>240634.46878492858</v>
      </c>
      <c r="S61" s="18">
        <v>6390154.2000000002</v>
      </c>
      <c r="T61" s="136">
        <v>0.69479999999999997</v>
      </c>
      <c r="U61" s="137"/>
      <c r="V61" s="137">
        <v>65357</v>
      </c>
      <c r="W61" s="136">
        <v>0.67900000000000005</v>
      </c>
      <c r="X61" s="137"/>
      <c r="Y61" s="82">
        <v>282253.92597799998</v>
      </c>
      <c r="Z61" s="138">
        <v>0.52580000000000005</v>
      </c>
      <c r="AA61" s="194"/>
      <c r="AB61" s="18"/>
      <c r="AC61" s="63"/>
      <c r="AD61" s="18"/>
      <c r="AE61" s="18"/>
      <c r="AF61" s="18"/>
      <c r="AG61" s="139"/>
      <c r="AK61" s="130">
        <f>780000+260000+100000</f>
        <v>1140000</v>
      </c>
    </row>
    <row r="62" spans="1:37" s="4" customFormat="1" x14ac:dyDescent="0.25">
      <c r="A62" s="11">
        <v>38047</v>
      </c>
      <c r="B62" s="15">
        <v>31</v>
      </c>
      <c r="C62" s="18"/>
      <c r="D62" s="18">
        <f t="shared" si="19"/>
        <v>59887.821938606554</v>
      </c>
      <c r="E62" s="18">
        <f t="shared" si="7"/>
        <v>1931.8652238260179</v>
      </c>
      <c r="F62" s="18">
        <f t="shared" si="20"/>
        <v>87835.472176622949</v>
      </c>
      <c r="G62" s="18">
        <f t="shared" si="8"/>
        <v>2833.4023282781595</v>
      </c>
      <c r="H62" s="18">
        <f t="shared" si="21"/>
        <v>95820.515101770492</v>
      </c>
      <c r="I62" s="18">
        <f t="shared" si="9"/>
        <v>3090.9843581216287</v>
      </c>
      <c r="J62" s="18">
        <f t="shared" si="10"/>
        <v>155000</v>
      </c>
      <c r="K62" s="18"/>
      <c r="L62" s="18">
        <f t="shared" si="22"/>
        <v>5160585</v>
      </c>
      <c r="M62" s="18">
        <f t="shared" si="23"/>
        <v>166470.48387096773</v>
      </c>
      <c r="N62" s="135"/>
      <c r="O62" s="135"/>
      <c r="P62" s="83">
        <f t="shared" si="16"/>
        <v>5613494.8092170004</v>
      </c>
      <c r="Q62" s="18">
        <f t="shared" si="24"/>
        <v>181080.47771667744</v>
      </c>
      <c r="S62" s="18">
        <v>5315585</v>
      </c>
      <c r="T62" s="136">
        <v>0.69720000000000004</v>
      </c>
      <c r="U62" s="137"/>
      <c r="V62" s="137">
        <v>54366</v>
      </c>
      <c r="W62" s="136">
        <v>0.67900000000000005</v>
      </c>
      <c r="X62" s="137"/>
      <c r="Y62" s="82">
        <v>243543.809217</v>
      </c>
      <c r="Z62" s="138">
        <v>0.5282</v>
      </c>
      <c r="AA62" s="194"/>
      <c r="AB62" s="18"/>
      <c r="AC62" s="63"/>
      <c r="AD62" s="18"/>
      <c r="AE62" s="18"/>
      <c r="AF62" s="18"/>
      <c r="AG62" s="139"/>
      <c r="AK62" s="130">
        <f>780000+260000+100000</f>
        <v>1140000</v>
      </c>
    </row>
    <row r="63" spans="1:37" s="4" customFormat="1" x14ac:dyDescent="0.25">
      <c r="A63" s="11">
        <v>38078</v>
      </c>
      <c r="B63" s="15">
        <v>30</v>
      </c>
      <c r="C63" s="18"/>
      <c r="D63" s="18">
        <f t="shared" si="19"/>
        <v>34267.746805081966</v>
      </c>
      <c r="E63" s="18">
        <f t="shared" si="7"/>
        <v>1142.2582268360654</v>
      </c>
      <c r="F63" s="18">
        <f t="shared" si="20"/>
        <v>50259.361980786889</v>
      </c>
      <c r="G63" s="18">
        <f t="shared" si="8"/>
        <v>1675.3120660262296</v>
      </c>
      <c r="H63" s="18">
        <f t="shared" si="21"/>
        <v>54828.394888131152</v>
      </c>
      <c r="I63" s="18">
        <f t="shared" si="9"/>
        <v>1827.6131629377051</v>
      </c>
      <c r="J63" s="18">
        <f t="shared" si="10"/>
        <v>150000</v>
      </c>
      <c r="K63" s="18"/>
      <c r="L63" s="18">
        <f t="shared" si="22"/>
        <v>2756925.2</v>
      </c>
      <c r="M63" s="18">
        <f t="shared" si="23"/>
        <v>91897.506666666668</v>
      </c>
      <c r="N63" s="135"/>
      <c r="O63" s="135"/>
      <c r="P63" s="83">
        <f t="shared" si="16"/>
        <v>3075475.7036740002</v>
      </c>
      <c r="Q63" s="18">
        <f t="shared" si="24"/>
        <v>102515.85678913334</v>
      </c>
      <c r="S63" s="18">
        <v>2906925.2</v>
      </c>
      <c r="T63" s="136">
        <v>0.70899999999999996</v>
      </c>
      <c r="U63" s="137"/>
      <c r="V63" s="137">
        <v>29195</v>
      </c>
      <c r="W63" s="136">
        <v>0.67900000000000005</v>
      </c>
      <c r="X63" s="137"/>
      <c r="Y63" s="82">
        <v>139355.50367400001</v>
      </c>
      <c r="Z63" s="138">
        <v>0.54</v>
      </c>
      <c r="AA63" s="194"/>
      <c r="AB63" s="18"/>
      <c r="AC63" s="63"/>
      <c r="AD63" s="18"/>
      <c r="AE63" s="18"/>
      <c r="AF63" s="18"/>
      <c r="AG63" s="139"/>
      <c r="AK63" s="130"/>
    </row>
    <row r="64" spans="1:37" s="4" customFormat="1" x14ac:dyDescent="0.25">
      <c r="A64" s="11">
        <v>38108</v>
      </c>
      <c r="B64" s="15">
        <v>31</v>
      </c>
      <c r="C64" s="18"/>
      <c r="D64" s="18">
        <f t="shared" si="19"/>
        <v>23275.849606967211</v>
      </c>
      <c r="E64" s="18">
        <f t="shared" si="7"/>
        <v>750.83385828926487</v>
      </c>
      <c r="F64" s="18">
        <f t="shared" si="20"/>
        <v>34137.912756885242</v>
      </c>
      <c r="G64" s="18">
        <f t="shared" si="8"/>
        <v>1101.2229921575884</v>
      </c>
      <c r="H64" s="18">
        <f t="shared" si="21"/>
        <v>37241.359371147541</v>
      </c>
      <c r="I64" s="18">
        <f t="shared" si="9"/>
        <v>1201.3341732628239</v>
      </c>
      <c r="J64" s="18">
        <f t="shared" si="10"/>
        <v>155000</v>
      </c>
      <c r="K64" s="18"/>
      <c r="L64" s="18">
        <f t="shared" si="22"/>
        <v>2142473.7000000002</v>
      </c>
      <c r="M64" s="18">
        <f t="shared" si="23"/>
        <v>69112.054838709679</v>
      </c>
      <c r="N64" s="135"/>
      <c r="O64" s="135"/>
      <c r="P64" s="83">
        <f t="shared" si="16"/>
        <v>2415239.8217350002</v>
      </c>
      <c r="Q64" s="18">
        <f t="shared" si="24"/>
        <v>77910.961991451622</v>
      </c>
      <c r="S64" s="18">
        <v>2297473.7000000002</v>
      </c>
      <c r="T64" s="136">
        <v>0.70899999999999996</v>
      </c>
      <c r="U64" s="137"/>
      <c r="V64" s="137">
        <v>23111</v>
      </c>
      <c r="W64" s="136">
        <v>0.67900000000000005</v>
      </c>
      <c r="X64" s="137"/>
      <c r="Y64" s="82">
        <v>94655.121734999993</v>
      </c>
      <c r="Z64" s="138">
        <v>0.54</v>
      </c>
      <c r="AA64" s="194"/>
      <c r="AB64" s="18"/>
      <c r="AC64" s="63"/>
      <c r="AD64" s="18"/>
      <c r="AE64" s="18"/>
      <c r="AF64" s="18"/>
      <c r="AG64" s="139"/>
      <c r="AK64" s="130"/>
    </row>
    <row r="65" spans="1:37" s="4" customFormat="1" x14ac:dyDescent="0.25">
      <c r="A65" s="11">
        <v>38139</v>
      </c>
      <c r="B65" s="15">
        <v>30</v>
      </c>
      <c r="C65" s="18"/>
      <c r="D65" s="18">
        <f t="shared" si="19"/>
        <v>16779.792896311475</v>
      </c>
      <c r="E65" s="18">
        <f t="shared" si="7"/>
        <v>559.32642987704924</v>
      </c>
      <c r="F65" s="18">
        <f t="shared" si="20"/>
        <v>24610.362914590165</v>
      </c>
      <c r="G65" s="18">
        <f t="shared" si="8"/>
        <v>820.34543048633884</v>
      </c>
      <c r="H65" s="18">
        <f t="shared" si="21"/>
        <v>26847.668634098362</v>
      </c>
      <c r="I65" s="18">
        <f t="shared" si="9"/>
        <v>894.92228780327866</v>
      </c>
      <c r="J65" s="18">
        <f t="shared" si="10"/>
        <v>150000</v>
      </c>
      <c r="K65" s="18"/>
      <c r="L65" s="18">
        <f t="shared" si="22"/>
        <v>1595352.4</v>
      </c>
      <c r="M65" s="18">
        <f t="shared" si="23"/>
        <v>53178.41333333333</v>
      </c>
      <c r="N65" s="135"/>
      <c r="O65" s="135"/>
      <c r="P65" s="83">
        <f t="shared" si="16"/>
        <v>1831058.2244449998</v>
      </c>
      <c r="Q65" s="18">
        <f t="shared" si="24"/>
        <v>61035.27414816666</v>
      </c>
      <c r="S65" s="18">
        <v>1745352.4</v>
      </c>
      <c r="T65" s="136">
        <v>0.70899999999999996</v>
      </c>
      <c r="U65" s="137"/>
      <c r="V65" s="137">
        <v>17468</v>
      </c>
      <c r="W65" s="136">
        <v>0.67900000000000005</v>
      </c>
      <c r="X65" s="137"/>
      <c r="Y65" s="82">
        <v>68237.824445000006</v>
      </c>
      <c r="Z65" s="138">
        <v>0.54</v>
      </c>
      <c r="AA65" s="194"/>
      <c r="AB65" s="18"/>
      <c r="AC65" s="63"/>
      <c r="AD65" s="18"/>
      <c r="AE65" s="18"/>
      <c r="AF65" s="18"/>
      <c r="AG65" s="139"/>
      <c r="AK65" s="130"/>
    </row>
    <row r="66" spans="1:37" s="4" customFormat="1" x14ac:dyDescent="0.25">
      <c r="A66" s="11">
        <v>38169</v>
      </c>
      <c r="B66" s="15">
        <v>31</v>
      </c>
      <c r="C66" s="18"/>
      <c r="D66" s="18">
        <f t="shared" si="19"/>
        <v>18337.791975</v>
      </c>
      <c r="E66" s="18">
        <f t="shared" si="7"/>
        <v>591.54167661290319</v>
      </c>
      <c r="F66" s="18">
        <f t="shared" si="20"/>
        <v>26895.428230000001</v>
      </c>
      <c r="G66" s="18">
        <f t="shared" si="8"/>
        <v>867.5944590322581</v>
      </c>
      <c r="H66" s="18">
        <f t="shared" si="21"/>
        <v>29340.46716</v>
      </c>
      <c r="I66" s="18">
        <f t="shared" si="9"/>
        <v>946.46668258064517</v>
      </c>
      <c r="J66" s="18">
        <f t="shared" si="10"/>
        <v>155000</v>
      </c>
      <c r="K66" s="18"/>
      <c r="L66" s="18">
        <f t="shared" si="22"/>
        <v>1667137.1</v>
      </c>
      <c r="M66" s="18">
        <f t="shared" si="23"/>
        <v>53778.616129032263</v>
      </c>
      <c r="N66" s="135"/>
      <c r="O66" s="135"/>
      <c r="P66" s="83">
        <f t="shared" si="16"/>
        <v>1914767.787365</v>
      </c>
      <c r="Q66" s="18">
        <f t="shared" si="24"/>
        <v>61766.702818225807</v>
      </c>
      <c r="S66" s="18">
        <v>1822137.1</v>
      </c>
      <c r="T66" s="136">
        <v>0.70899999999999996</v>
      </c>
      <c r="U66" s="137"/>
      <c r="V66" s="137">
        <v>18057</v>
      </c>
      <c r="W66" s="136">
        <v>0.67900000000000005</v>
      </c>
      <c r="X66" s="137"/>
      <c r="Y66" s="82">
        <v>74573.687365000005</v>
      </c>
      <c r="Z66" s="138">
        <v>0.54</v>
      </c>
      <c r="AA66" s="194"/>
      <c r="AB66" s="18"/>
      <c r="AC66" s="63"/>
      <c r="AD66" s="18"/>
      <c r="AE66" s="18"/>
      <c r="AF66" s="18"/>
      <c r="AG66" s="139"/>
      <c r="AK66" s="130"/>
    </row>
    <row r="67" spans="1:37" s="4" customFormat="1" x14ac:dyDescent="0.25">
      <c r="A67" s="11">
        <v>38200</v>
      </c>
      <c r="B67" s="15">
        <v>31</v>
      </c>
      <c r="C67" s="18"/>
      <c r="D67" s="18">
        <f t="shared" si="19"/>
        <v>17560.650530901639</v>
      </c>
      <c r="E67" s="18">
        <f t="shared" si="7"/>
        <v>566.47259777102067</v>
      </c>
      <c r="F67" s="18">
        <f t="shared" si="20"/>
        <v>25755.620778655735</v>
      </c>
      <c r="G67" s="18">
        <f t="shared" si="8"/>
        <v>830.82647673083022</v>
      </c>
      <c r="H67" s="18">
        <f t="shared" si="21"/>
        <v>28097.040849442619</v>
      </c>
      <c r="I67" s="18">
        <f t="shared" si="9"/>
        <v>906.35615643363292</v>
      </c>
      <c r="J67" s="18">
        <f t="shared" si="10"/>
        <v>155000</v>
      </c>
      <c r="K67" s="18"/>
      <c r="L67" s="18">
        <f t="shared" ref="L67:L98" si="25">S67-J67-C67+AB67</f>
        <v>2097103.5</v>
      </c>
      <c r="M67" s="18">
        <f t="shared" ref="M67:M98" si="26">L67/B67</f>
        <v>67648.5</v>
      </c>
      <c r="N67" s="135"/>
      <c r="O67" s="135"/>
      <c r="P67" s="83">
        <f t="shared" si="16"/>
        <v>2346136.812159</v>
      </c>
      <c r="Q67" s="18">
        <f t="shared" ref="Q67:Q98" si="27">P67/B67</f>
        <v>75681.832650290322</v>
      </c>
      <c r="S67" s="18">
        <v>2252103.5</v>
      </c>
      <c r="T67" s="136">
        <v>0.70899999999999996</v>
      </c>
      <c r="U67" s="137"/>
      <c r="V67" s="137">
        <v>22620</v>
      </c>
      <c r="W67" s="136">
        <v>0.67900000000000005</v>
      </c>
      <c r="X67" s="137"/>
      <c r="Y67" s="82">
        <v>71413.312158999994</v>
      </c>
      <c r="Z67" s="138">
        <v>0.54</v>
      </c>
      <c r="AA67" s="194"/>
      <c r="AB67" s="18"/>
      <c r="AC67" s="63"/>
      <c r="AD67" s="18"/>
      <c r="AE67" s="18"/>
      <c r="AF67" s="18"/>
      <c r="AG67" s="139"/>
      <c r="AK67" s="130"/>
    </row>
    <row r="68" spans="1:37" s="4" customFormat="1" x14ac:dyDescent="0.25">
      <c r="A68" s="11">
        <v>38231</v>
      </c>
      <c r="B68" s="15">
        <v>30</v>
      </c>
      <c r="C68" s="18"/>
      <c r="D68" s="18">
        <f t="shared" ref="D68:D86" si="28">15/(15+22+24)*Y68</f>
        <v>15473.511622377049</v>
      </c>
      <c r="E68" s="18">
        <f t="shared" ref="E68:E86" si="29">D68/B68</f>
        <v>515.78372074590163</v>
      </c>
      <c r="F68" s="18">
        <f t="shared" ref="F68:F86" si="30">22/(15+22+24)*Y68</f>
        <v>22694.483712819674</v>
      </c>
      <c r="G68" s="18">
        <f t="shared" ref="G68:G86" si="31">F68/B68</f>
        <v>756.48279042732247</v>
      </c>
      <c r="H68" s="18">
        <f t="shared" ref="H68:H86" si="32">24/(15+22+24)*Y68</f>
        <v>24757.618595803277</v>
      </c>
      <c r="I68" s="18">
        <f t="shared" ref="I68:I86" si="33">H68/B68</f>
        <v>825.2539531934425</v>
      </c>
      <c r="J68" s="18">
        <f t="shared" ref="J68:J86" si="34">5000*B68</f>
        <v>150000</v>
      </c>
      <c r="K68" s="18"/>
      <c r="L68" s="18">
        <f t="shared" si="25"/>
        <v>1810900.5</v>
      </c>
      <c r="M68" s="18">
        <f t="shared" si="26"/>
        <v>60363.35</v>
      </c>
      <c r="N68" s="135"/>
      <c r="O68" s="135"/>
      <c r="P68" s="83">
        <f t="shared" si="16"/>
        <v>2043453.113931</v>
      </c>
      <c r="Q68" s="18">
        <f t="shared" si="27"/>
        <v>68115.103797699994</v>
      </c>
      <c r="S68" s="18">
        <v>1960900.5</v>
      </c>
      <c r="T68" s="136">
        <v>0.70899999999999996</v>
      </c>
      <c r="U68" s="137"/>
      <c r="V68" s="137">
        <v>19627</v>
      </c>
      <c r="W68" s="136">
        <v>0.67900000000000005</v>
      </c>
      <c r="X68" s="137"/>
      <c r="Y68" s="82">
        <v>62925.613931</v>
      </c>
      <c r="Z68" s="138">
        <v>0.54</v>
      </c>
      <c r="AA68" s="194"/>
      <c r="AB68" s="18"/>
      <c r="AC68" s="63"/>
      <c r="AD68" s="18"/>
      <c r="AE68" s="18"/>
      <c r="AF68" s="18"/>
      <c r="AG68" s="139"/>
      <c r="AK68" s="130"/>
    </row>
    <row r="69" spans="1:37" s="4" customFormat="1" x14ac:dyDescent="0.25">
      <c r="A69" s="11">
        <v>38261</v>
      </c>
      <c r="B69" s="15">
        <v>31</v>
      </c>
      <c r="C69" s="18"/>
      <c r="D69" s="18">
        <f t="shared" si="28"/>
        <v>31038.904675573773</v>
      </c>
      <c r="E69" s="18">
        <f t="shared" si="29"/>
        <v>1001.2549895346378</v>
      </c>
      <c r="F69" s="18">
        <f t="shared" si="30"/>
        <v>45523.726857508198</v>
      </c>
      <c r="G69" s="18">
        <f t="shared" si="31"/>
        <v>1468.5073179841354</v>
      </c>
      <c r="H69" s="18">
        <f t="shared" si="32"/>
        <v>49662.247480918035</v>
      </c>
      <c r="I69" s="18">
        <f t="shared" si="33"/>
        <v>1602.0079832554204</v>
      </c>
      <c r="J69" s="18">
        <f t="shared" si="34"/>
        <v>155000</v>
      </c>
      <c r="K69" s="18"/>
      <c r="L69" s="18">
        <f t="shared" si="25"/>
        <v>2339300.1</v>
      </c>
      <c r="M69" s="18">
        <f t="shared" si="26"/>
        <v>75461.293548387097</v>
      </c>
      <c r="N69" s="135"/>
      <c r="O69" s="135"/>
      <c r="P69" s="83">
        <f t="shared" si="16"/>
        <v>2645450.9790139999</v>
      </c>
      <c r="Q69" s="18">
        <f t="shared" si="27"/>
        <v>85337.128355290319</v>
      </c>
      <c r="S69" s="18">
        <v>2494300.1</v>
      </c>
      <c r="T69" s="136">
        <v>0.70899999999999996</v>
      </c>
      <c r="U69" s="137"/>
      <c r="V69" s="137">
        <v>24926</v>
      </c>
      <c r="W69" s="136">
        <v>0.67900000000000005</v>
      </c>
      <c r="X69" s="137"/>
      <c r="Y69" s="82">
        <v>126224.87901400001</v>
      </c>
      <c r="Z69" s="138">
        <v>0.54</v>
      </c>
      <c r="AA69" s="194"/>
      <c r="AB69" s="18"/>
      <c r="AC69" s="63"/>
      <c r="AD69" s="18"/>
      <c r="AE69" s="18"/>
      <c r="AF69" s="18"/>
      <c r="AG69" s="139"/>
      <c r="AK69" s="130"/>
    </row>
    <row r="70" spans="1:37" s="4" customFormat="1" x14ac:dyDescent="0.25">
      <c r="A70" s="11">
        <v>38292</v>
      </c>
      <c r="B70" s="15">
        <v>30</v>
      </c>
      <c r="C70" s="18"/>
      <c r="D70" s="18">
        <f t="shared" si="28"/>
        <v>57905.515453278684</v>
      </c>
      <c r="E70" s="18">
        <f t="shared" si="29"/>
        <v>1930.1838484426228</v>
      </c>
      <c r="F70" s="18">
        <f t="shared" si="30"/>
        <v>84928.089331475407</v>
      </c>
      <c r="G70" s="18">
        <f t="shared" si="31"/>
        <v>2830.9363110491804</v>
      </c>
      <c r="H70" s="18">
        <f t="shared" si="32"/>
        <v>92648.824725245897</v>
      </c>
      <c r="I70" s="18">
        <f t="shared" si="33"/>
        <v>3088.2941575081963</v>
      </c>
      <c r="J70" s="18">
        <f t="shared" si="34"/>
        <v>150000</v>
      </c>
      <c r="K70" s="18"/>
      <c r="L70" s="18">
        <f t="shared" si="25"/>
        <v>4339566.8</v>
      </c>
      <c r="M70" s="18">
        <f t="shared" si="26"/>
        <v>144652.22666666665</v>
      </c>
      <c r="N70" s="135"/>
      <c r="O70" s="135"/>
      <c r="P70" s="83">
        <f t="shared" si="16"/>
        <v>4770583.22951</v>
      </c>
      <c r="Q70" s="18">
        <f t="shared" si="27"/>
        <v>159019.44098366666</v>
      </c>
      <c r="S70" s="18">
        <v>4489566.8</v>
      </c>
      <c r="T70" s="136">
        <v>0.68899999999999995</v>
      </c>
      <c r="U70" s="137"/>
      <c r="V70" s="137">
        <v>45534</v>
      </c>
      <c r="W70" s="136">
        <v>0.67900000000000005</v>
      </c>
      <c r="X70" s="137"/>
      <c r="Y70" s="82">
        <v>235482.42950999999</v>
      </c>
      <c r="Z70" s="138">
        <v>0.52</v>
      </c>
      <c r="AA70" s="194"/>
      <c r="AB70" s="18"/>
      <c r="AC70" s="63"/>
      <c r="AD70" s="18"/>
      <c r="AE70" s="18"/>
      <c r="AF70" s="18"/>
      <c r="AG70" s="139"/>
      <c r="AK70" s="130">
        <f>780000+260000+100000</f>
        <v>1140000</v>
      </c>
    </row>
    <row r="71" spans="1:37" s="4" customFormat="1" x14ac:dyDescent="0.25">
      <c r="A71" s="11">
        <v>38322</v>
      </c>
      <c r="B71" s="15">
        <v>31</v>
      </c>
      <c r="C71" s="18"/>
      <c r="D71" s="18">
        <f t="shared" si="28"/>
        <v>80462.80325409837</v>
      </c>
      <c r="E71" s="18">
        <f t="shared" si="29"/>
        <v>2595.5742985193024</v>
      </c>
      <c r="F71" s="18">
        <f t="shared" si="30"/>
        <v>118012.11143934427</v>
      </c>
      <c r="G71" s="18">
        <f t="shared" si="31"/>
        <v>3806.8423044949764</v>
      </c>
      <c r="H71" s="18">
        <f t="shared" si="32"/>
        <v>128740.48520655738</v>
      </c>
      <c r="I71" s="18">
        <f t="shared" si="33"/>
        <v>4152.9188776308829</v>
      </c>
      <c r="J71" s="18">
        <f t="shared" si="34"/>
        <v>155000</v>
      </c>
      <c r="K71" s="18"/>
      <c r="L71" s="18">
        <f t="shared" si="25"/>
        <v>7362543.7000000002</v>
      </c>
      <c r="M71" s="18">
        <f t="shared" si="26"/>
        <v>237501.40967741937</v>
      </c>
      <c r="N71" s="135"/>
      <c r="O71" s="135"/>
      <c r="P71" s="83">
        <f t="shared" si="16"/>
        <v>7922187.0998999998</v>
      </c>
      <c r="Q71" s="18">
        <f t="shared" si="27"/>
        <v>255554.42257741935</v>
      </c>
      <c r="S71" s="18">
        <v>7517543.7000000002</v>
      </c>
      <c r="T71" s="136">
        <v>0.68530000000000002</v>
      </c>
      <c r="U71" s="137"/>
      <c r="V71" s="137">
        <v>77428</v>
      </c>
      <c r="W71" s="136">
        <v>0.67900000000000005</v>
      </c>
      <c r="X71" s="137"/>
      <c r="Y71" s="82">
        <v>327215.39990000002</v>
      </c>
      <c r="Z71" s="138">
        <v>0.51629999999999998</v>
      </c>
      <c r="AA71" s="194"/>
      <c r="AB71" s="18"/>
      <c r="AC71" s="63"/>
      <c r="AD71" s="18"/>
      <c r="AE71" s="18"/>
      <c r="AF71" s="18"/>
      <c r="AG71" s="139"/>
      <c r="AK71" s="130">
        <f>780000+260000+100000</f>
        <v>1140000</v>
      </c>
    </row>
    <row r="72" spans="1:37" s="4" customFormat="1" x14ac:dyDescent="0.25">
      <c r="A72" s="11">
        <v>38353</v>
      </c>
      <c r="B72" s="15">
        <v>31</v>
      </c>
      <c r="C72" s="18"/>
      <c r="D72" s="18">
        <f t="shared" si="28"/>
        <v>106114.85279139344</v>
      </c>
      <c r="E72" s="18">
        <f t="shared" si="29"/>
        <v>3423.0597674643045</v>
      </c>
      <c r="F72" s="18">
        <f t="shared" si="30"/>
        <v>155635.11742737706</v>
      </c>
      <c r="G72" s="18">
        <f t="shared" si="31"/>
        <v>5020.4876589476471</v>
      </c>
      <c r="H72" s="18">
        <f t="shared" si="32"/>
        <v>169783.76446622951</v>
      </c>
      <c r="I72" s="18">
        <f t="shared" si="33"/>
        <v>5476.8956279428876</v>
      </c>
      <c r="J72" s="18">
        <f t="shared" si="34"/>
        <v>155000</v>
      </c>
      <c r="K72" s="18"/>
      <c r="L72" s="18">
        <f t="shared" si="25"/>
        <v>8993972.4000000004</v>
      </c>
      <c r="M72" s="18">
        <f t="shared" si="26"/>
        <v>290128.1419354839</v>
      </c>
      <c r="N72" s="135"/>
      <c r="O72" s="135"/>
      <c r="P72" s="83">
        <f t="shared" si="16"/>
        <v>9673488.1346850004</v>
      </c>
      <c r="Q72" s="18">
        <f t="shared" si="27"/>
        <v>312048.00434467744</v>
      </c>
      <c r="S72" s="18">
        <v>9148972.4000000004</v>
      </c>
      <c r="T72" s="136">
        <v>0.69059999999999999</v>
      </c>
      <c r="U72" s="137"/>
      <c r="V72" s="137">
        <v>92982</v>
      </c>
      <c r="W72" s="136">
        <v>0.67900000000000005</v>
      </c>
      <c r="X72" s="137"/>
      <c r="Y72" s="82">
        <v>431533.73468499997</v>
      </c>
      <c r="Z72" s="138">
        <v>0.52159999999999995</v>
      </c>
      <c r="AA72" s="194"/>
      <c r="AB72" s="18"/>
      <c r="AC72" s="63"/>
      <c r="AD72" s="18"/>
      <c r="AE72" s="18"/>
      <c r="AF72" s="18"/>
      <c r="AG72" s="139"/>
      <c r="AK72" s="130">
        <f>780000+260000+100000</f>
        <v>1140000</v>
      </c>
    </row>
    <row r="73" spans="1:37" s="4" customFormat="1" x14ac:dyDescent="0.25">
      <c r="A73" s="11">
        <v>38384</v>
      </c>
      <c r="B73" s="15">
        <v>28</v>
      </c>
      <c r="C73" s="18"/>
      <c r="D73" s="18">
        <f t="shared" si="28"/>
        <v>70100.77014049179</v>
      </c>
      <c r="E73" s="18">
        <f t="shared" si="29"/>
        <v>2503.5989335889926</v>
      </c>
      <c r="F73" s="18">
        <f t="shared" si="30"/>
        <v>102814.46287272131</v>
      </c>
      <c r="G73" s="18">
        <f t="shared" si="31"/>
        <v>3671.9451025971898</v>
      </c>
      <c r="H73" s="18">
        <f t="shared" si="32"/>
        <v>112161.23222478687</v>
      </c>
      <c r="I73" s="18">
        <f t="shared" si="33"/>
        <v>4005.7582937423881</v>
      </c>
      <c r="J73" s="18">
        <f t="shared" si="34"/>
        <v>140000</v>
      </c>
      <c r="K73" s="18"/>
      <c r="L73" s="18">
        <f t="shared" si="25"/>
        <v>6310117.7999999998</v>
      </c>
      <c r="M73" s="18">
        <f t="shared" si="26"/>
        <v>225361.35</v>
      </c>
      <c r="N73" s="135"/>
      <c r="O73" s="135"/>
      <c r="P73" s="83">
        <f t="shared" si="16"/>
        <v>6800551.2652380001</v>
      </c>
      <c r="Q73" s="18">
        <f t="shared" si="27"/>
        <v>242876.83090135714</v>
      </c>
      <c r="S73" s="18">
        <v>6450117.7999999998</v>
      </c>
      <c r="T73" s="136">
        <v>0.69479999999999997</v>
      </c>
      <c r="U73" s="137"/>
      <c r="V73" s="137">
        <v>65357</v>
      </c>
      <c r="W73" s="136">
        <v>0.67900000000000005</v>
      </c>
      <c r="X73" s="137"/>
      <c r="Y73" s="82">
        <v>285076.46523799998</v>
      </c>
      <c r="Z73" s="138">
        <v>0.52580000000000005</v>
      </c>
      <c r="AA73" s="194"/>
      <c r="AB73" s="18"/>
      <c r="AC73" s="63"/>
      <c r="AD73" s="18"/>
      <c r="AE73" s="18"/>
      <c r="AF73" s="18"/>
      <c r="AG73" s="139"/>
      <c r="AK73" s="130">
        <f>780000+260000+100000</f>
        <v>1140000</v>
      </c>
    </row>
    <row r="74" spans="1:37" s="4" customFormat="1" x14ac:dyDescent="0.25">
      <c r="A74" s="11">
        <v>38412</v>
      </c>
      <c r="B74" s="15">
        <v>31</v>
      </c>
      <c r="C74" s="18"/>
      <c r="D74" s="18">
        <f t="shared" si="28"/>
        <v>60486.700157950821</v>
      </c>
      <c r="E74" s="18">
        <f t="shared" si="29"/>
        <v>1951.1838760629298</v>
      </c>
      <c r="F74" s="18">
        <f t="shared" si="30"/>
        <v>88713.826898327869</v>
      </c>
      <c r="G74" s="18">
        <f t="shared" si="31"/>
        <v>2861.7363515589636</v>
      </c>
      <c r="H74" s="18">
        <f t="shared" si="32"/>
        <v>96778.720252721308</v>
      </c>
      <c r="I74" s="18">
        <f t="shared" si="33"/>
        <v>3121.8942017006875</v>
      </c>
      <c r="J74" s="18">
        <f t="shared" si="34"/>
        <v>155000</v>
      </c>
      <c r="K74" s="18"/>
      <c r="L74" s="18">
        <f t="shared" si="25"/>
        <v>5212447.5</v>
      </c>
      <c r="M74" s="18">
        <f t="shared" si="26"/>
        <v>168143.46774193548</v>
      </c>
      <c r="N74" s="135"/>
      <c r="O74" s="135"/>
      <c r="P74" s="83">
        <f t="shared" si="16"/>
        <v>5667792.7473090002</v>
      </c>
      <c r="Q74" s="18">
        <f t="shared" si="27"/>
        <v>182832.02410674194</v>
      </c>
      <c r="S74" s="18">
        <v>5367447.5</v>
      </c>
      <c r="T74" s="136">
        <v>0.69720000000000004</v>
      </c>
      <c r="U74" s="137"/>
      <c r="V74" s="137">
        <v>54366</v>
      </c>
      <c r="W74" s="136">
        <v>0.67900000000000005</v>
      </c>
      <c r="X74" s="137"/>
      <c r="Y74" s="82">
        <v>245979.247309</v>
      </c>
      <c r="Z74" s="138">
        <v>0.5282</v>
      </c>
      <c r="AA74" s="194"/>
      <c r="AB74" s="18"/>
      <c r="AC74" s="63"/>
      <c r="AD74" s="18"/>
      <c r="AE74" s="18"/>
      <c r="AF74" s="18"/>
      <c r="AG74" s="139"/>
      <c r="AK74" s="130">
        <f>780000+260000+100000</f>
        <v>1140000</v>
      </c>
    </row>
    <row r="75" spans="1:37" s="4" customFormat="1" x14ac:dyDescent="0.25">
      <c r="A75" s="11">
        <v>38443</v>
      </c>
      <c r="B75" s="15">
        <v>30</v>
      </c>
      <c r="C75" s="18"/>
      <c r="D75" s="18">
        <f t="shared" si="28"/>
        <v>34610.424272950819</v>
      </c>
      <c r="E75" s="18">
        <f t="shared" si="29"/>
        <v>1153.6808090983607</v>
      </c>
      <c r="F75" s="18">
        <f t="shared" si="30"/>
        <v>50761.955600327878</v>
      </c>
      <c r="G75" s="18">
        <f t="shared" si="31"/>
        <v>1692.0651866775959</v>
      </c>
      <c r="H75" s="18">
        <f t="shared" si="32"/>
        <v>55376.678836721316</v>
      </c>
      <c r="I75" s="18">
        <f t="shared" si="33"/>
        <v>1845.8892945573773</v>
      </c>
      <c r="J75" s="18">
        <f t="shared" si="34"/>
        <v>150000</v>
      </c>
      <c r="K75" s="18"/>
      <c r="L75" s="18">
        <f t="shared" si="25"/>
        <v>2784964.8</v>
      </c>
      <c r="M75" s="18">
        <f t="shared" si="26"/>
        <v>92832.159999999989</v>
      </c>
      <c r="N75" s="135"/>
      <c r="O75" s="135"/>
      <c r="P75" s="83">
        <f t="shared" ref="P75:P98" si="35">S75+Y75+AB75+V75</f>
        <v>3104908.8587099998</v>
      </c>
      <c r="Q75" s="18">
        <f t="shared" si="27"/>
        <v>103496.96195699999</v>
      </c>
      <c r="S75" s="18">
        <v>2934964.8</v>
      </c>
      <c r="T75" s="136">
        <v>0.54</v>
      </c>
      <c r="U75" s="137"/>
      <c r="V75" s="137">
        <v>29195</v>
      </c>
      <c r="W75" s="136">
        <v>0.51</v>
      </c>
      <c r="X75" s="137"/>
      <c r="Y75" s="82">
        <v>140749.05871000001</v>
      </c>
      <c r="Z75" s="138">
        <v>0.54</v>
      </c>
      <c r="AA75" s="194"/>
      <c r="AB75" s="18"/>
      <c r="AC75" s="63"/>
      <c r="AD75" s="18"/>
      <c r="AE75" s="18"/>
      <c r="AF75" s="18"/>
      <c r="AG75" s="139"/>
      <c r="AK75" s="130"/>
    </row>
    <row r="76" spans="1:37" s="4" customFormat="1" x14ac:dyDescent="0.25">
      <c r="A76" s="11">
        <v>38473</v>
      </c>
      <c r="B76" s="15">
        <v>31</v>
      </c>
      <c r="C76" s="18"/>
      <c r="D76" s="18">
        <f t="shared" si="28"/>
        <v>23508.608102950817</v>
      </c>
      <c r="E76" s="18">
        <f t="shared" si="29"/>
        <v>758.34219686938116</v>
      </c>
      <c r="F76" s="18">
        <f t="shared" si="30"/>
        <v>34479.291884327868</v>
      </c>
      <c r="G76" s="18">
        <f t="shared" si="31"/>
        <v>1112.2352220750925</v>
      </c>
      <c r="H76" s="18">
        <f t="shared" si="32"/>
        <v>37613.772964721305</v>
      </c>
      <c r="I76" s="18">
        <f t="shared" si="33"/>
        <v>1213.3475149910098</v>
      </c>
      <c r="J76" s="18">
        <f t="shared" si="34"/>
        <v>155000</v>
      </c>
      <c r="K76" s="18"/>
      <c r="L76" s="18">
        <f t="shared" si="25"/>
        <v>2164580.6</v>
      </c>
      <c r="M76" s="18">
        <f t="shared" si="26"/>
        <v>69825.180645161294</v>
      </c>
      <c r="N76" s="135"/>
      <c r="O76" s="135"/>
      <c r="P76" s="83">
        <f t="shared" si="35"/>
        <v>2438293.2729520001</v>
      </c>
      <c r="Q76" s="18">
        <f t="shared" si="27"/>
        <v>78654.621708129038</v>
      </c>
      <c r="S76" s="18">
        <v>2319580.6</v>
      </c>
      <c r="T76" s="136">
        <v>0.54</v>
      </c>
      <c r="U76" s="137"/>
      <c r="V76" s="137">
        <v>23111</v>
      </c>
      <c r="W76" s="136">
        <v>0.51</v>
      </c>
      <c r="X76" s="137"/>
      <c r="Y76" s="82">
        <v>95601.672951999994</v>
      </c>
      <c r="Z76" s="138">
        <v>0.54</v>
      </c>
      <c r="AA76" s="194"/>
      <c r="AB76" s="18"/>
      <c r="AC76" s="63"/>
      <c r="AD76" s="18"/>
      <c r="AE76" s="18"/>
      <c r="AF76" s="18"/>
      <c r="AG76" s="139"/>
      <c r="AK76" s="130"/>
    </row>
    <row r="77" spans="1:37" s="4" customFormat="1" x14ac:dyDescent="0.25">
      <c r="A77" s="11">
        <v>38504</v>
      </c>
      <c r="B77" s="15">
        <v>30</v>
      </c>
      <c r="C77" s="18"/>
      <c r="D77" s="18">
        <f t="shared" si="28"/>
        <v>16947.590825409836</v>
      </c>
      <c r="E77" s="18">
        <f t="shared" si="29"/>
        <v>564.91969418032784</v>
      </c>
      <c r="F77" s="18">
        <f t="shared" si="30"/>
        <v>24856.466543934428</v>
      </c>
      <c r="G77" s="18">
        <f t="shared" si="31"/>
        <v>828.54888479781425</v>
      </c>
      <c r="H77" s="18">
        <f t="shared" si="32"/>
        <v>27116.145320655738</v>
      </c>
      <c r="I77" s="18">
        <f t="shared" si="33"/>
        <v>903.87151068852461</v>
      </c>
      <c r="J77" s="18">
        <f t="shared" si="34"/>
        <v>150000</v>
      </c>
      <c r="K77" s="18"/>
      <c r="L77" s="18">
        <f t="shared" si="25"/>
        <v>1611948.7</v>
      </c>
      <c r="M77" s="18">
        <f t="shared" si="26"/>
        <v>53731.623333333329</v>
      </c>
      <c r="N77" s="135"/>
      <c r="O77" s="135"/>
      <c r="P77" s="83">
        <f t="shared" si="35"/>
        <v>1848336.9026899999</v>
      </c>
      <c r="Q77" s="18">
        <f t="shared" si="27"/>
        <v>61611.230089666664</v>
      </c>
      <c r="S77" s="18">
        <v>1761948.7</v>
      </c>
      <c r="T77" s="136">
        <v>0.54</v>
      </c>
      <c r="U77" s="137"/>
      <c r="V77" s="137">
        <v>17468</v>
      </c>
      <c r="W77" s="136">
        <v>0.51</v>
      </c>
      <c r="X77" s="137"/>
      <c r="Y77" s="82">
        <v>68920.202690000006</v>
      </c>
      <c r="Z77" s="138">
        <v>0.54</v>
      </c>
      <c r="AA77" s="194"/>
      <c r="AB77" s="18"/>
      <c r="AC77" s="63"/>
      <c r="AD77" s="18"/>
      <c r="AE77" s="18"/>
      <c r="AF77" s="18"/>
      <c r="AG77" s="139"/>
      <c r="AK77" s="130"/>
    </row>
    <row r="78" spans="1:37" s="4" customFormat="1" x14ac:dyDescent="0.25">
      <c r="A78" s="11">
        <v>38534</v>
      </c>
      <c r="B78" s="15">
        <v>31</v>
      </c>
      <c r="C78" s="18"/>
      <c r="D78" s="18">
        <f t="shared" si="28"/>
        <v>18521.169894836064</v>
      </c>
      <c r="E78" s="18">
        <f t="shared" si="29"/>
        <v>597.45709338180848</v>
      </c>
      <c r="F78" s="18">
        <f t="shared" si="30"/>
        <v>27164.382512426229</v>
      </c>
      <c r="G78" s="18">
        <f t="shared" si="31"/>
        <v>876.27040362665252</v>
      </c>
      <c r="H78" s="18">
        <f t="shared" si="32"/>
        <v>29633.871831737706</v>
      </c>
      <c r="I78" s="18">
        <f t="shared" si="33"/>
        <v>955.93134941089374</v>
      </c>
      <c r="J78" s="18">
        <f t="shared" si="34"/>
        <v>155000</v>
      </c>
      <c r="K78" s="18"/>
      <c r="L78" s="18">
        <f t="shared" si="25"/>
        <v>1684455.1</v>
      </c>
      <c r="M78" s="18">
        <f t="shared" si="26"/>
        <v>54337.261290322582</v>
      </c>
      <c r="N78" s="135"/>
      <c r="O78" s="135"/>
      <c r="P78" s="83">
        <f t="shared" si="35"/>
        <v>1932831.5242390002</v>
      </c>
      <c r="Q78" s="18">
        <f t="shared" si="27"/>
        <v>62349.40400770968</v>
      </c>
      <c r="S78" s="18">
        <v>1839455.1</v>
      </c>
      <c r="T78" s="136">
        <v>0.54</v>
      </c>
      <c r="U78" s="137"/>
      <c r="V78" s="137">
        <v>18057</v>
      </c>
      <c r="W78" s="136">
        <v>0.51</v>
      </c>
      <c r="X78" s="137"/>
      <c r="Y78" s="82">
        <v>75319.424239</v>
      </c>
      <c r="Z78" s="138">
        <v>0.54</v>
      </c>
      <c r="AA78" s="194"/>
      <c r="AB78" s="18"/>
      <c r="AC78" s="63"/>
      <c r="AD78" s="18"/>
      <c r="AE78" s="18"/>
      <c r="AF78" s="18"/>
      <c r="AG78" s="139"/>
      <c r="AK78" s="130"/>
    </row>
    <row r="79" spans="1:37" s="4" customFormat="1" x14ac:dyDescent="0.25">
      <c r="A79" s="11">
        <v>38565</v>
      </c>
      <c r="B79" s="15">
        <v>31</v>
      </c>
      <c r="C79" s="18"/>
      <c r="D79" s="18">
        <f t="shared" si="28"/>
        <v>17736.257036311472</v>
      </c>
      <c r="E79" s="18">
        <f t="shared" si="29"/>
        <v>572.13732375198299</v>
      </c>
      <c r="F79" s="18">
        <f t="shared" si="30"/>
        <v>26013.176986590162</v>
      </c>
      <c r="G79" s="18">
        <f t="shared" si="31"/>
        <v>839.13474150290847</v>
      </c>
      <c r="H79" s="18">
        <f t="shared" si="32"/>
        <v>28378.011258098359</v>
      </c>
      <c r="I79" s="18">
        <f t="shared" si="33"/>
        <v>915.41971800317287</v>
      </c>
      <c r="J79" s="18">
        <f t="shared" si="34"/>
        <v>155000</v>
      </c>
      <c r="K79" s="18"/>
      <c r="L79" s="18">
        <f t="shared" si="25"/>
        <v>2118664.1</v>
      </c>
      <c r="M79" s="18">
        <f t="shared" si="26"/>
        <v>68344.00322580646</v>
      </c>
      <c r="N79" s="135"/>
      <c r="O79" s="135"/>
      <c r="P79" s="83">
        <f t="shared" si="35"/>
        <v>2368411.545281</v>
      </c>
      <c r="Q79" s="18">
        <f t="shared" si="27"/>
        <v>76400.372428419359</v>
      </c>
      <c r="S79" s="18">
        <v>2273664.1</v>
      </c>
      <c r="T79" s="136">
        <v>0.54</v>
      </c>
      <c r="U79" s="137"/>
      <c r="V79" s="137">
        <v>22620</v>
      </c>
      <c r="W79" s="136">
        <v>0.51</v>
      </c>
      <c r="X79" s="137"/>
      <c r="Y79" s="82">
        <v>72127.445280999993</v>
      </c>
      <c r="Z79" s="138">
        <v>0.54</v>
      </c>
      <c r="AA79" s="194"/>
      <c r="AB79" s="18"/>
      <c r="AC79" s="63"/>
      <c r="AD79" s="18"/>
      <c r="AE79" s="18"/>
      <c r="AF79" s="18"/>
      <c r="AG79" s="139"/>
      <c r="AK79" s="130"/>
    </row>
    <row r="80" spans="1:37" s="4" customFormat="1" x14ac:dyDescent="0.25">
      <c r="A80" s="11">
        <v>38596</v>
      </c>
      <c r="B80" s="15">
        <v>30</v>
      </c>
      <c r="C80" s="18"/>
      <c r="D80" s="18">
        <f t="shared" si="28"/>
        <v>15628.246738524589</v>
      </c>
      <c r="E80" s="18">
        <f t="shared" si="29"/>
        <v>520.94155795081963</v>
      </c>
      <c r="F80" s="18">
        <f t="shared" si="30"/>
        <v>22921.428549836066</v>
      </c>
      <c r="G80" s="18">
        <f t="shared" si="31"/>
        <v>764.04761832786892</v>
      </c>
      <c r="H80" s="18">
        <f t="shared" si="32"/>
        <v>25005.194781639344</v>
      </c>
      <c r="I80" s="18">
        <f t="shared" si="33"/>
        <v>833.50649272131147</v>
      </c>
      <c r="J80" s="18">
        <f t="shared" si="34"/>
        <v>150000</v>
      </c>
      <c r="K80" s="18"/>
      <c r="L80" s="18">
        <f t="shared" si="25"/>
        <v>1829623.1</v>
      </c>
      <c r="M80" s="18">
        <f t="shared" si="26"/>
        <v>60987.436666666668</v>
      </c>
      <c r="N80" s="135"/>
      <c r="O80" s="135"/>
      <c r="P80" s="83">
        <f t="shared" si="35"/>
        <v>2062804.97007</v>
      </c>
      <c r="Q80" s="18">
        <f t="shared" si="27"/>
        <v>68760.165668999995</v>
      </c>
      <c r="S80" s="18">
        <v>1979623.1</v>
      </c>
      <c r="T80" s="136">
        <v>0.54</v>
      </c>
      <c r="U80" s="137"/>
      <c r="V80" s="137">
        <v>19627</v>
      </c>
      <c r="W80" s="136">
        <v>0.51</v>
      </c>
      <c r="X80" s="137"/>
      <c r="Y80" s="82">
        <v>63554.870069999997</v>
      </c>
      <c r="Z80" s="138">
        <v>0.54</v>
      </c>
      <c r="AA80" s="194"/>
      <c r="AB80" s="18"/>
      <c r="AC80" s="63"/>
      <c r="AD80" s="18"/>
      <c r="AE80" s="18"/>
      <c r="AF80" s="18"/>
      <c r="AG80" s="139"/>
      <c r="AK80" s="130"/>
    </row>
    <row r="81" spans="1:37" s="4" customFormat="1" x14ac:dyDescent="0.25">
      <c r="A81" s="11">
        <v>38626</v>
      </c>
      <c r="B81" s="15">
        <v>31</v>
      </c>
      <c r="C81" s="18"/>
      <c r="D81" s="18">
        <f t="shared" si="28"/>
        <v>31349.293722295082</v>
      </c>
      <c r="E81" s="18">
        <f t="shared" si="29"/>
        <v>1011.2675394288736</v>
      </c>
      <c r="F81" s="18">
        <f t="shared" si="30"/>
        <v>45978.964126032792</v>
      </c>
      <c r="G81" s="18">
        <f t="shared" si="31"/>
        <v>1483.192391162348</v>
      </c>
      <c r="H81" s="18">
        <f t="shared" si="32"/>
        <v>50158.869955672133</v>
      </c>
      <c r="I81" s="18">
        <f t="shared" si="33"/>
        <v>1618.0280630861978</v>
      </c>
      <c r="J81" s="18">
        <f t="shared" si="34"/>
        <v>155000</v>
      </c>
      <c r="K81" s="18"/>
      <c r="L81" s="18">
        <f t="shared" si="25"/>
        <v>2363378.2999999998</v>
      </c>
      <c r="M81" s="18">
        <f t="shared" si="26"/>
        <v>76238.009677419352</v>
      </c>
      <c r="N81" s="135"/>
      <c r="O81" s="135"/>
      <c r="P81" s="83">
        <f t="shared" si="35"/>
        <v>2670791.4278039997</v>
      </c>
      <c r="Q81" s="18">
        <f t="shared" si="27"/>
        <v>86154.562187225805</v>
      </c>
      <c r="S81" s="18">
        <v>2518378.2999999998</v>
      </c>
      <c r="T81" s="136">
        <v>0.54</v>
      </c>
      <c r="U81" s="137"/>
      <c r="V81" s="137">
        <v>24926</v>
      </c>
      <c r="W81" s="136">
        <v>0.51</v>
      </c>
      <c r="X81" s="137"/>
      <c r="Y81" s="82">
        <v>127487.127804</v>
      </c>
      <c r="Z81" s="138">
        <v>0.54</v>
      </c>
      <c r="AA81" s="194"/>
      <c r="AB81" s="18"/>
      <c r="AC81" s="63"/>
      <c r="AD81" s="18"/>
      <c r="AE81" s="18"/>
      <c r="AF81" s="18"/>
      <c r="AG81" s="139"/>
      <c r="AK81" s="130"/>
    </row>
    <row r="82" spans="1:37" s="4" customFormat="1" x14ac:dyDescent="0.25">
      <c r="A82" s="11">
        <v>38657</v>
      </c>
      <c r="B82" s="15">
        <v>30</v>
      </c>
      <c r="C82" s="18"/>
      <c r="D82" s="18">
        <f t="shared" si="28"/>
        <v>58484.570607786882</v>
      </c>
      <c r="E82" s="18">
        <f t="shared" si="29"/>
        <v>1949.4856869262294</v>
      </c>
      <c r="F82" s="18">
        <f t="shared" si="30"/>
        <v>85777.370224754093</v>
      </c>
      <c r="G82" s="18">
        <f t="shared" si="31"/>
        <v>2859.2456741584697</v>
      </c>
      <c r="H82" s="18">
        <f t="shared" si="32"/>
        <v>93575.312972459011</v>
      </c>
      <c r="I82" s="18">
        <f t="shared" si="33"/>
        <v>3119.1770990819668</v>
      </c>
      <c r="J82" s="18">
        <f t="shared" si="34"/>
        <v>150000</v>
      </c>
      <c r="K82" s="18"/>
      <c r="L82" s="18">
        <f t="shared" si="25"/>
        <v>4383349.9000000004</v>
      </c>
      <c r="M82" s="18">
        <f t="shared" si="26"/>
        <v>146111.66333333336</v>
      </c>
      <c r="N82" s="135"/>
      <c r="O82" s="135"/>
      <c r="P82" s="83">
        <f t="shared" si="35"/>
        <v>4816721.1538050007</v>
      </c>
      <c r="Q82" s="18">
        <f t="shared" si="27"/>
        <v>160557.37179350003</v>
      </c>
      <c r="S82" s="18">
        <v>4533349.9000000004</v>
      </c>
      <c r="T82" s="136">
        <v>0.52001746144926231</v>
      </c>
      <c r="U82" s="137"/>
      <c r="V82" s="137">
        <v>45534</v>
      </c>
      <c r="W82" s="136">
        <v>0.51</v>
      </c>
      <c r="X82" s="137"/>
      <c r="Y82" s="82">
        <v>237837.25380499999</v>
      </c>
      <c r="Z82" s="138">
        <v>0.52</v>
      </c>
      <c r="AA82" s="194"/>
      <c r="AB82" s="18"/>
      <c r="AC82" s="63"/>
      <c r="AD82" s="18"/>
      <c r="AE82" s="18"/>
      <c r="AF82" s="18"/>
      <c r="AG82" s="139"/>
      <c r="AK82" s="130">
        <f>780000+260000+100000</f>
        <v>1140000</v>
      </c>
    </row>
    <row r="83" spans="1:37" s="4" customFormat="1" x14ac:dyDescent="0.25">
      <c r="A83" s="11">
        <v>38687</v>
      </c>
      <c r="B83" s="15">
        <v>31</v>
      </c>
      <c r="C83" s="18"/>
      <c r="D83" s="18">
        <f t="shared" si="28"/>
        <v>81267.431286639345</v>
      </c>
      <c r="E83" s="18">
        <f t="shared" si="29"/>
        <v>2621.5300415044949</v>
      </c>
      <c r="F83" s="18">
        <f t="shared" si="30"/>
        <v>119192.2325537377</v>
      </c>
      <c r="G83" s="18">
        <f t="shared" si="31"/>
        <v>3844.910727539926</v>
      </c>
      <c r="H83" s="18">
        <f t="shared" si="32"/>
        <v>130027.89005862294</v>
      </c>
      <c r="I83" s="18">
        <f t="shared" si="33"/>
        <v>4194.4480664071916</v>
      </c>
      <c r="J83" s="18">
        <f t="shared" si="34"/>
        <v>155000</v>
      </c>
      <c r="K83" s="18"/>
      <c r="L83" s="18">
        <f t="shared" si="25"/>
        <v>7436427.9000000004</v>
      </c>
      <c r="M83" s="18">
        <f t="shared" si="26"/>
        <v>239884.77096774193</v>
      </c>
      <c r="N83" s="135"/>
      <c r="O83" s="135"/>
      <c r="P83" s="83">
        <f t="shared" si="35"/>
        <v>7999343.4538990008</v>
      </c>
      <c r="Q83" s="18">
        <f t="shared" si="27"/>
        <v>258043.33722254841</v>
      </c>
      <c r="S83" s="18">
        <v>7591427.9000000004</v>
      </c>
      <c r="T83" s="136">
        <v>0.51628317315119387</v>
      </c>
      <c r="U83" s="137"/>
      <c r="V83" s="137">
        <v>77428</v>
      </c>
      <c r="W83" s="136">
        <v>0.51</v>
      </c>
      <c r="X83" s="137"/>
      <c r="Y83" s="82">
        <v>330487.55389899999</v>
      </c>
      <c r="Z83" s="138">
        <v>0.51629999999999998</v>
      </c>
      <c r="AA83" s="194"/>
      <c r="AB83" s="18"/>
      <c r="AC83" s="63"/>
      <c r="AD83" s="18"/>
      <c r="AE83" s="18"/>
      <c r="AF83" s="18"/>
      <c r="AG83" s="139"/>
      <c r="AK83" s="130">
        <f>780000+260000+100000</f>
        <v>1140000</v>
      </c>
    </row>
    <row r="84" spans="1:37" s="4" customFormat="1" x14ac:dyDescent="0.25">
      <c r="A84" s="11">
        <v>38718</v>
      </c>
      <c r="B84" s="15">
        <v>31</v>
      </c>
      <c r="C84" s="18"/>
      <c r="D84" s="18">
        <f t="shared" si="28"/>
        <v>107176.00131909836</v>
      </c>
      <c r="E84" s="18">
        <f t="shared" si="29"/>
        <v>3457.2903651322054</v>
      </c>
      <c r="F84" s="18">
        <f t="shared" si="30"/>
        <v>157191.46860134427</v>
      </c>
      <c r="G84" s="18">
        <f t="shared" si="31"/>
        <v>5070.6925355272342</v>
      </c>
      <c r="H84" s="18">
        <f t="shared" si="32"/>
        <v>171481.60211055737</v>
      </c>
      <c r="I84" s="18">
        <f t="shared" si="33"/>
        <v>5531.6645842115286</v>
      </c>
      <c r="J84" s="18">
        <f t="shared" si="34"/>
        <v>155000</v>
      </c>
      <c r="K84" s="18"/>
      <c r="L84" s="18">
        <f t="shared" si="25"/>
        <v>9083951.1999999993</v>
      </c>
      <c r="M84" s="18">
        <f t="shared" si="26"/>
        <v>293030.68387096771</v>
      </c>
      <c r="N84" s="135"/>
      <c r="O84" s="135"/>
      <c r="P84" s="83">
        <f t="shared" si="35"/>
        <v>9767782.2720309999</v>
      </c>
      <c r="Q84" s="18">
        <f t="shared" si="27"/>
        <v>315089.75071067741</v>
      </c>
      <c r="S84" s="18">
        <v>9238951.1999999993</v>
      </c>
      <c r="T84" s="136">
        <v>0.52159609738590618</v>
      </c>
      <c r="U84" s="137"/>
      <c r="V84" s="137">
        <v>92982</v>
      </c>
      <c r="W84" s="136">
        <v>0.51</v>
      </c>
      <c r="X84" s="137"/>
      <c r="Y84" s="82">
        <v>435849.07203099999</v>
      </c>
      <c r="Z84" s="138">
        <v>0.52159999999999995</v>
      </c>
      <c r="AA84" s="194"/>
      <c r="AB84" s="18"/>
      <c r="AC84" s="63"/>
      <c r="AD84" s="18"/>
      <c r="AE84" s="18"/>
      <c r="AF84" s="18"/>
      <c r="AG84" s="139"/>
      <c r="AK84" s="130">
        <f>780000+260000+100000</f>
        <v>1140000</v>
      </c>
    </row>
    <row r="85" spans="1:37" s="4" customFormat="1" x14ac:dyDescent="0.25">
      <c r="A85" s="11">
        <v>38749</v>
      </c>
      <c r="B85" s="15">
        <v>28</v>
      </c>
      <c r="C85" s="18"/>
      <c r="D85" s="18">
        <f t="shared" si="28"/>
        <v>70801.777842049181</v>
      </c>
      <c r="E85" s="18">
        <f t="shared" si="29"/>
        <v>2528.6349229303278</v>
      </c>
      <c r="F85" s="18">
        <f t="shared" si="30"/>
        <v>103842.60750167214</v>
      </c>
      <c r="G85" s="18">
        <f t="shared" si="31"/>
        <v>3708.664553631148</v>
      </c>
      <c r="H85" s="18">
        <f t="shared" si="32"/>
        <v>113282.8445472787</v>
      </c>
      <c r="I85" s="18">
        <f t="shared" si="33"/>
        <v>4045.8158766885249</v>
      </c>
      <c r="J85" s="18">
        <f t="shared" si="34"/>
        <v>140000</v>
      </c>
      <c r="K85" s="18"/>
      <c r="L85" s="18">
        <f t="shared" si="25"/>
        <v>6373205.9000000004</v>
      </c>
      <c r="M85" s="18">
        <f t="shared" si="26"/>
        <v>227614.49642857144</v>
      </c>
      <c r="N85" s="135"/>
      <c r="O85" s="135"/>
      <c r="P85" s="83">
        <f t="shared" si="35"/>
        <v>6866490.1298910007</v>
      </c>
      <c r="Q85" s="18">
        <f t="shared" si="27"/>
        <v>245231.79035325002</v>
      </c>
      <c r="S85" s="18">
        <v>6513205.9000000004</v>
      </c>
      <c r="T85" s="136">
        <v>0.52580422149083028</v>
      </c>
      <c r="U85" s="137"/>
      <c r="V85" s="137">
        <v>65357</v>
      </c>
      <c r="W85" s="136">
        <v>0.51</v>
      </c>
      <c r="X85" s="137"/>
      <c r="Y85" s="82">
        <v>287927.22989100002</v>
      </c>
      <c r="Z85" s="138">
        <v>0.52580000000000005</v>
      </c>
      <c r="AA85" s="194"/>
      <c r="AB85" s="18"/>
      <c r="AC85" s="63"/>
      <c r="AD85" s="18"/>
      <c r="AE85" s="18"/>
      <c r="AF85" s="18"/>
      <c r="AG85" s="139"/>
      <c r="AK85" s="130">
        <f>780000+260000+100000</f>
        <v>1140000</v>
      </c>
    </row>
    <row r="86" spans="1:37" s="4" customFormat="1" x14ac:dyDescent="0.25">
      <c r="A86" s="11">
        <v>38777</v>
      </c>
      <c r="B86" s="15">
        <v>31</v>
      </c>
      <c r="C86" s="18"/>
      <c r="D86" s="18">
        <f t="shared" si="28"/>
        <v>61091.567159508195</v>
      </c>
      <c r="E86" s="18">
        <f t="shared" si="29"/>
        <v>1970.695714822845</v>
      </c>
      <c r="F86" s="18">
        <f t="shared" si="30"/>
        <v>89600.9651672787</v>
      </c>
      <c r="G86" s="18">
        <f t="shared" si="31"/>
        <v>2890.3537150735065</v>
      </c>
      <c r="H86" s="18">
        <f t="shared" si="32"/>
        <v>97746.507455213112</v>
      </c>
      <c r="I86" s="18">
        <f t="shared" si="33"/>
        <v>3153.1131437165518</v>
      </c>
      <c r="J86" s="18">
        <f t="shared" si="34"/>
        <v>155000</v>
      </c>
      <c r="K86" s="18"/>
      <c r="L86" s="18">
        <f t="shared" si="25"/>
        <v>5264828.5999999996</v>
      </c>
      <c r="M86" s="18">
        <f t="shared" si="26"/>
        <v>169833.18064516128</v>
      </c>
      <c r="N86" s="135"/>
      <c r="O86" s="135"/>
      <c r="P86" s="83">
        <f t="shared" si="35"/>
        <v>5722633.6397819994</v>
      </c>
      <c r="Q86" s="18">
        <f t="shared" si="27"/>
        <v>184601.08515425803</v>
      </c>
      <c r="S86" s="18">
        <v>5419828.5999999996</v>
      </c>
      <c r="T86" s="136">
        <v>0.52816895407863584</v>
      </c>
      <c r="U86" s="137"/>
      <c r="V86" s="137">
        <v>54366</v>
      </c>
      <c r="W86" s="136">
        <v>0.51</v>
      </c>
      <c r="X86" s="137"/>
      <c r="Y86" s="82">
        <v>248439.03978200001</v>
      </c>
      <c r="Z86" s="138">
        <v>0.5282</v>
      </c>
      <c r="AA86" s="194"/>
      <c r="AB86" s="18"/>
      <c r="AC86" s="63"/>
      <c r="AD86" s="18"/>
      <c r="AE86" s="18"/>
      <c r="AF86" s="18"/>
      <c r="AG86" s="139"/>
      <c r="AK86" s="130">
        <f>780000+260000+100000</f>
        <v>1140000</v>
      </c>
    </row>
    <row r="87" spans="1:37" s="4" customFormat="1" x14ac:dyDescent="0.25">
      <c r="A87" s="11">
        <v>38808</v>
      </c>
      <c r="B87" s="15">
        <v>30</v>
      </c>
      <c r="C87" s="18"/>
      <c r="D87" s="18"/>
      <c r="E87" s="18"/>
      <c r="F87" s="18"/>
      <c r="G87" s="18"/>
      <c r="H87" s="18"/>
      <c r="I87" s="18"/>
      <c r="J87" s="18"/>
      <c r="K87" s="18"/>
      <c r="L87" s="18">
        <f t="shared" si="25"/>
        <v>3075714</v>
      </c>
      <c r="M87" s="18">
        <f t="shared" si="26"/>
        <v>102523.8</v>
      </c>
      <c r="N87" s="135"/>
      <c r="O87" s="135"/>
      <c r="P87" s="83">
        <f t="shared" si="35"/>
        <v>3104909</v>
      </c>
      <c r="Q87" s="18">
        <f t="shared" si="27"/>
        <v>103496.96666666666</v>
      </c>
      <c r="S87" s="18">
        <v>3075714</v>
      </c>
      <c r="T87" s="136">
        <v>0.53</v>
      </c>
      <c r="U87" s="137"/>
      <c r="V87" s="137">
        <v>29195</v>
      </c>
      <c r="W87" s="136">
        <v>0.5</v>
      </c>
      <c r="X87" s="137"/>
      <c r="Y87" s="82"/>
      <c r="Z87" s="138"/>
      <c r="AA87" s="18"/>
      <c r="AB87" s="18"/>
      <c r="AC87" s="63"/>
      <c r="AD87" s="18"/>
      <c r="AE87" s="18"/>
      <c r="AF87" s="18"/>
      <c r="AG87" s="139"/>
      <c r="AK87" s="130"/>
    </row>
    <row r="88" spans="1:37" s="4" customFormat="1" x14ac:dyDescent="0.25">
      <c r="A88" s="11">
        <v>38838</v>
      </c>
      <c r="B88" s="15">
        <v>31</v>
      </c>
      <c r="C88" s="18"/>
      <c r="D88" s="18"/>
      <c r="E88" s="18"/>
      <c r="F88" s="18"/>
      <c r="G88" s="18"/>
      <c r="H88" s="18"/>
      <c r="I88" s="18"/>
      <c r="J88" s="18"/>
      <c r="K88" s="18"/>
      <c r="L88" s="18">
        <f t="shared" si="25"/>
        <v>2415182</v>
      </c>
      <c r="M88" s="18">
        <f t="shared" si="26"/>
        <v>77909.096774193546</v>
      </c>
      <c r="N88" s="135"/>
      <c r="O88" s="135"/>
      <c r="P88" s="83">
        <f t="shared" si="35"/>
        <v>2438293</v>
      </c>
      <c r="Q88" s="18">
        <f t="shared" si="27"/>
        <v>78654.612903225803</v>
      </c>
      <c r="S88" s="18">
        <v>2415182</v>
      </c>
      <c r="T88" s="136">
        <v>0.53</v>
      </c>
      <c r="U88" s="137"/>
      <c r="V88" s="137">
        <v>23111</v>
      </c>
      <c r="W88" s="136">
        <v>0.5</v>
      </c>
      <c r="X88" s="137"/>
      <c r="Y88" s="82"/>
      <c r="Z88" s="138"/>
      <c r="AA88" s="18"/>
      <c r="AB88" s="18"/>
      <c r="AC88" s="63"/>
      <c r="AD88" s="18"/>
      <c r="AE88" s="18"/>
      <c r="AF88" s="18"/>
      <c r="AG88" s="139"/>
      <c r="AK88" s="130"/>
    </row>
    <row r="89" spans="1:37" s="4" customFormat="1" x14ac:dyDescent="0.25">
      <c r="A89" s="11">
        <v>38869</v>
      </c>
      <c r="B89" s="15">
        <v>30</v>
      </c>
      <c r="C89" s="18"/>
      <c r="D89" s="18"/>
      <c r="E89" s="18"/>
      <c r="F89" s="18"/>
      <c r="G89" s="18"/>
      <c r="H89" s="18"/>
      <c r="I89" s="18"/>
      <c r="J89" s="18"/>
      <c r="K89" s="18"/>
      <c r="L89" s="18">
        <f t="shared" si="25"/>
        <v>1830869</v>
      </c>
      <c r="M89" s="18">
        <f t="shared" si="26"/>
        <v>61028.966666666667</v>
      </c>
      <c r="N89" s="135"/>
      <c r="O89" s="135"/>
      <c r="P89" s="83">
        <f t="shared" si="35"/>
        <v>1848337</v>
      </c>
      <c r="Q89" s="18">
        <f t="shared" si="27"/>
        <v>61611.23333333333</v>
      </c>
      <c r="S89" s="18">
        <v>1830869</v>
      </c>
      <c r="T89" s="136">
        <v>0.53</v>
      </c>
      <c r="U89" s="137"/>
      <c r="V89" s="137">
        <v>17468</v>
      </c>
      <c r="W89" s="136">
        <v>0.5</v>
      </c>
      <c r="X89" s="137"/>
      <c r="Y89" s="82"/>
      <c r="Z89" s="138"/>
      <c r="AA89" s="18"/>
      <c r="AB89" s="18"/>
      <c r="AC89" s="63"/>
      <c r="AD89" s="18"/>
      <c r="AE89" s="18"/>
      <c r="AF89" s="18"/>
      <c r="AG89" s="139"/>
      <c r="AK89" s="130"/>
    </row>
    <row r="90" spans="1:37" s="4" customFormat="1" x14ac:dyDescent="0.25">
      <c r="A90" s="11">
        <v>38899</v>
      </c>
      <c r="B90" s="15">
        <v>31</v>
      </c>
      <c r="C90" s="18"/>
      <c r="D90" s="18"/>
      <c r="E90" s="18"/>
      <c r="F90" s="18"/>
      <c r="G90" s="18"/>
      <c r="H90" s="18"/>
      <c r="I90" s="18"/>
      <c r="J90" s="18"/>
      <c r="K90" s="18"/>
      <c r="L90" s="18">
        <f t="shared" si="25"/>
        <v>1914774</v>
      </c>
      <c r="M90" s="18">
        <f t="shared" si="26"/>
        <v>61766.903225806454</v>
      </c>
      <c r="N90" s="135"/>
      <c r="O90" s="135"/>
      <c r="P90" s="83">
        <f t="shared" si="35"/>
        <v>1932831</v>
      </c>
      <c r="Q90" s="18">
        <f t="shared" si="27"/>
        <v>62349.387096774197</v>
      </c>
      <c r="S90" s="18">
        <v>1914774</v>
      </c>
      <c r="T90" s="136">
        <v>0.53</v>
      </c>
      <c r="U90" s="137"/>
      <c r="V90" s="137">
        <v>18057</v>
      </c>
      <c r="W90" s="136">
        <v>0.5</v>
      </c>
      <c r="X90" s="137"/>
      <c r="Y90" s="82"/>
      <c r="Z90" s="138"/>
      <c r="AA90" s="18"/>
      <c r="AB90" s="18"/>
      <c r="AC90" s="63"/>
      <c r="AD90" s="18"/>
      <c r="AE90" s="18"/>
      <c r="AF90" s="18"/>
      <c r="AG90" s="139"/>
      <c r="AK90" s="130"/>
    </row>
    <row r="91" spans="1:37" s="4" customFormat="1" x14ac:dyDescent="0.25">
      <c r="A91" s="11">
        <v>38930</v>
      </c>
      <c r="B91" s="15">
        <v>31</v>
      </c>
      <c r="C91" s="18"/>
      <c r="D91" s="18"/>
      <c r="E91" s="18"/>
      <c r="F91" s="18"/>
      <c r="G91" s="18"/>
      <c r="H91" s="18"/>
      <c r="I91" s="18"/>
      <c r="J91" s="18"/>
      <c r="K91" s="18"/>
      <c r="L91" s="18">
        <f t="shared" si="25"/>
        <v>2345792</v>
      </c>
      <c r="M91" s="18">
        <f t="shared" si="26"/>
        <v>75670.709677419349</v>
      </c>
      <c r="N91" s="135"/>
      <c r="O91" s="135"/>
      <c r="P91" s="83">
        <f t="shared" si="35"/>
        <v>2368412</v>
      </c>
      <c r="Q91" s="18">
        <f t="shared" si="27"/>
        <v>76400.387096774197</v>
      </c>
      <c r="S91" s="18">
        <v>2345792</v>
      </c>
      <c r="T91" s="136">
        <v>0.53</v>
      </c>
      <c r="U91" s="137"/>
      <c r="V91" s="137">
        <v>22620</v>
      </c>
      <c r="W91" s="136">
        <v>0.5</v>
      </c>
      <c r="X91" s="137"/>
      <c r="Y91" s="82"/>
      <c r="Z91" s="138"/>
      <c r="AA91" s="18"/>
      <c r="AB91" s="18"/>
      <c r="AC91" s="63"/>
      <c r="AD91" s="18"/>
      <c r="AE91" s="18"/>
      <c r="AF91" s="18"/>
      <c r="AG91" s="139"/>
      <c r="AK91" s="130"/>
    </row>
    <row r="92" spans="1:37" s="4" customFormat="1" x14ac:dyDescent="0.25">
      <c r="A92" s="11">
        <v>38961</v>
      </c>
      <c r="B92" s="15">
        <v>30</v>
      </c>
      <c r="C92" s="18"/>
      <c r="D92" s="18"/>
      <c r="E92" s="18"/>
      <c r="F92" s="18"/>
      <c r="G92" s="18"/>
      <c r="H92" s="18"/>
      <c r="I92" s="18"/>
      <c r="J92" s="18"/>
      <c r="K92" s="18"/>
      <c r="L92" s="18">
        <f t="shared" si="25"/>
        <v>2043178</v>
      </c>
      <c r="M92" s="18">
        <f t="shared" si="26"/>
        <v>68105.933333333334</v>
      </c>
      <c r="N92" s="135"/>
      <c r="O92" s="135"/>
      <c r="P92" s="83">
        <f t="shared" si="35"/>
        <v>2062805</v>
      </c>
      <c r="Q92" s="18">
        <f t="shared" si="27"/>
        <v>68760.166666666672</v>
      </c>
      <c r="S92" s="18">
        <v>2043178</v>
      </c>
      <c r="T92" s="136">
        <v>0.53</v>
      </c>
      <c r="U92" s="137"/>
      <c r="V92" s="137">
        <v>19627</v>
      </c>
      <c r="W92" s="136">
        <v>0.5</v>
      </c>
      <c r="X92" s="137"/>
      <c r="Y92" s="82"/>
      <c r="Z92" s="138"/>
      <c r="AA92" s="18"/>
      <c r="AB92" s="18"/>
      <c r="AC92" s="63"/>
      <c r="AD92" s="18"/>
      <c r="AE92" s="18"/>
      <c r="AF92" s="18"/>
      <c r="AG92" s="139"/>
      <c r="AK92" s="130"/>
    </row>
    <row r="93" spans="1:37" s="4" customFormat="1" x14ac:dyDescent="0.25">
      <c r="A93" s="11">
        <v>38991</v>
      </c>
      <c r="B93" s="15">
        <v>31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f t="shared" si="25"/>
        <v>2645865</v>
      </c>
      <c r="M93" s="18">
        <f t="shared" si="26"/>
        <v>85350.483870967742</v>
      </c>
      <c r="N93" s="135"/>
      <c r="O93" s="135"/>
      <c r="P93" s="83">
        <f t="shared" si="35"/>
        <v>2670791</v>
      </c>
      <c r="Q93" s="18">
        <f t="shared" si="27"/>
        <v>86154.548387096773</v>
      </c>
      <c r="S93" s="18">
        <v>2645865</v>
      </c>
      <c r="T93" s="136">
        <v>0.53</v>
      </c>
      <c r="U93" s="137"/>
      <c r="V93" s="137">
        <v>24926</v>
      </c>
      <c r="W93" s="136">
        <v>0.5</v>
      </c>
      <c r="X93" s="137"/>
      <c r="Y93" s="82"/>
      <c r="Z93" s="138"/>
      <c r="AA93" s="18"/>
      <c r="AB93" s="18"/>
      <c r="AC93" s="63"/>
      <c r="AD93" s="18"/>
      <c r="AE93" s="18"/>
      <c r="AF93" s="18"/>
      <c r="AG93" s="139"/>
      <c r="AK93" s="130"/>
    </row>
    <row r="94" spans="1:37" s="4" customFormat="1" x14ac:dyDescent="0.25">
      <c r="A94" s="11">
        <v>39022</v>
      </c>
      <c r="B94" s="15">
        <v>30</v>
      </c>
      <c r="C94" s="18"/>
      <c r="D94" s="18"/>
      <c r="E94" s="18"/>
      <c r="F94" s="18"/>
      <c r="G94" s="18"/>
      <c r="H94" s="18"/>
      <c r="I94" s="18"/>
      <c r="J94" s="18"/>
      <c r="K94" s="18"/>
      <c r="L94" s="18">
        <f t="shared" si="25"/>
        <v>4771187</v>
      </c>
      <c r="M94" s="18">
        <f t="shared" si="26"/>
        <v>159039.56666666668</v>
      </c>
      <c r="N94" s="135"/>
      <c r="O94" s="135"/>
      <c r="P94" s="83">
        <f t="shared" si="35"/>
        <v>4816721</v>
      </c>
      <c r="Q94" s="18">
        <f t="shared" si="27"/>
        <v>160557.36666666667</v>
      </c>
      <c r="S94" s="18">
        <v>4771187</v>
      </c>
      <c r="T94" s="136">
        <v>0.49229000000000001</v>
      </c>
      <c r="U94" s="137"/>
      <c r="V94" s="137">
        <v>45534</v>
      </c>
      <c r="W94" s="136">
        <v>0.5</v>
      </c>
      <c r="X94" s="137"/>
      <c r="Y94" s="82"/>
      <c r="Z94" s="138"/>
      <c r="AA94" s="18"/>
      <c r="AB94" s="18"/>
      <c r="AC94" s="63"/>
      <c r="AD94" s="18"/>
      <c r="AE94" s="18"/>
      <c r="AF94" s="18"/>
      <c r="AG94" s="139"/>
      <c r="AK94" s="130"/>
    </row>
    <row r="95" spans="1:37" s="4" customFormat="1" x14ac:dyDescent="0.25">
      <c r="A95" s="11">
        <v>39052</v>
      </c>
      <c r="B95" s="15">
        <v>31</v>
      </c>
      <c r="C95" s="18"/>
      <c r="D95" s="18"/>
      <c r="E95" s="18"/>
      <c r="F95" s="18"/>
      <c r="G95" s="18"/>
      <c r="H95" s="18"/>
      <c r="I95" s="18"/>
      <c r="J95" s="18"/>
      <c r="K95" s="18"/>
      <c r="L95" s="18">
        <f t="shared" si="25"/>
        <v>7921915</v>
      </c>
      <c r="M95" s="18">
        <f t="shared" si="26"/>
        <v>255545.64516129033</v>
      </c>
      <c r="N95" s="135"/>
      <c r="O95" s="135"/>
      <c r="P95" s="83">
        <f t="shared" si="35"/>
        <v>7999343</v>
      </c>
      <c r="Q95" s="18">
        <f t="shared" si="27"/>
        <v>258043.32258064515</v>
      </c>
      <c r="S95" s="18">
        <v>7921915</v>
      </c>
      <c r="T95" s="136">
        <v>0.4955</v>
      </c>
      <c r="U95" s="137"/>
      <c r="V95" s="137">
        <v>77428</v>
      </c>
      <c r="W95" s="136">
        <v>0.5</v>
      </c>
      <c r="X95" s="137"/>
      <c r="Y95" s="82"/>
      <c r="Z95" s="138"/>
      <c r="AA95" s="18"/>
      <c r="AB95" s="18"/>
      <c r="AC95" s="63"/>
      <c r="AD95" s="18"/>
      <c r="AE95" s="18"/>
      <c r="AF95" s="18"/>
      <c r="AG95" s="139"/>
      <c r="AK95" s="130"/>
    </row>
    <row r="96" spans="1:37" s="4" customFormat="1" x14ac:dyDescent="0.25">
      <c r="A96" s="11">
        <v>39083</v>
      </c>
      <c r="B96" s="15">
        <v>31</v>
      </c>
      <c r="C96" s="18"/>
      <c r="D96" s="18"/>
      <c r="E96" s="18"/>
      <c r="F96" s="18"/>
      <c r="G96" s="18"/>
      <c r="H96" s="18"/>
      <c r="I96" s="18"/>
      <c r="J96" s="18"/>
      <c r="K96" s="18"/>
      <c r="L96" s="18">
        <f t="shared" si="25"/>
        <v>9674800</v>
      </c>
      <c r="M96" s="18">
        <f t="shared" si="26"/>
        <v>312090.32258064515</v>
      </c>
      <c r="N96" s="135"/>
      <c r="O96" s="135"/>
      <c r="P96" s="83">
        <f t="shared" si="35"/>
        <v>9767782</v>
      </c>
      <c r="Q96" s="18">
        <f t="shared" si="27"/>
        <v>315089.74193548388</v>
      </c>
      <c r="S96" s="18">
        <v>9674800</v>
      </c>
      <c r="T96" s="136">
        <v>0.50278</v>
      </c>
      <c r="U96" s="137"/>
      <c r="V96" s="137">
        <v>92982</v>
      </c>
      <c r="W96" s="136">
        <v>0.5</v>
      </c>
      <c r="X96" s="137"/>
      <c r="Y96" s="82"/>
      <c r="Z96" s="138"/>
      <c r="AA96" s="18"/>
      <c r="AB96" s="18"/>
      <c r="AC96" s="63"/>
      <c r="AD96" s="18"/>
      <c r="AE96" s="18"/>
      <c r="AF96" s="18"/>
      <c r="AG96" s="139"/>
      <c r="AK96" s="130"/>
    </row>
    <row r="97" spans="1:37" s="4" customFormat="1" x14ac:dyDescent="0.25">
      <c r="A97" s="11">
        <v>39114</v>
      </c>
      <c r="B97" s="6">
        <v>28</v>
      </c>
      <c r="L97" s="18">
        <f t="shared" si="25"/>
        <v>6801133</v>
      </c>
      <c r="M97" s="18">
        <f t="shared" si="26"/>
        <v>242897.60714285713</v>
      </c>
      <c r="P97" s="83">
        <f t="shared" si="35"/>
        <v>6866490</v>
      </c>
      <c r="Q97" s="18">
        <f t="shared" si="27"/>
        <v>245231.78571428571</v>
      </c>
      <c r="S97" s="18">
        <v>6801133</v>
      </c>
      <c r="T97" s="136">
        <v>0.50333000000000006</v>
      </c>
      <c r="V97" s="137">
        <v>65357</v>
      </c>
      <c r="W97" s="136">
        <v>0.5</v>
      </c>
      <c r="Y97" s="139"/>
      <c r="Z97" s="139"/>
      <c r="AA97" s="139"/>
      <c r="AB97" s="139"/>
      <c r="AC97" s="139"/>
      <c r="AD97" s="139"/>
      <c r="AE97" s="139"/>
      <c r="AF97" s="139"/>
      <c r="AG97" s="139"/>
      <c r="AK97" s="130"/>
    </row>
    <row r="98" spans="1:37" s="4" customFormat="1" x14ac:dyDescent="0.25">
      <c r="A98" s="11">
        <v>39142</v>
      </c>
      <c r="B98" s="6">
        <v>31</v>
      </c>
      <c r="L98" s="18">
        <f t="shared" si="25"/>
        <v>5668268</v>
      </c>
      <c r="M98" s="18">
        <f t="shared" si="26"/>
        <v>182847.35483870967</v>
      </c>
      <c r="P98" s="83">
        <f t="shared" si="35"/>
        <v>5722634</v>
      </c>
      <c r="Q98" s="18">
        <f t="shared" si="27"/>
        <v>184601.09677419355</v>
      </c>
      <c r="S98" s="18">
        <v>5668268</v>
      </c>
      <c r="T98" s="136">
        <v>0.50331999999999999</v>
      </c>
      <c r="V98" s="137">
        <v>54366</v>
      </c>
      <c r="W98" s="136">
        <v>0.5</v>
      </c>
      <c r="Y98" s="139"/>
      <c r="Z98" s="139"/>
      <c r="AA98" s="139"/>
      <c r="AB98" s="139"/>
      <c r="AC98" s="139"/>
      <c r="AD98" s="139"/>
      <c r="AE98" s="139"/>
      <c r="AF98" s="139"/>
      <c r="AG98" s="139"/>
      <c r="AK98" s="130"/>
    </row>
    <row r="99" spans="1:37" s="4" customFormat="1" x14ac:dyDescent="0.25">
      <c r="A99" s="6"/>
      <c r="B99" s="6"/>
      <c r="L99" s="161"/>
      <c r="S99" s="139"/>
      <c r="V99" s="137"/>
      <c r="Y99" s="139"/>
      <c r="Z99" s="139"/>
      <c r="AA99" s="139"/>
      <c r="AB99" s="139"/>
      <c r="AC99" s="139"/>
      <c r="AD99" s="139"/>
      <c r="AE99" s="139"/>
      <c r="AF99" s="139"/>
      <c r="AG99" s="139"/>
      <c r="AK99" s="130"/>
    </row>
    <row r="100" spans="1:37" s="4" customFormat="1" x14ac:dyDescent="0.25">
      <c r="A100" s="6"/>
      <c r="B100" s="6"/>
      <c r="L100" s="161"/>
      <c r="S100" s="139"/>
      <c r="T100" s="139"/>
      <c r="U100" s="139"/>
      <c r="V100" s="137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K100" s="130"/>
    </row>
    <row r="101" spans="1:37" s="4" customFormat="1" x14ac:dyDescent="0.25">
      <c r="A101" s="6"/>
      <c r="B101" s="6"/>
      <c r="L101" s="161"/>
      <c r="S101" s="139"/>
      <c r="T101" s="139"/>
      <c r="U101" s="139"/>
      <c r="V101" s="137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K101" s="130"/>
    </row>
    <row r="102" spans="1:37" x14ac:dyDescent="0.25">
      <c r="A102" s="20" t="s">
        <v>43</v>
      </c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16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7" x14ac:dyDescent="0.25">
      <c r="A103" s="20" t="s">
        <v>44</v>
      </c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16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7" x14ac:dyDescent="0.25">
      <c r="A104" s="20" t="s">
        <v>45</v>
      </c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16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7" x14ac:dyDescent="0.25">
      <c r="A105" s="20" t="s">
        <v>52</v>
      </c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161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7" x14ac:dyDescent="0.25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161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7" x14ac:dyDescent="0.25">
      <c r="A107" s="20" t="s">
        <v>49</v>
      </c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161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7" x14ac:dyDescent="0.25">
      <c r="A108" s="20" t="s">
        <v>48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161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7" x14ac:dyDescent="0.25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161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7" x14ac:dyDescent="0.25">
      <c r="A110" s="20" t="s">
        <v>50</v>
      </c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161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7" x14ac:dyDescent="0.25">
      <c r="A111" s="20" t="s">
        <v>51</v>
      </c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161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7" x14ac:dyDescent="0.25">
      <c r="A112" s="6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161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6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161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6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161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6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161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6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161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6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161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6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161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6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161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6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161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6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161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6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161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6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161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6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161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6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161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6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161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6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161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6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16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6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16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6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16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6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16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6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161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6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161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6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161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6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161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6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161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6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161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6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161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6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161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6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16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6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16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6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16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6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16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6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161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6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161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6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16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6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16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6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16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6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16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6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16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6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16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6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16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6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16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6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16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6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16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6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16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6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16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6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16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6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16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6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16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6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16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6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16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6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16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6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16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6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16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6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16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6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16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16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16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16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16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16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16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16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16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16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16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16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16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16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16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16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16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16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16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16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16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16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16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16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16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16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16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16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16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16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16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16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16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16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16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16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16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161"/>
    </row>
    <row r="205" spans="1:3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161"/>
    </row>
    <row r="206" spans="1:3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161"/>
    </row>
    <row r="207" spans="1:3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161"/>
    </row>
    <row r="208" spans="1:3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161"/>
    </row>
    <row r="209" spans="3:1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161"/>
    </row>
    <row r="210" spans="3:1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161"/>
    </row>
    <row r="211" spans="3:1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161"/>
    </row>
    <row r="212" spans="3:1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161"/>
    </row>
    <row r="213" spans="3:1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161"/>
    </row>
    <row r="214" spans="3:1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161"/>
    </row>
    <row r="215" spans="3:1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161"/>
    </row>
    <row r="216" spans="3:1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161"/>
    </row>
    <row r="217" spans="3:1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161"/>
    </row>
    <row r="218" spans="3:1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161"/>
    </row>
    <row r="219" spans="3:1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161"/>
    </row>
    <row r="220" spans="3:1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161"/>
    </row>
    <row r="221" spans="3:1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161"/>
    </row>
    <row r="222" spans="3:1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161"/>
    </row>
    <row r="223" spans="3:1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161"/>
    </row>
    <row r="224" spans="3:1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161"/>
    </row>
    <row r="225" spans="3:1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161"/>
    </row>
    <row r="226" spans="3:1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161"/>
    </row>
    <row r="227" spans="3:1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161"/>
    </row>
    <row r="228" spans="3:1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161"/>
    </row>
    <row r="229" spans="3:1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161"/>
    </row>
    <row r="230" spans="3:1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161"/>
    </row>
    <row r="231" spans="3:1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161"/>
    </row>
    <row r="232" spans="3:1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161"/>
    </row>
    <row r="233" spans="3:1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161"/>
    </row>
    <row r="234" spans="3:1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161"/>
    </row>
    <row r="235" spans="3:1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161"/>
    </row>
    <row r="236" spans="3:1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161"/>
    </row>
    <row r="237" spans="3:1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161"/>
    </row>
    <row r="238" spans="3:1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161"/>
    </row>
    <row r="239" spans="3:1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161"/>
    </row>
    <row r="240" spans="3:1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161"/>
    </row>
    <row r="241" spans="3:1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161"/>
    </row>
    <row r="242" spans="3:1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161"/>
    </row>
    <row r="243" spans="3:1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161"/>
    </row>
    <row r="244" spans="3:1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161"/>
    </row>
    <row r="245" spans="3:1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161"/>
    </row>
    <row r="246" spans="3:1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161"/>
    </row>
    <row r="247" spans="3:1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161"/>
    </row>
    <row r="248" spans="3:1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161"/>
    </row>
    <row r="249" spans="3:1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161"/>
    </row>
    <row r="250" spans="3:1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161"/>
    </row>
    <row r="251" spans="3:1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161"/>
    </row>
    <row r="252" spans="3:1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161"/>
    </row>
    <row r="253" spans="3:1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161"/>
    </row>
    <row r="254" spans="3:1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161"/>
    </row>
    <row r="255" spans="3:1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161"/>
    </row>
    <row r="256" spans="3:1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161"/>
    </row>
    <row r="257" spans="3:1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161"/>
    </row>
    <row r="258" spans="3:1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161"/>
    </row>
    <row r="259" spans="3:1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161"/>
    </row>
    <row r="260" spans="3:1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161"/>
    </row>
    <row r="261" spans="3:1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161"/>
    </row>
    <row r="262" spans="3:1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161"/>
    </row>
    <row r="263" spans="3:1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161"/>
    </row>
    <row r="264" spans="3:1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161"/>
    </row>
    <row r="265" spans="3:1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161"/>
    </row>
    <row r="266" spans="3:1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161"/>
    </row>
    <row r="267" spans="3:1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161"/>
    </row>
    <row r="268" spans="3:1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161"/>
    </row>
    <row r="269" spans="3:1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161"/>
    </row>
    <row r="270" spans="3:1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161"/>
    </row>
    <row r="271" spans="3:1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161"/>
    </row>
    <row r="272" spans="3:1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161"/>
    </row>
    <row r="273" spans="3:1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161"/>
    </row>
    <row r="274" spans="3:1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161"/>
    </row>
    <row r="275" spans="3:1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161"/>
    </row>
    <row r="276" spans="3:1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161"/>
    </row>
    <row r="277" spans="3:1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161"/>
    </row>
    <row r="278" spans="3:1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161"/>
    </row>
    <row r="279" spans="3:1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161"/>
    </row>
    <row r="280" spans="3:1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161"/>
    </row>
    <row r="281" spans="3:1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161"/>
    </row>
    <row r="282" spans="3:1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161"/>
    </row>
    <row r="283" spans="3:1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161"/>
    </row>
    <row r="284" spans="3:1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161"/>
    </row>
    <row r="285" spans="3:1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161"/>
    </row>
    <row r="286" spans="3:1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161"/>
    </row>
    <row r="287" spans="3:1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161"/>
    </row>
    <row r="288" spans="3:1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161"/>
    </row>
    <row r="289" spans="3:1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161"/>
    </row>
    <row r="290" spans="3:1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161"/>
    </row>
    <row r="291" spans="3:1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161"/>
    </row>
    <row r="292" spans="3:1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161"/>
    </row>
    <row r="293" spans="3:1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161"/>
    </row>
    <row r="294" spans="3:1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161"/>
    </row>
    <row r="295" spans="3:1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161"/>
    </row>
    <row r="296" spans="3:1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161"/>
    </row>
    <row r="297" spans="3:1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161"/>
    </row>
    <row r="298" spans="3:1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161"/>
    </row>
    <row r="299" spans="3:1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161"/>
    </row>
    <row r="300" spans="3:1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161"/>
    </row>
    <row r="301" spans="3:1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161"/>
    </row>
    <row r="302" spans="3:1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161"/>
    </row>
    <row r="303" spans="3:1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161"/>
    </row>
    <row r="304" spans="3:1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161"/>
    </row>
    <row r="305" spans="3:1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161"/>
    </row>
    <row r="306" spans="3:1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161"/>
    </row>
    <row r="307" spans="3:1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161"/>
    </row>
    <row r="308" spans="3:1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161"/>
    </row>
    <row r="309" spans="3:1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161"/>
    </row>
    <row r="310" spans="3:1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161"/>
    </row>
    <row r="311" spans="3:1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161"/>
    </row>
    <row r="312" spans="3:1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161"/>
    </row>
    <row r="313" spans="3:1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161"/>
    </row>
    <row r="314" spans="3:1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161"/>
    </row>
    <row r="315" spans="3:1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161"/>
    </row>
    <row r="316" spans="3:1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161"/>
    </row>
    <row r="317" spans="3:1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161"/>
    </row>
    <row r="318" spans="3:1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161"/>
    </row>
    <row r="319" spans="3:1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161"/>
    </row>
    <row r="320" spans="3:1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161"/>
    </row>
    <row r="321" spans="3:1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161"/>
    </row>
    <row r="322" spans="3:1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161"/>
    </row>
    <row r="323" spans="3:1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161"/>
    </row>
    <row r="324" spans="3:1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161"/>
    </row>
    <row r="325" spans="3:1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161"/>
    </row>
    <row r="326" spans="3:1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161"/>
    </row>
    <row r="327" spans="3:1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161"/>
    </row>
    <row r="328" spans="3:1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161"/>
    </row>
    <row r="329" spans="3:1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161"/>
    </row>
    <row r="330" spans="3:1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161"/>
    </row>
    <row r="331" spans="3:1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161"/>
    </row>
    <row r="332" spans="3:1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161"/>
    </row>
    <row r="333" spans="3:1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161"/>
    </row>
    <row r="334" spans="3:1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161"/>
    </row>
    <row r="335" spans="3:1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161"/>
    </row>
    <row r="336" spans="3:1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161"/>
    </row>
    <row r="337" spans="3:1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161"/>
    </row>
    <row r="338" spans="3:1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161"/>
    </row>
    <row r="339" spans="3:1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161"/>
    </row>
    <row r="340" spans="3:1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161"/>
    </row>
    <row r="341" spans="3:1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161"/>
    </row>
    <row r="342" spans="3:1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161"/>
    </row>
    <row r="343" spans="3:1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161"/>
    </row>
    <row r="344" spans="3:1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161"/>
    </row>
    <row r="345" spans="3:1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161"/>
    </row>
    <row r="346" spans="3:1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161"/>
    </row>
    <row r="347" spans="3:1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161"/>
    </row>
    <row r="348" spans="3:1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161"/>
    </row>
    <row r="349" spans="3:1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161"/>
    </row>
    <row r="350" spans="3:1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161"/>
    </row>
    <row r="351" spans="3:1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161"/>
    </row>
    <row r="352" spans="3:1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161"/>
    </row>
    <row r="353" spans="3:1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161"/>
    </row>
    <row r="354" spans="3:1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161"/>
    </row>
    <row r="355" spans="3:1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161"/>
    </row>
    <row r="356" spans="3:1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161"/>
    </row>
    <row r="357" spans="3:1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161"/>
    </row>
    <row r="358" spans="3:1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161"/>
    </row>
    <row r="359" spans="3:1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161"/>
    </row>
    <row r="360" spans="3:1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161"/>
    </row>
    <row r="361" spans="3:1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161"/>
    </row>
    <row r="362" spans="3:1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161"/>
    </row>
    <row r="363" spans="3:1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161"/>
    </row>
    <row r="364" spans="3:1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161"/>
    </row>
    <row r="365" spans="3:1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161"/>
    </row>
    <row r="366" spans="3:1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161"/>
    </row>
    <row r="367" spans="3:1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161"/>
    </row>
    <row r="368" spans="3:1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161"/>
    </row>
    <row r="369" spans="3:1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161"/>
    </row>
    <row r="370" spans="3:1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161"/>
    </row>
    <row r="371" spans="3:1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161"/>
    </row>
    <row r="372" spans="3:1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161"/>
    </row>
    <row r="373" spans="3:1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161"/>
    </row>
    <row r="374" spans="3:1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161"/>
    </row>
    <row r="375" spans="3:1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161"/>
    </row>
    <row r="376" spans="3:1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161"/>
    </row>
    <row r="377" spans="3:1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161"/>
    </row>
    <row r="378" spans="3:1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161"/>
    </row>
    <row r="379" spans="3:1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161"/>
    </row>
    <row r="380" spans="3:1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161"/>
    </row>
    <row r="381" spans="3:1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161"/>
    </row>
    <row r="382" spans="3:1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161"/>
    </row>
    <row r="383" spans="3:1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161"/>
    </row>
    <row r="384" spans="3:1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161"/>
    </row>
    <row r="385" spans="3:1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161"/>
    </row>
    <row r="386" spans="3:1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161"/>
    </row>
  </sheetData>
  <mergeCells count="3">
    <mergeCell ref="D1:E1"/>
    <mergeCell ref="F1:G1"/>
    <mergeCell ref="H1:I1"/>
  </mergeCells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topLeftCell="A2" workbookViewId="0">
      <selection activeCell="C12" sqref="C12"/>
    </sheetView>
  </sheetViews>
  <sheetFormatPr defaultRowHeight="13.2" x14ac:dyDescent="0.25"/>
  <cols>
    <col min="1" max="1" width="16.88671875" customWidth="1"/>
    <col min="2" max="2" width="7.88671875" customWidth="1"/>
    <col min="3" max="3" width="13.5546875" customWidth="1"/>
    <col min="4" max="4" width="20.44140625" customWidth="1"/>
    <col min="5" max="5" width="7.5546875" customWidth="1"/>
    <col min="6" max="7" width="9.6640625" customWidth="1"/>
    <col min="8" max="8" width="12.109375" bestFit="1" customWidth="1"/>
    <col min="9" max="9" width="7.44140625" bestFit="1" customWidth="1"/>
    <col min="10" max="10" width="10.44140625" customWidth="1"/>
    <col min="11" max="11" width="10.5546875" customWidth="1"/>
    <col min="12" max="12" width="8.6640625" customWidth="1"/>
    <col min="13" max="13" width="7.44140625" customWidth="1"/>
    <col min="14" max="14" width="11" customWidth="1"/>
    <col min="15" max="15" width="14" customWidth="1"/>
  </cols>
  <sheetData>
    <row r="1" spans="1:8" x14ac:dyDescent="0.25">
      <c r="A1" s="1" t="s">
        <v>19</v>
      </c>
    </row>
    <row r="2" spans="1:8" ht="39.6" x14ac:dyDescent="0.25">
      <c r="A2" s="5" t="s">
        <v>83</v>
      </c>
      <c r="B2" s="3" t="s">
        <v>77</v>
      </c>
    </row>
    <row r="3" spans="1:8" x14ac:dyDescent="0.25">
      <c r="B3" s="9" t="s">
        <v>39</v>
      </c>
      <c r="C3" s="61" t="s">
        <v>113</v>
      </c>
      <c r="H3" s="2"/>
    </row>
    <row r="4" spans="1:8" x14ac:dyDescent="0.25">
      <c r="B4" s="11">
        <v>36251</v>
      </c>
      <c r="H4" s="2"/>
    </row>
    <row r="5" spans="1:8" x14ac:dyDescent="0.25">
      <c r="B5" s="11">
        <v>36281</v>
      </c>
      <c r="H5" s="2"/>
    </row>
    <row r="6" spans="1:8" x14ac:dyDescent="0.25">
      <c r="B6" s="11">
        <v>36312</v>
      </c>
      <c r="H6" s="2"/>
    </row>
    <row r="7" spans="1:8" x14ac:dyDescent="0.25">
      <c r="B7" s="11">
        <v>36342</v>
      </c>
      <c r="H7" s="2"/>
    </row>
    <row r="8" spans="1:8" x14ac:dyDescent="0.25">
      <c r="B8" s="11">
        <v>36373</v>
      </c>
      <c r="H8" s="2"/>
    </row>
    <row r="9" spans="1:8" x14ac:dyDescent="0.25">
      <c r="B9" s="11">
        <v>36404</v>
      </c>
      <c r="H9" s="2"/>
    </row>
    <row r="10" spans="1:8" x14ac:dyDescent="0.25">
      <c r="B10" s="11">
        <v>36434</v>
      </c>
      <c r="H10" s="2"/>
    </row>
    <row r="11" spans="1:8" x14ac:dyDescent="0.25">
      <c r="B11" s="11">
        <v>36465</v>
      </c>
      <c r="C11">
        <v>4.0099999999999997E-2</v>
      </c>
      <c r="H11" s="2"/>
    </row>
    <row r="12" spans="1:8" x14ac:dyDescent="0.25">
      <c r="B12" s="11">
        <v>36495</v>
      </c>
      <c r="C12">
        <v>3.5700000000000003E-2</v>
      </c>
      <c r="H12" s="2"/>
    </row>
    <row r="13" spans="1:8" x14ac:dyDescent="0.25">
      <c r="B13" s="11">
        <v>36526</v>
      </c>
      <c r="C13">
        <v>2.7900000000000001E-2</v>
      </c>
      <c r="H13" s="2"/>
    </row>
    <row r="14" spans="1:8" x14ac:dyDescent="0.25">
      <c r="B14" s="11">
        <v>36557</v>
      </c>
      <c r="C14">
        <v>2.7699999999999999E-2</v>
      </c>
      <c r="H14" s="2"/>
    </row>
    <row r="15" spans="1:8" x14ac:dyDescent="0.25">
      <c r="B15" s="11">
        <v>36586</v>
      </c>
      <c r="C15">
        <v>2.81E-2</v>
      </c>
      <c r="H15" s="2"/>
    </row>
    <row r="16" spans="1:8" x14ac:dyDescent="0.25">
      <c r="B16" s="11">
        <v>36617</v>
      </c>
      <c r="H16" s="2"/>
    </row>
    <row r="17" spans="2:8" x14ac:dyDescent="0.25">
      <c r="B17" s="11">
        <v>36647</v>
      </c>
      <c r="H17" s="2"/>
    </row>
    <row r="18" spans="2:8" x14ac:dyDescent="0.25">
      <c r="B18" s="11">
        <v>36678</v>
      </c>
      <c r="H18" s="2"/>
    </row>
    <row r="19" spans="2:8" x14ac:dyDescent="0.25">
      <c r="B19" s="11">
        <v>36708</v>
      </c>
      <c r="H19" s="2"/>
    </row>
    <row r="20" spans="2:8" x14ac:dyDescent="0.25">
      <c r="B20" s="11">
        <v>36739</v>
      </c>
      <c r="H20" s="2"/>
    </row>
    <row r="21" spans="2:8" x14ac:dyDescent="0.25">
      <c r="B21" s="11">
        <v>36770</v>
      </c>
      <c r="H21" s="2"/>
    </row>
    <row r="22" spans="2:8" x14ac:dyDescent="0.25">
      <c r="B22" s="11">
        <v>36800</v>
      </c>
      <c r="H22" s="2"/>
    </row>
    <row r="23" spans="2:8" x14ac:dyDescent="0.25">
      <c r="B23" s="11">
        <v>36831</v>
      </c>
      <c r="C23">
        <v>0.04</v>
      </c>
      <c r="H23" s="2"/>
    </row>
    <row r="24" spans="2:8" x14ac:dyDescent="0.25">
      <c r="B24" s="11">
        <v>36861</v>
      </c>
      <c r="C24">
        <v>3.56E-2</v>
      </c>
      <c r="H24" s="2"/>
    </row>
    <row r="25" spans="2:8" x14ac:dyDescent="0.25">
      <c r="B25" s="11">
        <v>36892</v>
      </c>
      <c r="C25">
        <v>2.7900000000000001E-2</v>
      </c>
      <c r="H25" s="2"/>
    </row>
    <row r="26" spans="2:8" x14ac:dyDescent="0.25">
      <c r="B26" s="11">
        <v>36923</v>
      </c>
      <c r="C26">
        <v>2.76E-2</v>
      </c>
      <c r="H26" s="2"/>
    </row>
    <row r="27" spans="2:8" x14ac:dyDescent="0.25">
      <c r="B27" s="11">
        <v>36951</v>
      </c>
      <c r="C27">
        <v>2.8000000000000001E-2</v>
      </c>
      <c r="H27" s="2"/>
    </row>
    <row r="28" spans="2:8" x14ac:dyDescent="0.25">
      <c r="B28" s="11">
        <v>36982</v>
      </c>
      <c r="H28" s="2"/>
    </row>
    <row r="29" spans="2:8" x14ac:dyDescent="0.25">
      <c r="B29" s="11">
        <v>37012</v>
      </c>
      <c r="H29" s="2"/>
    </row>
    <row r="30" spans="2:8" x14ac:dyDescent="0.25">
      <c r="B30" s="11">
        <v>37043</v>
      </c>
      <c r="H30" s="2"/>
    </row>
    <row r="31" spans="2:8" x14ac:dyDescent="0.25">
      <c r="B31" s="11">
        <v>37073</v>
      </c>
      <c r="H31" s="2"/>
    </row>
    <row r="32" spans="2:8" x14ac:dyDescent="0.25">
      <c r="B32" s="11">
        <v>37104</v>
      </c>
      <c r="H32" s="2"/>
    </row>
    <row r="33" spans="2:8" x14ac:dyDescent="0.25">
      <c r="B33" s="11">
        <v>37135</v>
      </c>
      <c r="H33" s="2"/>
    </row>
    <row r="34" spans="2:8" x14ac:dyDescent="0.25">
      <c r="B34" s="11">
        <v>37165</v>
      </c>
      <c r="H34" s="2"/>
    </row>
    <row r="35" spans="2:8" x14ac:dyDescent="0.25">
      <c r="B35" s="11">
        <v>37196</v>
      </c>
      <c r="C35">
        <v>3.9899999999999998E-2</v>
      </c>
      <c r="H35" s="2"/>
    </row>
    <row r="36" spans="2:8" x14ac:dyDescent="0.25">
      <c r="B36" s="11">
        <v>37226</v>
      </c>
      <c r="C36">
        <v>3.56E-2</v>
      </c>
      <c r="H36" s="2"/>
    </row>
    <row r="37" spans="2:8" x14ac:dyDescent="0.25">
      <c r="B37" s="11">
        <v>37257</v>
      </c>
      <c r="C37">
        <v>2.7900000000000001E-2</v>
      </c>
      <c r="H37" s="2"/>
    </row>
    <row r="38" spans="2:8" x14ac:dyDescent="0.25">
      <c r="B38" s="11">
        <v>37288</v>
      </c>
      <c r="C38">
        <v>2.76E-2</v>
      </c>
      <c r="H38" s="2"/>
    </row>
    <row r="39" spans="2:8" x14ac:dyDescent="0.25">
      <c r="B39" s="11">
        <v>37316</v>
      </c>
      <c r="C39">
        <v>2.8000000000000001E-2</v>
      </c>
      <c r="H39" s="2"/>
    </row>
    <row r="40" spans="2:8" x14ac:dyDescent="0.25">
      <c r="B40" s="11">
        <v>37347</v>
      </c>
      <c r="H40" s="2"/>
    </row>
    <row r="41" spans="2:8" x14ac:dyDescent="0.25">
      <c r="B41" s="11">
        <v>37377</v>
      </c>
      <c r="H41" s="2"/>
    </row>
    <row r="42" spans="2:8" x14ac:dyDescent="0.25">
      <c r="B42" s="11">
        <v>37408</v>
      </c>
      <c r="H42" s="2"/>
    </row>
    <row r="43" spans="2:8" x14ac:dyDescent="0.25">
      <c r="B43" s="11">
        <v>37438</v>
      </c>
      <c r="H43" s="2"/>
    </row>
    <row r="44" spans="2:8" x14ac:dyDescent="0.25">
      <c r="B44" s="11">
        <v>37469</v>
      </c>
    </row>
    <row r="45" spans="2:8" x14ac:dyDescent="0.25">
      <c r="B45" s="11">
        <v>37500</v>
      </c>
    </row>
    <row r="46" spans="2:8" x14ac:dyDescent="0.25">
      <c r="B46" s="11">
        <v>37530</v>
      </c>
    </row>
    <row r="47" spans="2:8" x14ac:dyDescent="0.25">
      <c r="B47" s="11">
        <v>37561</v>
      </c>
      <c r="C47">
        <v>0.02</v>
      </c>
    </row>
    <row r="48" spans="2:8" x14ac:dyDescent="0.25">
      <c r="B48" s="11">
        <v>37591</v>
      </c>
      <c r="C48">
        <v>2.3699999999999999E-2</v>
      </c>
    </row>
    <row r="49" spans="2:3" x14ac:dyDescent="0.25">
      <c r="B49" s="11">
        <v>37622</v>
      </c>
      <c r="C49">
        <v>1.84E-2</v>
      </c>
    </row>
    <row r="50" spans="2:3" x14ac:dyDescent="0.25">
      <c r="B50" s="11">
        <v>37653</v>
      </c>
      <c r="C50">
        <v>1.4200000000000001E-2</v>
      </c>
    </row>
    <row r="51" spans="2:3" x14ac:dyDescent="0.25">
      <c r="B51" s="11">
        <v>37681</v>
      </c>
      <c r="C51">
        <v>1.18E-2</v>
      </c>
    </row>
    <row r="52" spans="2:3" x14ac:dyDescent="0.25">
      <c r="B52" s="11">
        <v>37712</v>
      </c>
    </row>
    <row r="53" spans="2:3" x14ac:dyDescent="0.25">
      <c r="B53" s="11">
        <v>37742</v>
      </c>
    </row>
    <row r="54" spans="2:3" x14ac:dyDescent="0.25">
      <c r="B54" s="11">
        <v>37773</v>
      </c>
    </row>
    <row r="55" spans="2:3" x14ac:dyDescent="0.25">
      <c r="B55" s="11">
        <v>37803</v>
      </c>
    </row>
    <row r="56" spans="2:3" x14ac:dyDescent="0.25">
      <c r="B56" s="11">
        <v>37834</v>
      </c>
    </row>
    <row r="57" spans="2:3" x14ac:dyDescent="0.25">
      <c r="B57" s="11">
        <v>37865</v>
      </c>
    </row>
    <row r="58" spans="2:3" x14ac:dyDescent="0.25">
      <c r="B58" s="11">
        <v>37895</v>
      </c>
    </row>
    <row r="59" spans="2:3" x14ac:dyDescent="0.25">
      <c r="B59" s="11">
        <v>37926</v>
      </c>
      <c r="C59">
        <v>0.02</v>
      </c>
    </row>
    <row r="60" spans="2:3" x14ac:dyDescent="0.25">
      <c r="B60" s="11">
        <v>37956</v>
      </c>
      <c r="C60">
        <v>2.3699999999999999E-2</v>
      </c>
    </row>
    <row r="61" spans="2:3" x14ac:dyDescent="0.25">
      <c r="B61" s="11">
        <v>37987</v>
      </c>
      <c r="C61">
        <v>1.84E-2</v>
      </c>
    </row>
    <row r="62" spans="2:3" x14ac:dyDescent="0.25">
      <c r="B62" s="11">
        <v>38018</v>
      </c>
      <c r="C62">
        <v>1.4200000000000001E-2</v>
      </c>
    </row>
    <row r="63" spans="2:3" x14ac:dyDescent="0.25">
      <c r="B63" s="11">
        <v>38047</v>
      </c>
      <c r="C63">
        <v>1.18E-2</v>
      </c>
    </row>
    <row r="64" spans="2:3" x14ac:dyDescent="0.25">
      <c r="B64" s="11">
        <v>38078</v>
      </c>
    </row>
    <row r="65" spans="2:3" x14ac:dyDescent="0.25">
      <c r="B65" s="11">
        <v>38108</v>
      </c>
    </row>
    <row r="66" spans="2:3" x14ac:dyDescent="0.25">
      <c r="B66" s="11">
        <v>38139</v>
      </c>
    </row>
    <row r="67" spans="2:3" x14ac:dyDescent="0.25">
      <c r="B67" s="11">
        <v>38169</v>
      </c>
    </row>
    <row r="68" spans="2:3" x14ac:dyDescent="0.25">
      <c r="B68" s="11">
        <v>38200</v>
      </c>
    </row>
    <row r="69" spans="2:3" x14ac:dyDescent="0.25">
      <c r="B69" s="11">
        <v>38231</v>
      </c>
    </row>
    <row r="70" spans="2:3" x14ac:dyDescent="0.25">
      <c r="B70" s="11">
        <v>38261</v>
      </c>
    </row>
    <row r="71" spans="2:3" x14ac:dyDescent="0.25">
      <c r="B71" s="11">
        <v>38292</v>
      </c>
      <c r="C71">
        <v>0.02</v>
      </c>
    </row>
    <row r="72" spans="2:3" x14ac:dyDescent="0.25">
      <c r="B72" s="11">
        <v>38322</v>
      </c>
      <c r="C72">
        <v>2.3699999999999999E-2</v>
      </c>
    </row>
    <row r="73" spans="2:3" x14ac:dyDescent="0.25">
      <c r="B73" s="11">
        <v>38353</v>
      </c>
      <c r="C73">
        <v>1.84E-2</v>
      </c>
    </row>
    <row r="74" spans="2:3" x14ac:dyDescent="0.25">
      <c r="B74" s="11">
        <v>38384</v>
      </c>
      <c r="C74">
        <v>1.4200000000000001E-2</v>
      </c>
    </row>
    <row r="75" spans="2:3" x14ac:dyDescent="0.25">
      <c r="B75" s="11">
        <v>38412</v>
      </c>
      <c r="C75">
        <v>1.18E-2</v>
      </c>
    </row>
    <row r="76" spans="2:3" x14ac:dyDescent="0.25">
      <c r="B76" s="11">
        <v>38443</v>
      </c>
    </row>
    <row r="77" spans="2:3" x14ac:dyDescent="0.25">
      <c r="B77" s="11">
        <v>38473</v>
      </c>
    </row>
    <row r="78" spans="2:3" x14ac:dyDescent="0.25">
      <c r="B78" s="11">
        <v>38504</v>
      </c>
    </row>
    <row r="79" spans="2:3" x14ac:dyDescent="0.25">
      <c r="B79" s="11">
        <v>38534</v>
      </c>
    </row>
    <row r="80" spans="2:3" x14ac:dyDescent="0.25">
      <c r="B80" s="11">
        <v>38565</v>
      </c>
    </row>
    <row r="81" spans="2:3" x14ac:dyDescent="0.25">
      <c r="B81" s="11">
        <v>38596</v>
      </c>
    </row>
    <row r="82" spans="2:3" x14ac:dyDescent="0.25">
      <c r="B82" s="11">
        <v>38626</v>
      </c>
    </row>
    <row r="83" spans="2:3" x14ac:dyDescent="0.25">
      <c r="B83" s="11">
        <v>38657</v>
      </c>
      <c r="C83">
        <v>0.02</v>
      </c>
    </row>
    <row r="84" spans="2:3" x14ac:dyDescent="0.25">
      <c r="B84" s="11">
        <v>38687</v>
      </c>
      <c r="C84">
        <v>2.3699999999999999E-2</v>
      </c>
    </row>
    <row r="85" spans="2:3" x14ac:dyDescent="0.25">
      <c r="B85" s="11">
        <v>38718</v>
      </c>
      <c r="C85">
        <v>1.84E-2</v>
      </c>
    </row>
    <row r="86" spans="2:3" x14ac:dyDescent="0.25">
      <c r="B86" s="11">
        <v>38749</v>
      </c>
      <c r="C86">
        <v>1.4200000000000001E-2</v>
      </c>
    </row>
    <row r="87" spans="2:3" x14ac:dyDescent="0.25">
      <c r="B87" s="11">
        <v>38777</v>
      </c>
      <c r="C87">
        <v>1.18E-2</v>
      </c>
    </row>
    <row r="88" spans="2:3" x14ac:dyDescent="0.25">
      <c r="B88" s="11">
        <v>38808</v>
      </c>
    </row>
    <row r="89" spans="2:3" x14ac:dyDescent="0.25">
      <c r="B89" s="11">
        <v>38838</v>
      </c>
    </row>
    <row r="90" spans="2:3" x14ac:dyDescent="0.25">
      <c r="B90" s="11">
        <v>38869</v>
      </c>
    </row>
    <row r="91" spans="2:3" x14ac:dyDescent="0.25">
      <c r="B91" s="11">
        <v>38899</v>
      </c>
    </row>
    <row r="92" spans="2:3" x14ac:dyDescent="0.25">
      <c r="B92" s="11">
        <v>38930</v>
      </c>
    </row>
    <row r="93" spans="2:3" x14ac:dyDescent="0.25">
      <c r="B93" s="11">
        <v>38961</v>
      </c>
    </row>
    <row r="94" spans="2:3" x14ac:dyDescent="0.25">
      <c r="B94" s="11">
        <v>38991</v>
      </c>
    </row>
    <row r="95" spans="2:3" x14ac:dyDescent="0.25">
      <c r="B95" s="11">
        <v>39022</v>
      </c>
      <c r="C95">
        <v>3.771E-2</v>
      </c>
    </row>
    <row r="96" spans="2:3" x14ac:dyDescent="0.25">
      <c r="B96" s="11">
        <v>39052</v>
      </c>
      <c r="C96">
        <v>3.4500000000000003E-2</v>
      </c>
    </row>
    <row r="97" spans="2:3" x14ac:dyDescent="0.25">
      <c r="B97" s="11">
        <v>39083</v>
      </c>
      <c r="C97">
        <v>2.7220000000000001E-2</v>
      </c>
    </row>
    <row r="98" spans="2:3" x14ac:dyDescent="0.25">
      <c r="B98" s="11">
        <v>39114</v>
      </c>
      <c r="C98">
        <v>2.6669999999999999E-2</v>
      </c>
    </row>
    <row r="99" spans="2:3" x14ac:dyDescent="0.25">
      <c r="B99" s="11">
        <v>39142</v>
      </c>
      <c r="C99">
        <v>2.6679999999999999E-2</v>
      </c>
    </row>
  </sheetData>
  <pageMargins left="0.75" right="0.75" top="1" bottom="1" header="0.5" footer="0.5"/>
  <pageSetup scale="5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1"/>
  <sheetViews>
    <sheetView topLeftCell="A8" workbookViewId="0">
      <selection activeCell="C36" sqref="C36"/>
    </sheetView>
  </sheetViews>
  <sheetFormatPr defaultRowHeight="13.2" x14ac:dyDescent="0.25"/>
  <cols>
    <col min="1" max="1" width="18.88671875" customWidth="1"/>
    <col min="2" max="2" width="10.88671875" customWidth="1"/>
    <col min="3" max="3" width="11.44140625" customWidth="1"/>
    <col min="4" max="4" width="11.6640625" customWidth="1"/>
    <col min="5" max="5" width="15" customWidth="1"/>
  </cols>
  <sheetData>
    <row r="1" spans="1:7" x14ac:dyDescent="0.25">
      <c r="A1" s="6" t="s">
        <v>39</v>
      </c>
      <c r="B1" s="166">
        <f>'R&amp;C Model'!B1</f>
        <v>36495</v>
      </c>
    </row>
    <row r="2" spans="1:7" x14ac:dyDescent="0.25">
      <c r="A2" s="6" t="s">
        <v>38</v>
      </c>
      <c r="B2" s="71">
        <f>VLOOKUP($B$1,'6,7,5 vols'!$A$1:$O$86,2)</f>
        <v>31</v>
      </c>
    </row>
    <row r="3" spans="1:7" x14ac:dyDescent="0.25">
      <c r="A3" s="6" t="s">
        <v>90</v>
      </c>
      <c r="B3" s="71">
        <f>VLOOKUP($B$1,'6,7,5 vols'!$A$1:$O$86,8)</f>
        <v>1177999.9300000002</v>
      </c>
    </row>
    <row r="5" spans="1:7" x14ac:dyDescent="0.25">
      <c r="A5" s="6" t="s">
        <v>161</v>
      </c>
      <c r="B5" s="170">
        <f>'R&amp;C Model'!B9</f>
        <v>2.11</v>
      </c>
    </row>
    <row r="6" spans="1:7" x14ac:dyDescent="0.25">
      <c r="A6" s="6" t="s">
        <v>162</v>
      </c>
      <c r="B6" s="171">
        <f>'R&amp;C Model'!B10</f>
        <v>-0.02</v>
      </c>
    </row>
    <row r="8" spans="1:7" x14ac:dyDescent="0.25">
      <c r="A8" s="9" t="s">
        <v>159</v>
      </c>
    </row>
    <row r="9" spans="1:7" x14ac:dyDescent="0.25">
      <c r="A9" s="6" t="s">
        <v>164</v>
      </c>
      <c r="B9" s="167">
        <f>30+120000+154276+990000+63000</f>
        <v>1327306</v>
      </c>
      <c r="C9" s="126" t="s">
        <v>173</v>
      </c>
    </row>
    <row r="10" spans="1:7" x14ac:dyDescent="0.25">
      <c r="A10" s="6" t="s">
        <v>163</v>
      </c>
      <c r="B10" s="71">
        <f>VLOOKUP($B$1,'6,7,5 vols'!$A$1:$O$86,11)</f>
        <v>930000</v>
      </c>
      <c r="E10" s="59"/>
    </row>
    <row r="11" spans="1:7" x14ac:dyDescent="0.25">
      <c r="A11" s="6" t="s">
        <v>151</v>
      </c>
      <c r="B11" s="146">
        <f>$B$5+$B$6+VLOOKUP($B$1,'6,7,5 vols'!$A$1:$Q$86,13)</f>
        <v>2.11</v>
      </c>
    </row>
    <row r="12" spans="1:7" x14ac:dyDescent="0.25">
      <c r="A12" s="6" t="s">
        <v>165</v>
      </c>
      <c r="B12" s="145">
        <f>$B$5+VLOOKUP($B$1,'6,7,5 vols'!$A$1:$Q$86,12)+VLOOKUP($B$1,'6,7,5 vols'!$A$1:$Q$86,13)</f>
        <v>2.04</v>
      </c>
      <c r="G12" s="59"/>
    </row>
    <row r="13" spans="1:7" x14ac:dyDescent="0.25">
      <c r="E13" s="59">
        <f>B9+B15</f>
        <v>1566326</v>
      </c>
    </row>
    <row r="14" spans="1:7" x14ac:dyDescent="0.25">
      <c r="A14" s="9" t="s">
        <v>160</v>
      </c>
    </row>
    <row r="15" spans="1:7" x14ac:dyDescent="0.25">
      <c r="A15" s="6" t="str">
        <f>A9</f>
        <v>Actual Volume</v>
      </c>
      <c r="B15" s="167">
        <f>88278+24650+126092</f>
        <v>239020</v>
      </c>
      <c r="C15">
        <v>70550</v>
      </c>
    </row>
    <row r="16" spans="1:7" x14ac:dyDescent="0.25">
      <c r="A16" s="6" t="str">
        <f>A10</f>
        <v>Booked Volume</v>
      </c>
      <c r="B16" s="71">
        <f>VLOOKUP($B$1,'6,7,5 vols'!$A$1:$O$86,15)</f>
        <v>248000</v>
      </c>
    </row>
    <row r="17" spans="1:12" x14ac:dyDescent="0.25">
      <c r="A17" s="6" t="str">
        <f>A11</f>
        <v>Desk Price</v>
      </c>
      <c r="B17" s="146">
        <f>$B$5+$B$6+VLOOKUP($B$1,'6,7,5 vols'!$A$1:$Q$86,17)</f>
        <v>2.1989000000000001</v>
      </c>
    </row>
    <row r="18" spans="1:12" x14ac:dyDescent="0.25">
      <c r="A18" s="6" t="str">
        <f>A12</f>
        <v>Customer Price</v>
      </c>
      <c r="B18" s="145">
        <f>$B$5+VLOOKUP($B$1,'6,7,5 vols'!$A$1:$Q$86,16)+VLOOKUP($B$1,'6,7,5 vols'!$A$1:$Q$86,17)</f>
        <v>1.99</v>
      </c>
    </row>
    <row r="20" spans="1:12" x14ac:dyDescent="0.25">
      <c r="B20" s="66"/>
      <c r="C20" s="65"/>
      <c r="K20" s="3"/>
      <c r="L20" s="3"/>
    </row>
    <row r="21" spans="1:12" x14ac:dyDescent="0.25">
      <c r="A21" s="147"/>
      <c r="B21" s="148" t="s">
        <v>97</v>
      </c>
      <c r="C21" s="105"/>
      <c r="D21" s="105"/>
      <c r="E21" s="107"/>
      <c r="K21" s="77"/>
      <c r="L21" s="3"/>
    </row>
    <row r="22" spans="1:12" x14ac:dyDescent="0.25">
      <c r="A22" s="108"/>
      <c r="B22" s="149"/>
      <c r="C22" s="96"/>
      <c r="D22" s="96"/>
      <c r="E22" s="93"/>
      <c r="K22" s="3"/>
      <c r="L22" s="3"/>
    </row>
    <row r="23" spans="1:12" x14ac:dyDescent="0.25">
      <c r="A23" s="108"/>
      <c r="B23" s="198" t="s">
        <v>98</v>
      </c>
      <c r="C23" s="200"/>
      <c r="D23" s="67" t="s">
        <v>99</v>
      </c>
      <c r="E23" s="61" t="s">
        <v>100</v>
      </c>
      <c r="K23" s="78"/>
      <c r="L23" s="3"/>
    </row>
    <row r="24" spans="1:12" x14ac:dyDescent="0.25">
      <c r="A24" s="108"/>
      <c r="B24" s="94"/>
      <c r="C24" s="131"/>
      <c r="D24" s="94"/>
      <c r="E24" s="131"/>
      <c r="K24" s="79"/>
      <c r="L24" s="3"/>
    </row>
    <row r="25" spans="1:12" x14ac:dyDescent="0.25">
      <c r="A25" s="116" t="s">
        <v>158</v>
      </c>
      <c r="B25" s="217">
        <f>B9*B11</f>
        <v>2800615.6599999997</v>
      </c>
      <c r="C25" s="208"/>
      <c r="D25" s="94">
        <f>IF(B9&lt;B10,B9*B12,B10*B12)</f>
        <v>1897200</v>
      </c>
      <c r="E25" s="150">
        <f>B10*($B$6-(VLOOKUP($B$1,'6,7,5 vols'!$A1:Q$86,12)))</f>
        <v>65099.999999999993</v>
      </c>
      <c r="G25" s="73"/>
      <c r="H25" s="74"/>
      <c r="K25" s="79"/>
      <c r="L25" s="3"/>
    </row>
    <row r="26" spans="1:12" x14ac:dyDescent="0.25">
      <c r="B26" s="96"/>
      <c r="C26" s="154"/>
      <c r="D26" s="94">
        <f>IF(B9&gt;B10,(B9-B10)*(B5+0.05),0)</f>
        <v>858180.95999999985</v>
      </c>
      <c r="E26" s="150">
        <f>B16*($B$6-(VLOOKUP($B$1,'6,7,5 vols'!$A2:Q$86,16)))</f>
        <v>51807.199999999997</v>
      </c>
      <c r="G26" s="72"/>
      <c r="H26" s="74"/>
      <c r="K26" s="59"/>
    </row>
    <row r="27" spans="1:12" x14ac:dyDescent="0.25">
      <c r="A27" s="116" t="s">
        <v>84</v>
      </c>
      <c r="B27" s="217">
        <f>B15*B17</f>
        <v>525581.07799999998</v>
      </c>
      <c r="C27" s="208"/>
      <c r="D27" s="94">
        <f>B15*B18</f>
        <v>475649.8</v>
      </c>
      <c r="E27" s="150"/>
      <c r="G27" s="73"/>
      <c r="H27" s="74"/>
      <c r="K27" s="59"/>
    </row>
    <row r="28" spans="1:12" x14ac:dyDescent="0.25">
      <c r="A28" s="108"/>
      <c r="B28" s="217"/>
      <c r="C28" s="208"/>
      <c r="D28" s="94"/>
      <c r="E28" s="150"/>
      <c r="G28" s="72"/>
      <c r="H28" s="74"/>
      <c r="K28" s="75"/>
    </row>
    <row r="29" spans="1:12" x14ac:dyDescent="0.25">
      <c r="A29" s="108"/>
      <c r="B29" s="217"/>
      <c r="C29" s="208"/>
      <c r="D29" s="94"/>
      <c r="E29" s="150"/>
    </row>
    <row r="30" spans="1:12" x14ac:dyDescent="0.25">
      <c r="A30" s="108"/>
      <c r="B30" s="218"/>
      <c r="C30" s="219"/>
      <c r="D30" s="99"/>
      <c r="E30" s="151"/>
      <c r="F30" s="3"/>
      <c r="G30" s="72"/>
    </row>
    <row r="31" spans="1:12" x14ac:dyDescent="0.25">
      <c r="A31" s="152" t="s">
        <v>102</v>
      </c>
      <c r="B31" s="220">
        <f>SUM(B25:C30)</f>
        <v>3326196.7379999999</v>
      </c>
      <c r="C31" s="221"/>
      <c r="D31" s="99">
        <f>SUM(D25:D30)</f>
        <v>3231030.76</v>
      </c>
      <c r="E31" s="140">
        <f>SUM(E25:E30)</f>
        <v>116907.19999999998</v>
      </c>
    </row>
    <row r="32" spans="1:12" x14ac:dyDescent="0.25">
      <c r="B32" s="69"/>
      <c r="D32" s="70"/>
      <c r="E32" s="69"/>
    </row>
    <row r="34" spans="1:5" x14ac:dyDescent="0.25">
      <c r="B34" s="6" t="s">
        <v>103</v>
      </c>
      <c r="C34" s="215">
        <f>D31+E31-B31</f>
        <v>21741.222000000067</v>
      </c>
      <c r="D34" s="216"/>
    </row>
    <row r="36" spans="1:5" x14ac:dyDescent="0.25">
      <c r="A36" s="1" t="s">
        <v>104</v>
      </c>
    </row>
    <row r="38" spans="1:5" x14ac:dyDescent="0.25">
      <c r="A38" s="6" t="s">
        <v>166</v>
      </c>
      <c r="C38" s="80">
        <f>+B15</f>
        <v>239020</v>
      </c>
      <c r="D38" t="s">
        <v>171</v>
      </c>
      <c r="E38" s="155">
        <v>70550</v>
      </c>
    </row>
    <row r="39" spans="1:5" x14ac:dyDescent="0.25">
      <c r="A39" s="4"/>
    </row>
    <row r="40" spans="1:5" x14ac:dyDescent="0.25">
      <c r="A40" s="6" t="s">
        <v>167</v>
      </c>
      <c r="C40" s="146">
        <f>C34/C38</f>
        <v>9.0959844364488604E-2</v>
      </c>
    </row>
    <row r="41" spans="1:5" x14ac:dyDescent="0.25">
      <c r="C41" s="4"/>
    </row>
  </sheetData>
  <mergeCells count="8">
    <mergeCell ref="C34:D34"/>
    <mergeCell ref="B29:C29"/>
    <mergeCell ref="B30:C30"/>
    <mergeCell ref="B31:C31"/>
    <mergeCell ref="B28:C28"/>
    <mergeCell ref="B23:C23"/>
    <mergeCell ref="B25:C25"/>
    <mergeCell ref="B27:C27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9"/>
  <sheetViews>
    <sheetView workbookViewId="0">
      <selection activeCell="I10" sqref="I10"/>
    </sheetView>
  </sheetViews>
  <sheetFormatPr defaultRowHeight="13.2" x14ac:dyDescent="0.25"/>
  <cols>
    <col min="8" max="8" width="10.33203125" bestFit="1" customWidth="1"/>
    <col min="10" max="10" width="8.88671875" customWidth="1"/>
    <col min="11" max="11" width="10.5546875" customWidth="1"/>
  </cols>
  <sheetData>
    <row r="1" spans="1:17" ht="52.8" x14ac:dyDescent="0.25">
      <c r="A1" s="22" t="s">
        <v>39</v>
      </c>
      <c r="B1" s="22" t="s">
        <v>38</v>
      </c>
      <c r="C1" s="23">
        <v>70495</v>
      </c>
      <c r="D1" s="23">
        <v>70550</v>
      </c>
      <c r="E1" s="23">
        <v>70499</v>
      </c>
      <c r="F1" s="23"/>
      <c r="H1" s="19" t="s">
        <v>41</v>
      </c>
      <c r="I1" s="6" t="s">
        <v>89</v>
      </c>
      <c r="K1" s="19" t="s">
        <v>154</v>
      </c>
      <c r="L1" s="19" t="s">
        <v>156</v>
      </c>
      <c r="M1" s="19" t="s">
        <v>157</v>
      </c>
      <c r="N1" s="19"/>
      <c r="O1" s="19" t="s">
        <v>155</v>
      </c>
      <c r="P1" s="19" t="s">
        <v>156</v>
      </c>
      <c r="Q1" s="19" t="s">
        <v>157</v>
      </c>
    </row>
    <row r="2" spans="1:17" x14ac:dyDescent="0.25">
      <c r="A2" s="24" t="s">
        <v>54</v>
      </c>
      <c r="B2" s="9"/>
      <c r="C2" s="25">
        <v>6</v>
      </c>
      <c r="D2" s="19">
        <v>7</v>
      </c>
      <c r="E2" s="19">
        <v>5</v>
      </c>
      <c r="F2" s="26"/>
      <c r="H2" s="141">
        <v>8</v>
      </c>
      <c r="I2" s="36">
        <f>H2+1</f>
        <v>9</v>
      </c>
      <c r="J2" s="36">
        <f t="shared" ref="J2:Q2" si="0">I2+1</f>
        <v>10</v>
      </c>
      <c r="K2" s="36">
        <f t="shared" si="0"/>
        <v>11</v>
      </c>
      <c r="L2" s="36">
        <f t="shared" si="0"/>
        <v>12</v>
      </c>
      <c r="M2" s="36">
        <f t="shared" si="0"/>
        <v>13</v>
      </c>
      <c r="N2" s="36">
        <f t="shared" si="0"/>
        <v>14</v>
      </c>
      <c r="O2" s="36">
        <f t="shared" si="0"/>
        <v>15</v>
      </c>
      <c r="P2" s="36">
        <f t="shared" si="0"/>
        <v>16</v>
      </c>
      <c r="Q2" s="36">
        <f t="shared" si="0"/>
        <v>17</v>
      </c>
    </row>
    <row r="3" spans="1:17" x14ac:dyDescent="0.25">
      <c r="A3" s="11">
        <v>36251</v>
      </c>
      <c r="B3" s="15">
        <v>30</v>
      </c>
      <c r="C3" s="8">
        <f>20000*B3</f>
        <v>600000</v>
      </c>
      <c r="D3" s="18">
        <f>8000*B3</f>
        <v>240000</v>
      </c>
      <c r="E3" s="8">
        <f>10000*B3</f>
        <v>300000</v>
      </c>
      <c r="F3" s="8"/>
      <c r="H3" s="10">
        <f t="shared" ref="H3:H34" si="1">SUM(K3:O3)</f>
        <v>1139999.9300000002</v>
      </c>
      <c r="I3" s="4">
        <f>H3/B3</f>
        <v>37999.99766666667</v>
      </c>
      <c r="K3" s="18">
        <f>30000*'1-10 vols'!B3</f>
        <v>900000</v>
      </c>
      <c r="L3" s="143">
        <v>-0.09</v>
      </c>
      <c r="M3" s="143">
        <v>0.02</v>
      </c>
      <c r="N3" s="18"/>
      <c r="O3" s="18">
        <f>8000*'1-10 vols'!B3</f>
        <v>240000</v>
      </c>
      <c r="P3" s="144">
        <v>-0.22889999999999999</v>
      </c>
      <c r="Q3" s="144">
        <v>0.1089</v>
      </c>
    </row>
    <row r="4" spans="1:17" x14ac:dyDescent="0.25">
      <c r="A4" s="11">
        <v>36281</v>
      </c>
      <c r="B4" s="15">
        <v>31</v>
      </c>
      <c r="C4" s="8">
        <f t="shared" ref="C4:C67" si="2">20000*B4</f>
        <v>620000</v>
      </c>
      <c r="D4" s="18">
        <f t="shared" ref="D4:D67" si="3">8000*B4</f>
        <v>248000</v>
      </c>
      <c r="E4" s="8">
        <f t="shared" ref="E4:E67" si="4">10000*B4</f>
        <v>310000</v>
      </c>
      <c r="F4" s="8"/>
      <c r="H4" s="10">
        <f t="shared" si="1"/>
        <v>1177999.9300000002</v>
      </c>
      <c r="I4" s="4">
        <f t="shared" ref="I4:I67" si="5">H4/B4</f>
        <v>37999.997741935491</v>
      </c>
      <c r="K4" s="18">
        <f>30000*'1-10 vols'!B4</f>
        <v>930000</v>
      </c>
      <c r="L4" s="143">
        <v>-0.09</v>
      </c>
      <c r="M4" s="143">
        <v>0.02</v>
      </c>
      <c r="N4" s="18"/>
      <c r="O4" s="18">
        <f>8000*'1-10 vols'!B4</f>
        <v>248000</v>
      </c>
      <c r="P4" s="144">
        <v>-0.22889999999999999</v>
      </c>
      <c r="Q4" s="144">
        <v>0.1089</v>
      </c>
    </row>
    <row r="5" spans="1:17" x14ac:dyDescent="0.25">
      <c r="A5" s="11">
        <v>36312</v>
      </c>
      <c r="B5" s="15">
        <v>30</v>
      </c>
      <c r="C5" s="8">
        <f t="shared" si="2"/>
        <v>600000</v>
      </c>
      <c r="D5" s="18">
        <f t="shared" si="3"/>
        <v>240000</v>
      </c>
      <c r="E5" s="8">
        <f t="shared" si="4"/>
        <v>300000</v>
      </c>
      <c r="F5" s="8"/>
      <c r="H5" s="10">
        <f t="shared" si="1"/>
        <v>1139999.9300000002</v>
      </c>
      <c r="I5" s="4">
        <f t="shared" si="5"/>
        <v>37999.99766666667</v>
      </c>
      <c r="K5" s="18">
        <f>30000*'1-10 vols'!B5</f>
        <v>900000</v>
      </c>
      <c r="L5" s="143">
        <v>-0.09</v>
      </c>
      <c r="M5" s="143">
        <v>0.02</v>
      </c>
      <c r="N5" s="18"/>
      <c r="O5" s="18">
        <f>8000*'1-10 vols'!B5</f>
        <v>240000</v>
      </c>
      <c r="P5" s="144">
        <v>-0.22889999999999999</v>
      </c>
      <c r="Q5" s="144">
        <v>0.1089</v>
      </c>
    </row>
    <row r="6" spans="1:17" x14ac:dyDescent="0.25">
      <c r="A6" s="11">
        <v>36342</v>
      </c>
      <c r="B6" s="15">
        <v>31</v>
      </c>
      <c r="C6" s="8">
        <f t="shared" si="2"/>
        <v>620000</v>
      </c>
      <c r="D6" s="18">
        <f t="shared" si="3"/>
        <v>248000</v>
      </c>
      <c r="E6" s="8">
        <f t="shared" si="4"/>
        <v>310000</v>
      </c>
      <c r="F6" s="8"/>
      <c r="H6" s="10">
        <f t="shared" si="1"/>
        <v>1177999.9300000002</v>
      </c>
      <c r="I6" s="4">
        <f t="shared" si="5"/>
        <v>37999.997741935491</v>
      </c>
      <c r="K6" s="18">
        <f>30000*'1-10 vols'!B6</f>
        <v>930000</v>
      </c>
      <c r="L6" s="143">
        <v>-0.09</v>
      </c>
      <c r="M6" s="143">
        <v>0.02</v>
      </c>
      <c r="N6" s="18"/>
      <c r="O6" s="18">
        <f>8000*'1-10 vols'!B6</f>
        <v>248000</v>
      </c>
      <c r="P6" s="144">
        <v>-0.22889999999999999</v>
      </c>
      <c r="Q6" s="144">
        <v>0.1089</v>
      </c>
    </row>
    <row r="7" spans="1:17" x14ac:dyDescent="0.25">
      <c r="A7" s="11">
        <v>36373</v>
      </c>
      <c r="B7" s="15">
        <v>31</v>
      </c>
      <c r="C7" s="8">
        <f t="shared" si="2"/>
        <v>620000</v>
      </c>
      <c r="D7" s="18">
        <f t="shared" si="3"/>
        <v>248000</v>
      </c>
      <c r="E7" s="8">
        <f t="shared" si="4"/>
        <v>310000</v>
      </c>
      <c r="F7" s="8"/>
      <c r="H7" s="10">
        <f t="shared" si="1"/>
        <v>1177999.9300000002</v>
      </c>
      <c r="I7" s="4">
        <f t="shared" si="5"/>
        <v>37999.997741935491</v>
      </c>
      <c r="K7" s="18">
        <f>30000*'1-10 vols'!B7</f>
        <v>930000</v>
      </c>
      <c r="L7" s="143">
        <v>-0.09</v>
      </c>
      <c r="M7" s="143">
        <v>0.02</v>
      </c>
      <c r="N7" s="18"/>
      <c r="O7" s="18">
        <f>8000*'1-10 vols'!B7</f>
        <v>248000</v>
      </c>
      <c r="P7" s="144">
        <v>-0.22889999999999999</v>
      </c>
      <c r="Q7" s="144">
        <v>0.1089</v>
      </c>
    </row>
    <row r="8" spans="1:17" x14ac:dyDescent="0.25">
      <c r="A8" s="11">
        <v>36404</v>
      </c>
      <c r="B8" s="15">
        <v>30</v>
      </c>
      <c r="C8" s="8">
        <f t="shared" si="2"/>
        <v>600000</v>
      </c>
      <c r="D8" s="18">
        <f t="shared" si="3"/>
        <v>240000</v>
      </c>
      <c r="E8" s="8">
        <f t="shared" si="4"/>
        <v>300000</v>
      </c>
      <c r="F8" s="8"/>
      <c r="H8" s="10">
        <f t="shared" si="1"/>
        <v>1139999.9300000002</v>
      </c>
      <c r="I8" s="4">
        <f t="shared" si="5"/>
        <v>37999.99766666667</v>
      </c>
      <c r="K8" s="18">
        <f>30000*'1-10 vols'!B8</f>
        <v>900000</v>
      </c>
      <c r="L8" s="143">
        <v>-0.09</v>
      </c>
      <c r="M8" s="143">
        <v>0.02</v>
      </c>
      <c r="N8" s="18"/>
      <c r="O8" s="18">
        <f>8000*'1-10 vols'!B8</f>
        <v>240000</v>
      </c>
      <c r="P8" s="144">
        <v>-0.22889999999999999</v>
      </c>
      <c r="Q8" s="144">
        <v>0.1089</v>
      </c>
    </row>
    <row r="9" spans="1:17" x14ac:dyDescent="0.25">
      <c r="A9" s="11">
        <v>36434</v>
      </c>
      <c r="B9" s="15">
        <v>31</v>
      </c>
      <c r="C9" s="8">
        <f t="shared" si="2"/>
        <v>620000</v>
      </c>
      <c r="D9" s="18">
        <f t="shared" si="3"/>
        <v>248000</v>
      </c>
      <c r="E9" s="8">
        <f t="shared" si="4"/>
        <v>310000</v>
      </c>
      <c r="F9" s="8"/>
      <c r="H9" s="10">
        <f t="shared" si="1"/>
        <v>1177999.9300000002</v>
      </c>
      <c r="I9" s="4">
        <f t="shared" si="5"/>
        <v>37999.997741935491</v>
      </c>
      <c r="K9" s="18">
        <f>30000*'1-10 vols'!B9</f>
        <v>930000</v>
      </c>
      <c r="L9" s="143">
        <v>-0.09</v>
      </c>
      <c r="M9" s="143">
        <v>0.02</v>
      </c>
      <c r="N9" s="18"/>
      <c r="O9" s="18">
        <f>8000*'1-10 vols'!B9</f>
        <v>248000</v>
      </c>
      <c r="P9" s="144">
        <v>-0.22889999999999999</v>
      </c>
      <c r="Q9" s="144">
        <v>0.1089</v>
      </c>
    </row>
    <row r="10" spans="1:17" x14ac:dyDescent="0.25">
      <c r="A10" s="11">
        <v>36465</v>
      </c>
      <c r="B10" s="15">
        <v>30</v>
      </c>
      <c r="C10" s="8">
        <f t="shared" si="2"/>
        <v>600000</v>
      </c>
      <c r="D10" s="18">
        <f t="shared" si="3"/>
        <v>240000</v>
      </c>
      <c r="E10" s="8">
        <f t="shared" si="4"/>
        <v>300000</v>
      </c>
      <c r="F10" s="8"/>
      <c r="H10" s="10">
        <f t="shared" si="1"/>
        <v>1139999.9300000002</v>
      </c>
      <c r="I10" s="4">
        <f t="shared" si="5"/>
        <v>37999.99766666667</v>
      </c>
      <c r="K10" s="18">
        <f>30000*'1-10 vols'!B10</f>
        <v>900000</v>
      </c>
      <c r="L10" s="143">
        <v>-0.09</v>
      </c>
      <c r="M10" s="143">
        <v>0.02</v>
      </c>
      <c r="N10" s="18"/>
      <c r="O10" s="18">
        <f>8000*'1-10 vols'!B10</f>
        <v>240000</v>
      </c>
      <c r="P10" s="144">
        <v>-0.22889999999999999</v>
      </c>
      <c r="Q10" s="144">
        <v>0.1089</v>
      </c>
    </row>
    <row r="11" spans="1:17" x14ac:dyDescent="0.25">
      <c r="A11" s="11">
        <v>36495</v>
      </c>
      <c r="B11" s="15">
        <v>31</v>
      </c>
      <c r="C11" s="8">
        <f t="shared" si="2"/>
        <v>620000</v>
      </c>
      <c r="D11" s="18">
        <f t="shared" si="3"/>
        <v>248000</v>
      </c>
      <c r="E11" s="8">
        <f t="shared" si="4"/>
        <v>310000</v>
      </c>
      <c r="F11" s="8"/>
      <c r="H11" s="10">
        <f t="shared" si="1"/>
        <v>1177999.9300000002</v>
      </c>
      <c r="I11" s="4">
        <f t="shared" si="5"/>
        <v>37999.997741935491</v>
      </c>
      <c r="K11" s="18">
        <f>30000*'1-10 vols'!B11</f>
        <v>930000</v>
      </c>
      <c r="L11" s="143">
        <v>-0.09</v>
      </c>
      <c r="M11" s="143">
        <v>0.02</v>
      </c>
      <c r="N11" s="18"/>
      <c r="O11" s="18">
        <f>8000*'1-10 vols'!B11</f>
        <v>248000</v>
      </c>
      <c r="P11" s="144">
        <v>-0.22889999999999999</v>
      </c>
      <c r="Q11" s="144">
        <v>0.1089</v>
      </c>
    </row>
    <row r="12" spans="1:17" x14ac:dyDescent="0.25">
      <c r="A12" s="11">
        <v>36526</v>
      </c>
      <c r="B12" s="15">
        <v>31</v>
      </c>
      <c r="C12" s="8">
        <f t="shared" si="2"/>
        <v>620000</v>
      </c>
      <c r="D12" s="18">
        <f t="shared" si="3"/>
        <v>248000</v>
      </c>
      <c r="E12" s="8">
        <f t="shared" si="4"/>
        <v>310000</v>
      </c>
      <c r="F12" s="8"/>
      <c r="H12" s="10">
        <f t="shared" si="1"/>
        <v>1177999.9300000002</v>
      </c>
      <c r="I12" s="4">
        <f t="shared" si="5"/>
        <v>37999.997741935491</v>
      </c>
      <c r="K12" s="18">
        <f>30000*'1-10 vols'!B12</f>
        <v>930000</v>
      </c>
      <c r="L12" s="143">
        <v>-0.09</v>
      </c>
      <c r="M12" s="143">
        <v>0.02</v>
      </c>
      <c r="N12" s="18"/>
      <c r="O12" s="18">
        <f>8000*'1-10 vols'!B12</f>
        <v>248000</v>
      </c>
      <c r="P12" s="144">
        <v>-0.22889999999999999</v>
      </c>
      <c r="Q12" s="144">
        <v>0.1089</v>
      </c>
    </row>
    <row r="13" spans="1:17" x14ac:dyDescent="0.25">
      <c r="A13" s="11">
        <v>36557</v>
      </c>
      <c r="B13" s="15">
        <v>29</v>
      </c>
      <c r="C13" s="8">
        <f t="shared" si="2"/>
        <v>580000</v>
      </c>
      <c r="D13" s="18">
        <f t="shared" si="3"/>
        <v>232000</v>
      </c>
      <c r="E13" s="8">
        <f t="shared" si="4"/>
        <v>290000</v>
      </c>
      <c r="F13" s="8"/>
      <c r="H13" s="10">
        <f t="shared" si="1"/>
        <v>1101999.9300000002</v>
      </c>
      <c r="I13" s="4">
        <f t="shared" si="5"/>
        <v>37999.997586206904</v>
      </c>
      <c r="K13" s="18">
        <f>30000*'1-10 vols'!B13</f>
        <v>870000</v>
      </c>
      <c r="L13" s="143">
        <v>-0.09</v>
      </c>
      <c r="M13" s="143">
        <v>0.02</v>
      </c>
      <c r="N13" s="18"/>
      <c r="O13" s="18">
        <f>8000*'1-10 vols'!B13</f>
        <v>232000</v>
      </c>
      <c r="P13" s="144">
        <v>-0.22889999999999999</v>
      </c>
      <c r="Q13" s="144">
        <v>0.1089</v>
      </c>
    </row>
    <row r="14" spans="1:17" x14ac:dyDescent="0.25">
      <c r="A14" s="11">
        <v>36586</v>
      </c>
      <c r="B14" s="15">
        <v>31</v>
      </c>
      <c r="C14" s="8">
        <f t="shared" si="2"/>
        <v>620000</v>
      </c>
      <c r="D14" s="18">
        <f t="shared" si="3"/>
        <v>248000</v>
      </c>
      <c r="E14" s="8">
        <f t="shared" si="4"/>
        <v>310000</v>
      </c>
      <c r="F14" s="8"/>
      <c r="H14" s="10">
        <f t="shared" si="1"/>
        <v>1177999.9300000002</v>
      </c>
      <c r="I14" s="4">
        <f t="shared" si="5"/>
        <v>37999.997741935491</v>
      </c>
      <c r="K14" s="18">
        <f>30000*'1-10 vols'!B14</f>
        <v>930000</v>
      </c>
      <c r="L14" s="143">
        <v>-0.09</v>
      </c>
      <c r="M14" s="143">
        <v>0.02</v>
      </c>
      <c r="N14" s="18"/>
      <c r="O14" s="18">
        <f>8000*'1-10 vols'!B14</f>
        <v>248000</v>
      </c>
      <c r="P14" s="144">
        <v>-0.22889999999999999</v>
      </c>
      <c r="Q14" s="144">
        <v>0.1089</v>
      </c>
    </row>
    <row r="15" spans="1:17" x14ac:dyDescent="0.25">
      <c r="A15" s="11">
        <v>36617</v>
      </c>
      <c r="B15" s="15">
        <v>30</v>
      </c>
      <c r="C15" s="8">
        <f t="shared" si="2"/>
        <v>600000</v>
      </c>
      <c r="D15" s="18">
        <f t="shared" si="3"/>
        <v>240000</v>
      </c>
      <c r="E15" s="8">
        <f t="shared" si="4"/>
        <v>300000</v>
      </c>
      <c r="F15" s="8"/>
      <c r="H15" s="10">
        <f t="shared" si="1"/>
        <v>1139999.9300000002</v>
      </c>
      <c r="I15" s="4">
        <f t="shared" si="5"/>
        <v>37999.99766666667</v>
      </c>
      <c r="K15" s="18">
        <f>30000*'1-10 vols'!B15</f>
        <v>900000</v>
      </c>
      <c r="L15" s="143">
        <v>-0.09</v>
      </c>
      <c r="M15" s="143">
        <v>0.02</v>
      </c>
      <c r="N15" s="18"/>
      <c r="O15" s="18">
        <f>8000*'1-10 vols'!B15</f>
        <v>240000</v>
      </c>
      <c r="P15" s="144">
        <v>-0.22889999999999999</v>
      </c>
      <c r="Q15" s="144">
        <v>0.1089</v>
      </c>
    </row>
    <row r="16" spans="1:17" x14ac:dyDescent="0.25">
      <c r="A16" s="11">
        <v>36647</v>
      </c>
      <c r="B16" s="15">
        <v>31</v>
      </c>
      <c r="C16" s="8">
        <f t="shared" si="2"/>
        <v>620000</v>
      </c>
      <c r="D16" s="18">
        <f t="shared" si="3"/>
        <v>248000</v>
      </c>
      <c r="E16" s="8">
        <f t="shared" si="4"/>
        <v>310000</v>
      </c>
      <c r="F16" s="8"/>
      <c r="H16" s="10">
        <f t="shared" si="1"/>
        <v>1177999.9300000002</v>
      </c>
      <c r="I16" s="4">
        <f t="shared" si="5"/>
        <v>37999.997741935491</v>
      </c>
      <c r="K16" s="18">
        <f>30000*'1-10 vols'!B16</f>
        <v>930000</v>
      </c>
      <c r="L16" s="143">
        <v>-0.09</v>
      </c>
      <c r="M16" s="143">
        <v>0.02</v>
      </c>
      <c r="N16" s="18"/>
      <c r="O16" s="18">
        <f>8000*'1-10 vols'!B16</f>
        <v>248000</v>
      </c>
      <c r="P16" s="144">
        <v>-0.22889999999999999</v>
      </c>
      <c r="Q16" s="144">
        <v>0.1089</v>
      </c>
    </row>
    <row r="17" spans="1:17" x14ac:dyDescent="0.25">
      <c r="A17" s="11">
        <v>36678</v>
      </c>
      <c r="B17" s="15">
        <v>30</v>
      </c>
      <c r="C17" s="8">
        <f t="shared" si="2"/>
        <v>600000</v>
      </c>
      <c r="D17" s="18">
        <f t="shared" si="3"/>
        <v>240000</v>
      </c>
      <c r="E17" s="8">
        <f t="shared" si="4"/>
        <v>300000</v>
      </c>
      <c r="F17" s="8"/>
      <c r="H17" s="10">
        <f t="shared" si="1"/>
        <v>1139999.9300000002</v>
      </c>
      <c r="I17" s="4">
        <f t="shared" si="5"/>
        <v>37999.99766666667</v>
      </c>
      <c r="K17" s="18">
        <f>30000*'1-10 vols'!B17</f>
        <v>900000</v>
      </c>
      <c r="L17" s="143">
        <v>-0.09</v>
      </c>
      <c r="M17" s="143">
        <v>0.02</v>
      </c>
      <c r="N17" s="18"/>
      <c r="O17" s="18">
        <f>8000*'1-10 vols'!B17</f>
        <v>240000</v>
      </c>
      <c r="P17" s="144">
        <v>-0.22889999999999999</v>
      </c>
      <c r="Q17" s="144">
        <v>0.1089</v>
      </c>
    </row>
    <row r="18" spans="1:17" x14ac:dyDescent="0.25">
      <c r="A18" s="11">
        <v>36708</v>
      </c>
      <c r="B18" s="15">
        <v>31</v>
      </c>
      <c r="C18" s="8">
        <f t="shared" si="2"/>
        <v>620000</v>
      </c>
      <c r="D18" s="18">
        <f t="shared" si="3"/>
        <v>248000</v>
      </c>
      <c r="E18" s="8">
        <f t="shared" si="4"/>
        <v>310000</v>
      </c>
      <c r="F18" s="8"/>
      <c r="H18" s="10">
        <f t="shared" si="1"/>
        <v>1177999.9300000002</v>
      </c>
      <c r="I18" s="4">
        <f t="shared" si="5"/>
        <v>37999.997741935491</v>
      </c>
      <c r="K18" s="18">
        <f>30000*'1-10 vols'!B18</f>
        <v>930000</v>
      </c>
      <c r="L18" s="143">
        <v>-0.09</v>
      </c>
      <c r="M18" s="143">
        <v>0.02</v>
      </c>
      <c r="N18" s="18"/>
      <c r="O18" s="18">
        <f>8000*'1-10 vols'!B18</f>
        <v>248000</v>
      </c>
      <c r="P18" s="144">
        <v>-0.22889999999999999</v>
      </c>
      <c r="Q18" s="144">
        <v>0.1089</v>
      </c>
    </row>
    <row r="19" spans="1:17" x14ac:dyDescent="0.25">
      <c r="A19" s="11">
        <v>36739</v>
      </c>
      <c r="B19" s="15">
        <v>31</v>
      </c>
      <c r="C19" s="8">
        <f t="shared" si="2"/>
        <v>620000</v>
      </c>
      <c r="D19" s="18">
        <f t="shared" si="3"/>
        <v>248000</v>
      </c>
      <c r="E19" s="8">
        <f t="shared" si="4"/>
        <v>310000</v>
      </c>
      <c r="F19" s="8"/>
      <c r="H19" s="10">
        <f t="shared" si="1"/>
        <v>1177999.9300000002</v>
      </c>
      <c r="I19" s="4">
        <f t="shared" si="5"/>
        <v>37999.997741935491</v>
      </c>
      <c r="K19" s="18">
        <f>30000*'1-10 vols'!B19</f>
        <v>930000</v>
      </c>
      <c r="L19" s="143">
        <v>-0.09</v>
      </c>
      <c r="M19" s="143">
        <v>0.02</v>
      </c>
      <c r="N19" s="18"/>
      <c r="O19" s="18">
        <f>8000*'1-10 vols'!B19</f>
        <v>248000</v>
      </c>
      <c r="P19" s="144">
        <v>-0.22889999999999999</v>
      </c>
      <c r="Q19" s="144">
        <v>0.1089</v>
      </c>
    </row>
    <row r="20" spans="1:17" x14ac:dyDescent="0.25">
      <c r="A20" s="11">
        <v>36770</v>
      </c>
      <c r="B20" s="15">
        <v>30</v>
      </c>
      <c r="C20" s="8">
        <f t="shared" si="2"/>
        <v>600000</v>
      </c>
      <c r="D20" s="18">
        <f t="shared" si="3"/>
        <v>240000</v>
      </c>
      <c r="E20" s="8">
        <f t="shared" si="4"/>
        <v>300000</v>
      </c>
      <c r="F20" s="8"/>
      <c r="H20" s="10">
        <f t="shared" si="1"/>
        <v>1139999.9300000002</v>
      </c>
      <c r="I20" s="4">
        <f t="shared" si="5"/>
        <v>37999.99766666667</v>
      </c>
      <c r="K20" s="18">
        <f>30000*'1-10 vols'!B20</f>
        <v>900000</v>
      </c>
      <c r="L20" s="143">
        <v>-0.09</v>
      </c>
      <c r="M20" s="143">
        <v>0.02</v>
      </c>
      <c r="N20" s="18"/>
      <c r="O20" s="18">
        <f>8000*'1-10 vols'!B20</f>
        <v>240000</v>
      </c>
      <c r="P20" s="144">
        <v>-0.22889999999999999</v>
      </c>
      <c r="Q20" s="144">
        <v>0.1089</v>
      </c>
    </row>
    <row r="21" spans="1:17" x14ac:dyDescent="0.25">
      <c r="A21" s="11">
        <v>36800</v>
      </c>
      <c r="B21" s="15">
        <v>31</v>
      </c>
      <c r="C21" s="8">
        <f t="shared" si="2"/>
        <v>620000</v>
      </c>
      <c r="D21" s="18">
        <f t="shared" si="3"/>
        <v>248000</v>
      </c>
      <c r="E21" s="8">
        <f t="shared" si="4"/>
        <v>310000</v>
      </c>
      <c r="F21" s="8"/>
      <c r="H21" s="10">
        <f t="shared" si="1"/>
        <v>1177999.9300000002</v>
      </c>
      <c r="I21" s="4">
        <f t="shared" si="5"/>
        <v>37999.997741935491</v>
      </c>
      <c r="K21" s="18">
        <f>30000*'1-10 vols'!B21</f>
        <v>930000</v>
      </c>
      <c r="L21" s="143">
        <v>-0.09</v>
      </c>
      <c r="M21" s="143">
        <v>0.02</v>
      </c>
      <c r="N21" s="18"/>
      <c r="O21" s="18">
        <f>8000*'1-10 vols'!B21</f>
        <v>248000</v>
      </c>
      <c r="P21" s="144">
        <v>-0.22889999999999999</v>
      </c>
      <c r="Q21" s="144">
        <v>0.1089</v>
      </c>
    </row>
    <row r="22" spans="1:17" x14ac:dyDescent="0.25">
      <c r="A22" s="11">
        <v>36831</v>
      </c>
      <c r="B22" s="15">
        <v>30</v>
      </c>
      <c r="C22" s="8">
        <f t="shared" si="2"/>
        <v>600000</v>
      </c>
      <c r="D22" s="18">
        <f t="shared" si="3"/>
        <v>240000</v>
      </c>
      <c r="E22" s="8">
        <f t="shared" si="4"/>
        <v>300000</v>
      </c>
      <c r="F22" s="8"/>
      <c r="H22" s="10">
        <f t="shared" si="1"/>
        <v>1139999.9300000002</v>
      </c>
      <c r="I22" s="4">
        <f t="shared" si="5"/>
        <v>37999.99766666667</v>
      </c>
      <c r="K22" s="18">
        <f>30000*'1-10 vols'!B22</f>
        <v>900000</v>
      </c>
      <c r="L22" s="143">
        <v>-0.09</v>
      </c>
      <c r="M22" s="143">
        <v>0.02</v>
      </c>
      <c r="N22" s="18"/>
      <c r="O22" s="18">
        <f>8000*'1-10 vols'!B22</f>
        <v>240000</v>
      </c>
      <c r="P22" s="144">
        <v>-0.22889999999999999</v>
      </c>
      <c r="Q22" s="144">
        <v>0.1089</v>
      </c>
    </row>
    <row r="23" spans="1:17" x14ac:dyDescent="0.25">
      <c r="A23" s="11">
        <v>36861</v>
      </c>
      <c r="B23" s="15">
        <v>31</v>
      </c>
      <c r="C23" s="8">
        <f t="shared" si="2"/>
        <v>620000</v>
      </c>
      <c r="D23" s="18">
        <f t="shared" si="3"/>
        <v>248000</v>
      </c>
      <c r="E23" s="8">
        <f t="shared" si="4"/>
        <v>310000</v>
      </c>
      <c r="F23" s="8"/>
      <c r="H23" s="10">
        <f t="shared" si="1"/>
        <v>1177999.9300000002</v>
      </c>
      <c r="I23" s="4">
        <f t="shared" si="5"/>
        <v>37999.997741935491</v>
      </c>
      <c r="K23" s="18">
        <f>30000*'1-10 vols'!B23</f>
        <v>930000</v>
      </c>
      <c r="L23" s="143">
        <v>-0.09</v>
      </c>
      <c r="M23" s="143">
        <v>0.02</v>
      </c>
      <c r="N23" s="18"/>
      <c r="O23" s="18">
        <f>8000*'1-10 vols'!B23</f>
        <v>248000</v>
      </c>
      <c r="P23" s="144">
        <v>-0.22889999999999999</v>
      </c>
      <c r="Q23" s="144">
        <v>0.1089</v>
      </c>
    </row>
    <row r="24" spans="1:17" x14ac:dyDescent="0.25">
      <c r="A24" s="11">
        <v>36892</v>
      </c>
      <c r="B24" s="15">
        <v>31</v>
      </c>
      <c r="C24" s="8">
        <f t="shared" si="2"/>
        <v>620000</v>
      </c>
      <c r="D24" s="18">
        <f t="shared" si="3"/>
        <v>248000</v>
      </c>
      <c r="E24" s="8">
        <f t="shared" si="4"/>
        <v>310000</v>
      </c>
      <c r="F24" s="8"/>
      <c r="H24" s="10">
        <f t="shared" si="1"/>
        <v>1177999.9300000002</v>
      </c>
      <c r="I24" s="4">
        <f t="shared" si="5"/>
        <v>37999.997741935491</v>
      </c>
      <c r="K24" s="18">
        <f>30000*'1-10 vols'!B24</f>
        <v>930000</v>
      </c>
      <c r="L24" s="143">
        <v>-0.09</v>
      </c>
      <c r="M24" s="143">
        <v>0.02</v>
      </c>
      <c r="N24" s="18"/>
      <c r="O24" s="18">
        <f>8000*'1-10 vols'!B24</f>
        <v>248000</v>
      </c>
      <c r="P24" s="144">
        <v>-0.22889999999999999</v>
      </c>
      <c r="Q24" s="144">
        <v>0.1089</v>
      </c>
    </row>
    <row r="25" spans="1:17" x14ac:dyDescent="0.25">
      <c r="A25" s="11">
        <v>36923</v>
      </c>
      <c r="B25" s="15">
        <v>28</v>
      </c>
      <c r="C25" s="8">
        <f t="shared" si="2"/>
        <v>560000</v>
      </c>
      <c r="D25" s="18">
        <f t="shared" si="3"/>
        <v>224000</v>
      </c>
      <c r="E25" s="8">
        <f t="shared" si="4"/>
        <v>280000</v>
      </c>
      <c r="F25" s="8"/>
      <c r="H25" s="10">
        <f t="shared" si="1"/>
        <v>1063999.9300000002</v>
      </c>
      <c r="I25" s="4">
        <f t="shared" si="5"/>
        <v>37999.997500000005</v>
      </c>
      <c r="K25" s="18">
        <f>30000*'1-10 vols'!B25</f>
        <v>840000</v>
      </c>
      <c r="L25" s="143">
        <v>-0.09</v>
      </c>
      <c r="M25" s="143">
        <v>0.02</v>
      </c>
      <c r="N25" s="18"/>
      <c r="O25" s="18">
        <f>8000*'1-10 vols'!B25</f>
        <v>224000</v>
      </c>
      <c r="P25" s="144">
        <v>-0.22889999999999999</v>
      </c>
      <c r="Q25" s="144">
        <v>0.1089</v>
      </c>
    </row>
    <row r="26" spans="1:17" x14ac:dyDescent="0.25">
      <c r="A26" s="11">
        <v>36951</v>
      </c>
      <c r="B26" s="15">
        <v>31</v>
      </c>
      <c r="C26" s="8">
        <f t="shared" si="2"/>
        <v>620000</v>
      </c>
      <c r="D26" s="18">
        <f t="shared" si="3"/>
        <v>248000</v>
      </c>
      <c r="E26" s="8">
        <f t="shared" si="4"/>
        <v>310000</v>
      </c>
      <c r="F26" s="8"/>
      <c r="H26" s="10">
        <f t="shared" si="1"/>
        <v>1177999.9300000002</v>
      </c>
      <c r="I26" s="4">
        <f t="shared" si="5"/>
        <v>37999.997741935491</v>
      </c>
      <c r="K26" s="18">
        <f>30000*'1-10 vols'!B26</f>
        <v>930000</v>
      </c>
      <c r="L26" s="143">
        <v>-0.09</v>
      </c>
      <c r="M26" s="143">
        <v>0.02</v>
      </c>
      <c r="N26" s="18"/>
      <c r="O26" s="18">
        <f>8000*'1-10 vols'!B26</f>
        <v>248000</v>
      </c>
      <c r="P26" s="144">
        <v>-0.22889999999999999</v>
      </c>
      <c r="Q26" s="144">
        <v>0.1089</v>
      </c>
    </row>
    <row r="27" spans="1:17" x14ac:dyDescent="0.25">
      <c r="A27" s="11">
        <v>36982</v>
      </c>
      <c r="B27" s="15">
        <v>30</v>
      </c>
      <c r="C27" s="8">
        <f t="shared" si="2"/>
        <v>600000</v>
      </c>
      <c r="D27" s="18">
        <f t="shared" si="3"/>
        <v>240000</v>
      </c>
      <c r="E27" s="8">
        <f t="shared" si="4"/>
        <v>300000</v>
      </c>
      <c r="F27" s="8"/>
      <c r="H27" s="10">
        <f t="shared" si="1"/>
        <v>1139999.9300000002</v>
      </c>
      <c r="I27" s="4">
        <f t="shared" si="5"/>
        <v>37999.99766666667</v>
      </c>
      <c r="K27" s="18">
        <f>30000*'1-10 vols'!B27</f>
        <v>900000</v>
      </c>
      <c r="L27" s="143">
        <v>-0.09</v>
      </c>
      <c r="M27" s="143">
        <v>0.02</v>
      </c>
      <c r="N27" s="18"/>
      <c r="O27" s="18">
        <f>8000*'1-10 vols'!B27</f>
        <v>240000</v>
      </c>
      <c r="P27" s="144">
        <v>-0.22889999999999999</v>
      </c>
      <c r="Q27" s="144">
        <v>0.1089</v>
      </c>
    </row>
    <row r="28" spans="1:17" x14ac:dyDescent="0.25">
      <c r="A28" s="11">
        <v>37012</v>
      </c>
      <c r="B28" s="15">
        <v>31</v>
      </c>
      <c r="C28" s="8">
        <f t="shared" si="2"/>
        <v>620000</v>
      </c>
      <c r="D28" s="18">
        <f t="shared" si="3"/>
        <v>248000</v>
      </c>
      <c r="E28" s="8">
        <f t="shared" si="4"/>
        <v>310000</v>
      </c>
      <c r="F28" s="8"/>
      <c r="H28" s="10">
        <f t="shared" si="1"/>
        <v>1177999.9300000002</v>
      </c>
      <c r="I28" s="4">
        <f t="shared" si="5"/>
        <v>37999.997741935491</v>
      </c>
      <c r="K28" s="18">
        <f>30000*'1-10 vols'!B28</f>
        <v>930000</v>
      </c>
      <c r="L28" s="143">
        <v>-0.09</v>
      </c>
      <c r="M28" s="143">
        <v>0.02</v>
      </c>
      <c r="N28" s="18"/>
      <c r="O28" s="18">
        <f>8000*'1-10 vols'!B28</f>
        <v>248000</v>
      </c>
      <c r="P28" s="144">
        <v>-0.22889999999999999</v>
      </c>
      <c r="Q28" s="144">
        <v>0.1089</v>
      </c>
    </row>
    <row r="29" spans="1:17" x14ac:dyDescent="0.25">
      <c r="A29" s="11">
        <v>37043</v>
      </c>
      <c r="B29" s="15">
        <v>30</v>
      </c>
      <c r="C29" s="8">
        <f t="shared" si="2"/>
        <v>600000</v>
      </c>
      <c r="D29" s="18">
        <f t="shared" si="3"/>
        <v>240000</v>
      </c>
      <c r="E29" s="8">
        <f t="shared" si="4"/>
        <v>300000</v>
      </c>
      <c r="F29" s="8"/>
      <c r="H29" s="10">
        <f t="shared" si="1"/>
        <v>1139999.9300000002</v>
      </c>
      <c r="I29" s="4">
        <f t="shared" si="5"/>
        <v>37999.99766666667</v>
      </c>
      <c r="K29" s="18">
        <f>30000*'1-10 vols'!B29</f>
        <v>900000</v>
      </c>
      <c r="L29" s="143">
        <v>-0.09</v>
      </c>
      <c r="M29" s="143">
        <v>0.02</v>
      </c>
      <c r="N29" s="18"/>
      <c r="O29" s="18">
        <f>8000*'1-10 vols'!B29</f>
        <v>240000</v>
      </c>
      <c r="P29" s="144">
        <v>-0.22889999999999999</v>
      </c>
      <c r="Q29" s="144">
        <v>0.1089</v>
      </c>
    </row>
    <row r="30" spans="1:17" x14ac:dyDescent="0.25">
      <c r="A30" s="11">
        <v>37073</v>
      </c>
      <c r="B30" s="15">
        <v>31</v>
      </c>
      <c r="C30" s="8">
        <f t="shared" si="2"/>
        <v>620000</v>
      </c>
      <c r="D30" s="18">
        <f t="shared" si="3"/>
        <v>248000</v>
      </c>
      <c r="E30" s="8">
        <f t="shared" si="4"/>
        <v>310000</v>
      </c>
      <c r="F30" s="8"/>
      <c r="H30" s="10">
        <f t="shared" si="1"/>
        <v>1177999.9300000002</v>
      </c>
      <c r="I30" s="4">
        <f t="shared" si="5"/>
        <v>37999.997741935491</v>
      </c>
      <c r="K30" s="18">
        <f>30000*'1-10 vols'!B30</f>
        <v>930000</v>
      </c>
      <c r="L30" s="143">
        <v>-0.09</v>
      </c>
      <c r="M30" s="143">
        <v>0.02</v>
      </c>
      <c r="N30" s="18"/>
      <c r="O30" s="18">
        <f>8000*'1-10 vols'!B30</f>
        <v>248000</v>
      </c>
      <c r="P30" s="144">
        <v>-0.22889999999999999</v>
      </c>
      <c r="Q30" s="144">
        <v>0.1089</v>
      </c>
    </row>
    <row r="31" spans="1:17" x14ac:dyDescent="0.25">
      <c r="A31" s="11">
        <v>37104</v>
      </c>
      <c r="B31" s="15">
        <v>31</v>
      </c>
      <c r="C31" s="8">
        <f t="shared" si="2"/>
        <v>620000</v>
      </c>
      <c r="D31" s="18">
        <f t="shared" si="3"/>
        <v>248000</v>
      </c>
      <c r="E31" s="8">
        <f t="shared" si="4"/>
        <v>310000</v>
      </c>
      <c r="F31" s="8"/>
      <c r="H31" s="10">
        <f t="shared" si="1"/>
        <v>1177999.9300000002</v>
      </c>
      <c r="I31" s="4">
        <f t="shared" si="5"/>
        <v>37999.997741935491</v>
      </c>
      <c r="K31" s="18">
        <f>30000*'1-10 vols'!B31</f>
        <v>930000</v>
      </c>
      <c r="L31" s="143">
        <v>-0.09</v>
      </c>
      <c r="M31" s="143">
        <v>0.02</v>
      </c>
      <c r="N31" s="18"/>
      <c r="O31" s="18">
        <f>8000*'1-10 vols'!B31</f>
        <v>248000</v>
      </c>
      <c r="P31" s="144">
        <v>-0.22889999999999999</v>
      </c>
      <c r="Q31" s="144">
        <v>0.1089</v>
      </c>
    </row>
    <row r="32" spans="1:17" x14ac:dyDescent="0.25">
      <c r="A32" s="11">
        <v>37135</v>
      </c>
      <c r="B32" s="15">
        <v>30</v>
      </c>
      <c r="C32" s="8">
        <f t="shared" si="2"/>
        <v>600000</v>
      </c>
      <c r="D32" s="18">
        <f t="shared" si="3"/>
        <v>240000</v>
      </c>
      <c r="E32" s="8">
        <f t="shared" si="4"/>
        <v>300000</v>
      </c>
      <c r="F32" s="8"/>
      <c r="H32" s="10">
        <f t="shared" si="1"/>
        <v>1139999.9300000002</v>
      </c>
      <c r="I32" s="4">
        <f t="shared" si="5"/>
        <v>37999.99766666667</v>
      </c>
      <c r="K32" s="18">
        <f>30000*'1-10 vols'!B32</f>
        <v>900000</v>
      </c>
      <c r="L32" s="143">
        <v>-0.09</v>
      </c>
      <c r="M32" s="143">
        <v>0.02</v>
      </c>
      <c r="N32" s="18"/>
      <c r="O32" s="18">
        <f>8000*'1-10 vols'!B32</f>
        <v>240000</v>
      </c>
      <c r="P32" s="144">
        <v>-0.22889999999999999</v>
      </c>
      <c r="Q32" s="144">
        <v>0.1089</v>
      </c>
    </row>
    <row r="33" spans="1:17" x14ac:dyDescent="0.25">
      <c r="A33" s="11">
        <v>37165</v>
      </c>
      <c r="B33" s="15">
        <v>31</v>
      </c>
      <c r="C33" s="8">
        <f t="shared" si="2"/>
        <v>620000</v>
      </c>
      <c r="D33" s="18">
        <f t="shared" si="3"/>
        <v>248000</v>
      </c>
      <c r="E33" s="8">
        <f t="shared" si="4"/>
        <v>310000</v>
      </c>
      <c r="F33" s="8"/>
      <c r="H33" s="10">
        <f t="shared" si="1"/>
        <v>1177999.9300000002</v>
      </c>
      <c r="I33" s="4">
        <f t="shared" si="5"/>
        <v>37999.997741935491</v>
      </c>
      <c r="K33" s="18">
        <f>30000*'1-10 vols'!B33</f>
        <v>930000</v>
      </c>
      <c r="L33" s="143">
        <v>-0.09</v>
      </c>
      <c r="M33" s="143">
        <v>0.02</v>
      </c>
      <c r="N33" s="18"/>
      <c r="O33" s="18">
        <f>8000*'1-10 vols'!B33</f>
        <v>248000</v>
      </c>
      <c r="P33" s="144">
        <v>-0.22889999999999999</v>
      </c>
      <c r="Q33" s="144">
        <v>0.1089</v>
      </c>
    </row>
    <row r="34" spans="1:17" x14ac:dyDescent="0.25">
      <c r="A34" s="11">
        <v>37196</v>
      </c>
      <c r="B34" s="15">
        <v>30</v>
      </c>
      <c r="C34" s="8">
        <f t="shared" si="2"/>
        <v>600000</v>
      </c>
      <c r="D34" s="18">
        <f t="shared" si="3"/>
        <v>240000</v>
      </c>
      <c r="E34" s="8">
        <f t="shared" si="4"/>
        <v>300000</v>
      </c>
      <c r="F34" s="8"/>
      <c r="H34" s="10">
        <f t="shared" si="1"/>
        <v>1139999.9300000002</v>
      </c>
      <c r="I34" s="4">
        <f t="shared" si="5"/>
        <v>37999.99766666667</v>
      </c>
      <c r="K34" s="18">
        <f>30000*'1-10 vols'!B34</f>
        <v>900000</v>
      </c>
      <c r="L34" s="143">
        <v>-0.09</v>
      </c>
      <c r="M34" s="143">
        <v>0.02</v>
      </c>
      <c r="N34" s="18"/>
      <c r="O34" s="18">
        <f>8000*'1-10 vols'!B34</f>
        <v>240000</v>
      </c>
      <c r="P34" s="144">
        <v>-0.22889999999999999</v>
      </c>
      <c r="Q34" s="144">
        <v>0.1089</v>
      </c>
    </row>
    <row r="35" spans="1:17" x14ac:dyDescent="0.25">
      <c r="A35" s="11">
        <v>37226</v>
      </c>
      <c r="B35" s="15">
        <v>31</v>
      </c>
      <c r="C35" s="8">
        <f t="shared" si="2"/>
        <v>620000</v>
      </c>
      <c r="D35" s="18">
        <f t="shared" si="3"/>
        <v>248000</v>
      </c>
      <c r="E35" s="8">
        <f t="shared" si="4"/>
        <v>310000</v>
      </c>
      <c r="F35" s="8"/>
      <c r="H35" s="10">
        <f t="shared" ref="H35:H66" si="6">SUM(K35:O35)</f>
        <v>1177999.9300000002</v>
      </c>
      <c r="I35" s="4">
        <f t="shared" si="5"/>
        <v>37999.997741935491</v>
      </c>
      <c r="K35" s="18">
        <f>30000*'1-10 vols'!B35</f>
        <v>930000</v>
      </c>
      <c r="L35" s="143">
        <v>-0.09</v>
      </c>
      <c r="M35" s="143">
        <v>0.02</v>
      </c>
      <c r="N35" s="18"/>
      <c r="O35" s="18">
        <f>8000*'1-10 vols'!B35</f>
        <v>248000</v>
      </c>
      <c r="P35" s="144">
        <v>-0.22889999999999999</v>
      </c>
      <c r="Q35" s="144">
        <v>0.1089</v>
      </c>
    </row>
    <row r="36" spans="1:17" x14ac:dyDescent="0.25">
      <c r="A36" s="11">
        <v>37257</v>
      </c>
      <c r="B36" s="15">
        <v>31</v>
      </c>
      <c r="C36" s="8">
        <f t="shared" si="2"/>
        <v>620000</v>
      </c>
      <c r="D36" s="18">
        <f t="shared" si="3"/>
        <v>248000</v>
      </c>
      <c r="E36" s="8">
        <f t="shared" si="4"/>
        <v>310000</v>
      </c>
      <c r="F36" s="8"/>
      <c r="H36" s="10">
        <f t="shared" si="6"/>
        <v>1177999.9300000002</v>
      </c>
      <c r="I36" s="4">
        <f t="shared" si="5"/>
        <v>37999.997741935491</v>
      </c>
      <c r="K36" s="18">
        <f>30000*'1-10 vols'!B36</f>
        <v>930000</v>
      </c>
      <c r="L36" s="143">
        <v>-0.09</v>
      </c>
      <c r="M36" s="143">
        <v>0.02</v>
      </c>
      <c r="N36" s="18"/>
      <c r="O36" s="18">
        <f>8000*'1-10 vols'!B36</f>
        <v>248000</v>
      </c>
      <c r="P36" s="144">
        <v>-0.22889999999999999</v>
      </c>
      <c r="Q36" s="144">
        <v>0.1089</v>
      </c>
    </row>
    <row r="37" spans="1:17" x14ac:dyDescent="0.25">
      <c r="A37" s="11">
        <v>37288</v>
      </c>
      <c r="B37" s="15">
        <v>28</v>
      </c>
      <c r="C37" s="8">
        <f t="shared" si="2"/>
        <v>560000</v>
      </c>
      <c r="D37" s="18">
        <f t="shared" si="3"/>
        <v>224000</v>
      </c>
      <c r="E37" s="8">
        <f t="shared" si="4"/>
        <v>280000</v>
      </c>
      <c r="F37" s="8"/>
      <c r="H37" s="10">
        <f t="shared" si="6"/>
        <v>1063999.9300000002</v>
      </c>
      <c r="I37" s="4">
        <f t="shared" si="5"/>
        <v>37999.997500000005</v>
      </c>
      <c r="K37" s="18">
        <f>30000*'1-10 vols'!B37</f>
        <v>840000</v>
      </c>
      <c r="L37" s="143">
        <v>-0.09</v>
      </c>
      <c r="M37" s="143">
        <v>0.02</v>
      </c>
      <c r="N37" s="18"/>
      <c r="O37" s="18">
        <f>8000*'1-10 vols'!B37</f>
        <v>224000</v>
      </c>
      <c r="P37" s="144">
        <v>-0.22889999999999999</v>
      </c>
      <c r="Q37" s="144">
        <v>0.1089</v>
      </c>
    </row>
    <row r="38" spans="1:17" x14ac:dyDescent="0.25">
      <c r="A38" s="11">
        <v>37316</v>
      </c>
      <c r="B38" s="15">
        <v>31</v>
      </c>
      <c r="C38" s="8">
        <f t="shared" si="2"/>
        <v>620000</v>
      </c>
      <c r="D38" s="18">
        <f t="shared" si="3"/>
        <v>248000</v>
      </c>
      <c r="E38" s="8">
        <f t="shared" si="4"/>
        <v>310000</v>
      </c>
      <c r="F38" s="8"/>
      <c r="H38" s="10">
        <f t="shared" si="6"/>
        <v>1177999.9300000002</v>
      </c>
      <c r="I38" s="4">
        <f t="shared" si="5"/>
        <v>37999.997741935491</v>
      </c>
      <c r="K38" s="18">
        <f>30000*'1-10 vols'!B38</f>
        <v>930000</v>
      </c>
      <c r="L38" s="143">
        <v>-0.09</v>
      </c>
      <c r="M38" s="143">
        <v>0.02</v>
      </c>
      <c r="N38" s="18"/>
      <c r="O38" s="18">
        <f>8000*'1-10 vols'!B38</f>
        <v>248000</v>
      </c>
      <c r="P38" s="144">
        <v>-0.22889999999999999</v>
      </c>
      <c r="Q38" s="144">
        <v>0.1089</v>
      </c>
    </row>
    <row r="39" spans="1:17" x14ac:dyDescent="0.25">
      <c r="A39" s="11">
        <v>37347</v>
      </c>
      <c r="B39" s="15">
        <v>30</v>
      </c>
      <c r="C39" s="8">
        <f t="shared" si="2"/>
        <v>600000</v>
      </c>
      <c r="D39" s="18">
        <f t="shared" si="3"/>
        <v>240000</v>
      </c>
      <c r="E39" s="8">
        <f t="shared" si="4"/>
        <v>300000</v>
      </c>
      <c r="F39" s="8"/>
      <c r="H39" s="10">
        <f t="shared" si="6"/>
        <v>1139999.9300000002</v>
      </c>
      <c r="I39" s="4">
        <f t="shared" si="5"/>
        <v>37999.99766666667</v>
      </c>
      <c r="K39" s="18">
        <f>30000*'1-10 vols'!B39</f>
        <v>900000</v>
      </c>
      <c r="L39" s="143">
        <v>-0.09</v>
      </c>
      <c r="M39" s="143">
        <v>0.02</v>
      </c>
      <c r="N39" s="18"/>
      <c r="O39" s="18">
        <f>8000*'1-10 vols'!B39</f>
        <v>240000</v>
      </c>
      <c r="P39" s="144">
        <v>-0.22889999999999999</v>
      </c>
      <c r="Q39" s="144">
        <v>0.1089</v>
      </c>
    </row>
    <row r="40" spans="1:17" x14ac:dyDescent="0.25">
      <c r="A40" s="11">
        <v>37377</v>
      </c>
      <c r="B40" s="15">
        <v>31</v>
      </c>
      <c r="C40" s="8">
        <f t="shared" si="2"/>
        <v>620000</v>
      </c>
      <c r="D40" s="18">
        <f t="shared" si="3"/>
        <v>248000</v>
      </c>
      <c r="E40" s="8">
        <f t="shared" si="4"/>
        <v>310000</v>
      </c>
      <c r="F40" s="8"/>
      <c r="H40" s="10">
        <f t="shared" si="6"/>
        <v>1177999.9300000002</v>
      </c>
      <c r="I40" s="4">
        <f t="shared" si="5"/>
        <v>37999.997741935491</v>
      </c>
      <c r="K40" s="18">
        <f>30000*'1-10 vols'!B40</f>
        <v>930000</v>
      </c>
      <c r="L40" s="143">
        <v>-0.09</v>
      </c>
      <c r="M40" s="143">
        <v>0.02</v>
      </c>
      <c r="N40" s="18"/>
      <c r="O40" s="18">
        <f>8000*'1-10 vols'!B40</f>
        <v>248000</v>
      </c>
      <c r="P40" s="144">
        <v>-0.22889999999999999</v>
      </c>
      <c r="Q40" s="144">
        <v>0.1089</v>
      </c>
    </row>
    <row r="41" spans="1:17" x14ac:dyDescent="0.25">
      <c r="A41" s="11">
        <v>37408</v>
      </c>
      <c r="B41" s="15">
        <v>30</v>
      </c>
      <c r="C41" s="8">
        <f t="shared" si="2"/>
        <v>600000</v>
      </c>
      <c r="D41" s="18">
        <f t="shared" si="3"/>
        <v>240000</v>
      </c>
      <c r="E41" s="8">
        <f t="shared" si="4"/>
        <v>300000</v>
      </c>
      <c r="F41" s="8"/>
      <c r="H41" s="10">
        <f t="shared" si="6"/>
        <v>1139999.9300000002</v>
      </c>
      <c r="I41" s="4">
        <f t="shared" si="5"/>
        <v>37999.99766666667</v>
      </c>
      <c r="K41" s="18">
        <f>30000*'1-10 vols'!B41</f>
        <v>900000</v>
      </c>
      <c r="L41" s="143">
        <v>-0.09</v>
      </c>
      <c r="M41" s="143">
        <v>0.02</v>
      </c>
      <c r="N41" s="18"/>
      <c r="O41" s="18">
        <f>8000*'1-10 vols'!B41</f>
        <v>240000</v>
      </c>
      <c r="P41" s="144">
        <v>-0.22889999999999999</v>
      </c>
      <c r="Q41" s="144">
        <v>0.1089</v>
      </c>
    </row>
    <row r="42" spans="1:17" x14ac:dyDescent="0.25">
      <c r="A42" s="11">
        <v>37438</v>
      </c>
      <c r="B42" s="15">
        <v>31</v>
      </c>
      <c r="C42" s="8">
        <f t="shared" si="2"/>
        <v>620000</v>
      </c>
      <c r="D42" s="18">
        <f t="shared" si="3"/>
        <v>248000</v>
      </c>
      <c r="E42" s="8">
        <f t="shared" si="4"/>
        <v>310000</v>
      </c>
      <c r="F42" s="8"/>
      <c r="H42" s="10">
        <f t="shared" si="6"/>
        <v>1177999.9300000002</v>
      </c>
      <c r="I42" s="4">
        <f t="shared" si="5"/>
        <v>37999.997741935491</v>
      </c>
      <c r="K42" s="18">
        <f>30000*'1-10 vols'!B42</f>
        <v>930000</v>
      </c>
      <c r="L42" s="143">
        <v>-0.09</v>
      </c>
      <c r="M42" s="143">
        <v>0.02</v>
      </c>
      <c r="N42" s="18"/>
      <c r="O42" s="18">
        <f>8000*'1-10 vols'!B42</f>
        <v>248000</v>
      </c>
      <c r="P42" s="144">
        <v>-0.22889999999999999</v>
      </c>
      <c r="Q42" s="144">
        <v>0.1089</v>
      </c>
    </row>
    <row r="43" spans="1:17" x14ac:dyDescent="0.25">
      <c r="A43" s="11">
        <v>37469</v>
      </c>
      <c r="B43" s="15">
        <v>31</v>
      </c>
      <c r="C43" s="8">
        <f t="shared" si="2"/>
        <v>620000</v>
      </c>
      <c r="D43" s="18">
        <f t="shared" si="3"/>
        <v>248000</v>
      </c>
      <c r="E43" s="8">
        <f t="shared" si="4"/>
        <v>310000</v>
      </c>
      <c r="F43" s="8"/>
      <c r="H43" s="10">
        <f t="shared" si="6"/>
        <v>1177999.9300000002</v>
      </c>
      <c r="I43" s="4">
        <f t="shared" si="5"/>
        <v>37999.997741935491</v>
      </c>
      <c r="K43" s="18">
        <f>30000*'1-10 vols'!B43</f>
        <v>930000</v>
      </c>
      <c r="L43" s="143">
        <v>-0.09</v>
      </c>
      <c r="M43" s="143">
        <v>0.02</v>
      </c>
      <c r="N43" s="18"/>
      <c r="O43" s="18">
        <f>8000*'1-10 vols'!B43</f>
        <v>248000</v>
      </c>
      <c r="P43" s="144">
        <v>-0.22889999999999999</v>
      </c>
      <c r="Q43" s="144">
        <v>0.1089</v>
      </c>
    </row>
    <row r="44" spans="1:17" x14ac:dyDescent="0.25">
      <c r="A44" s="11">
        <v>37500</v>
      </c>
      <c r="B44" s="15">
        <v>30</v>
      </c>
      <c r="C44" s="8">
        <f t="shared" si="2"/>
        <v>600000</v>
      </c>
      <c r="D44" s="18">
        <f t="shared" si="3"/>
        <v>240000</v>
      </c>
      <c r="E44" s="8">
        <f t="shared" si="4"/>
        <v>300000</v>
      </c>
      <c r="F44" s="8"/>
      <c r="H44" s="10">
        <f t="shared" si="6"/>
        <v>1139999.9300000002</v>
      </c>
      <c r="I44" s="4">
        <f t="shared" si="5"/>
        <v>37999.99766666667</v>
      </c>
      <c r="K44" s="18">
        <f>30000*'1-10 vols'!B44</f>
        <v>900000</v>
      </c>
      <c r="L44" s="143">
        <v>-0.09</v>
      </c>
      <c r="M44" s="143">
        <v>0.02</v>
      </c>
      <c r="N44" s="18"/>
      <c r="O44" s="18">
        <f>8000*'1-10 vols'!B44</f>
        <v>240000</v>
      </c>
      <c r="P44" s="144">
        <v>-0.22889999999999999</v>
      </c>
      <c r="Q44" s="144">
        <v>0.1089</v>
      </c>
    </row>
    <row r="45" spans="1:17" x14ac:dyDescent="0.25">
      <c r="A45" s="11">
        <v>37530</v>
      </c>
      <c r="B45" s="15">
        <v>31</v>
      </c>
      <c r="C45" s="8">
        <f t="shared" si="2"/>
        <v>620000</v>
      </c>
      <c r="D45" s="18">
        <f t="shared" si="3"/>
        <v>248000</v>
      </c>
      <c r="E45" s="8">
        <f t="shared" si="4"/>
        <v>310000</v>
      </c>
      <c r="F45" s="8"/>
      <c r="H45" s="10">
        <f t="shared" si="6"/>
        <v>1177999.9300000002</v>
      </c>
      <c r="I45" s="4">
        <f t="shared" si="5"/>
        <v>37999.997741935491</v>
      </c>
      <c r="K45" s="18">
        <f>30000*'1-10 vols'!B45</f>
        <v>930000</v>
      </c>
      <c r="L45" s="143">
        <v>-0.09</v>
      </c>
      <c r="M45" s="143">
        <v>0.02</v>
      </c>
      <c r="N45" s="18"/>
      <c r="O45" s="18">
        <f>8000*'1-10 vols'!B45</f>
        <v>248000</v>
      </c>
      <c r="P45" s="144">
        <v>-0.22889999999999999</v>
      </c>
      <c r="Q45" s="144">
        <v>0.1089</v>
      </c>
    </row>
    <row r="46" spans="1:17" x14ac:dyDescent="0.25">
      <c r="A46" s="11">
        <v>37561</v>
      </c>
      <c r="B46" s="15">
        <v>30</v>
      </c>
      <c r="C46" s="8">
        <f t="shared" si="2"/>
        <v>600000</v>
      </c>
      <c r="D46" s="18">
        <f t="shared" si="3"/>
        <v>240000</v>
      </c>
      <c r="E46" s="8">
        <f t="shared" si="4"/>
        <v>300000</v>
      </c>
      <c r="F46" s="8"/>
      <c r="H46" s="10">
        <f t="shared" si="6"/>
        <v>1139999.9300000002</v>
      </c>
      <c r="I46" s="4">
        <f t="shared" si="5"/>
        <v>37999.99766666667</v>
      </c>
      <c r="K46" s="18">
        <f>30000*'1-10 vols'!B46</f>
        <v>900000</v>
      </c>
      <c r="L46" s="143">
        <v>-0.09</v>
      </c>
      <c r="M46" s="143">
        <v>0.02</v>
      </c>
      <c r="N46" s="18"/>
      <c r="O46" s="18">
        <f>8000*'1-10 vols'!B46</f>
        <v>240000</v>
      </c>
      <c r="P46" s="144">
        <v>-0.22889999999999999</v>
      </c>
      <c r="Q46" s="144">
        <v>0.1089</v>
      </c>
    </row>
    <row r="47" spans="1:17" x14ac:dyDescent="0.25">
      <c r="A47" s="11">
        <v>37591</v>
      </c>
      <c r="B47" s="15">
        <v>31</v>
      </c>
      <c r="C47" s="8">
        <f t="shared" si="2"/>
        <v>620000</v>
      </c>
      <c r="D47" s="18">
        <f t="shared" si="3"/>
        <v>248000</v>
      </c>
      <c r="E47" s="8">
        <f t="shared" si="4"/>
        <v>310000</v>
      </c>
      <c r="F47" s="8"/>
      <c r="H47" s="10">
        <f t="shared" si="6"/>
        <v>1177999.9300000002</v>
      </c>
      <c r="I47" s="4">
        <f t="shared" si="5"/>
        <v>37999.997741935491</v>
      </c>
      <c r="K47" s="18">
        <f>30000*'1-10 vols'!B47</f>
        <v>930000</v>
      </c>
      <c r="L47" s="143">
        <v>-0.09</v>
      </c>
      <c r="M47" s="143">
        <v>0.02</v>
      </c>
      <c r="N47" s="18"/>
      <c r="O47" s="18">
        <f>8000*'1-10 vols'!B47</f>
        <v>248000</v>
      </c>
      <c r="P47" s="144">
        <v>-0.22889999999999999</v>
      </c>
      <c r="Q47" s="144">
        <v>0.1089</v>
      </c>
    </row>
    <row r="48" spans="1:17" x14ac:dyDescent="0.25">
      <c r="A48" s="11">
        <v>37622</v>
      </c>
      <c r="B48" s="15">
        <v>31</v>
      </c>
      <c r="C48" s="8">
        <f t="shared" si="2"/>
        <v>620000</v>
      </c>
      <c r="D48" s="18">
        <f t="shared" si="3"/>
        <v>248000</v>
      </c>
      <c r="E48" s="8">
        <f t="shared" si="4"/>
        <v>310000</v>
      </c>
      <c r="F48" s="8"/>
      <c r="H48" s="10">
        <f t="shared" si="6"/>
        <v>1177999.9300000002</v>
      </c>
      <c r="I48" s="4">
        <f t="shared" si="5"/>
        <v>37999.997741935491</v>
      </c>
      <c r="K48" s="18">
        <f>30000*'1-10 vols'!B48</f>
        <v>930000</v>
      </c>
      <c r="L48" s="143">
        <v>-0.09</v>
      </c>
      <c r="M48" s="143">
        <v>0.02</v>
      </c>
      <c r="N48" s="18"/>
      <c r="O48" s="18">
        <f>8000*'1-10 vols'!B48</f>
        <v>248000</v>
      </c>
      <c r="P48" s="144">
        <v>-0.22889999999999999</v>
      </c>
      <c r="Q48" s="144">
        <v>0.1089</v>
      </c>
    </row>
    <row r="49" spans="1:17" x14ac:dyDescent="0.25">
      <c r="A49" s="11">
        <v>37653</v>
      </c>
      <c r="B49" s="15">
        <v>28</v>
      </c>
      <c r="C49" s="8">
        <f t="shared" si="2"/>
        <v>560000</v>
      </c>
      <c r="D49" s="18">
        <f t="shared" si="3"/>
        <v>224000</v>
      </c>
      <c r="E49" s="8">
        <f t="shared" si="4"/>
        <v>280000</v>
      </c>
      <c r="F49" s="8"/>
      <c r="H49" s="10">
        <f t="shared" si="6"/>
        <v>1063999.9300000002</v>
      </c>
      <c r="I49" s="4">
        <f t="shared" si="5"/>
        <v>37999.997500000005</v>
      </c>
      <c r="K49" s="18">
        <f>30000*'1-10 vols'!B49</f>
        <v>840000</v>
      </c>
      <c r="L49" s="143">
        <v>-0.09</v>
      </c>
      <c r="M49" s="143">
        <v>0.02</v>
      </c>
      <c r="N49" s="18"/>
      <c r="O49" s="18">
        <f>8000*'1-10 vols'!B49</f>
        <v>224000</v>
      </c>
      <c r="P49" s="144">
        <v>-0.22889999999999999</v>
      </c>
      <c r="Q49" s="144">
        <v>0.1089</v>
      </c>
    </row>
    <row r="50" spans="1:17" x14ac:dyDescent="0.25">
      <c r="A50" s="11">
        <v>37681</v>
      </c>
      <c r="B50" s="15">
        <v>31</v>
      </c>
      <c r="C50" s="8">
        <f t="shared" si="2"/>
        <v>620000</v>
      </c>
      <c r="D50" s="18">
        <f t="shared" si="3"/>
        <v>248000</v>
      </c>
      <c r="E50" s="8">
        <f t="shared" si="4"/>
        <v>310000</v>
      </c>
      <c r="F50" s="8"/>
      <c r="H50" s="10">
        <f t="shared" si="6"/>
        <v>1177999.9300000002</v>
      </c>
      <c r="I50" s="4">
        <f t="shared" si="5"/>
        <v>37999.997741935491</v>
      </c>
      <c r="K50" s="18">
        <f>30000*'1-10 vols'!B50</f>
        <v>930000</v>
      </c>
      <c r="L50" s="143">
        <v>-0.09</v>
      </c>
      <c r="M50" s="143">
        <v>0.02</v>
      </c>
      <c r="N50" s="18"/>
      <c r="O50" s="18">
        <f>8000*'1-10 vols'!B50</f>
        <v>248000</v>
      </c>
      <c r="P50" s="144">
        <v>-0.22889999999999999</v>
      </c>
      <c r="Q50" s="144">
        <v>0.1089</v>
      </c>
    </row>
    <row r="51" spans="1:17" x14ac:dyDescent="0.25">
      <c r="A51" s="11">
        <v>37712</v>
      </c>
      <c r="B51" s="15">
        <v>30</v>
      </c>
      <c r="C51" s="8">
        <f t="shared" si="2"/>
        <v>600000</v>
      </c>
      <c r="D51" s="18">
        <f t="shared" si="3"/>
        <v>240000</v>
      </c>
      <c r="E51" s="8">
        <f t="shared" si="4"/>
        <v>300000</v>
      </c>
      <c r="F51" s="8"/>
      <c r="H51" s="10">
        <f t="shared" si="6"/>
        <v>1139999.9300000002</v>
      </c>
      <c r="I51" s="4">
        <f t="shared" si="5"/>
        <v>37999.99766666667</v>
      </c>
      <c r="K51" s="18">
        <f>30000*'1-10 vols'!B51</f>
        <v>900000</v>
      </c>
      <c r="L51" s="143">
        <v>-0.09</v>
      </c>
      <c r="M51" s="143">
        <v>0.02</v>
      </c>
      <c r="N51" s="18"/>
      <c r="O51" s="18">
        <f>8000*'1-10 vols'!B51</f>
        <v>240000</v>
      </c>
      <c r="P51" s="144">
        <v>-0.22889999999999999</v>
      </c>
      <c r="Q51" s="144">
        <v>0.1089</v>
      </c>
    </row>
    <row r="52" spans="1:17" x14ac:dyDescent="0.25">
      <c r="A52" s="11">
        <v>37742</v>
      </c>
      <c r="B52" s="15">
        <v>31</v>
      </c>
      <c r="C52" s="8">
        <f t="shared" si="2"/>
        <v>620000</v>
      </c>
      <c r="D52" s="18">
        <f t="shared" si="3"/>
        <v>248000</v>
      </c>
      <c r="E52" s="8">
        <f t="shared" si="4"/>
        <v>310000</v>
      </c>
      <c r="F52" s="8"/>
      <c r="H52" s="10">
        <f t="shared" si="6"/>
        <v>1177999.9300000002</v>
      </c>
      <c r="I52" s="4">
        <f t="shared" si="5"/>
        <v>37999.997741935491</v>
      </c>
      <c r="K52" s="18">
        <f>30000*'1-10 vols'!B52</f>
        <v>930000</v>
      </c>
      <c r="L52" s="143">
        <v>-0.09</v>
      </c>
      <c r="M52" s="143">
        <v>0.02</v>
      </c>
      <c r="N52" s="18"/>
      <c r="O52" s="18">
        <f>8000*'1-10 vols'!B52</f>
        <v>248000</v>
      </c>
      <c r="P52" s="144">
        <v>-0.22889999999999999</v>
      </c>
      <c r="Q52" s="144">
        <v>0.1089</v>
      </c>
    </row>
    <row r="53" spans="1:17" x14ac:dyDescent="0.25">
      <c r="A53" s="11">
        <v>37773</v>
      </c>
      <c r="B53" s="15">
        <v>30</v>
      </c>
      <c r="C53" s="8">
        <f t="shared" si="2"/>
        <v>600000</v>
      </c>
      <c r="D53" s="18">
        <f t="shared" si="3"/>
        <v>240000</v>
      </c>
      <c r="E53" s="8">
        <f t="shared" si="4"/>
        <v>300000</v>
      </c>
      <c r="F53" s="8"/>
      <c r="H53" s="10">
        <f t="shared" si="6"/>
        <v>1139999.9300000002</v>
      </c>
      <c r="I53" s="4">
        <f t="shared" si="5"/>
        <v>37999.99766666667</v>
      </c>
      <c r="K53" s="18">
        <f>30000*'1-10 vols'!B53</f>
        <v>900000</v>
      </c>
      <c r="L53" s="143">
        <v>-0.09</v>
      </c>
      <c r="M53" s="143">
        <v>0.02</v>
      </c>
      <c r="N53" s="18"/>
      <c r="O53" s="18">
        <f>8000*'1-10 vols'!B53</f>
        <v>240000</v>
      </c>
      <c r="P53" s="144">
        <v>-0.22889999999999999</v>
      </c>
      <c r="Q53" s="144">
        <v>0.1089</v>
      </c>
    </row>
    <row r="54" spans="1:17" x14ac:dyDescent="0.25">
      <c r="A54" s="11">
        <v>37803</v>
      </c>
      <c r="B54" s="15">
        <v>31</v>
      </c>
      <c r="C54" s="8">
        <f t="shared" si="2"/>
        <v>620000</v>
      </c>
      <c r="D54" s="18">
        <f t="shared" si="3"/>
        <v>248000</v>
      </c>
      <c r="E54" s="8">
        <f t="shared" si="4"/>
        <v>310000</v>
      </c>
      <c r="F54" s="8"/>
      <c r="H54" s="10">
        <f t="shared" si="6"/>
        <v>1177999.9300000002</v>
      </c>
      <c r="I54" s="4">
        <f t="shared" si="5"/>
        <v>37999.997741935491</v>
      </c>
      <c r="K54" s="18">
        <f>30000*'1-10 vols'!B54</f>
        <v>930000</v>
      </c>
      <c r="L54" s="143">
        <v>-0.09</v>
      </c>
      <c r="M54" s="143">
        <v>0.02</v>
      </c>
      <c r="N54" s="18"/>
      <c r="O54" s="18">
        <f>8000*'1-10 vols'!B54</f>
        <v>248000</v>
      </c>
      <c r="P54" s="144">
        <v>-0.22889999999999999</v>
      </c>
      <c r="Q54" s="144">
        <v>0.1089</v>
      </c>
    </row>
    <row r="55" spans="1:17" x14ac:dyDescent="0.25">
      <c r="A55" s="11">
        <v>37834</v>
      </c>
      <c r="B55" s="15">
        <v>31</v>
      </c>
      <c r="C55" s="8">
        <f t="shared" si="2"/>
        <v>620000</v>
      </c>
      <c r="D55" s="18">
        <f t="shared" si="3"/>
        <v>248000</v>
      </c>
      <c r="E55" s="8">
        <f t="shared" si="4"/>
        <v>310000</v>
      </c>
      <c r="F55" s="8"/>
      <c r="H55" s="10">
        <f t="shared" si="6"/>
        <v>1177999.9300000002</v>
      </c>
      <c r="I55" s="4">
        <f t="shared" si="5"/>
        <v>37999.997741935491</v>
      </c>
      <c r="K55" s="18">
        <f>30000*'1-10 vols'!B55</f>
        <v>930000</v>
      </c>
      <c r="L55" s="143">
        <v>-0.09</v>
      </c>
      <c r="M55" s="143">
        <v>0.02</v>
      </c>
      <c r="N55" s="18"/>
      <c r="O55" s="18">
        <f>8000*'1-10 vols'!B55</f>
        <v>248000</v>
      </c>
      <c r="P55" s="144">
        <v>-0.22889999999999999</v>
      </c>
      <c r="Q55" s="144">
        <v>0.1089</v>
      </c>
    </row>
    <row r="56" spans="1:17" x14ac:dyDescent="0.25">
      <c r="A56" s="11">
        <v>37865</v>
      </c>
      <c r="B56" s="15">
        <v>30</v>
      </c>
      <c r="C56" s="8">
        <f t="shared" si="2"/>
        <v>600000</v>
      </c>
      <c r="D56" s="18">
        <f t="shared" si="3"/>
        <v>240000</v>
      </c>
      <c r="E56" s="8">
        <f t="shared" si="4"/>
        <v>300000</v>
      </c>
      <c r="F56" s="8"/>
      <c r="H56" s="10">
        <f t="shared" si="6"/>
        <v>1139999.9300000002</v>
      </c>
      <c r="I56" s="4">
        <f t="shared" si="5"/>
        <v>37999.99766666667</v>
      </c>
      <c r="K56" s="18">
        <f>30000*'1-10 vols'!B56</f>
        <v>900000</v>
      </c>
      <c r="L56" s="143">
        <v>-0.09</v>
      </c>
      <c r="M56" s="143">
        <v>0.02</v>
      </c>
      <c r="N56" s="18"/>
      <c r="O56" s="18">
        <f>8000*'1-10 vols'!B56</f>
        <v>240000</v>
      </c>
      <c r="P56" s="144">
        <v>-0.22889999999999999</v>
      </c>
      <c r="Q56" s="144">
        <v>0.1089</v>
      </c>
    </row>
    <row r="57" spans="1:17" x14ac:dyDescent="0.25">
      <c r="A57" s="11">
        <v>37895</v>
      </c>
      <c r="B57" s="15">
        <v>31</v>
      </c>
      <c r="C57" s="8">
        <f t="shared" si="2"/>
        <v>620000</v>
      </c>
      <c r="D57" s="18">
        <f t="shared" si="3"/>
        <v>248000</v>
      </c>
      <c r="E57" s="8">
        <f t="shared" si="4"/>
        <v>310000</v>
      </c>
      <c r="F57" s="8"/>
      <c r="H57" s="10">
        <f t="shared" si="6"/>
        <v>1177999.9300000002</v>
      </c>
      <c r="I57" s="4">
        <f t="shared" si="5"/>
        <v>37999.997741935491</v>
      </c>
      <c r="K57" s="18">
        <f>30000*'1-10 vols'!B57</f>
        <v>930000</v>
      </c>
      <c r="L57" s="143">
        <v>-0.09</v>
      </c>
      <c r="M57" s="143">
        <v>0.02</v>
      </c>
      <c r="N57" s="18"/>
      <c r="O57" s="18">
        <f>8000*'1-10 vols'!B57</f>
        <v>248000</v>
      </c>
      <c r="P57" s="144">
        <v>-0.22889999999999999</v>
      </c>
      <c r="Q57" s="144">
        <v>0.1089</v>
      </c>
    </row>
    <row r="58" spans="1:17" x14ac:dyDescent="0.25">
      <c r="A58" s="11">
        <v>37926</v>
      </c>
      <c r="B58" s="15">
        <v>30</v>
      </c>
      <c r="C58" s="8">
        <f t="shared" si="2"/>
        <v>600000</v>
      </c>
      <c r="D58" s="18">
        <f t="shared" si="3"/>
        <v>240000</v>
      </c>
      <c r="E58" s="8">
        <f t="shared" si="4"/>
        <v>300000</v>
      </c>
      <c r="F58" s="8"/>
      <c r="H58" s="10">
        <f t="shared" si="6"/>
        <v>1139999.9300000002</v>
      </c>
      <c r="I58" s="4">
        <f t="shared" si="5"/>
        <v>37999.99766666667</v>
      </c>
      <c r="K58" s="18">
        <f>30000*'1-10 vols'!B58</f>
        <v>900000</v>
      </c>
      <c r="L58" s="143">
        <v>-0.09</v>
      </c>
      <c r="M58" s="143">
        <v>0.02</v>
      </c>
      <c r="N58" s="18"/>
      <c r="O58" s="18">
        <f>8000*'1-10 vols'!B58</f>
        <v>240000</v>
      </c>
      <c r="P58" s="144">
        <v>-0.22889999999999999</v>
      </c>
      <c r="Q58" s="144">
        <v>0.1089</v>
      </c>
    </row>
    <row r="59" spans="1:17" x14ac:dyDescent="0.25">
      <c r="A59" s="11">
        <v>37956</v>
      </c>
      <c r="B59" s="15">
        <v>31</v>
      </c>
      <c r="C59" s="8">
        <f t="shared" si="2"/>
        <v>620000</v>
      </c>
      <c r="D59" s="18">
        <f t="shared" si="3"/>
        <v>248000</v>
      </c>
      <c r="E59" s="8">
        <f t="shared" si="4"/>
        <v>310000</v>
      </c>
      <c r="F59" s="8"/>
      <c r="H59" s="10">
        <f t="shared" si="6"/>
        <v>1177999.9300000002</v>
      </c>
      <c r="I59" s="4">
        <f t="shared" si="5"/>
        <v>37999.997741935491</v>
      </c>
      <c r="K59" s="18">
        <f>30000*'1-10 vols'!B59</f>
        <v>930000</v>
      </c>
      <c r="L59" s="143">
        <v>-0.09</v>
      </c>
      <c r="M59" s="143">
        <v>0.02</v>
      </c>
      <c r="N59" s="18"/>
      <c r="O59" s="18">
        <f>8000*'1-10 vols'!B59</f>
        <v>248000</v>
      </c>
      <c r="P59" s="144">
        <v>-0.22889999999999999</v>
      </c>
      <c r="Q59" s="144">
        <v>0.1089</v>
      </c>
    </row>
    <row r="60" spans="1:17" x14ac:dyDescent="0.25">
      <c r="A60" s="11">
        <v>37987</v>
      </c>
      <c r="B60" s="15">
        <v>31</v>
      </c>
      <c r="C60" s="8">
        <f t="shared" si="2"/>
        <v>620000</v>
      </c>
      <c r="D60" s="18">
        <f t="shared" si="3"/>
        <v>248000</v>
      </c>
      <c r="E60" s="8">
        <f t="shared" si="4"/>
        <v>310000</v>
      </c>
      <c r="F60" s="8"/>
      <c r="H60" s="10">
        <f t="shared" si="6"/>
        <v>1177999.9300000002</v>
      </c>
      <c r="I60" s="4">
        <f t="shared" si="5"/>
        <v>37999.997741935491</v>
      </c>
      <c r="K60" s="18">
        <f>30000*'1-10 vols'!B60</f>
        <v>930000</v>
      </c>
      <c r="L60" s="143">
        <v>-0.09</v>
      </c>
      <c r="M60" s="143">
        <v>0.02</v>
      </c>
      <c r="N60" s="18"/>
      <c r="O60" s="18">
        <f>8000*'1-10 vols'!B60</f>
        <v>248000</v>
      </c>
      <c r="P60" s="144">
        <v>-0.22889999999999999</v>
      </c>
      <c r="Q60" s="144">
        <v>0.1089</v>
      </c>
    </row>
    <row r="61" spans="1:17" x14ac:dyDescent="0.25">
      <c r="A61" s="11">
        <v>38018</v>
      </c>
      <c r="B61" s="15">
        <v>28</v>
      </c>
      <c r="C61" s="8">
        <f t="shared" si="2"/>
        <v>560000</v>
      </c>
      <c r="D61" s="18">
        <f t="shared" si="3"/>
        <v>224000</v>
      </c>
      <c r="E61" s="8">
        <f t="shared" si="4"/>
        <v>280000</v>
      </c>
      <c r="F61" s="8"/>
      <c r="H61" s="10">
        <f t="shared" si="6"/>
        <v>1063999.9300000002</v>
      </c>
      <c r="I61" s="4">
        <f t="shared" si="5"/>
        <v>37999.997500000005</v>
      </c>
      <c r="K61" s="18">
        <f>30000*'1-10 vols'!B61</f>
        <v>840000</v>
      </c>
      <c r="L61" s="143">
        <v>-0.09</v>
      </c>
      <c r="M61" s="143">
        <v>0.02</v>
      </c>
      <c r="N61" s="18"/>
      <c r="O61" s="18">
        <f>8000*'1-10 vols'!B61</f>
        <v>224000</v>
      </c>
      <c r="P61" s="144">
        <v>-0.22889999999999999</v>
      </c>
      <c r="Q61" s="144">
        <v>0.1089</v>
      </c>
    </row>
    <row r="62" spans="1:17" x14ac:dyDescent="0.25">
      <c r="A62" s="11">
        <v>38047</v>
      </c>
      <c r="B62" s="15">
        <v>31</v>
      </c>
      <c r="C62" s="8">
        <f t="shared" si="2"/>
        <v>620000</v>
      </c>
      <c r="D62" s="18">
        <f t="shared" si="3"/>
        <v>248000</v>
      </c>
      <c r="E62" s="8">
        <f t="shared" si="4"/>
        <v>310000</v>
      </c>
      <c r="F62" s="8"/>
      <c r="H62" s="10">
        <f t="shared" si="6"/>
        <v>1177999.9300000002</v>
      </c>
      <c r="I62" s="4">
        <f t="shared" si="5"/>
        <v>37999.997741935491</v>
      </c>
      <c r="K62" s="18">
        <f>30000*'1-10 vols'!B62</f>
        <v>930000</v>
      </c>
      <c r="L62" s="143">
        <v>-0.09</v>
      </c>
      <c r="M62" s="143">
        <v>0.02</v>
      </c>
      <c r="N62" s="18"/>
      <c r="O62" s="18">
        <f>8000*'1-10 vols'!B62</f>
        <v>248000</v>
      </c>
      <c r="P62" s="144">
        <v>-0.22889999999999999</v>
      </c>
      <c r="Q62" s="144">
        <v>0.1089</v>
      </c>
    </row>
    <row r="63" spans="1:17" x14ac:dyDescent="0.25">
      <c r="A63" s="11">
        <v>38078</v>
      </c>
      <c r="B63" s="15">
        <v>30</v>
      </c>
      <c r="C63" s="8">
        <f t="shared" si="2"/>
        <v>600000</v>
      </c>
      <c r="D63" s="18">
        <f t="shared" si="3"/>
        <v>240000</v>
      </c>
      <c r="E63" s="8">
        <f t="shared" si="4"/>
        <v>300000</v>
      </c>
      <c r="F63" s="8"/>
      <c r="H63" s="10">
        <f t="shared" si="6"/>
        <v>1139999.9300000002</v>
      </c>
      <c r="I63" s="4">
        <f t="shared" si="5"/>
        <v>37999.99766666667</v>
      </c>
      <c r="K63" s="18">
        <f>30000*'1-10 vols'!B63</f>
        <v>900000</v>
      </c>
      <c r="L63" s="143">
        <v>-0.09</v>
      </c>
      <c r="M63" s="143">
        <v>0.02</v>
      </c>
      <c r="N63" s="18"/>
      <c r="O63" s="18">
        <f>8000*'1-10 vols'!B63</f>
        <v>240000</v>
      </c>
      <c r="P63" s="144">
        <v>-0.22889999999999999</v>
      </c>
      <c r="Q63" s="144">
        <v>0.1089</v>
      </c>
    </row>
    <row r="64" spans="1:17" x14ac:dyDescent="0.25">
      <c r="A64" s="11">
        <v>38108</v>
      </c>
      <c r="B64" s="15">
        <v>31</v>
      </c>
      <c r="C64" s="8">
        <f t="shared" si="2"/>
        <v>620000</v>
      </c>
      <c r="D64" s="18">
        <f t="shared" si="3"/>
        <v>248000</v>
      </c>
      <c r="E64" s="8">
        <f t="shared" si="4"/>
        <v>310000</v>
      </c>
      <c r="F64" s="8"/>
      <c r="H64" s="10">
        <f t="shared" si="6"/>
        <v>1177999.9300000002</v>
      </c>
      <c r="I64" s="4">
        <f t="shared" si="5"/>
        <v>37999.997741935491</v>
      </c>
      <c r="K64" s="18">
        <f>30000*'1-10 vols'!B64</f>
        <v>930000</v>
      </c>
      <c r="L64" s="143">
        <v>-0.09</v>
      </c>
      <c r="M64" s="143">
        <v>0.02</v>
      </c>
      <c r="N64" s="18"/>
      <c r="O64" s="18">
        <f>8000*'1-10 vols'!B64</f>
        <v>248000</v>
      </c>
      <c r="P64" s="144">
        <v>-0.22889999999999999</v>
      </c>
      <c r="Q64" s="144">
        <v>0.1089</v>
      </c>
    </row>
    <row r="65" spans="1:17" x14ac:dyDescent="0.25">
      <c r="A65" s="11">
        <v>38139</v>
      </c>
      <c r="B65" s="15">
        <v>30</v>
      </c>
      <c r="C65" s="8">
        <f t="shared" si="2"/>
        <v>600000</v>
      </c>
      <c r="D65" s="18">
        <f t="shared" si="3"/>
        <v>240000</v>
      </c>
      <c r="E65" s="8">
        <f t="shared" si="4"/>
        <v>300000</v>
      </c>
      <c r="F65" s="8"/>
      <c r="H65" s="10">
        <f t="shared" si="6"/>
        <v>1139999.9300000002</v>
      </c>
      <c r="I65" s="4">
        <f t="shared" si="5"/>
        <v>37999.99766666667</v>
      </c>
      <c r="K65" s="18">
        <f>30000*'1-10 vols'!B65</f>
        <v>900000</v>
      </c>
      <c r="L65" s="143">
        <v>-0.09</v>
      </c>
      <c r="M65" s="143">
        <v>0.02</v>
      </c>
      <c r="N65" s="18"/>
      <c r="O65" s="18">
        <f>8000*'1-10 vols'!B65</f>
        <v>240000</v>
      </c>
      <c r="P65" s="144">
        <v>-0.22889999999999999</v>
      </c>
      <c r="Q65" s="144">
        <v>0.1089</v>
      </c>
    </row>
    <row r="66" spans="1:17" x14ac:dyDescent="0.25">
      <c r="A66" s="11">
        <v>38169</v>
      </c>
      <c r="B66" s="15">
        <v>31</v>
      </c>
      <c r="C66" s="8">
        <f t="shared" si="2"/>
        <v>620000</v>
      </c>
      <c r="D66" s="18">
        <f t="shared" si="3"/>
        <v>248000</v>
      </c>
      <c r="E66" s="8">
        <f t="shared" si="4"/>
        <v>310000</v>
      </c>
      <c r="F66" s="8"/>
      <c r="H66" s="10">
        <f t="shared" si="6"/>
        <v>1177999.9300000002</v>
      </c>
      <c r="I66" s="4">
        <f t="shared" si="5"/>
        <v>37999.997741935491</v>
      </c>
      <c r="K66" s="18">
        <f>30000*'1-10 vols'!B66</f>
        <v>930000</v>
      </c>
      <c r="L66" s="143">
        <v>-0.09</v>
      </c>
      <c r="M66" s="143">
        <v>0.02</v>
      </c>
      <c r="N66" s="18"/>
      <c r="O66" s="18">
        <f>8000*'1-10 vols'!B66</f>
        <v>248000</v>
      </c>
      <c r="P66" s="144">
        <v>-0.22889999999999999</v>
      </c>
      <c r="Q66" s="144">
        <v>0.1089</v>
      </c>
    </row>
    <row r="67" spans="1:17" x14ac:dyDescent="0.25">
      <c r="A67" s="11">
        <v>38200</v>
      </c>
      <c r="B67" s="15">
        <v>31</v>
      </c>
      <c r="C67" s="8">
        <f t="shared" si="2"/>
        <v>620000</v>
      </c>
      <c r="D67" s="18">
        <f t="shared" si="3"/>
        <v>248000</v>
      </c>
      <c r="E67" s="8">
        <f t="shared" si="4"/>
        <v>310000</v>
      </c>
      <c r="F67" s="8"/>
      <c r="H67" s="10">
        <f t="shared" ref="H67:H86" si="7">SUM(K67:O67)</f>
        <v>1177999.9300000002</v>
      </c>
      <c r="I67" s="4">
        <f t="shared" si="5"/>
        <v>37999.997741935491</v>
      </c>
      <c r="K67" s="18">
        <f>30000*'1-10 vols'!B67</f>
        <v>930000</v>
      </c>
      <c r="L67" s="143">
        <v>-0.09</v>
      </c>
      <c r="M67" s="143">
        <v>0.02</v>
      </c>
      <c r="N67" s="18"/>
      <c r="O67" s="18">
        <f>8000*'1-10 vols'!B67</f>
        <v>248000</v>
      </c>
      <c r="P67" s="144">
        <v>-0.22889999999999999</v>
      </c>
      <c r="Q67" s="144">
        <v>0.1089</v>
      </c>
    </row>
    <row r="68" spans="1:17" x14ac:dyDescent="0.25">
      <c r="A68" s="11">
        <v>38231</v>
      </c>
      <c r="B68" s="15">
        <v>30</v>
      </c>
      <c r="C68" s="8">
        <f t="shared" ref="C68:C86" si="8">20000*B68</f>
        <v>600000</v>
      </c>
      <c r="D68" s="18">
        <f t="shared" ref="D68:D86" si="9">8000*B68</f>
        <v>240000</v>
      </c>
      <c r="E68" s="8">
        <f t="shared" ref="E68:E86" si="10">10000*B68</f>
        <v>300000</v>
      </c>
      <c r="F68" s="8"/>
      <c r="H68" s="10">
        <f t="shared" si="7"/>
        <v>1139999.9300000002</v>
      </c>
      <c r="I68" s="4">
        <f t="shared" ref="I68:I86" si="11">H68/B68</f>
        <v>37999.99766666667</v>
      </c>
      <c r="K68" s="18">
        <f>30000*'1-10 vols'!B68</f>
        <v>900000</v>
      </c>
      <c r="L68" s="143">
        <v>-0.09</v>
      </c>
      <c r="M68" s="143">
        <v>0.02</v>
      </c>
      <c r="N68" s="18"/>
      <c r="O68" s="18">
        <f>8000*'1-10 vols'!B68</f>
        <v>240000</v>
      </c>
      <c r="P68" s="144">
        <v>-0.22889999999999999</v>
      </c>
      <c r="Q68" s="144">
        <v>0.1089</v>
      </c>
    </row>
    <row r="69" spans="1:17" x14ac:dyDescent="0.25">
      <c r="A69" s="11">
        <v>38261</v>
      </c>
      <c r="B69" s="15">
        <v>31</v>
      </c>
      <c r="C69" s="8">
        <f t="shared" si="8"/>
        <v>620000</v>
      </c>
      <c r="D69" s="18">
        <f t="shared" si="9"/>
        <v>248000</v>
      </c>
      <c r="E69" s="8">
        <f t="shared" si="10"/>
        <v>310000</v>
      </c>
      <c r="F69" s="8"/>
      <c r="H69" s="10">
        <f t="shared" si="7"/>
        <v>1177999.9300000002</v>
      </c>
      <c r="I69" s="4">
        <f t="shared" si="11"/>
        <v>37999.997741935491</v>
      </c>
      <c r="K69" s="18">
        <f>30000*'1-10 vols'!B69</f>
        <v>930000</v>
      </c>
      <c r="L69" s="143">
        <v>-0.09</v>
      </c>
      <c r="M69" s="143">
        <v>0.02</v>
      </c>
      <c r="N69" s="18"/>
      <c r="O69" s="18">
        <f>8000*'1-10 vols'!B69</f>
        <v>248000</v>
      </c>
      <c r="P69" s="144">
        <v>-0.22889999999999999</v>
      </c>
      <c r="Q69" s="144">
        <v>0.1089</v>
      </c>
    </row>
    <row r="70" spans="1:17" x14ac:dyDescent="0.25">
      <c r="A70" s="11">
        <v>38292</v>
      </c>
      <c r="B70" s="15">
        <v>30</v>
      </c>
      <c r="C70" s="8">
        <f t="shared" si="8"/>
        <v>600000</v>
      </c>
      <c r="D70" s="18">
        <f t="shared" si="9"/>
        <v>240000</v>
      </c>
      <c r="E70" s="8">
        <f t="shared" si="10"/>
        <v>300000</v>
      </c>
      <c r="F70" s="8"/>
      <c r="H70" s="10">
        <f t="shared" si="7"/>
        <v>1139999.9300000002</v>
      </c>
      <c r="I70" s="4">
        <f t="shared" si="11"/>
        <v>37999.99766666667</v>
      </c>
      <c r="K70" s="18">
        <f>30000*'1-10 vols'!B70</f>
        <v>900000</v>
      </c>
      <c r="L70" s="143">
        <v>-0.09</v>
      </c>
      <c r="M70" s="143">
        <v>0.02</v>
      </c>
      <c r="N70" s="18"/>
      <c r="O70" s="18">
        <f>8000*'1-10 vols'!B70</f>
        <v>240000</v>
      </c>
      <c r="P70" s="144">
        <v>-0.22889999999999999</v>
      </c>
      <c r="Q70" s="144">
        <v>0.1089</v>
      </c>
    </row>
    <row r="71" spans="1:17" x14ac:dyDescent="0.25">
      <c r="A71" s="11">
        <v>38322</v>
      </c>
      <c r="B71" s="15">
        <v>31</v>
      </c>
      <c r="C71" s="8">
        <f t="shared" si="8"/>
        <v>620000</v>
      </c>
      <c r="D71" s="18">
        <f t="shared" si="9"/>
        <v>248000</v>
      </c>
      <c r="E71" s="8">
        <f t="shared" si="10"/>
        <v>310000</v>
      </c>
      <c r="F71" s="8"/>
      <c r="H71" s="10">
        <f t="shared" si="7"/>
        <v>1177999.9300000002</v>
      </c>
      <c r="I71" s="4">
        <f t="shared" si="11"/>
        <v>37999.997741935491</v>
      </c>
      <c r="K71" s="18">
        <f>30000*'1-10 vols'!B71</f>
        <v>930000</v>
      </c>
      <c r="L71" s="143">
        <v>-0.09</v>
      </c>
      <c r="M71" s="143">
        <v>0.02</v>
      </c>
      <c r="N71" s="18"/>
      <c r="O71" s="18">
        <f>8000*'1-10 vols'!B71</f>
        <v>248000</v>
      </c>
      <c r="P71" s="144">
        <v>-0.22889999999999999</v>
      </c>
      <c r="Q71" s="144">
        <v>0.1089</v>
      </c>
    </row>
    <row r="72" spans="1:17" x14ac:dyDescent="0.25">
      <c r="A72" s="11">
        <v>38353</v>
      </c>
      <c r="B72" s="15">
        <v>31</v>
      </c>
      <c r="C72" s="8">
        <f t="shared" si="8"/>
        <v>620000</v>
      </c>
      <c r="D72" s="18">
        <f t="shared" si="9"/>
        <v>248000</v>
      </c>
      <c r="E72" s="8">
        <f t="shared" si="10"/>
        <v>310000</v>
      </c>
      <c r="F72" s="8"/>
      <c r="H72" s="10">
        <f t="shared" si="7"/>
        <v>1177999.9300000002</v>
      </c>
      <c r="I72" s="4">
        <f t="shared" si="11"/>
        <v>37999.997741935491</v>
      </c>
      <c r="K72" s="18">
        <f>30000*'1-10 vols'!B72</f>
        <v>930000</v>
      </c>
      <c r="L72" s="143">
        <v>-0.09</v>
      </c>
      <c r="M72" s="143">
        <v>0.02</v>
      </c>
      <c r="N72" s="18"/>
      <c r="O72" s="18">
        <f>8000*'1-10 vols'!B72</f>
        <v>248000</v>
      </c>
      <c r="P72" s="144">
        <v>-0.22889999999999999</v>
      </c>
      <c r="Q72" s="144">
        <v>0.1089</v>
      </c>
    </row>
    <row r="73" spans="1:17" x14ac:dyDescent="0.25">
      <c r="A73" s="11">
        <v>38384</v>
      </c>
      <c r="B73" s="15">
        <v>28</v>
      </c>
      <c r="C73" s="8">
        <f t="shared" si="8"/>
        <v>560000</v>
      </c>
      <c r="D73" s="18">
        <f t="shared" si="9"/>
        <v>224000</v>
      </c>
      <c r="E73" s="8">
        <f t="shared" si="10"/>
        <v>280000</v>
      </c>
      <c r="F73" s="8"/>
      <c r="H73" s="10">
        <f t="shared" si="7"/>
        <v>1063999.9300000002</v>
      </c>
      <c r="I73" s="4">
        <f t="shared" si="11"/>
        <v>37999.997500000005</v>
      </c>
      <c r="K73" s="18">
        <f>30000*'1-10 vols'!B73</f>
        <v>840000</v>
      </c>
      <c r="L73" s="143">
        <v>-0.09</v>
      </c>
      <c r="M73" s="143">
        <v>0.02</v>
      </c>
      <c r="N73" s="18"/>
      <c r="O73" s="18">
        <f>8000*'1-10 vols'!B73</f>
        <v>224000</v>
      </c>
      <c r="P73" s="144">
        <v>-0.22889999999999999</v>
      </c>
      <c r="Q73" s="144">
        <v>0.1089</v>
      </c>
    </row>
    <row r="74" spans="1:17" x14ac:dyDescent="0.25">
      <c r="A74" s="11">
        <v>38412</v>
      </c>
      <c r="B74" s="15">
        <v>31</v>
      </c>
      <c r="C74" s="8">
        <f t="shared" si="8"/>
        <v>620000</v>
      </c>
      <c r="D74" s="18">
        <f t="shared" si="9"/>
        <v>248000</v>
      </c>
      <c r="E74" s="8">
        <f t="shared" si="10"/>
        <v>310000</v>
      </c>
      <c r="F74" s="8"/>
      <c r="H74" s="10">
        <f t="shared" si="7"/>
        <v>1177999.9300000002</v>
      </c>
      <c r="I74" s="4">
        <f t="shared" si="11"/>
        <v>37999.997741935491</v>
      </c>
      <c r="K74" s="18">
        <f>30000*'1-10 vols'!B74</f>
        <v>930000</v>
      </c>
      <c r="L74" s="143">
        <v>-0.09</v>
      </c>
      <c r="M74" s="143">
        <v>0.02</v>
      </c>
      <c r="N74" s="18"/>
      <c r="O74" s="18">
        <f>8000*'1-10 vols'!B74</f>
        <v>248000</v>
      </c>
      <c r="P74" s="144">
        <v>-0.22889999999999999</v>
      </c>
      <c r="Q74" s="144">
        <v>0.1089</v>
      </c>
    </row>
    <row r="75" spans="1:17" x14ac:dyDescent="0.25">
      <c r="A75" s="11">
        <v>38443</v>
      </c>
      <c r="B75" s="15">
        <v>30</v>
      </c>
      <c r="C75" s="8">
        <f t="shared" si="8"/>
        <v>600000</v>
      </c>
      <c r="D75" s="18">
        <f t="shared" si="9"/>
        <v>240000</v>
      </c>
      <c r="E75" s="8">
        <f t="shared" si="10"/>
        <v>300000</v>
      </c>
      <c r="F75" s="8"/>
      <c r="H75" s="10">
        <f t="shared" si="7"/>
        <v>1139999.9300000002</v>
      </c>
      <c r="I75" s="4">
        <f t="shared" si="11"/>
        <v>37999.99766666667</v>
      </c>
      <c r="K75" s="18">
        <f>30000*'1-10 vols'!B75</f>
        <v>900000</v>
      </c>
      <c r="L75" s="143">
        <v>-0.09</v>
      </c>
      <c r="M75" s="143">
        <v>0.02</v>
      </c>
      <c r="N75" s="18"/>
      <c r="O75" s="18">
        <f>8000*'1-10 vols'!B75</f>
        <v>240000</v>
      </c>
      <c r="P75" s="144">
        <v>-0.22889999999999999</v>
      </c>
      <c r="Q75" s="144">
        <v>0.1089</v>
      </c>
    </row>
    <row r="76" spans="1:17" x14ac:dyDescent="0.25">
      <c r="A76" s="11">
        <v>38473</v>
      </c>
      <c r="B76" s="15">
        <v>31</v>
      </c>
      <c r="C76" s="8">
        <f t="shared" si="8"/>
        <v>620000</v>
      </c>
      <c r="D76" s="18">
        <f t="shared" si="9"/>
        <v>248000</v>
      </c>
      <c r="E76" s="8">
        <f t="shared" si="10"/>
        <v>310000</v>
      </c>
      <c r="F76" s="8"/>
      <c r="H76" s="10">
        <f t="shared" si="7"/>
        <v>1177999.9300000002</v>
      </c>
      <c r="I76" s="4">
        <f t="shared" si="11"/>
        <v>37999.997741935491</v>
      </c>
      <c r="K76" s="18">
        <f>30000*'1-10 vols'!B76</f>
        <v>930000</v>
      </c>
      <c r="L76" s="143">
        <v>-0.09</v>
      </c>
      <c r="M76" s="143">
        <v>0.02</v>
      </c>
      <c r="N76" s="18"/>
      <c r="O76" s="18">
        <f>8000*'1-10 vols'!B76</f>
        <v>248000</v>
      </c>
      <c r="P76" s="144">
        <v>-0.22889999999999999</v>
      </c>
      <c r="Q76" s="144">
        <v>0.1089</v>
      </c>
    </row>
    <row r="77" spans="1:17" x14ac:dyDescent="0.25">
      <c r="A77" s="11">
        <v>38504</v>
      </c>
      <c r="B77" s="15">
        <v>30</v>
      </c>
      <c r="C77" s="8">
        <f t="shared" si="8"/>
        <v>600000</v>
      </c>
      <c r="D77" s="18">
        <f t="shared" si="9"/>
        <v>240000</v>
      </c>
      <c r="E77" s="8">
        <f t="shared" si="10"/>
        <v>300000</v>
      </c>
      <c r="F77" s="8"/>
      <c r="H77" s="10">
        <f t="shared" si="7"/>
        <v>1139999.9300000002</v>
      </c>
      <c r="I77" s="4">
        <f t="shared" si="11"/>
        <v>37999.99766666667</v>
      </c>
      <c r="K77" s="18">
        <f>30000*'1-10 vols'!B77</f>
        <v>900000</v>
      </c>
      <c r="L77" s="143">
        <v>-0.09</v>
      </c>
      <c r="M77" s="143">
        <v>0.02</v>
      </c>
      <c r="N77" s="18"/>
      <c r="O77" s="18">
        <f>8000*'1-10 vols'!B77</f>
        <v>240000</v>
      </c>
      <c r="P77" s="144">
        <v>-0.22889999999999999</v>
      </c>
      <c r="Q77" s="144">
        <v>0.1089</v>
      </c>
    </row>
    <row r="78" spans="1:17" x14ac:dyDescent="0.25">
      <c r="A78" s="11">
        <v>38534</v>
      </c>
      <c r="B78" s="15">
        <v>31</v>
      </c>
      <c r="C78" s="8">
        <f t="shared" si="8"/>
        <v>620000</v>
      </c>
      <c r="D78" s="18">
        <f t="shared" si="9"/>
        <v>248000</v>
      </c>
      <c r="E78" s="8">
        <f t="shared" si="10"/>
        <v>310000</v>
      </c>
      <c r="F78" s="8"/>
      <c r="H78" s="10">
        <f t="shared" si="7"/>
        <v>1177999.9300000002</v>
      </c>
      <c r="I78" s="4">
        <f t="shared" si="11"/>
        <v>37999.997741935491</v>
      </c>
      <c r="K78" s="18">
        <f>30000*'1-10 vols'!B78</f>
        <v>930000</v>
      </c>
      <c r="L78" s="143">
        <v>-0.09</v>
      </c>
      <c r="M78" s="143">
        <v>0.02</v>
      </c>
      <c r="N78" s="18"/>
      <c r="O78" s="18">
        <f>8000*'1-10 vols'!B78</f>
        <v>248000</v>
      </c>
      <c r="P78" s="144">
        <v>-0.22889999999999999</v>
      </c>
      <c r="Q78" s="144">
        <v>0.1089</v>
      </c>
    </row>
    <row r="79" spans="1:17" x14ac:dyDescent="0.25">
      <c r="A79" s="11">
        <v>38565</v>
      </c>
      <c r="B79" s="15">
        <v>31</v>
      </c>
      <c r="C79" s="8">
        <f t="shared" si="8"/>
        <v>620000</v>
      </c>
      <c r="D79" s="18">
        <f t="shared" si="9"/>
        <v>248000</v>
      </c>
      <c r="E79" s="8">
        <f t="shared" si="10"/>
        <v>310000</v>
      </c>
      <c r="F79" s="8"/>
      <c r="H79" s="10">
        <f t="shared" si="7"/>
        <v>1177999.9300000002</v>
      </c>
      <c r="I79" s="4">
        <f t="shared" si="11"/>
        <v>37999.997741935491</v>
      </c>
      <c r="K79" s="18">
        <f>30000*'1-10 vols'!B79</f>
        <v>930000</v>
      </c>
      <c r="L79" s="143">
        <v>-0.09</v>
      </c>
      <c r="M79" s="143">
        <v>0.02</v>
      </c>
      <c r="N79" s="18"/>
      <c r="O79" s="18">
        <f>8000*'1-10 vols'!B79</f>
        <v>248000</v>
      </c>
      <c r="P79" s="144">
        <v>-0.22889999999999999</v>
      </c>
      <c r="Q79" s="144">
        <v>0.1089</v>
      </c>
    </row>
    <row r="80" spans="1:17" x14ac:dyDescent="0.25">
      <c r="A80" s="11">
        <v>38596</v>
      </c>
      <c r="B80" s="15">
        <v>30</v>
      </c>
      <c r="C80" s="8">
        <f t="shared" si="8"/>
        <v>600000</v>
      </c>
      <c r="D80" s="18">
        <f t="shared" si="9"/>
        <v>240000</v>
      </c>
      <c r="E80" s="8">
        <f t="shared" si="10"/>
        <v>300000</v>
      </c>
      <c r="F80" s="8"/>
      <c r="H80" s="10">
        <f t="shared" si="7"/>
        <v>1139999.9300000002</v>
      </c>
      <c r="I80" s="4">
        <f t="shared" si="11"/>
        <v>37999.99766666667</v>
      </c>
      <c r="K80" s="18">
        <f>30000*'1-10 vols'!B80</f>
        <v>900000</v>
      </c>
      <c r="L80" s="143">
        <v>-0.09</v>
      </c>
      <c r="M80" s="143">
        <v>0.02</v>
      </c>
      <c r="N80" s="18"/>
      <c r="O80" s="18">
        <f>8000*'1-10 vols'!B80</f>
        <v>240000</v>
      </c>
      <c r="P80" s="144">
        <v>-0.22889999999999999</v>
      </c>
      <c r="Q80" s="144">
        <v>0.1089</v>
      </c>
    </row>
    <row r="81" spans="1:17" x14ac:dyDescent="0.25">
      <c r="A81" s="11">
        <v>38626</v>
      </c>
      <c r="B81" s="15">
        <v>31</v>
      </c>
      <c r="C81" s="8">
        <f t="shared" si="8"/>
        <v>620000</v>
      </c>
      <c r="D81" s="18">
        <f t="shared" si="9"/>
        <v>248000</v>
      </c>
      <c r="E81" s="8">
        <f t="shared" si="10"/>
        <v>310000</v>
      </c>
      <c r="F81" s="8"/>
      <c r="H81" s="10">
        <f t="shared" si="7"/>
        <v>1177999.9300000002</v>
      </c>
      <c r="I81" s="4">
        <f t="shared" si="11"/>
        <v>37999.997741935491</v>
      </c>
      <c r="K81" s="18">
        <f>30000*'1-10 vols'!B81</f>
        <v>930000</v>
      </c>
      <c r="L81" s="143">
        <v>-0.09</v>
      </c>
      <c r="M81" s="143">
        <v>0.02</v>
      </c>
      <c r="N81" s="18"/>
      <c r="O81" s="18">
        <f>8000*'1-10 vols'!B81</f>
        <v>248000</v>
      </c>
      <c r="P81" s="144">
        <v>-0.22889999999999999</v>
      </c>
      <c r="Q81" s="144">
        <v>0.1089</v>
      </c>
    </row>
    <row r="82" spans="1:17" x14ac:dyDescent="0.25">
      <c r="A82" s="11">
        <v>38657</v>
      </c>
      <c r="B82" s="15">
        <v>30</v>
      </c>
      <c r="C82" s="8">
        <f t="shared" si="8"/>
        <v>600000</v>
      </c>
      <c r="D82" s="18">
        <f t="shared" si="9"/>
        <v>240000</v>
      </c>
      <c r="E82" s="8">
        <f t="shared" si="10"/>
        <v>300000</v>
      </c>
      <c r="F82" s="8"/>
      <c r="H82" s="10">
        <f t="shared" si="7"/>
        <v>1139999.9300000002</v>
      </c>
      <c r="I82" s="4">
        <f t="shared" si="11"/>
        <v>37999.99766666667</v>
      </c>
      <c r="K82" s="18">
        <f>30000*'1-10 vols'!B82</f>
        <v>900000</v>
      </c>
      <c r="L82" s="143">
        <v>-0.09</v>
      </c>
      <c r="M82" s="143">
        <v>0.02</v>
      </c>
      <c r="N82" s="18"/>
      <c r="O82" s="18">
        <f>8000*'1-10 vols'!B82</f>
        <v>240000</v>
      </c>
      <c r="P82" s="144">
        <v>-0.22889999999999999</v>
      </c>
      <c r="Q82" s="144">
        <v>0.1089</v>
      </c>
    </row>
    <row r="83" spans="1:17" x14ac:dyDescent="0.25">
      <c r="A83" s="11">
        <v>38687</v>
      </c>
      <c r="B83" s="15">
        <v>31</v>
      </c>
      <c r="C83" s="8">
        <f t="shared" si="8"/>
        <v>620000</v>
      </c>
      <c r="D83" s="18">
        <f t="shared" si="9"/>
        <v>248000</v>
      </c>
      <c r="E83" s="8">
        <f t="shared" si="10"/>
        <v>310000</v>
      </c>
      <c r="F83" s="8"/>
      <c r="H83" s="10">
        <f t="shared" si="7"/>
        <v>1177999.9300000002</v>
      </c>
      <c r="I83" s="4">
        <f t="shared" si="11"/>
        <v>37999.997741935491</v>
      </c>
      <c r="K83" s="18">
        <f>30000*'1-10 vols'!B83</f>
        <v>930000</v>
      </c>
      <c r="L83" s="143">
        <v>-0.09</v>
      </c>
      <c r="M83" s="143">
        <v>0.02</v>
      </c>
      <c r="N83" s="18"/>
      <c r="O83" s="18">
        <f>8000*'1-10 vols'!B83</f>
        <v>248000</v>
      </c>
      <c r="P83" s="144">
        <v>-0.22889999999999999</v>
      </c>
      <c r="Q83" s="144">
        <v>0.1089</v>
      </c>
    </row>
    <row r="84" spans="1:17" x14ac:dyDescent="0.25">
      <c r="A84" s="11">
        <v>38718</v>
      </c>
      <c r="B84" s="15">
        <v>31</v>
      </c>
      <c r="C84" s="8">
        <f t="shared" si="8"/>
        <v>620000</v>
      </c>
      <c r="D84" s="18">
        <f t="shared" si="9"/>
        <v>248000</v>
      </c>
      <c r="E84" s="8">
        <f t="shared" si="10"/>
        <v>310000</v>
      </c>
      <c r="F84" s="8"/>
      <c r="H84" s="10">
        <f t="shared" si="7"/>
        <v>1177999.9300000002</v>
      </c>
      <c r="I84" s="4">
        <f t="shared" si="11"/>
        <v>37999.997741935491</v>
      </c>
      <c r="K84" s="18">
        <f>30000*'1-10 vols'!B84</f>
        <v>930000</v>
      </c>
      <c r="L84" s="143">
        <v>-0.09</v>
      </c>
      <c r="M84" s="143">
        <v>0.02</v>
      </c>
      <c r="N84" s="18"/>
      <c r="O84" s="18">
        <f>8000*'1-10 vols'!B84</f>
        <v>248000</v>
      </c>
      <c r="P84" s="144">
        <v>-0.22889999999999999</v>
      </c>
      <c r="Q84" s="144">
        <v>0.1089</v>
      </c>
    </row>
    <row r="85" spans="1:17" x14ac:dyDescent="0.25">
      <c r="A85" s="11">
        <v>38749</v>
      </c>
      <c r="B85" s="15">
        <v>28</v>
      </c>
      <c r="C85" s="8">
        <f t="shared" si="8"/>
        <v>560000</v>
      </c>
      <c r="D85" s="18">
        <f t="shared" si="9"/>
        <v>224000</v>
      </c>
      <c r="E85" s="8">
        <f t="shared" si="10"/>
        <v>280000</v>
      </c>
      <c r="F85" s="8"/>
      <c r="H85" s="10">
        <f t="shared" si="7"/>
        <v>1063999.9300000002</v>
      </c>
      <c r="I85" s="4">
        <f t="shared" si="11"/>
        <v>37999.997500000005</v>
      </c>
      <c r="K85" s="18">
        <f>30000*'1-10 vols'!B85</f>
        <v>840000</v>
      </c>
      <c r="L85" s="143">
        <v>-0.09</v>
      </c>
      <c r="M85" s="143">
        <v>0.02</v>
      </c>
      <c r="N85" s="18"/>
      <c r="O85" s="18">
        <f>8000*'1-10 vols'!B85</f>
        <v>224000</v>
      </c>
      <c r="P85" s="144">
        <v>-0.22889999999999999</v>
      </c>
      <c r="Q85" s="144">
        <v>0.1089</v>
      </c>
    </row>
    <row r="86" spans="1:17" x14ac:dyDescent="0.25">
      <c r="A86" s="11">
        <v>38777</v>
      </c>
      <c r="B86" s="15">
        <v>31</v>
      </c>
      <c r="C86" s="8">
        <f t="shared" si="8"/>
        <v>620000</v>
      </c>
      <c r="D86" s="18">
        <f t="shared" si="9"/>
        <v>248000</v>
      </c>
      <c r="E86" s="8">
        <f t="shared" si="10"/>
        <v>310000</v>
      </c>
      <c r="F86" s="8"/>
      <c r="H86" s="10">
        <f t="shared" si="7"/>
        <v>1177999.9300000002</v>
      </c>
      <c r="I86" s="4">
        <f t="shared" si="11"/>
        <v>37999.997741935491</v>
      </c>
      <c r="K86" s="18">
        <f>30000*'1-10 vols'!B86</f>
        <v>930000</v>
      </c>
      <c r="L86" s="143">
        <v>-0.09</v>
      </c>
      <c r="M86" s="143">
        <v>0.02</v>
      </c>
      <c r="N86" s="18"/>
      <c r="O86" s="18">
        <f>8000*'1-10 vols'!B86</f>
        <v>248000</v>
      </c>
      <c r="P86" s="144">
        <v>-0.22889999999999999</v>
      </c>
      <c r="Q86" s="144">
        <v>0.1089</v>
      </c>
    </row>
    <row r="89" spans="1:17" x14ac:dyDescent="0.25">
      <c r="A89" t="s">
        <v>56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0"/>
  <sheetViews>
    <sheetView workbookViewId="0">
      <selection sqref="A1:IV65536"/>
    </sheetView>
  </sheetViews>
  <sheetFormatPr defaultRowHeight="13.2" x14ac:dyDescent="0.25"/>
  <cols>
    <col min="1" max="1" width="15.44140625" customWidth="1"/>
    <col min="3" max="3" width="12.6640625" customWidth="1"/>
    <col min="4" max="4" width="13" customWidth="1"/>
    <col min="5" max="5" width="12.109375" customWidth="1"/>
    <col min="7" max="7" width="13" customWidth="1"/>
    <col min="10" max="10" width="13.44140625" customWidth="1"/>
    <col min="11" max="11" width="13.109375" customWidth="1"/>
    <col min="13" max="13" width="9.6640625" customWidth="1"/>
  </cols>
  <sheetData>
    <row r="1" spans="1:11" x14ac:dyDescent="0.25">
      <c r="A1" s="6" t="s">
        <v>39</v>
      </c>
      <c r="B1" s="181">
        <f>+'R&amp;C Model'!B1</f>
        <v>36495</v>
      </c>
    </row>
    <row r="2" spans="1:11" x14ac:dyDescent="0.25">
      <c r="A2" s="6" t="s">
        <v>38</v>
      </c>
      <c r="B2" s="80">
        <f>+'R&amp;C Model'!B2</f>
        <v>31</v>
      </c>
    </row>
    <row r="3" spans="1:11" x14ac:dyDescent="0.25">
      <c r="D3" s="1" t="s">
        <v>179</v>
      </c>
      <c r="E3" s="71">
        <f>B9+B16+E16+E9+H16+H9+K16</f>
        <v>534000</v>
      </c>
    </row>
    <row r="4" spans="1:11" x14ac:dyDescent="0.25">
      <c r="A4" s="6" t="s">
        <v>161</v>
      </c>
      <c r="B4" s="182">
        <f>+'R&amp;C Model'!B9</f>
        <v>2.11</v>
      </c>
      <c r="D4" s="1" t="s">
        <v>180</v>
      </c>
      <c r="E4" s="71">
        <f>B8+B15+E15+E8+H15+H8+K15</f>
        <v>534000</v>
      </c>
    </row>
    <row r="5" spans="1:11" x14ac:dyDescent="0.25">
      <c r="A5" s="6" t="s">
        <v>162</v>
      </c>
      <c r="B5" s="183">
        <f>+'R&amp;C Model'!B10</f>
        <v>-0.02</v>
      </c>
      <c r="D5" s="6" t="s">
        <v>181</v>
      </c>
      <c r="E5" s="184">
        <v>2.25</v>
      </c>
    </row>
    <row r="6" spans="1:11" x14ac:dyDescent="0.25">
      <c r="C6" s="59"/>
    </row>
    <row r="7" spans="1:11" x14ac:dyDescent="0.25">
      <c r="A7" s="9" t="s">
        <v>182</v>
      </c>
      <c r="D7" s="9" t="s">
        <v>183</v>
      </c>
      <c r="G7" s="9" t="s">
        <v>184</v>
      </c>
    </row>
    <row r="8" spans="1:11" x14ac:dyDescent="0.25">
      <c r="A8" s="6" t="s">
        <v>185</v>
      </c>
      <c r="B8" s="80">
        <f>+B9</f>
        <v>300000</v>
      </c>
      <c r="C8" s="126"/>
      <c r="D8" s="6" t="s">
        <v>185</v>
      </c>
      <c r="E8" s="80">
        <f>+E9</f>
        <v>7500</v>
      </c>
      <c r="G8" s="6" t="s">
        <v>185</v>
      </c>
      <c r="H8" s="80">
        <f>+H9</f>
        <v>120000</v>
      </c>
    </row>
    <row r="9" spans="1:11" x14ac:dyDescent="0.25">
      <c r="A9" s="6" t="s">
        <v>186</v>
      </c>
      <c r="B9" s="80">
        <v>300000</v>
      </c>
      <c r="C9" s="126"/>
      <c r="D9" s="6" t="s">
        <v>186</v>
      </c>
      <c r="E9" s="80">
        <v>7500</v>
      </c>
      <c r="G9" s="6" t="s">
        <v>186</v>
      </c>
      <c r="H9" s="80">
        <v>120000</v>
      </c>
    </row>
    <row r="10" spans="1:11" x14ac:dyDescent="0.25">
      <c r="A10" s="6" t="s">
        <v>187</v>
      </c>
      <c r="B10" s="71">
        <f>10000*B2</f>
        <v>310000</v>
      </c>
      <c r="D10" s="6" t="s">
        <v>187</v>
      </c>
      <c r="E10" s="71">
        <f>250*B2</f>
        <v>7750</v>
      </c>
      <c r="G10" s="6" t="s">
        <v>187</v>
      </c>
      <c r="H10" s="71">
        <f>4000*B2</f>
        <v>124000</v>
      </c>
    </row>
    <row r="11" spans="1:11" x14ac:dyDescent="0.25">
      <c r="A11" s="6" t="s">
        <v>188</v>
      </c>
      <c r="B11" s="185">
        <f>B4+B5</f>
        <v>2.09</v>
      </c>
      <c r="D11" s="6" t="s">
        <v>188</v>
      </c>
      <c r="E11" s="185">
        <f>B4+B5</f>
        <v>2.09</v>
      </c>
      <c r="G11" s="6" t="s">
        <v>188</v>
      </c>
      <c r="H11" s="185">
        <f>+B4+B5</f>
        <v>2.09</v>
      </c>
    </row>
    <row r="12" spans="1:11" x14ac:dyDescent="0.25">
      <c r="A12" s="6" t="s">
        <v>189</v>
      </c>
      <c r="B12" s="145">
        <v>1.97</v>
      </c>
      <c r="D12" s="6" t="s">
        <v>189</v>
      </c>
      <c r="E12" s="145">
        <f>B4-0.055</f>
        <v>2.0549999999999997</v>
      </c>
      <c r="G12" s="6" t="s">
        <v>189</v>
      </c>
      <c r="H12" s="145">
        <f>+B4-0.07</f>
        <v>2.04</v>
      </c>
    </row>
    <row r="14" spans="1:11" x14ac:dyDescent="0.25">
      <c r="A14" s="9" t="s">
        <v>190</v>
      </c>
      <c r="D14" s="9" t="s">
        <v>191</v>
      </c>
      <c r="G14" s="9" t="s">
        <v>192</v>
      </c>
      <c r="J14" s="21"/>
      <c r="K14" s="65"/>
    </row>
    <row r="15" spans="1:11" x14ac:dyDescent="0.25">
      <c r="A15" s="6" t="s">
        <v>185</v>
      </c>
      <c r="B15" s="80">
        <f>+B16</f>
        <v>84000</v>
      </c>
      <c r="D15" s="6" t="s">
        <v>185</v>
      </c>
      <c r="E15" s="80">
        <f>+E16</f>
        <v>15000</v>
      </c>
      <c r="G15" s="6" t="s">
        <v>185</v>
      </c>
      <c r="H15" s="80">
        <f>+H16</f>
        <v>7500</v>
      </c>
      <c r="J15" s="21"/>
      <c r="K15" s="179"/>
    </row>
    <row r="16" spans="1:11" x14ac:dyDescent="0.25">
      <c r="A16" s="6" t="s">
        <v>186</v>
      </c>
      <c r="B16" s="80">
        <v>84000</v>
      </c>
      <c r="D16" s="6" t="s">
        <v>186</v>
      </c>
      <c r="E16" s="80">
        <v>15000</v>
      </c>
      <c r="G16" s="6" t="s">
        <v>186</v>
      </c>
      <c r="H16" s="80">
        <v>7500</v>
      </c>
      <c r="J16" s="21"/>
      <c r="K16" s="179"/>
    </row>
    <row r="17" spans="1:11" x14ac:dyDescent="0.25">
      <c r="A17" s="6" t="s">
        <v>187</v>
      </c>
      <c r="B17" s="71">
        <f>2800*B2</f>
        <v>86800</v>
      </c>
      <c r="D17" s="6" t="s">
        <v>187</v>
      </c>
      <c r="E17" s="71">
        <f>500*B2</f>
        <v>15500</v>
      </c>
      <c r="G17" s="6" t="s">
        <v>187</v>
      </c>
      <c r="H17" s="71">
        <v>0</v>
      </c>
      <c r="J17" s="21"/>
      <c r="K17" s="179"/>
    </row>
    <row r="18" spans="1:11" x14ac:dyDescent="0.25">
      <c r="A18" s="6" t="s">
        <v>188</v>
      </c>
      <c r="B18" s="185">
        <f>B4+B5</f>
        <v>2.09</v>
      </c>
      <c r="D18" s="6" t="s">
        <v>188</v>
      </c>
      <c r="E18" s="185">
        <f>B4+B5+0.002</f>
        <v>2.0919999999999996</v>
      </c>
      <c r="G18" s="6" t="s">
        <v>188</v>
      </c>
      <c r="H18" s="185">
        <f>H19</f>
        <v>2.21</v>
      </c>
      <c r="J18" s="21"/>
      <c r="K18" s="180"/>
    </row>
    <row r="19" spans="1:11" x14ac:dyDescent="0.25">
      <c r="A19" s="6" t="s">
        <v>189</v>
      </c>
      <c r="B19" s="145">
        <v>2</v>
      </c>
      <c r="D19" s="6" t="s">
        <v>189</v>
      </c>
      <c r="E19" s="145">
        <v>2.06</v>
      </c>
      <c r="G19" s="6" t="s">
        <v>189</v>
      </c>
      <c r="H19" s="145">
        <f>B4+0.1</f>
        <v>2.21</v>
      </c>
      <c r="J19" s="21"/>
      <c r="K19" s="187"/>
    </row>
    <row r="20" spans="1:11" x14ac:dyDescent="0.25">
      <c r="J20" s="65"/>
      <c r="K20" s="65"/>
    </row>
    <row r="21" spans="1:11" x14ac:dyDescent="0.25">
      <c r="B21" s="66"/>
      <c r="C21" s="65"/>
    </row>
    <row r="22" spans="1:11" x14ac:dyDescent="0.25">
      <c r="A22" s="147"/>
      <c r="B22" s="148" t="s">
        <v>97</v>
      </c>
      <c r="C22" s="105"/>
      <c r="D22" s="105"/>
      <c r="E22" s="107"/>
    </row>
    <row r="23" spans="1:11" x14ac:dyDescent="0.25">
      <c r="A23" s="108"/>
      <c r="B23" s="149"/>
      <c r="C23" s="96"/>
      <c r="D23" s="96"/>
      <c r="E23" s="93"/>
      <c r="G23" s="6" t="s">
        <v>193</v>
      </c>
    </row>
    <row r="24" spans="1:11" x14ac:dyDescent="0.25">
      <c r="A24" s="108"/>
      <c r="B24" s="198" t="s">
        <v>98</v>
      </c>
      <c r="C24" s="200"/>
      <c r="D24" s="67" t="s">
        <v>99</v>
      </c>
      <c r="E24" s="61" t="s">
        <v>100</v>
      </c>
      <c r="G24" s="186">
        <f>SUM(B26:C31)</f>
        <v>1116990</v>
      </c>
    </row>
    <row r="25" spans="1:11" x14ac:dyDescent="0.25">
      <c r="A25" s="108"/>
      <c r="B25" s="94"/>
      <c r="C25" s="131"/>
      <c r="D25" s="94"/>
      <c r="E25" s="131"/>
      <c r="G25" s="6" t="s">
        <v>194</v>
      </c>
    </row>
    <row r="26" spans="1:11" x14ac:dyDescent="0.25">
      <c r="A26" s="116">
        <v>72063</v>
      </c>
      <c r="B26" s="217">
        <f>B9*B11</f>
        <v>627000</v>
      </c>
      <c r="C26" s="208"/>
      <c r="D26" s="94">
        <f>B12*B8</f>
        <v>591000</v>
      </c>
      <c r="E26" s="150">
        <f>(B11-B12)*B10</f>
        <v>37199.999999999964</v>
      </c>
      <c r="F26" t="s">
        <v>202</v>
      </c>
      <c r="G26" s="186">
        <f>SUM(D26:D31)</f>
        <v>1066687.5</v>
      </c>
    </row>
    <row r="27" spans="1:11" x14ac:dyDescent="0.25">
      <c r="A27" s="116">
        <v>70119</v>
      </c>
      <c r="B27" s="217">
        <f>B16*B18</f>
        <v>175560</v>
      </c>
      <c r="C27" s="208"/>
      <c r="D27" s="94">
        <f>B19*B15</f>
        <v>168000</v>
      </c>
      <c r="E27" s="150">
        <f>B17*(B18-B19)</f>
        <v>7811.9999999999873</v>
      </c>
      <c r="F27" t="s">
        <v>205</v>
      </c>
    </row>
    <row r="28" spans="1:11" x14ac:dyDescent="0.25">
      <c r="A28" s="116">
        <v>78417</v>
      </c>
      <c r="B28" s="217">
        <f>E16*E18</f>
        <v>31379.999999999996</v>
      </c>
      <c r="C28" s="208"/>
      <c r="D28" s="94">
        <f>E19*E15</f>
        <v>30900</v>
      </c>
      <c r="E28" s="150">
        <f>E17*(E18-E19)</f>
        <v>495.99999999999358</v>
      </c>
      <c r="F28" t="s">
        <v>203</v>
      </c>
    </row>
    <row r="29" spans="1:11" x14ac:dyDescent="0.25">
      <c r="A29" s="116">
        <v>78418</v>
      </c>
      <c r="B29" s="217">
        <f>E11*E9</f>
        <v>15674.999999999998</v>
      </c>
      <c r="C29" s="208"/>
      <c r="D29" s="94">
        <f>E12*E8</f>
        <v>15412.499999999998</v>
      </c>
      <c r="E29" s="150">
        <f>E10*(E11-E12)</f>
        <v>271.25000000000108</v>
      </c>
      <c r="F29" t="s">
        <v>204</v>
      </c>
    </row>
    <row r="30" spans="1:11" x14ac:dyDescent="0.25">
      <c r="A30" s="116">
        <v>70114</v>
      </c>
      <c r="B30" s="217">
        <f>H18*H16</f>
        <v>16575</v>
      </c>
      <c r="C30" s="208"/>
      <c r="D30" s="94">
        <f>H15*H19:H19</f>
        <v>16575</v>
      </c>
      <c r="E30" s="150">
        <v>0</v>
      </c>
    </row>
    <row r="31" spans="1:11" x14ac:dyDescent="0.25">
      <c r="A31" s="116">
        <v>60952</v>
      </c>
      <c r="B31" s="217">
        <f>+H9*H11</f>
        <v>250799.99999999997</v>
      </c>
      <c r="C31" s="208"/>
      <c r="D31" s="94">
        <f>+H12*H8</f>
        <v>244800</v>
      </c>
      <c r="E31" s="150">
        <f>+(H11-H12)*H10</f>
        <v>6199.9999999999782</v>
      </c>
      <c r="F31" t="s">
        <v>146</v>
      </c>
    </row>
    <row r="32" spans="1:11" x14ac:dyDescent="0.25">
      <c r="A32" s="116" t="s">
        <v>195</v>
      </c>
      <c r="B32" s="217">
        <f>IF(E3&gt;E4,0,(E4-E3)*E5)</f>
        <v>0</v>
      </c>
      <c r="C32" s="208"/>
      <c r="D32" s="94">
        <f>IF(E3&gt;E4,E5*(E3-E4),0)</f>
        <v>0</v>
      </c>
      <c r="E32" s="150">
        <v>0</v>
      </c>
    </row>
    <row r="33" spans="1:12" x14ac:dyDescent="0.25">
      <c r="A33" s="108"/>
      <c r="B33" s="218"/>
      <c r="C33" s="219"/>
      <c r="D33" s="99"/>
      <c r="E33" s="151"/>
    </row>
    <row r="34" spans="1:12" x14ac:dyDescent="0.25">
      <c r="A34" s="152" t="s">
        <v>102</v>
      </c>
      <c r="B34" s="220">
        <f>SUM(B26:C33)</f>
        <v>1116990</v>
      </c>
      <c r="C34" s="221"/>
      <c r="D34" s="99">
        <f>SUM(D26:D33)</f>
        <v>1066687.5</v>
      </c>
      <c r="E34" s="140">
        <f>SUM(E26:E33)</f>
        <v>51979.24999999992</v>
      </c>
    </row>
    <row r="35" spans="1:12" x14ac:dyDescent="0.25">
      <c r="B35" s="69"/>
      <c r="D35" s="70"/>
      <c r="E35" s="69"/>
    </row>
    <row r="37" spans="1:12" x14ac:dyDescent="0.25">
      <c r="B37" s="6" t="s">
        <v>103</v>
      </c>
      <c r="C37" s="215">
        <f>D34+E34-B34</f>
        <v>1676.75</v>
      </c>
      <c r="D37" s="216"/>
    </row>
    <row r="39" spans="1:12" x14ac:dyDescent="0.25">
      <c r="A39" s="1" t="s">
        <v>196</v>
      </c>
      <c r="D39" s="175">
        <f>+C37+'R&amp;C Model'!C38+'Industrial Model'!C34</f>
        <v>-863289.86569999997</v>
      </c>
    </row>
    <row r="40" spans="1:12" x14ac:dyDescent="0.25">
      <c r="J40" s="69"/>
      <c r="L40" s="59"/>
    </row>
    <row r="41" spans="1:12" x14ac:dyDescent="0.25">
      <c r="A41" s="198" t="s">
        <v>175</v>
      </c>
      <c r="B41" s="199"/>
      <c r="C41" s="200"/>
    </row>
    <row r="42" spans="1:12" x14ac:dyDescent="0.25">
      <c r="A42" s="20">
        <v>72063</v>
      </c>
    </row>
    <row r="43" spans="1:12" x14ac:dyDescent="0.25">
      <c r="A43" s="176" t="s">
        <v>199</v>
      </c>
      <c r="C43" s="70">
        <f>(B10-B8)*(B11-B12)</f>
        <v>1199.9999999999989</v>
      </c>
      <c r="K43" s="59"/>
    </row>
    <row r="44" spans="1:12" x14ac:dyDescent="0.25">
      <c r="A44" s="176" t="s">
        <v>198</v>
      </c>
      <c r="C44" s="70">
        <f>(B8-B9)*(B11-E5)</f>
        <v>0</v>
      </c>
    </row>
    <row r="45" spans="1:12" x14ac:dyDescent="0.25">
      <c r="A45" s="20">
        <v>70119</v>
      </c>
      <c r="C45" s="70"/>
    </row>
    <row r="46" spans="1:12" x14ac:dyDescent="0.25">
      <c r="A46" s="176" t="s">
        <v>197</v>
      </c>
      <c r="C46" s="177">
        <f>(B17-B15)*(B18-B19)</f>
        <v>251.9999999999996</v>
      </c>
    </row>
    <row r="47" spans="1:12" x14ac:dyDescent="0.25">
      <c r="A47" s="176"/>
      <c r="C47" s="70"/>
    </row>
    <row r="48" spans="1:12" x14ac:dyDescent="0.25">
      <c r="A48" s="20" t="s">
        <v>177</v>
      </c>
      <c r="C48" s="178">
        <f>SUM(C43:C46)</f>
        <v>1451.9999999999984</v>
      </c>
    </row>
    <row r="49" spans="1:3" x14ac:dyDescent="0.25">
      <c r="A49" s="176"/>
      <c r="C49" s="4"/>
    </row>
    <row r="50" spans="1:3" x14ac:dyDescent="0.25">
      <c r="A50" s="176"/>
      <c r="C50" s="4"/>
    </row>
    <row r="51" spans="1:3" x14ac:dyDescent="0.25">
      <c r="A51" s="176"/>
      <c r="C51" s="4"/>
    </row>
    <row r="52" spans="1:3" x14ac:dyDescent="0.25">
      <c r="A52" s="176"/>
    </row>
    <row r="53" spans="1:3" x14ac:dyDescent="0.25">
      <c r="A53" s="176"/>
    </row>
    <row r="54" spans="1:3" x14ac:dyDescent="0.25">
      <c r="A54" s="176"/>
    </row>
    <row r="55" spans="1:3" x14ac:dyDescent="0.25">
      <c r="A55" s="176"/>
    </row>
    <row r="56" spans="1:3" x14ac:dyDescent="0.25">
      <c r="A56" s="176"/>
    </row>
    <row r="57" spans="1:3" x14ac:dyDescent="0.25">
      <c r="A57" s="176"/>
    </row>
    <row r="58" spans="1:3" x14ac:dyDescent="0.25">
      <c r="A58" s="176"/>
    </row>
    <row r="59" spans="1:3" x14ac:dyDescent="0.25">
      <c r="A59" s="176"/>
    </row>
    <row r="60" spans="1:3" x14ac:dyDescent="0.25">
      <c r="A60" s="176"/>
    </row>
    <row r="61" spans="1:3" x14ac:dyDescent="0.25">
      <c r="A61" s="176"/>
    </row>
    <row r="62" spans="1:3" x14ac:dyDescent="0.25">
      <c r="A62" s="176"/>
    </row>
    <row r="63" spans="1:3" x14ac:dyDescent="0.25">
      <c r="A63" s="176"/>
    </row>
    <row r="64" spans="1:3" x14ac:dyDescent="0.25">
      <c r="A64" s="176"/>
    </row>
    <row r="65" spans="1:1" x14ac:dyDescent="0.25">
      <c r="A65" s="176"/>
    </row>
    <row r="66" spans="1:1" x14ac:dyDescent="0.25">
      <c r="A66" s="176"/>
    </row>
    <row r="67" spans="1:1" x14ac:dyDescent="0.25">
      <c r="A67" s="176"/>
    </row>
    <row r="68" spans="1:1" x14ac:dyDescent="0.25">
      <c r="A68" s="176"/>
    </row>
    <row r="69" spans="1:1" x14ac:dyDescent="0.25">
      <c r="A69" s="176"/>
    </row>
    <row r="70" spans="1:1" x14ac:dyDescent="0.25">
      <c r="A70" s="176"/>
    </row>
    <row r="71" spans="1:1" x14ac:dyDescent="0.25">
      <c r="A71" s="176"/>
    </row>
    <row r="72" spans="1:1" x14ac:dyDescent="0.25">
      <c r="A72" s="176"/>
    </row>
    <row r="73" spans="1:1" x14ac:dyDescent="0.25">
      <c r="A73" s="176"/>
    </row>
    <row r="74" spans="1:1" x14ac:dyDescent="0.25">
      <c r="A74" s="176"/>
    </row>
    <row r="75" spans="1:1" x14ac:dyDescent="0.25">
      <c r="A75" s="176"/>
    </row>
    <row r="76" spans="1:1" x14ac:dyDescent="0.25">
      <c r="A76" s="176"/>
    </row>
    <row r="77" spans="1:1" x14ac:dyDescent="0.25">
      <c r="A77" s="176"/>
    </row>
    <row r="78" spans="1:1" x14ac:dyDescent="0.25">
      <c r="A78" s="176"/>
    </row>
    <row r="79" spans="1:1" x14ac:dyDescent="0.25">
      <c r="A79" s="176"/>
    </row>
    <row r="80" spans="1:1" x14ac:dyDescent="0.25">
      <c r="A80" s="176"/>
    </row>
    <row r="81" spans="1:1" x14ac:dyDescent="0.25">
      <c r="A81" s="176"/>
    </row>
    <row r="82" spans="1:1" x14ac:dyDescent="0.25">
      <c r="A82" s="176"/>
    </row>
    <row r="83" spans="1:1" x14ac:dyDescent="0.25">
      <c r="A83" s="176"/>
    </row>
    <row r="84" spans="1:1" x14ac:dyDescent="0.25">
      <c r="A84" s="176"/>
    </row>
    <row r="85" spans="1:1" x14ac:dyDescent="0.25">
      <c r="A85" s="176"/>
    </row>
    <row r="86" spans="1:1" x14ac:dyDescent="0.25">
      <c r="A86" s="176"/>
    </row>
    <row r="87" spans="1:1" x14ac:dyDescent="0.25">
      <c r="A87" s="176"/>
    </row>
    <row r="88" spans="1:1" x14ac:dyDescent="0.25">
      <c r="A88" s="176"/>
    </row>
    <row r="89" spans="1:1" x14ac:dyDescent="0.25">
      <c r="A89" s="176"/>
    </row>
    <row r="90" spans="1:1" x14ac:dyDescent="0.25">
      <c r="A90" s="176"/>
    </row>
    <row r="91" spans="1:1" x14ac:dyDescent="0.25">
      <c r="A91" s="176"/>
    </row>
    <row r="92" spans="1:1" x14ac:dyDescent="0.25">
      <c r="A92" s="176"/>
    </row>
    <row r="93" spans="1:1" x14ac:dyDescent="0.25">
      <c r="A93" s="176"/>
    </row>
    <row r="94" spans="1:1" x14ac:dyDescent="0.25">
      <c r="A94" s="176"/>
    </row>
    <row r="95" spans="1:1" x14ac:dyDescent="0.25">
      <c r="A95" s="176"/>
    </row>
    <row r="96" spans="1:1" x14ac:dyDescent="0.25">
      <c r="A96" s="176"/>
    </row>
    <row r="97" spans="1:1" x14ac:dyDescent="0.25">
      <c r="A97" s="176"/>
    </row>
    <row r="98" spans="1:1" x14ac:dyDescent="0.25">
      <c r="A98" s="176"/>
    </row>
    <row r="99" spans="1:1" x14ac:dyDescent="0.25">
      <c r="A99" s="176"/>
    </row>
    <row r="100" spans="1:1" x14ac:dyDescent="0.25">
      <c r="A100" s="176"/>
    </row>
  </sheetData>
  <mergeCells count="12">
    <mergeCell ref="B31:C31"/>
    <mergeCell ref="C37:D37"/>
    <mergeCell ref="A41:C41"/>
    <mergeCell ref="B32:C32"/>
    <mergeCell ref="B33:C33"/>
    <mergeCell ref="B34:C34"/>
    <mergeCell ref="B24:C24"/>
    <mergeCell ref="B26:C26"/>
    <mergeCell ref="B27:C27"/>
    <mergeCell ref="B28:C28"/>
    <mergeCell ref="B29:C29"/>
    <mergeCell ref="B30:C3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Booking</vt:lpstr>
      <vt:lpstr>Model Details</vt:lpstr>
      <vt:lpstr>R&amp;C Model</vt:lpstr>
      <vt:lpstr>1-10 vols</vt:lpstr>
      <vt:lpstr>Transport Schedule</vt:lpstr>
      <vt:lpstr>Industrial Model</vt:lpstr>
      <vt:lpstr>6,7,5 vols</vt:lpstr>
      <vt:lpstr>Other Deals</vt:lpstr>
      <vt:lpstr>'1-10 vols'!Print_Area</vt:lpstr>
      <vt:lpstr>Booking!Print_Area</vt:lpstr>
      <vt:lpstr>'R&amp;C Model'!Print_Area</vt:lpstr>
      <vt:lpstr>'Transport Schedule'!Print_Area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1999-11-30T14:06:09Z</cp:lastPrinted>
  <dcterms:created xsi:type="dcterms:W3CDTF">1999-03-22T18:53:09Z</dcterms:created>
  <dcterms:modified xsi:type="dcterms:W3CDTF">2023-09-10T11:02:15Z</dcterms:modified>
</cp:coreProperties>
</file>