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2120" windowHeight="8340" firstSheet="1" activeTab="1"/>
  </bookViews>
  <sheets>
    <sheet name="Ops" sheetId="1" state="hidden" r:id="rId1"/>
    <sheet name="Gas Log" sheetId="4" r:id="rId2"/>
    <sheet name="Gas Log Variance" sheetId="6" r:id="rId3"/>
    <sheet name="Measurement &amp; Support" sheetId="8" r:id="rId4"/>
    <sheet name="Ops Variance " sheetId="2" state="hidden" r:id="rId5"/>
    <sheet name="Meas. &amp; Support Variance" sheetId="9" r:id="rId6"/>
    <sheet name="IT" sheetId="5" r:id="rId7"/>
    <sheet name="IT Variance" sheetId="7" r:id="rId8"/>
  </sheets>
  <calcPr calcId="92512"/>
</workbook>
</file>

<file path=xl/calcChain.xml><?xml version="1.0" encoding="utf-8"?>
<calcChain xmlns="http://schemas.openxmlformats.org/spreadsheetml/2006/main">
  <c r="D7" i="4" l="1"/>
  <c r="E7" i="4"/>
  <c r="F7" i="4"/>
  <c r="G7" i="4"/>
  <c r="H7" i="4"/>
  <c r="I7" i="4"/>
  <c r="J7" i="4"/>
  <c r="K7" i="4"/>
  <c r="L7" i="4"/>
  <c r="M7" i="4"/>
  <c r="N7" i="4"/>
  <c r="O7" i="4"/>
  <c r="D8" i="4"/>
  <c r="E8" i="4"/>
  <c r="F8" i="4"/>
  <c r="G8" i="4"/>
  <c r="H8" i="4"/>
  <c r="I8" i="4"/>
  <c r="J8" i="4"/>
  <c r="K8" i="4"/>
  <c r="L8" i="4"/>
  <c r="M8" i="4"/>
  <c r="N8" i="4"/>
  <c r="O8" i="4"/>
  <c r="C9" i="4"/>
  <c r="D9" i="4"/>
  <c r="E9" i="4"/>
  <c r="F9" i="4"/>
  <c r="G9" i="4"/>
  <c r="H9" i="4"/>
  <c r="I9" i="4"/>
  <c r="J9" i="4"/>
  <c r="K9" i="4"/>
  <c r="L9" i="4"/>
  <c r="M9" i="4"/>
  <c r="N9" i="4"/>
  <c r="O9" i="4"/>
  <c r="O10" i="4"/>
  <c r="D11" i="4"/>
  <c r="O11" i="4"/>
  <c r="O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O16" i="4"/>
  <c r="O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O20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A30" i="4"/>
  <c r="C11" i="6"/>
  <c r="I7" i="5"/>
  <c r="J7" i="5"/>
  <c r="K7" i="5"/>
  <c r="L7" i="5"/>
  <c r="M7" i="5"/>
  <c r="N7" i="5"/>
  <c r="O7" i="5"/>
  <c r="O8" i="5"/>
  <c r="C9" i="5"/>
  <c r="D9" i="5"/>
  <c r="E9" i="5"/>
  <c r="F9" i="5"/>
  <c r="G9" i="5"/>
  <c r="H9" i="5"/>
  <c r="I9" i="5"/>
  <c r="J9" i="5"/>
  <c r="K9" i="5"/>
  <c r="L9" i="5"/>
  <c r="M9" i="5"/>
  <c r="N9" i="5"/>
  <c r="O9" i="5"/>
  <c r="D11" i="5"/>
  <c r="E11" i="5"/>
  <c r="F11" i="5"/>
  <c r="G11" i="5"/>
  <c r="H11" i="5"/>
  <c r="I11" i="5"/>
  <c r="J11" i="5"/>
  <c r="K11" i="5"/>
  <c r="L11" i="5"/>
  <c r="M11" i="5"/>
  <c r="N11" i="5"/>
  <c r="O11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O16" i="5"/>
  <c r="D17" i="5"/>
  <c r="E17" i="5"/>
  <c r="F17" i="5"/>
  <c r="G17" i="5"/>
  <c r="H17" i="5"/>
  <c r="I17" i="5"/>
  <c r="J17" i="5"/>
  <c r="K17" i="5"/>
  <c r="L17" i="5"/>
  <c r="M17" i="5"/>
  <c r="N17" i="5"/>
  <c r="O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D20" i="5"/>
  <c r="E20" i="5"/>
  <c r="F20" i="5"/>
  <c r="G20" i="5"/>
  <c r="H20" i="5"/>
  <c r="I20" i="5"/>
  <c r="J20" i="5"/>
  <c r="K20" i="5"/>
  <c r="L20" i="5"/>
  <c r="M20" i="5"/>
  <c r="N20" i="5"/>
  <c r="O20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A30" i="5"/>
  <c r="C12" i="7"/>
  <c r="C10" i="9"/>
  <c r="O7" i="8"/>
  <c r="O8" i="8"/>
  <c r="C9" i="8"/>
  <c r="D9" i="8"/>
  <c r="E9" i="8"/>
  <c r="F9" i="8"/>
  <c r="G9" i="8"/>
  <c r="H9" i="8"/>
  <c r="I9" i="8"/>
  <c r="J9" i="8"/>
  <c r="K9" i="8"/>
  <c r="L9" i="8"/>
  <c r="M9" i="8"/>
  <c r="N9" i="8"/>
  <c r="O9" i="8"/>
  <c r="O11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O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A30" i="8"/>
  <c r="O7" i="1"/>
  <c r="O8" i="1"/>
  <c r="C9" i="1"/>
  <c r="D9" i="1"/>
  <c r="E9" i="1"/>
  <c r="F9" i="1"/>
  <c r="G9" i="1"/>
  <c r="H9" i="1"/>
  <c r="I9" i="1"/>
  <c r="J9" i="1"/>
  <c r="K9" i="1"/>
  <c r="L9" i="1"/>
  <c r="M9" i="1"/>
  <c r="N9" i="1"/>
  <c r="O9" i="1"/>
  <c r="O11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O16" i="1"/>
  <c r="O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O20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C21" i="2"/>
</calcChain>
</file>

<file path=xl/comments1.xml><?xml version="1.0" encoding="utf-8"?>
<comments xmlns="http://schemas.openxmlformats.org/spreadsheetml/2006/main">
  <authors>
    <author>ncarpen</author>
  </authors>
  <commentList>
    <comment ref="B7" authorId="0" shapeId="0">
      <text>
        <r>
          <rPr>
            <b/>
            <sz val="8"/>
            <color indexed="81"/>
            <rFont val="Tahoma"/>
          </rPr>
          <t>ncarpen:</t>
        </r>
        <r>
          <rPr>
            <sz val="8"/>
            <color indexed="81"/>
            <rFont val="Tahoma"/>
          </rPr>
          <t xml:space="preserve">
All other O&amp;M expenses
</t>
        </r>
      </text>
    </comment>
    <comment ref="B8" authorId="0" shapeId="0">
      <text>
        <r>
          <rPr>
            <b/>
            <sz val="8"/>
            <color indexed="81"/>
            <rFont val="Tahoma"/>
          </rPr>
          <t>ncarpen:</t>
        </r>
        <r>
          <rPr>
            <sz val="8"/>
            <color indexed="81"/>
            <rFont val="Tahoma"/>
          </rPr>
          <t xml:space="preserve">
Salaries &amp; Benefits
</t>
        </r>
      </text>
    </comment>
  </commentList>
</comments>
</file>

<file path=xl/sharedStrings.xml><?xml version="1.0" encoding="utf-8"?>
<sst xmlns="http://schemas.openxmlformats.org/spreadsheetml/2006/main" count="195" uniqueCount="50">
  <si>
    <t>TTL</t>
  </si>
  <si>
    <t>Jan</t>
  </si>
  <si>
    <t>O&amp;M  179</t>
  </si>
  <si>
    <t>O&amp;M 179E</t>
  </si>
  <si>
    <t>P/R Tax</t>
  </si>
  <si>
    <t>Feb</t>
  </si>
  <si>
    <t>Mar</t>
  </si>
  <si>
    <t>Operations</t>
  </si>
  <si>
    <t>Total Operations</t>
  </si>
  <si>
    <t>Operations Support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</si>
  <si>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</si>
  <si>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</si>
  <si>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</si>
  <si>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</si>
  <si>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</si>
  <si>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</si>
  <si>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</si>
  <si>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</si>
  <si>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</si>
  <si>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</si>
  <si>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Dynegy Plan 2002</t>
  </si>
  <si>
    <t>Gas Logistics</t>
  </si>
  <si>
    <t>Total Gas Logistics</t>
  </si>
  <si>
    <t>Gas Log Support</t>
  </si>
  <si>
    <t>Total Gas Log Support</t>
  </si>
  <si>
    <t>Total Ops Support</t>
  </si>
  <si>
    <t>Information Technology</t>
  </si>
  <si>
    <t>Total IT</t>
  </si>
  <si>
    <t>IT Support</t>
  </si>
  <si>
    <t>Total IT Support</t>
  </si>
  <si>
    <t>Total Information Technology</t>
  </si>
  <si>
    <t>Original 2002 Plan</t>
  </si>
  <si>
    <t>Dynegy 2002 Plan</t>
  </si>
  <si>
    <t>Variance Explanation</t>
  </si>
  <si>
    <t>Dynegy Annual Plan 2002</t>
  </si>
  <si>
    <t>Northern Natural Gas - Operations</t>
  </si>
  <si>
    <t>Northern Natural Gas - Gas Logistics</t>
  </si>
  <si>
    <t>Northern Natural Gas - Information Technology</t>
  </si>
  <si>
    <t xml:space="preserve"> (in dollars)</t>
  </si>
  <si>
    <t>Gas Measurement &amp; IT / GL Support</t>
  </si>
  <si>
    <t>Northern Natural Gas - Gas Measurement and IT / GL Support</t>
  </si>
  <si>
    <t>ETS Communications Removed from GL Function</t>
  </si>
  <si>
    <t>Payroll Taxes not Included in Original Number to Dynegy</t>
  </si>
  <si>
    <t>Original 2002 Plan (1)</t>
  </si>
  <si>
    <t>(1) Does not include Lucent Credit</t>
  </si>
  <si>
    <t>Actual</t>
  </si>
  <si>
    <t>Plan</t>
  </si>
  <si>
    <t>Revised 4/04/02</t>
  </si>
  <si>
    <t>January Actuals Lower</t>
  </si>
  <si>
    <t>Revised 3/05/02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</si>
</sst>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mmm"/>
    <numFmt numFmtId="166" formatCode="_(* #,##0.0_);_(* \(#,##0.0\);_(* &quot;-&quot;?_);_(@_)"/>
    <numFmt numFmtId="167" formatCode="_(&quot;$&quot;* #,##0.0_);_(&quot;$&quot;* \(#,##0.0\);_(&quot;$&quot;* &quot;-&quot;?_);_(@_)"/>
    <numFmt numFmtId="168" formatCode="_(&quot;$&quot;* #,##0_);_(&quot;$&quot;* \(#,##0\);_(&quot;$&quot;* &quot;-&quot;?_);_(@_)"/>
    <numFmt numFmtId="169" formatCode="_(* #,##0_);_(* \(#,##0\);_(* &quot;-&quot;?_);_(@_)"/>
    <numFmt numFmtId="171" formatCode="_(* #,##0_);_(* \(#,##0\);_(* &quot;-&quot;??_);_(@_)"/>
    <numFmt numFmtId="173" formatCode="_(&quot;$&quot;* #,##0_);_(&quot;$&quot;* \(#,##0\);_(&quot;$&quot;* &quot;-&quot;??_);_(@_)"/>
  </numFmts>
  <fonts count="16">
    <font>
      <sz val="10"/>
      <name val="Arial"/>
    </font>
    <font>
      <sz val="10"/>
      <name val="Arial"/>
    </font>
    <font>
      <b/>
      <sz val="12"/>
      <name val="Palatino"/>
      <family val="1"/>
    </font>
    <font>
      <sz val="10"/>
      <name val="Palatino"/>
      <family val="1"/>
    </font>
    <font>
      <u/>
      <sz val="10"/>
      <name val="Palatino"/>
      <family val="1"/>
    </font>
    <font>
      <u val="double"/>
      <sz val="10"/>
      <name val="Palatino"/>
      <family val="1"/>
    </font>
    <font>
      <b/>
      <sz val="8"/>
      <name val="Palatino"/>
      <family val="1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Palatino"/>
    </font>
    <font>
      <u val="singleAccounting"/>
      <sz val="10"/>
      <name val="Palatino"/>
    </font>
    <font>
      <b/>
      <u/>
      <sz val="10"/>
      <name val="Palatino"/>
    </font>
    <font>
      <b/>
      <u val="singleAccounting"/>
      <sz val="10"/>
      <name val="Palatino"/>
    </font>
    <font>
      <sz val="8"/>
      <name val="Palatino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165" fontId="3" fillId="0" borderId="0" xfId="0" applyNumberFormat="1" applyFont="1"/>
    <xf numFmtId="41" fontId="3" fillId="0" borderId="0" xfId="0" applyNumberFormat="1" applyFont="1"/>
    <xf numFmtId="41" fontId="4" fillId="0" borderId="0" xfId="0" applyNumberFormat="1" applyFont="1"/>
    <xf numFmtId="41" fontId="5" fillId="0" borderId="0" xfId="0" applyNumberFormat="1" applyFont="1"/>
    <xf numFmtId="0" fontId="6" fillId="0" borderId="0" xfId="0" applyFont="1"/>
    <xf numFmtId="0" fontId="7" fillId="0" borderId="0" xfId="0" applyFont="1"/>
    <xf numFmtId="166" fontId="0" fillId="0" borderId="0" xfId="0" applyNumberFormat="1"/>
    <xf numFmtId="167" fontId="0" fillId="0" borderId="0" xfId="0" applyNumberFormat="1"/>
    <xf numFmtId="41" fontId="10" fillId="0" borderId="0" xfId="0" applyNumberFormat="1" applyFont="1"/>
    <xf numFmtId="0" fontId="10" fillId="0" borderId="0" xfId="0" applyFont="1"/>
    <xf numFmtId="168" fontId="0" fillId="0" borderId="0" xfId="0" applyNumberFormat="1"/>
    <xf numFmtId="169" fontId="0" fillId="0" borderId="0" xfId="0" applyNumberFormat="1"/>
    <xf numFmtId="169" fontId="0" fillId="0" borderId="1" xfId="0" applyNumberFormat="1" applyBorder="1"/>
    <xf numFmtId="171" fontId="0" fillId="0" borderId="0" xfId="1" applyNumberFormat="1" applyFont="1"/>
    <xf numFmtId="171" fontId="0" fillId="0" borderId="1" xfId="1" applyNumberFormat="1" applyFont="1" applyBorder="1"/>
    <xf numFmtId="169" fontId="0" fillId="0" borderId="0" xfId="0" applyNumberFormat="1" applyBorder="1"/>
    <xf numFmtId="168" fontId="7" fillId="0" borderId="0" xfId="0" applyNumberFormat="1" applyFont="1"/>
    <xf numFmtId="168" fontId="7" fillId="0" borderId="1" xfId="0" applyNumberFormat="1" applyFont="1" applyBorder="1"/>
    <xf numFmtId="173" fontId="7" fillId="0" borderId="2" xfId="2" applyNumberFormat="1" applyFont="1" applyBorder="1"/>
    <xf numFmtId="173" fontId="7" fillId="0" borderId="0" xfId="2" applyNumberFormat="1" applyFont="1"/>
    <xf numFmtId="41" fontId="11" fillId="0" borderId="0" xfId="0" applyNumberFormat="1" applyFont="1" applyBorder="1"/>
    <xf numFmtId="41" fontId="11" fillId="0" borderId="0" xfId="0" applyNumberFormat="1" applyFont="1"/>
    <xf numFmtId="0" fontId="0" fillId="0" borderId="0" xfId="0" quotePrefix="1"/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41" fontId="12" fillId="0" borderId="0" xfId="0" applyNumberFormat="1" applyFont="1"/>
    <xf numFmtId="0" fontId="10" fillId="0" borderId="0" xfId="0" applyFont="1" applyAlignment="1">
      <alignment horizontal="center"/>
    </xf>
    <xf numFmtId="165" fontId="10" fillId="0" borderId="0" xfId="0" applyNumberFormat="1" applyFont="1" applyAlignment="1">
      <alignment horizontal="center"/>
    </xf>
    <xf numFmtId="41" fontId="13" fillId="0" borderId="0" xfId="0" applyNumberFormat="1" applyFont="1"/>
    <xf numFmtId="41" fontId="3" fillId="0" borderId="0" xfId="0" applyNumberFormat="1" applyFont="1" applyFill="1"/>
    <xf numFmtId="0" fontId="14" fillId="0" borderId="0" xfId="0" applyFont="1"/>
    <xf numFmtId="166" fontId="15" fillId="0" borderId="0" xfId="0" applyNumberFormat="1" applyFont="1" applyAlignment="1">
      <alignment horizontal="center"/>
    </xf>
    <xf numFmtId="0" fontId="15" fillId="0" borderId="0" xfId="0" applyFont="1" applyBorder="1" applyAlignment="1">
      <alignment horizontal="center"/>
    </xf>
    <xf numFmtId="171" fontId="7" fillId="0" borderId="0" xfId="1" applyNumberFormat="1" applyFont="1" applyBorder="1"/>
    <xf numFmtId="171" fontId="0" fillId="0" borderId="0" xfId="1" applyNumberFormat="1" applyFont="1" applyBorder="1"/>
    <xf numFmtId="173" fontId="7" fillId="0" borderId="0" xfId="2" applyNumberFormat="1" applyFont="1" applyBorder="1"/>
    <xf numFmtId="0" fontId="0" fillId="0" borderId="0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4" sqref="A4"/>
    </sheetView>
  </sheetViews>
  <sheetFormatPr defaultColWidth="9.109375" defaultRowHeight="13.2"/>
  <cols>
    <col min="1" max="1" width="3.6640625" style="2" customWidth="1"/>
    <col min="2" max="2" width="16" style="2" customWidth="1"/>
    <col min="3" max="16384" width="9.109375" style="2"/>
  </cols>
  <sheetData>
    <row r="1" spans="1:15" ht="15.6">
      <c r="A1" s="1" t="s">
        <v>35</v>
      </c>
    </row>
    <row r="2" spans="1:15" ht="15.6">
      <c r="A2" s="1" t="s">
        <v>20</v>
      </c>
    </row>
    <row r="3" spans="1:15">
      <c r="A3" s="7" t="s">
        <v>38</v>
      </c>
    </row>
    <row r="4" spans="1:15" s="3" customFormat="1">
      <c r="C4" s="3" t="s">
        <v>1</v>
      </c>
      <c r="D4" s="3" t="s">
        <v>5</v>
      </c>
      <c r="E4" s="3" t="s">
        <v>6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18</v>
      </c>
      <c r="O4" s="3" t="s">
        <v>19</v>
      </c>
    </row>
    <row r="5" spans="1:15" ht="3.6" customHeight="1"/>
    <row r="6" spans="1:15">
      <c r="A6" s="2" t="s">
        <v>7</v>
      </c>
    </row>
    <row r="7" spans="1:15">
      <c r="B7" s="2" t="s">
        <v>2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f>SUM(C7:N7)</f>
        <v>0</v>
      </c>
    </row>
    <row r="8" spans="1:15">
      <c r="B8" s="2" t="s">
        <v>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f>SUM(C8:N8)</f>
        <v>0</v>
      </c>
    </row>
    <row r="9" spans="1:15">
      <c r="B9" s="2" t="s">
        <v>0</v>
      </c>
      <c r="C9" s="4">
        <f t="shared" ref="C9:N9" si="0">SUM(C7:C8)</f>
        <v>0</v>
      </c>
      <c r="D9" s="4">
        <f t="shared" si="0"/>
        <v>0</v>
      </c>
      <c r="E9" s="4">
        <f t="shared" si="0"/>
        <v>0</v>
      </c>
      <c r="F9" s="4">
        <f t="shared" si="0"/>
        <v>0</v>
      </c>
      <c r="G9" s="4">
        <f t="shared" si="0"/>
        <v>0</v>
      </c>
      <c r="H9" s="4">
        <f t="shared" si="0"/>
        <v>0</v>
      </c>
      <c r="I9" s="4">
        <f t="shared" si="0"/>
        <v>0</v>
      </c>
      <c r="J9" s="4">
        <f t="shared" si="0"/>
        <v>0</v>
      </c>
      <c r="K9" s="4">
        <f t="shared" si="0"/>
        <v>0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>SUM(C9:N9)</f>
        <v>0</v>
      </c>
    </row>
    <row r="10" spans="1:15" ht="3.6" customHeight="1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>
      <c r="B11" s="2" t="s">
        <v>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f>SUM(C11:N11)</f>
        <v>0</v>
      </c>
    </row>
    <row r="12" spans="1:15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>
      <c r="B13" s="2" t="s">
        <v>8</v>
      </c>
      <c r="C13" s="4">
        <f t="shared" ref="C13:N13" si="1">C9+C11</f>
        <v>0</v>
      </c>
      <c r="D13" s="4">
        <f t="shared" si="1"/>
        <v>0</v>
      </c>
      <c r="E13" s="4">
        <f t="shared" si="1"/>
        <v>0</v>
      </c>
      <c r="F13" s="4">
        <f t="shared" si="1"/>
        <v>0</v>
      </c>
      <c r="G13" s="4">
        <f t="shared" si="1"/>
        <v>0</v>
      </c>
      <c r="H13" s="4">
        <f t="shared" si="1"/>
        <v>0</v>
      </c>
      <c r="I13" s="4">
        <f t="shared" si="1"/>
        <v>0</v>
      </c>
      <c r="J13" s="4">
        <f t="shared" si="1"/>
        <v>0</v>
      </c>
      <c r="K13" s="4">
        <f t="shared" si="1"/>
        <v>0</v>
      </c>
      <c r="L13" s="4">
        <f t="shared" si="1"/>
        <v>0</v>
      </c>
      <c r="M13" s="4">
        <f t="shared" si="1"/>
        <v>0</v>
      </c>
      <c r="N13" s="4">
        <f t="shared" si="1"/>
        <v>0</v>
      </c>
      <c r="O13" s="4">
        <f>SUM(C13:N13)</f>
        <v>0</v>
      </c>
    </row>
    <row r="14" spans="1:15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>
      <c r="A15" s="2" t="s">
        <v>9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>
      <c r="B16" s="2" t="s">
        <v>2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f>SUM(C16:N16)</f>
        <v>0</v>
      </c>
    </row>
    <row r="17" spans="1:15">
      <c r="B17" s="2" t="s">
        <v>3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f>SUM(C17:N17)</f>
        <v>0</v>
      </c>
    </row>
    <row r="18" spans="1:15">
      <c r="B18" s="2" t="s">
        <v>0</v>
      </c>
      <c r="C18" s="4">
        <f t="shared" ref="C18:N18" si="2">SUM(C16:C17)</f>
        <v>0</v>
      </c>
      <c r="D18" s="4">
        <f t="shared" si="2"/>
        <v>0</v>
      </c>
      <c r="E18" s="4">
        <f t="shared" si="2"/>
        <v>0</v>
      </c>
      <c r="F18" s="4">
        <f t="shared" si="2"/>
        <v>0</v>
      </c>
      <c r="G18" s="4">
        <f t="shared" si="2"/>
        <v>0</v>
      </c>
      <c r="H18" s="4">
        <f t="shared" si="2"/>
        <v>0</v>
      </c>
      <c r="I18" s="4">
        <f t="shared" si="2"/>
        <v>0</v>
      </c>
      <c r="J18" s="4">
        <f t="shared" si="2"/>
        <v>0</v>
      </c>
      <c r="K18" s="4">
        <f t="shared" si="2"/>
        <v>0</v>
      </c>
      <c r="L18" s="4">
        <f t="shared" si="2"/>
        <v>0</v>
      </c>
      <c r="M18" s="4">
        <f t="shared" si="2"/>
        <v>0</v>
      </c>
      <c r="N18" s="4">
        <f t="shared" si="2"/>
        <v>0</v>
      </c>
      <c r="O18" s="4">
        <f>SUM(C18:N18)</f>
        <v>0</v>
      </c>
    </row>
    <row r="19" spans="1:15" ht="3.6" customHeight="1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>
      <c r="B20" s="2" t="s">
        <v>4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f>SUM(C20:N20)</f>
        <v>0</v>
      </c>
    </row>
    <row r="21" spans="1:15" ht="3.6" customHeight="1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>
      <c r="B22" s="2" t="s">
        <v>25</v>
      </c>
      <c r="C22" s="4">
        <f t="shared" ref="C22:N22" si="3">C18+C20</f>
        <v>0</v>
      </c>
      <c r="D22" s="4">
        <f t="shared" si="3"/>
        <v>0</v>
      </c>
      <c r="E22" s="4">
        <f t="shared" si="3"/>
        <v>0</v>
      </c>
      <c r="F22" s="4">
        <f t="shared" si="3"/>
        <v>0</v>
      </c>
      <c r="G22" s="4">
        <f t="shared" si="3"/>
        <v>0</v>
      </c>
      <c r="H22" s="4">
        <f t="shared" si="3"/>
        <v>0</v>
      </c>
      <c r="I22" s="4">
        <f t="shared" si="3"/>
        <v>0</v>
      </c>
      <c r="J22" s="4">
        <f t="shared" si="3"/>
        <v>0</v>
      </c>
      <c r="K22" s="4">
        <f t="shared" si="3"/>
        <v>0</v>
      </c>
      <c r="L22" s="4">
        <f t="shared" si="3"/>
        <v>0</v>
      </c>
      <c r="M22" s="4">
        <f t="shared" si="3"/>
        <v>0</v>
      </c>
      <c r="N22" s="4">
        <f t="shared" si="3"/>
        <v>0</v>
      </c>
      <c r="O22" s="4">
        <f>SUM(C22:N22)</f>
        <v>0</v>
      </c>
    </row>
    <row r="23" spans="1:15">
      <c r="B23" s="2" t="s">
        <v>4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ht="8.25" customHeight="1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>
      <c r="A25" s="2" t="s">
        <v>8</v>
      </c>
      <c r="C25" s="6">
        <f t="shared" ref="C25:N25" si="4">C13+C23</f>
        <v>0</v>
      </c>
      <c r="D25" s="6">
        <f t="shared" si="4"/>
        <v>0</v>
      </c>
      <c r="E25" s="6">
        <f t="shared" si="4"/>
        <v>0</v>
      </c>
      <c r="F25" s="6">
        <f t="shared" si="4"/>
        <v>0</v>
      </c>
      <c r="G25" s="6">
        <f t="shared" si="4"/>
        <v>0</v>
      </c>
      <c r="H25" s="6">
        <f t="shared" si="4"/>
        <v>0</v>
      </c>
      <c r="I25" s="6">
        <f t="shared" si="4"/>
        <v>0</v>
      </c>
      <c r="J25" s="6">
        <f t="shared" si="4"/>
        <v>0</v>
      </c>
      <c r="K25" s="6">
        <f t="shared" si="4"/>
        <v>0</v>
      </c>
      <c r="L25" s="6">
        <f t="shared" si="4"/>
        <v>0</v>
      </c>
      <c r="M25" s="6">
        <f t="shared" si="4"/>
        <v>0</v>
      </c>
      <c r="N25" s="6">
        <f t="shared" si="4"/>
        <v>0</v>
      </c>
      <c r="O25" s="6">
        <f>SUM(C25:N25)</f>
        <v>0</v>
      </c>
    </row>
    <row r="26" spans="1:15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3:1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3:1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3:1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3:1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3:1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3:1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3:1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3:1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3:1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3:1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3:1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3:1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3:1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3:1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3:1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3:1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3:1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3:1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3:1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3:1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3:1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3:1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3:1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3:1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3:1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3:1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3:1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3:1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3:1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 spans="3:1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3:1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3:1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3:1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3:1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3:1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3:1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3:1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3:1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3:1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3:1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3:1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3:1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3:1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3:1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</sheetData>
  <phoneticPr fontId="0" type="noConversion"/>
  <pageMargins left="0.26" right="0.23" top="0.71" bottom="0.9" header="0.5" footer="0.5"/>
  <pageSetup scale="9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showGridLines="0" tabSelected="1" workbookViewId="0">
      <pane xSplit="2" ySplit="4" topLeftCell="C26" activePane="bottomRight" state="frozen"/>
      <selection activeCell="A29" sqref="A29"/>
      <selection pane="topRight" activeCell="A29" sqref="A29"/>
      <selection pane="bottomLeft" activeCell="A29" sqref="A29"/>
      <selection pane="bottomRight" activeCell="A29" sqref="A29"/>
    </sheetView>
  </sheetViews>
  <sheetFormatPr defaultColWidth="9.109375" defaultRowHeight="13.2"/>
  <cols>
    <col min="1" max="1" width="3.6640625" style="2" customWidth="1"/>
    <col min="2" max="2" width="16" style="2" customWidth="1"/>
    <col min="3" max="16384" width="9.109375" style="2"/>
  </cols>
  <sheetData>
    <row r="1" spans="1:15" ht="15.6">
      <c r="A1" s="1" t="s">
        <v>36</v>
      </c>
    </row>
    <row r="2" spans="1:15" ht="15.6">
      <c r="A2" s="1" t="s">
        <v>20</v>
      </c>
    </row>
    <row r="3" spans="1:15">
      <c r="A3" s="7" t="s">
        <v>38</v>
      </c>
      <c r="C3" s="26" t="s">
        <v>45</v>
      </c>
      <c r="D3" s="26" t="s">
        <v>46</v>
      </c>
      <c r="E3" s="26" t="s">
        <v>46</v>
      </c>
      <c r="F3" s="26" t="s">
        <v>46</v>
      </c>
      <c r="G3" s="26" t="s">
        <v>46</v>
      </c>
      <c r="H3" s="26" t="s">
        <v>46</v>
      </c>
      <c r="I3" s="26" t="s">
        <v>46</v>
      </c>
      <c r="J3" s="26" t="s">
        <v>46</v>
      </c>
      <c r="K3" s="26" t="s">
        <v>46</v>
      </c>
      <c r="L3" s="26" t="s">
        <v>46</v>
      </c>
      <c r="M3" s="26" t="s">
        <v>46</v>
      </c>
      <c r="N3" s="26" t="s">
        <v>46</v>
      </c>
    </row>
    <row r="4" spans="1:15" s="3" customFormat="1">
      <c r="C4" s="27" t="s">
        <v>1</v>
      </c>
      <c r="D4" s="27" t="s">
        <v>5</v>
      </c>
      <c r="E4" s="27" t="s">
        <v>6</v>
      </c>
      <c r="F4" s="27" t="s">
        <v>10</v>
      </c>
      <c r="G4" s="27" t="s">
        <v>11</v>
      </c>
      <c r="H4" s="27" t="s">
        <v>12</v>
      </c>
      <c r="I4" s="27" t="s">
        <v>13</v>
      </c>
      <c r="J4" s="27" t="s">
        <v>14</v>
      </c>
      <c r="K4" s="27" t="s">
        <v>15</v>
      </c>
      <c r="L4" s="27" t="s">
        <v>16</v>
      </c>
      <c r="M4" s="27" t="s">
        <v>17</v>
      </c>
      <c r="N4" s="27" t="s">
        <v>18</v>
      </c>
      <c r="O4" s="3" t="s">
        <v>19</v>
      </c>
    </row>
    <row r="5" spans="1:15" ht="3.6" customHeight="1"/>
    <row r="6" spans="1:15">
      <c r="A6" s="12" t="s">
        <v>21</v>
      </c>
      <c r="B6" s="12"/>
    </row>
    <row r="7" spans="1:15">
      <c r="B7" s="2" t="s">
        <v>2</v>
      </c>
      <c r="C7" s="11">
        <v>18071</v>
      </c>
      <c r="D7" s="4">
        <f>545406-D8-D11+43726</f>
        <v>112551</v>
      </c>
      <c r="E7" s="4">
        <f>544406-E8-E11+43726</f>
        <v>129790</v>
      </c>
      <c r="F7" s="4">
        <f>525046-F8-F11+43726</f>
        <v>94540</v>
      </c>
      <c r="G7" s="4">
        <f>525264-G8-G11+43726</f>
        <v>94940</v>
      </c>
      <c r="H7" s="4">
        <f>525296-H8-H11+43726</f>
        <v>94790</v>
      </c>
      <c r="I7" s="4">
        <f>54116+43726</f>
        <v>97842</v>
      </c>
      <c r="J7" s="4">
        <f>54315+43726</f>
        <v>98041</v>
      </c>
      <c r="K7" s="4">
        <f>90366+43726</f>
        <v>134092</v>
      </c>
      <c r="L7" s="4">
        <f>69116+43726</f>
        <v>112842</v>
      </c>
      <c r="M7" s="4">
        <f>54111+1667+43726</f>
        <v>99504</v>
      </c>
      <c r="N7" s="4">
        <f>54376+43726</f>
        <v>98102</v>
      </c>
      <c r="O7" s="4">
        <f>SUM(C7:N7)</f>
        <v>1185105</v>
      </c>
    </row>
    <row r="8" spans="1:15" ht="15">
      <c r="B8" s="2" t="s">
        <v>3</v>
      </c>
      <c r="C8" s="28">
        <v>376427</v>
      </c>
      <c r="D8" s="5">
        <f>406228+106864-58226-21426</f>
        <v>433440</v>
      </c>
      <c r="E8" s="5">
        <f>406228+106864-56270-29684</f>
        <v>427138</v>
      </c>
      <c r="F8" s="5">
        <f>406228+106864-50688-19376</f>
        <v>443028</v>
      </c>
      <c r="G8" s="5">
        <f>406228+106864-50752-19494</f>
        <v>442846</v>
      </c>
      <c r="H8" s="5">
        <f>406228+106864-50688-19376</f>
        <v>443028</v>
      </c>
      <c r="I8" s="5">
        <f>443028+(63208/6)</f>
        <v>453562.66666666669</v>
      </c>
      <c r="J8" s="5">
        <f>443028+(63209/6)</f>
        <v>453562.83333333331</v>
      </c>
      <c r="K8" s="5">
        <f>427138+(68209/6)</f>
        <v>438506.16666666669</v>
      </c>
      <c r="L8" s="5">
        <f>436218+(68209/6)</f>
        <v>447586.16666666669</v>
      </c>
      <c r="M8" s="5">
        <f>443023+(68209/6)</f>
        <v>454391.16666666669</v>
      </c>
      <c r="N8" s="5">
        <f>443023+(68209/6)</f>
        <v>454391.16666666669</v>
      </c>
      <c r="O8" s="23">
        <f>SUM(C8:N8)</f>
        <v>5267907.166666667</v>
      </c>
    </row>
    <row r="9" spans="1:15">
      <c r="B9" s="2" t="s">
        <v>0</v>
      </c>
      <c r="C9" s="4">
        <f t="shared" ref="C9:O9" si="0">SUM(C7:C8)</f>
        <v>394498</v>
      </c>
      <c r="D9" s="4">
        <f t="shared" si="0"/>
        <v>545991</v>
      </c>
      <c r="E9" s="4">
        <f t="shared" si="0"/>
        <v>556928</v>
      </c>
      <c r="F9" s="4">
        <f t="shared" si="0"/>
        <v>537568</v>
      </c>
      <c r="G9" s="4">
        <f t="shared" si="0"/>
        <v>537786</v>
      </c>
      <c r="H9" s="4">
        <f t="shared" si="0"/>
        <v>537818</v>
      </c>
      <c r="I9" s="4">
        <f t="shared" si="0"/>
        <v>551404.66666666674</v>
      </c>
      <c r="J9" s="4">
        <f t="shared" si="0"/>
        <v>551603.83333333326</v>
      </c>
      <c r="K9" s="4">
        <f t="shared" si="0"/>
        <v>572598.16666666674</v>
      </c>
      <c r="L9" s="4">
        <f t="shared" si="0"/>
        <v>560428.16666666674</v>
      </c>
      <c r="M9" s="4">
        <f t="shared" si="0"/>
        <v>553895.16666666674</v>
      </c>
      <c r="N9" s="4">
        <f t="shared" si="0"/>
        <v>552493.16666666674</v>
      </c>
      <c r="O9" s="4">
        <f t="shared" si="0"/>
        <v>6453012.166666667</v>
      </c>
    </row>
    <row r="10" spans="1:15" ht="3.6" customHeight="1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>
        <f>SUM(C10:N10)</f>
        <v>0</v>
      </c>
    </row>
    <row r="11" spans="1:15" ht="15">
      <c r="B11" s="2" t="s">
        <v>4</v>
      </c>
      <c r="C11" s="28">
        <v>56213</v>
      </c>
      <c r="D11" s="5">
        <f>68150-25009</f>
        <v>43141</v>
      </c>
      <c r="E11" s="5">
        <v>31204</v>
      </c>
      <c r="F11" s="5">
        <v>31204</v>
      </c>
      <c r="G11" s="5">
        <v>31204</v>
      </c>
      <c r="H11" s="5">
        <v>31204</v>
      </c>
      <c r="I11" s="5">
        <v>31204</v>
      </c>
      <c r="J11" s="5">
        <v>31204</v>
      </c>
      <c r="K11" s="5">
        <v>31204</v>
      </c>
      <c r="L11" s="5">
        <v>31204</v>
      </c>
      <c r="M11" s="5">
        <v>31204</v>
      </c>
      <c r="N11" s="5">
        <v>31204</v>
      </c>
      <c r="O11" s="24">
        <f>SUM(C11:N11)</f>
        <v>411394</v>
      </c>
    </row>
    <row r="12" spans="1:15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>
        <f>SUM(C12:N12)</f>
        <v>0</v>
      </c>
    </row>
    <row r="13" spans="1:15">
      <c r="B13" s="2" t="s">
        <v>22</v>
      </c>
      <c r="C13" s="4">
        <f t="shared" ref="C13:O13" si="1">C9+C11</f>
        <v>450711</v>
      </c>
      <c r="D13" s="4">
        <f t="shared" si="1"/>
        <v>589132</v>
      </c>
      <c r="E13" s="4">
        <f t="shared" si="1"/>
        <v>588132</v>
      </c>
      <c r="F13" s="4">
        <f t="shared" si="1"/>
        <v>568772</v>
      </c>
      <c r="G13" s="4">
        <f t="shared" si="1"/>
        <v>568990</v>
      </c>
      <c r="H13" s="4">
        <f t="shared" si="1"/>
        <v>569022</v>
      </c>
      <c r="I13" s="4">
        <f t="shared" si="1"/>
        <v>582608.66666666674</v>
      </c>
      <c r="J13" s="4">
        <f t="shared" si="1"/>
        <v>582807.83333333326</v>
      </c>
      <c r="K13" s="4">
        <f t="shared" si="1"/>
        <v>603802.16666666674</v>
      </c>
      <c r="L13" s="4">
        <f t="shared" si="1"/>
        <v>591632.16666666674</v>
      </c>
      <c r="M13" s="4">
        <f t="shared" si="1"/>
        <v>585099.16666666674</v>
      </c>
      <c r="N13" s="4">
        <f t="shared" si="1"/>
        <v>583697.16666666674</v>
      </c>
      <c r="O13" s="4">
        <f t="shared" si="1"/>
        <v>6864406.166666667</v>
      </c>
    </row>
    <row r="14" spans="1:15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>
      <c r="A15" s="12" t="s">
        <v>23</v>
      </c>
      <c r="B15" s="12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>
      <c r="B16" s="2" t="s">
        <v>2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11">
        <v>0</v>
      </c>
      <c r="K16" s="4">
        <v>0</v>
      </c>
      <c r="L16" s="4">
        <v>0</v>
      </c>
      <c r="M16" s="4">
        <v>0</v>
      </c>
      <c r="N16" s="4">
        <v>0</v>
      </c>
      <c r="O16" s="4">
        <f>SUM(C16:N16)</f>
        <v>0</v>
      </c>
    </row>
    <row r="17" spans="1:15">
      <c r="B17" s="2" t="s">
        <v>3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f>SUM(C17:N17)</f>
        <v>0</v>
      </c>
    </row>
    <row r="18" spans="1:15">
      <c r="B18" s="2" t="s">
        <v>0</v>
      </c>
      <c r="C18" s="4">
        <f t="shared" ref="C18:N18" si="2">SUM(C16:C17)</f>
        <v>0</v>
      </c>
      <c r="D18" s="4">
        <f t="shared" si="2"/>
        <v>0</v>
      </c>
      <c r="E18" s="4">
        <f t="shared" si="2"/>
        <v>0</v>
      </c>
      <c r="F18" s="4">
        <f t="shared" si="2"/>
        <v>0</v>
      </c>
      <c r="G18" s="4">
        <f t="shared" si="2"/>
        <v>0</v>
      </c>
      <c r="H18" s="4">
        <f t="shared" si="2"/>
        <v>0</v>
      </c>
      <c r="I18" s="4">
        <f t="shared" si="2"/>
        <v>0</v>
      </c>
      <c r="J18" s="4">
        <f t="shared" si="2"/>
        <v>0</v>
      </c>
      <c r="K18" s="4">
        <f t="shared" si="2"/>
        <v>0</v>
      </c>
      <c r="L18" s="4">
        <f t="shared" si="2"/>
        <v>0</v>
      </c>
      <c r="M18" s="4">
        <f t="shared" si="2"/>
        <v>0</v>
      </c>
      <c r="N18" s="4">
        <f t="shared" si="2"/>
        <v>0</v>
      </c>
      <c r="O18" s="4">
        <f>SUM(C18:N18)</f>
        <v>0</v>
      </c>
    </row>
    <row r="19" spans="1:15" ht="3.6" customHeight="1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>
      <c r="B20" s="2" t="s">
        <v>4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f>SUM(C20:N20)</f>
        <v>0</v>
      </c>
    </row>
    <row r="21" spans="1:15" ht="3.6" customHeight="1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>
      <c r="B22" s="2" t="s">
        <v>24</v>
      </c>
      <c r="C22" s="4">
        <f t="shared" ref="C22:N22" si="3">C18+C20</f>
        <v>0</v>
      </c>
      <c r="D22" s="4">
        <f t="shared" si="3"/>
        <v>0</v>
      </c>
      <c r="E22" s="4">
        <f t="shared" si="3"/>
        <v>0</v>
      </c>
      <c r="F22" s="4">
        <f t="shared" si="3"/>
        <v>0</v>
      </c>
      <c r="G22" s="4">
        <f t="shared" si="3"/>
        <v>0</v>
      </c>
      <c r="H22" s="4">
        <f t="shared" si="3"/>
        <v>0</v>
      </c>
      <c r="I22" s="4">
        <f t="shared" si="3"/>
        <v>0</v>
      </c>
      <c r="J22" s="4">
        <f t="shared" si="3"/>
        <v>0</v>
      </c>
      <c r="K22" s="4">
        <f t="shared" si="3"/>
        <v>0</v>
      </c>
      <c r="L22" s="4">
        <f t="shared" si="3"/>
        <v>0</v>
      </c>
      <c r="M22" s="4">
        <f t="shared" si="3"/>
        <v>0</v>
      </c>
      <c r="N22" s="4">
        <f t="shared" si="3"/>
        <v>0</v>
      </c>
      <c r="O22" s="4">
        <f>SUM(C22:N22)</f>
        <v>0</v>
      </c>
    </row>
    <row r="23" spans="1:15">
      <c r="B23" s="2" t="s">
        <v>4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ht="8.25" customHeight="1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>
      <c r="A25" s="2" t="s">
        <v>22</v>
      </c>
      <c r="C25" s="6">
        <f t="shared" ref="C25:N25" si="4">C13+C23</f>
        <v>450711</v>
      </c>
      <c r="D25" s="6">
        <f t="shared" si="4"/>
        <v>589132</v>
      </c>
      <c r="E25" s="6">
        <f t="shared" si="4"/>
        <v>588132</v>
      </c>
      <c r="F25" s="6">
        <f t="shared" si="4"/>
        <v>568772</v>
      </c>
      <c r="G25" s="6">
        <f t="shared" si="4"/>
        <v>568990</v>
      </c>
      <c r="H25" s="6">
        <f t="shared" si="4"/>
        <v>569022</v>
      </c>
      <c r="I25" s="6">
        <f t="shared" si="4"/>
        <v>582608.66666666674</v>
      </c>
      <c r="J25" s="6">
        <f t="shared" si="4"/>
        <v>582807.83333333326</v>
      </c>
      <c r="K25" s="6">
        <f t="shared" si="4"/>
        <v>603802.16666666674</v>
      </c>
      <c r="L25" s="6">
        <f t="shared" si="4"/>
        <v>591632.16666666674</v>
      </c>
      <c r="M25" s="6">
        <f t="shared" si="4"/>
        <v>585099.16666666674</v>
      </c>
      <c r="N25" s="6">
        <f t="shared" si="4"/>
        <v>583697.16666666674</v>
      </c>
      <c r="O25" s="6">
        <f>SUM(C25:N25)</f>
        <v>6864406.1666666679</v>
      </c>
    </row>
    <row r="26" spans="1:15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>
      <c r="A29" s="12" t="s">
        <v>49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>
      <c r="A30" s="33" t="str">
        <f ca="1">CELL("filename")</f>
        <v>P:\IT MS Financial\njc\2002\Dynegy\[Dynegy Plan 2002 FINAL!!.xls]Gas Log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3:1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3:1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3:1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3:1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3:1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3:1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3:1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3:1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3:1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3:1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3:1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3:1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3:1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3:1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3:1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3:1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3:1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3:1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3:1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3:1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3:1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3:1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3:1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3:1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3:1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3:1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3:1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3:1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3:1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 spans="3:1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3:1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3:1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3:1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3:1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3:1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3:1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3:1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3:1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3:1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3:1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3:1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3:1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3:1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3:1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</sheetData>
  <phoneticPr fontId="0" type="noConversion"/>
  <pageMargins left="0.26" right="0.23" top="0.71" bottom="0.9" header="0.5" footer="0.5"/>
  <pageSetup scale="98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showGridLines="0" workbookViewId="0">
      <selection activeCell="A13" sqref="A13"/>
    </sheetView>
  </sheetViews>
  <sheetFormatPr defaultRowHeight="13.2"/>
  <cols>
    <col min="1" max="1" width="5.109375" customWidth="1"/>
    <col min="2" max="2" width="45.88671875" customWidth="1"/>
    <col min="3" max="3" width="14" style="9" bestFit="1" customWidth="1"/>
    <col min="5" max="5" width="12.88671875" bestFit="1" customWidth="1"/>
  </cols>
  <sheetData>
    <row r="1" spans="1:5" ht="15.6">
      <c r="A1" s="1" t="s">
        <v>36</v>
      </c>
    </row>
    <row r="2" spans="1:5" ht="15.6">
      <c r="A2" s="1" t="s">
        <v>34</v>
      </c>
    </row>
    <row r="3" spans="1:5">
      <c r="A3" s="7" t="s">
        <v>38</v>
      </c>
    </row>
    <row r="4" spans="1:5">
      <c r="C4" s="34"/>
      <c r="E4" s="35"/>
    </row>
    <row r="5" spans="1:5">
      <c r="E5" s="36"/>
    </row>
    <row r="6" spans="1:5" ht="21.75" customHeight="1">
      <c r="E6" s="37"/>
    </row>
    <row r="7" spans="1:5" ht="13.5" customHeight="1">
      <c r="A7" s="8" t="s">
        <v>31</v>
      </c>
      <c r="C7" s="22">
        <v>7032574</v>
      </c>
      <c r="E7" s="37"/>
    </row>
    <row r="8" spans="1:5" ht="18.75" customHeight="1">
      <c r="B8" t="s">
        <v>41</v>
      </c>
      <c r="C8" s="16">
        <v>-168168</v>
      </c>
      <c r="E8" s="37"/>
    </row>
    <row r="9" spans="1:5" ht="12" customHeight="1">
      <c r="C9" s="16"/>
      <c r="E9" s="37"/>
    </row>
    <row r="10" spans="1:5" ht="18" customHeight="1">
      <c r="C10" s="17"/>
      <c r="E10" s="37"/>
    </row>
    <row r="11" spans="1:5" ht="21" customHeight="1">
      <c r="A11" s="8" t="s">
        <v>32</v>
      </c>
      <c r="C11" s="21">
        <f>SUM(C7:C10)</f>
        <v>6864406</v>
      </c>
      <c r="E11" s="38"/>
    </row>
    <row r="12" spans="1:5">
      <c r="C12" s="14"/>
      <c r="E12" s="39"/>
    </row>
    <row r="13" spans="1:5">
      <c r="A13" s="12" t="s">
        <v>49</v>
      </c>
      <c r="E13" s="39"/>
    </row>
    <row r="14" spans="1:5">
      <c r="E14" s="39"/>
    </row>
    <row r="15" spans="1:5">
      <c r="E15" s="39"/>
    </row>
    <row r="16" spans="1:5">
      <c r="E16" s="3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showGridLines="0" workbookViewId="0">
      <pane xSplit="2" ySplit="4" topLeftCell="L12" activePane="bottomRight" state="frozen"/>
      <selection activeCell="A29" sqref="A29"/>
      <selection pane="topRight" activeCell="A29" sqref="A29"/>
      <selection pane="bottomLeft" activeCell="A29" sqref="A29"/>
      <selection pane="bottomRight" activeCell="G24" sqref="G24"/>
    </sheetView>
  </sheetViews>
  <sheetFormatPr defaultColWidth="9.109375" defaultRowHeight="13.2"/>
  <cols>
    <col min="1" max="1" width="3.6640625" style="2" customWidth="1"/>
    <col min="2" max="2" width="16" style="2" customWidth="1"/>
    <col min="3" max="16384" width="9.109375" style="2"/>
  </cols>
  <sheetData>
    <row r="1" spans="1:15" ht="15.6">
      <c r="A1" s="1" t="s">
        <v>40</v>
      </c>
    </row>
    <row r="2" spans="1:15" ht="15.6">
      <c r="A2" s="1" t="s">
        <v>20</v>
      </c>
    </row>
    <row r="3" spans="1:15">
      <c r="A3" s="7" t="s">
        <v>38</v>
      </c>
      <c r="C3" s="26" t="s">
        <v>45</v>
      </c>
      <c r="D3" s="26" t="s">
        <v>46</v>
      </c>
      <c r="E3" s="26" t="s">
        <v>46</v>
      </c>
      <c r="F3" s="26" t="s">
        <v>46</v>
      </c>
      <c r="G3" s="26" t="s">
        <v>46</v>
      </c>
      <c r="H3" s="26" t="s">
        <v>46</v>
      </c>
      <c r="I3" s="26" t="s">
        <v>46</v>
      </c>
      <c r="J3" s="26" t="s">
        <v>46</v>
      </c>
      <c r="K3" s="26" t="s">
        <v>46</v>
      </c>
      <c r="L3" s="26" t="s">
        <v>46</v>
      </c>
      <c r="M3" s="26" t="s">
        <v>46</v>
      </c>
      <c r="N3" s="26" t="s">
        <v>46</v>
      </c>
    </row>
    <row r="4" spans="1:15" s="3" customFormat="1">
      <c r="C4" s="27" t="s">
        <v>1</v>
      </c>
      <c r="D4" s="27" t="s">
        <v>5</v>
      </c>
      <c r="E4" s="27" t="s">
        <v>6</v>
      </c>
      <c r="F4" s="27" t="s">
        <v>10</v>
      </c>
      <c r="G4" s="27" t="s">
        <v>11</v>
      </c>
      <c r="H4" s="27" t="s">
        <v>12</v>
      </c>
      <c r="I4" s="27" t="s">
        <v>13</v>
      </c>
      <c r="J4" s="27" t="s">
        <v>14</v>
      </c>
      <c r="K4" s="27" t="s">
        <v>15</v>
      </c>
      <c r="L4" s="27" t="s">
        <v>16</v>
      </c>
      <c r="M4" s="27" t="s">
        <v>17</v>
      </c>
      <c r="N4" s="27" t="s">
        <v>18</v>
      </c>
      <c r="O4" s="3" t="s">
        <v>19</v>
      </c>
    </row>
    <row r="5" spans="1:15" ht="3.6" customHeight="1"/>
    <row r="6" spans="1:15">
      <c r="A6" s="12" t="s">
        <v>39</v>
      </c>
      <c r="B6" s="12"/>
    </row>
    <row r="7" spans="1:15">
      <c r="B7" s="2" t="s">
        <v>2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f>SUM(C7:N7)</f>
        <v>0</v>
      </c>
    </row>
    <row r="8" spans="1:15">
      <c r="B8" s="2" t="s">
        <v>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f>SUM(C8:N8)</f>
        <v>0</v>
      </c>
    </row>
    <row r="9" spans="1:15">
      <c r="B9" s="2" t="s">
        <v>0</v>
      </c>
      <c r="C9" s="4">
        <f t="shared" ref="C9:H9" si="0">SUM(C7:C8)</f>
        <v>0</v>
      </c>
      <c r="D9" s="4">
        <f t="shared" si="0"/>
        <v>0</v>
      </c>
      <c r="E9" s="4">
        <f t="shared" si="0"/>
        <v>0</v>
      </c>
      <c r="F9" s="4">
        <f t="shared" si="0"/>
        <v>0</v>
      </c>
      <c r="G9" s="4">
        <f t="shared" si="0"/>
        <v>0</v>
      </c>
      <c r="H9" s="4">
        <f t="shared" si="0"/>
        <v>0</v>
      </c>
      <c r="I9" s="4">
        <f t="shared" ref="I9:N9" si="1">SUM(I7:I8)</f>
        <v>0</v>
      </c>
      <c r="J9" s="4">
        <f t="shared" si="1"/>
        <v>0</v>
      </c>
      <c r="K9" s="4">
        <f t="shared" si="1"/>
        <v>0</v>
      </c>
      <c r="L9" s="4">
        <f t="shared" si="1"/>
        <v>0</v>
      </c>
      <c r="M9" s="4">
        <f t="shared" si="1"/>
        <v>0</v>
      </c>
      <c r="N9" s="4">
        <f t="shared" si="1"/>
        <v>0</v>
      </c>
      <c r="O9" s="4">
        <f>SUM(C9:N9)</f>
        <v>0</v>
      </c>
    </row>
    <row r="10" spans="1:15" ht="3.6" customHeight="1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>
      <c r="B11" s="2" t="s">
        <v>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f>SUM(C11:N11)</f>
        <v>0</v>
      </c>
    </row>
    <row r="12" spans="1:15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>
      <c r="B13" s="2" t="s">
        <v>22</v>
      </c>
      <c r="C13" s="4">
        <f>C9+C11</f>
        <v>0</v>
      </c>
      <c r="D13" s="4">
        <f t="shared" ref="D13:N13" si="2">D9+D11</f>
        <v>0</v>
      </c>
      <c r="E13" s="4">
        <f t="shared" si="2"/>
        <v>0</v>
      </c>
      <c r="F13" s="4">
        <f t="shared" si="2"/>
        <v>0</v>
      </c>
      <c r="G13" s="4">
        <f t="shared" si="2"/>
        <v>0</v>
      </c>
      <c r="H13" s="4">
        <f t="shared" si="2"/>
        <v>0</v>
      </c>
      <c r="I13" s="4">
        <f t="shared" si="2"/>
        <v>0</v>
      </c>
      <c r="J13" s="4">
        <f t="shared" si="2"/>
        <v>0</v>
      </c>
      <c r="K13" s="4">
        <f t="shared" si="2"/>
        <v>0</v>
      </c>
      <c r="L13" s="4">
        <f t="shared" si="2"/>
        <v>0</v>
      </c>
      <c r="M13" s="4">
        <f t="shared" si="2"/>
        <v>0</v>
      </c>
      <c r="N13" s="4">
        <f t="shared" si="2"/>
        <v>0</v>
      </c>
      <c r="O13" s="4">
        <f>SUM(C13:N13)</f>
        <v>0</v>
      </c>
    </row>
    <row r="14" spans="1:15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>
      <c r="A15" s="12" t="s">
        <v>39</v>
      </c>
      <c r="B15" s="12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>
      <c r="B16" s="2" t="s">
        <v>2</v>
      </c>
      <c r="C16" s="11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11">
        <v>0</v>
      </c>
      <c r="K16" s="4">
        <v>0</v>
      </c>
      <c r="L16" s="4">
        <v>0</v>
      </c>
      <c r="M16" s="4">
        <v>0</v>
      </c>
      <c r="N16" s="4">
        <v>0</v>
      </c>
      <c r="O16" s="4">
        <f>SUM(C16:N16)</f>
        <v>0</v>
      </c>
    </row>
    <row r="17" spans="1:15" ht="16.8">
      <c r="B17" s="2" t="s">
        <v>3</v>
      </c>
      <c r="C17" s="31">
        <f>55019+(20601*0.4)</f>
        <v>63259.4</v>
      </c>
      <c r="D17" s="24">
        <f>((22691/12)*0.4)+(265093/12)+50417+7028+(69622/11)</f>
        <v>86621.722727272718</v>
      </c>
      <c r="E17" s="24">
        <f t="shared" ref="E17:N17" si="3">((22691/12)*0.4)+(265093/12)+50417+7028+(69622/11)</f>
        <v>86621.722727272718</v>
      </c>
      <c r="F17" s="24">
        <f t="shared" si="3"/>
        <v>86621.722727272718</v>
      </c>
      <c r="G17" s="24">
        <f t="shared" si="3"/>
        <v>86621.722727272718</v>
      </c>
      <c r="H17" s="24">
        <f t="shared" si="3"/>
        <v>86621.722727272718</v>
      </c>
      <c r="I17" s="24">
        <f t="shared" si="3"/>
        <v>86621.722727272718</v>
      </c>
      <c r="J17" s="24">
        <f t="shared" si="3"/>
        <v>86621.722727272718</v>
      </c>
      <c r="K17" s="24">
        <f t="shared" si="3"/>
        <v>86621.722727272718</v>
      </c>
      <c r="L17" s="24">
        <f t="shared" si="3"/>
        <v>86621.722727272718</v>
      </c>
      <c r="M17" s="24">
        <f t="shared" si="3"/>
        <v>86621.722727272718</v>
      </c>
      <c r="N17" s="24">
        <f t="shared" si="3"/>
        <v>86621.722727272718</v>
      </c>
      <c r="O17" s="5">
        <f>SUM(C17:N17)</f>
        <v>1016098.3499999996</v>
      </c>
    </row>
    <row r="18" spans="1:15">
      <c r="B18" s="2" t="s">
        <v>0</v>
      </c>
      <c r="C18" s="4">
        <f t="shared" ref="C18:N18" si="4">SUM(C16:C17)</f>
        <v>63259.4</v>
      </c>
      <c r="D18" s="4">
        <f t="shared" si="4"/>
        <v>86621.722727272718</v>
      </c>
      <c r="E18" s="4">
        <f t="shared" si="4"/>
        <v>86621.722727272718</v>
      </c>
      <c r="F18" s="4">
        <f t="shared" si="4"/>
        <v>86621.722727272718</v>
      </c>
      <c r="G18" s="4">
        <f t="shared" si="4"/>
        <v>86621.722727272718</v>
      </c>
      <c r="H18" s="4">
        <f t="shared" si="4"/>
        <v>86621.722727272718</v>
      </c>
      <c r="I18" s="4">
        <f t="shared" si="4"/>
        <v>86621.722727272718</v>
      </c>
      <c r="J18" s="4">
        <f t="shared" si="4"/>
        <v>86621.722727272718</v>
      </c>
      <c r="K18" s="4">
        <f t="shared" si="4"/>
        <v>86621.722727272718</v>
      </c>
      <c r="L18" s="4">
        <f t="shared" si="4"/>
        <v>86621.722727272718</v>
      </c>
      <c r="M18" s="4">
        <f t="shared" si="4"/>
        <v>86621.722727272718</v>
      </c>
      <c r="N18" s="4">
        <f t="shared" si="4"/>
        <v>86621.722727272718</v>
      </c>
      <c r="O18" s="4">
        <f>SUM(C18:N18)</f>
        <v>1016098.3499999996</v>
      </c>
    </row>
    <row r="19" spans="1:15" ht="3.6" customHeight="1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>
      <c r="B20" s="2" t="s">
        <v>4</v>
      </c>
      <c r="C20" s="5">
        <f>(14612*0.66)+(4650*0.4)</f>
        <v>11503.92</v>
      </c>
      <c r="D20" s="5">
        <f t="shared" ref="D20:N20" si="5">(14613/12*0.4)+3287</f>
        <v>3774.1</v>
      </c>
      <c r="E20" s="5">
        <f t="shared" si="5"/>
        <v>3774.1</v>
      </c>
      <c r="F20" s="5">
        <f t="shared" si="5"/>
        <v>3774.1</v>
      </c>
      <c r="G20" s="5">
        <f t="shared" si="5"/>
        <v>3774.1</v>
      </c>
      <c r="H20" s="5">
        <f t="shared" si="5"/>
        <v>3774.1</v>
      </c>
      <c r="I20" s="5">
        <f t="shared" si="5"/>
        <v>3774.1</v>
      </c>
      <c r="J20" s="5">
        <f t="shared" si="5"/>
        <v>3774.1</v>
      </c>
      <c r="K20" s="5">
        <f t="shared" si="5"/>
        <v>3774.1</v>
      </c>
      <c r="L20" s="5">
        <f t="shared" si="5"/>
        <v>3774.1</v>
      </c>
      <c r="M20" s="5">
        <f t="shared" si="5"/>
        <v>3774.1</v>
      </c>
      <c r="N20" s="5">
        <f t="shared" si="5"/>
        <v>3774.1</v>
      </c>
      <c r="O20" s="5">
        <f>SUM(C20:N20)</f>
        <v>53019.01999999999</v>
      </c>
    </row>
    <row r="21" spans="1:15" ht="3.6" customHeight="1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>
      <c r="B22" s="2" t="s">
        <v>24</v>
      </c>
      <c r="C22" s="4">
        <f t="shared" ref="C22:N22" si="6">C18+C20</f>
        <v>74763.320000000007</v>
      </c>
      <c r="D22" s="4">
        <f t="shared" si="6"/>
        <v>90395.822727272724</v>
      </c>
      <c r="E22" s="4">
        <f t="shared" si="6"/>
        <v>90395.822727272724</v>
      </c>
      <c r="F22" s="4">
        <f t="shared" si="6"/>
        <v>90395.822727272724</v>
      </c>
      <c r="G22" s="4">
        <f t="shared" si="6"/>
        <v>90395.822727272724</v>
      </c>
      <c r="H22" s="4">
        <f t="shared" si="6"/>
        <v>90395.822727272724</v>
      </c>
      <c r="I22" s="4">
        <f t="shared" si="6"/>
        <v>90395.822727272724</v>
      </c>
      <c r="J22" s="4">
        <f t="shared" si="6"/>
        <v>90395.822727272724</v>
      </c>
      <c r="K22" s="4">
        <f t="shared" si="6"/>
        <v>90395.822727272724</v>
      </c>
      <c r="L22" s="4">
        <f t="shared" si="6"/>
        <v>90395.822727272724</v>
      </c>
      <c r="M22" s="4">
        <f t="shared" si="6"/>
        <v>90395.822727272724</v>
      </c>
      <c r="N22" s="4">
        <f t="shared" si="6"/>
        <v>90395.822727272724</v>
      </c>
      <c r="O22" s="4">
        <f>SUM(C22:N22)</f>
        <v>1069117.3700000001</v>
      </c>
    </row>
    <row r="23" spans="1:15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ht="8.25" customHeight="1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>
      <c r="A25" s="2" t="s">
        <v>22</v>
      </c>
      <c r="C25" s="6">
        <f t="shared" ref="C25:H25" si="7">C13+C22</f>
        <v>74763.320000000007</v>
      </c>
      <c r="D25" s="6">
        <f t="shared" si="7"/>
        <v>90395.822727272724</v>
      </c>
      <c r="E25" s="6">
        <f t="shared" si="7"/>
        <v>90395.822727272724</v>
      </c>
      <c r="F25" s="6">
        <f t="shared" si="7"/>
        <v>90395.822727272724</v>
      </c>
      <c r="G25" s="6">
        <f t="shared" si="7"/>
        <v>90395.822727272724</v>
      </c>
      <c r="H25" s="6">
        <f t="shared" si="7"/>
        <v>90395.822727272724</v>
      </c>
      <c r="I25" s="6">
        <f t="shared" ref="I25:N25" si="8">I13+I22</f>
        <v>90395.822727272724</v>
      </c>
      <c r="J25" s="6">
        <f t="shared" si="8"/>
        <v>90395.822727272724</v>
      </c>
      <c r="K25" s="6">
        <f t="shared" si="8"/>
        <v>90395.822727272724</v>
      </c>
      <c r="L25" s="6">
        <f t="shared" si="8"/>
        <v>90395.822727272724</v>
      </c>
      <c r="M25" s="6">
        <f t="shared" si="8"/>
        <v>90395.822727272724</v>
      </c>
      <c r="N25" s="6">
        <f t="shared" si="8"/>
        <v>90395.822727272724</v>
      </c>
      <c r="O25" s="6">
        <f>SUM(C25:N25)</f>
        <v>1069117.3700000001</v>
      </c>
    </row>
    <row r="26" spans="1:15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>
      <c r="A29" s="12" t="s">
        <v>47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>
      <c r="A30" s="33" t="str">
        <f ca="1">CELL("filename")</f>
        <v>P:\IT MS Financial\njc\2002\Dynegy\[Dynegy Plan 2002 FINAL!!.xls]Gas Log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3:1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3:1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3:1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3:1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3:1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3:1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3:1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3:1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3:1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3:1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3:1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3:1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3:1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3:1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3:1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3:1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3:1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3:1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3:1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3:1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3:1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3:1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3:1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3:1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3:1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3:1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3:1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3:1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3:1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 spans="3:1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3:1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3:1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3:1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3:1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3:1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3:1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3:1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3:1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3:1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3:1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3:1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3:1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3:1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3:1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</sheetData>
  <phoneticPr fontId="0" type="noConversion"/>
  <pageMargins left="0.26" right="0.23" top="0.71" bottom="0.9" header="0.5" footer="0.5"/>
  <pageSetup scale="9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showGridLines="0" workbookViewId="0">
      <selection activeCell="A4" sqref="A4"/>
    </sheetView>
  </sheetViews>
  <sheetFormatPr defaultRowHeight="13.2"/>
  <cols>
    <col min="1" max="1" width="5.109375" customWidth="1"/>
    <col min="2" max="2" width="45.44140625" customWidth="1"/>
    <col min="3" max="3" width="9.109375" style="9" customWidth="1"/>
  </cols>
  <sheetData>
    <row r="1" spans="1:3" ht="15.6">
      <c r="A1" s="1" t="s">
        <v>35</v>
      </c>
    </row>
    <row r="2" spans="1:3" ht="15.6">
      <c r="A2" s="1" t="s">
        <v>34</v>
      </c>
    </row>
    <row r="3" spans="1:3">
      <c r="A3" s="7" t="s">
        <v>38</v>
      </c>
    </row>
    <row r="5" spans="1:3">
      <c r="A5" s="8" t="s">
        <v>31</v>
      </c>
      <c r="C5" s="10">
        <v>0</v>
      </c>
    </row>
    <row r="6" spans="1:3" ht="6.75" customHeight="1"/>
    <row r="7" spans="1:3">
      <c r="B7" t="s">
        <v>33</v>
      </c>
      <c r="C7" s="9">
        <v>0</v>
      </c>
    </row>
    <row r="8" spans="1:3">
      <c r="B8" t="s">
        <v>33</v>
      </c>
      <c r="C8" s="9">
        <v>0</v>
      </c>
    </row>
    <row r="9" spans="1:3">
      <c r="B9" t="s">
        <v>33</v>
      </c>
      <c r="C9" s="9">
        <v>0</v>
      </c>
    </row>
    <row r="10" spans="1:3">
      <c r="B10" t="s">
        <v>33</v>
      </c>
      <c r="C10" s="9">
        <v>0</v>
      </c>
    </row>
    <row r="11" spans="1:3">
      <c r="B11" t="s">
        <v>33</v>
      </c>
      <c r="C11" s="9">
        <v>0</v>
      </c>
    </row>
    <row r="12" spans="1:3">
      <c r="B12" t="s">
        <v>33</v>
      </c>
      <c r="C12" s="9">
        <v>0</v>
      </c>
    </row>
    <row r="13" spans="1:3">
      <c r="B13" t="s">
        <v>33</v>
      </c>
      <c r="C13" s="9">
        <v>0</v>
      </c>
    </row>
    <row r="14" spans="1:3">
      <c r="B14" t="s">
        <v>33</v>
      </c>
      <c r="C14" s="9">
        <v>0</v>
      </c>
    </row>
    <row r="15" spans="1:3">
      <c r="B15" t="s">
        <v>33</v>
      </c>
      <c r="C15" s="9">
        <v>0</v>
      </c>
    </row>
    <row r="16" spans="1:3">
      <c r="B16" t="s">
        <v>33</v>
      </c>
      <c r="C16" s="9">
        <v>0</v>
      </c>
    </row>
    <row r="17" spans="1:3">
      <c r="B17" t="s">
        <v>33</v>
      </c>
      <c r="C17" s="9">
        <v>0</v>
      </c>
    </row>
    <row r="18" spans="1:3">
      <c r="B18" t="s">
        <v>33</v>
      </c>
      <c r="C18" s="9">
        <v>0</v>
      </c>
    </row>
    <row r="19" spans="1:3">
      <c r="B19" t="s">
        <v>33</v>
      </c>
      <c r="C19" s="9">
        <v>0</v>
      </c>
    </row>
    <row r="21" spans="1:3">
      <c r="A21" s="8" t="s">
        <v>32</v>
      </c>
      <c r="C21" s="10">
        <f>SUM(C5:C19)</f>
        <v>0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8" sqref="C8"/>
    </sheetView>
  </sheetViews>
  <sheetFormatPr defaultRowHeight="13.2"/>
  <cols>
    <col min="1" max="1" width="3.88671875" customWidth="1"/>
    <col min="2" max="2" width="51.33203125" customWidth="1"/>
    <col min="3" max="3" width="12.88671875" style="9" bestFit="1" customWidth="1"/>
  </cols>
  <sheetData>
    <row r="1" spans="1:3" ht="15.6">
      <c r="A1" s="1" t="s">
        <v>40</v>
      </c>
    </row>
    <row r="2" spans="1:3" ht="15.6">
      <c r="A2" s="1" t="s">
        <v>34</v>
      </c>
    </row>
    <row r="3" spans="1:3">
      <c r="A3" s="7" t="s">
        <v>38</v>
      </c>
    </row>
    <row r="5" spans="1:3">
      <c r="A5" s="8" t="s">
        <v>31</v>
      </c>
      <c r="C5" s="19">
        <v>1057</v>
      </c>
    </row>
    <row r="6" spans="1:3" ht="6.75" customHeight="1"/>
    <row r="8" spans="1:3">
      <c r="C8" s="14"/>
    </row>
    <row r="9" spans="1:3">
      <c r="B9" t="s">
        <v>48</v>
      </c>
      <c r="C9" s="15">
        <v>12</v>
      </c>
    </row>
    <row r="10" spans="1:3" ht="16.5" customHeight="1">
      <c r="A10" s="8" t="s">
        <v>32</v>
      </c>
      <c r="C10" s="21">
        <f>SUM(C5:C9)</f>
        <v>1069</v>
      </c>
    </row>
    <row r="11" spans="1:3">
      <c r="C11" s="1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showGridLines="0" zoomScale="75" workbookViewId="0">
      <pane xSplit="2" ySplit="4" topLeftCell="G5" activePane="bottomRight" state="frozen"/>
      <selection activeCell="A30" sqref="A30"/>
      <selection pane="topRight" activeCell="A30" sqref="A30"/>
      <selection pane="bottomLeft" activeCell="A30" sqref="A30"/>
      <selection pane="bottomRight" activeCell="O7" sqref="O7"/>
    </sheetView>
  </sheetViews>
  <sheetFormatPr defaultColWidth="9.109375" defaultRowHeight="13.2"/>
  <cols>
    <col min="1" max="1" width="3.6640625" style="2" customWidth="1"/>
    <col min="2" max="2" width="15.44140625" style="2" customWidth="1"/>
    <col min="3" max="3" width="10.5546875" style="2" bestFit="1" customWidth="1"/>
    <col min="4" max="5" width="9.109375" style="2"/>
    <col min="6" max="14" width="9.44140625" style="2" bestFit="1" customWidth="1"/>
    <col min="15" max="15" width="11.33203125" style="2" customWidth="1"/>
    <col min="16" max="16384" width="9.109375" style="2"/>
  </cols>
  <sheetData>
    <row r="1" spans="1:15" ht="15.6">
      <c r="A1" s="1" t="s">
        <v>37</v>
      </c>
    </row>
    <row r="2" spans="1:15" ht="15.6">
      <c r="A2" s="1" t="s">
        <v>20</v>
      </c>
    </row>
    <row r="3" spans="1:15">
      <c r="A3" s="7" t="s">
        <v>38</v>
      </c>
      <c r="C3" s="29" t="s">
        <v>45</v>
      </c>
      <c r="D3" s="26" t="s">
        <v>46</v>
      </c>
      <c r="E3" s="26" t="s">
        <v>46</v>
      </c>
      <c r="F3" s="26" t="s">
        <v>46</v>
      </c>
      <c r="G3" s="26" t="s">
        <v>46</v>
      </c>
      <c r="H3" s="26" t="s">
        <v>46</v>
      </c>
      <c r="I3" s="26" t="s">
        <v>46</v>
      </c>
      <c r="J3" s="26" t="s">
        <v>46</v>
      </c>
      <c r="K3" s="26" t="s">
        <v>46</v>
      </c>
      <c r="L3" s="26" t="s">
        <v>46</v>
      </c>
      <c r="M3" s="26" t="s">
        <v>46</v>
      </c>
      <c r="N3" s="26" t="s">
        <v>46</v>
      </c>
      <c r="O3" s="26">
        <v>2002</v>
      </c>
    </row>
    <row r="4" spans="1:15" s="3" customFormat="1">
      <c r="C4" s="30" t="s">
        <v>1</v>
      </c>
      <c r="D4" s="27" t="s">
        <v>5</v>
      </c>
      <c r="E4" s="27" t="s">
        <v>6</v>
      </c>
      <c r="F4" s="27" t="s">
        <v>10</v>
      </c>
      <c r="G4" s="27" t="s">
        <v>11</v>
      </c>
      <c r="H4" s="27" t="s">
        <v>12</v>
      </c>
      <c r="I4" s="27" t="s">
        <v>13</v>
      </c>
      <c r="J4" s="27" t="s">
        <v>14</v>
      </c>
      <c r="K4" s="27" t="s">
        <v>15</v>
      </c>
      <c r="L4" s="27" t="s">
        <v>16</v>
      </c>
      <c r="M4" s="27" t="s">
        <v>17</v>
      </c>
      <c r="N4" s="27" t="s">
        <v>18</v>
      </c>
      <c r="O4" s="27" t="s">
        <v>19</v>
      </c>
    </row>
    <row r="5" spans="1:15" ht="3.6" customHeight="1"/>
    <row r="6" spans="1:15">
      <c r="A6" s="2" t="s">
        <v>26</v>
      </c>
    </row>
    <row r="7" spans="1:15">
      <c r="B7" s="2" t="s">
        <v>2</v>
      </c>
      <c r="C7" s="11">
        <v>436149</v>
      </c>
      <c r="D7" s="4">
        <v>452916</v>
      </c>
      <c r="E7" s="4">
        <v>452916</v>
      </c>
      <c r="F7" s="4">
        <v>452916</v>
      </c>
      <c r="G7" s="4">
        <v>452916</v>
      </c>
      <c r="H7" s="4">
        <v>452916</v>
      </c>
      <c r="I7" s="32">
        <f>1180354-158660-568778-(53257/6)</f>
        <v>444039.83333333331</v>
      </c>
      <c r="J7" s="32">
        <f>1180354-158660-568778-(53257/6)</f>
        <v>444039.83333333331</v>
      </c>
      <c r="K7" s="32">
        <f>1180354-158660-568778-(53257/6)</f>
        <v>444039.83333333331</v>
      </c>
      <c r="L7" s="32">
        <f>1180354-158660-568778-(53257/6)</f>
        <v>444039.83333333331</v>
      </c>
      <c r="M7" s="32">
        <f>1180354-158660-568778-(53257/6)</f>
        <v>444039.83333333331</v>
      </c>
      <c r="N7" s="32">
        <f>1180354-158660-568778-(53257/6)-270</f>
        <v>443769.83333333331</v>
      </c>
      <c r="O7" s="4">
        <f>SUM(C7:N7)</f>
        <v>5364698</v>
      </c>
    </row>
    <row r="8" spans="1:15">
      <c r="B8" s="2" t="s">
        <v>3</v>
      </c>
      <c r="C8" s="28">
        <v>430822</v>
      </c>
      <c r="D8" s="5">
        <v>568778</v>
      </c>
      <c r="E8" s="5">
        <v>568778</v>
      </c>
      <c r="F8" s="5">
        <v>568778</v>
      </c>
      <c r="G8" s="5">
        <v>568778</v>
      </c>
      <c r="H8" s="5">
        <v>568778</v>
      </c>
      <c r="I8" s="5">
        <v>568778</v>
      </c>
      <c r="J8" s="5">
        <v>568778</v>
      </c>
      <c r="K8" s="5">
        <v>568778</v>
      </c>
      <c r="L8" s="5">
        <v>568778</v>
      </c>
      <c r="M8" s="5">
        <v>568778</v>
      </c>
      <c r="N8" s="5">
        <v>568778</v>
      </c>
      <c r="O8" s="5">
        <f>SUM(C8:N8)</f>
        <v>6687380</v>
      </c>
    </row>
    <row r="9" spans="1:15">
      <c r="B9" s="2" t="s">
        <v>0</v>
      </c>
      <c r="C9" s="4">
        <f t="shared" ref="C9:N9" si="0">SUM(C7:C8)</f>
        <v>866971</v>
      </c>
      <c r="D9" s="4">
        <f t="shared" si="0"/>
        <v>1021694</v>
      </c>
      <c r="E9" s="4">
        <f t="shared" si="0"/>
        <v>1021694</v>
      </c>
      <c r="F9" s="4">
        <f t="shared" si="0"/>
        <v>1021694</v>
      </c>
      <c r="G9" s="4">
        <f t="shared" si="0"/>
        <v>1021694</v>
      </c>
      <c r="H9" s="4">
        <f t="shared" si="0"/>
        <v>1021694</v>
      </c>
      <c r="I9" s="4">
        <f t="shared" si="0"/>
        <v>1012817.8333333333</v>
      </c>
      <c r="J9" s="4">
        <f t="shared" si="0"/>
        <v>1012817.8333333333</v>
      </c>
      <c r="K9" s="4">
        <f t="shared" si="0"/>
        <v>1012817.8333333333</v>
      </c>
      <c r="L9" s="4">
        <f t="shared" si="0"/>
        <v>1012817.8333333333</v>
      </c>
      <c r="M9" s="4">
        <f t="shared" si="0"/>
        <v>1012817.8333333333</v>
      </c>
      <c r="N9" s="4">
        <f t="shared" si="0"/>
        <v>1012547.8333333333</v>
      </c>
      <c r="O9" s="4">
        <f>SUM(C9:N9)</f>
        <v>12052078.000000002</v>
      </c>
    </row>
    <row r="10" spans="1:15" ht="3.6" customHeight="1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>
      <c r="B11" s="2" t="s">
        <v>4</v>
      </c>
      <c r="C11" s="28">
        <v>75912</v>
      </c>
      <c r="D11" s="5">
        <f>31599+11174</f>
        <v>42773</v>
      </c>
      <c r="E11" s="5">
        <f t="shared" ref="E11:N11" si="1">31599+11174</f>
        <v>42773</v>
      </c>
      <c r="F11" s="5">
        <f t="shared" si="1"/>
        <v>42773</v>
      </c>
      <c r="G11" s="5">
        <f t="shared" si="1"/>
        <v>42773</v>
      </c>
      <c r="H11" s="5">
        <f t="shared" si="1"/>
        <v>42773</v>
      </c>
      <c r="I11" s="5">
        <f t="shared" si="1"/>
        <v>42773</v>
      </c>
      <c r="J11" s="5">
        <f t="shared" si="1"/>
        <v>42773</v>
      </c>
      <c r="K11" s="5">
        <f t="shared" si="1"/>
        <v>42773</v>
      </c>
      <c r="L11" s="5">
        <f t="shared" si="1"/>
        <v>42773</v>
      </c>
      <c r="M11" s="5">
        <f t="shared" si="1"/>
        <v>42773</v>
      </c>
      <c r="N11" s="5">
        <f t="shared" si="1"/>
        <v>42773</v>
      </c>
      <c r="O11" s="5">
        <f>SUM(C11:N11)</f>
        <v>546415</v>
      </c>
    </row>
    <row r="12" spans="1:15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>
      <c r="B13" s="2" t="s">
        <v>27</v>
      </c>
      <c r="C13" s="4">
        <f t="shared" ref="C13:N13" si="2">C9+C11</f>
        <v>942883</v>
      </c>
      <c r="D13" s="4">
        <f t="shared" si="2"/>
        <v>1064467</v>
      </c>
      <c r="E13" s="4">
        <f t="shared" si="2"/>
        <v>1064467</v>
      </c>
      <c r="F13" s="4">
        <f t="shared" si="2"/>
        <v>1064467</v>
      </c>
      <c r="G13" s="4">
        <f t="shared" si="2"/>
        <v>1064467</v>
      </c>
      <c r="H13" s="4">
        <f t="shared" si="2"/>
        <v>1064467</v>
      </c>
      <c r="I13" s="4">
        <f t="shared" si="2"/>
        <v>1055590.8333333333</v>
      </c>
      <c r="J13" s="4">
        <f t="shared" si="2"/>
        <v>1055590.8333333333</v>
      </c>
      <c r="K13" s="4">
        <f t="shared" si="2"/>
        <v>1055590.8333333333</v>
      </c>
      <c r="L13" s="4">
        <f t="shared" si="2"/>
        <v>1055590.8333333333</v>
      </c>
      <c r="M13" s="4">
        <f t="shared" si="2"/>
        <v>1055590.8333333333</v>
      </c>
      <c r="N13" s="4">
        <f t="shared" si="2"/>
        <v>1055320.8333333333</v>
      </c>
      <c r="O13" s="4">
        <f>SUM(C13:N13)</f>
        <v>12598493.000000002</v>
      </c>
    </row>
    <row r="14" spans="1:15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>
      <c r="A15" s="2" t="s">
        <v>28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>
      <c r="B16" s="2" t="s">
        <v>2</v>
      </c>
      <c r="C16" s="11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f>SUM(C16:N16)</f>
        <v>0</v>
      </c>
    </row>
    <row r="17" spans="1:15" ht="16.8">
      <c r="B17" s="2" t="s">
        <v>3</v>
      </c>
      <c r="C17" s="31">
        <v>515839</v>
      </c>
      <c r="D17" s="24">
        <f>(258646-55950)+203489+(163800/12)+(394000/12)+(20000/6)-(631189/11)</f>
        <v>398620.84848484845</v>
      </c>
      <c r="E17" s="24">
        <f>((272416-55950)+203489+(163800/12)+(394000/12)+(20000/6))-(634189/11)</f>
        <v>412118.12121212116</v>
      </c>
      <c r="F17" s="24">
        <f>(261994-55950)+203489+(163800/12)+(394000/12)+(20000/6)-(634189/11)</f>
        <v>401696.12121212116</v>
      </c>
      <c r="G17" s="24">
        <f>(317038-55950)+203489+(163800/12)+(394000/12)+(20000/6)-(634189/11)</f>
        <v>456740.12121212116</v>
      </c>
      <c r="H17" s="24">
        <f>(262092-55950)+203489+(163800/12)+(394000/12)+(20000/6)-(634189/11)</f>
        <v>401794.12121212116</v>
      </c>
      <c r="I17" s="24">
        <f t="shared" ref="I17:N17" si="3">(261991-55950)+203489+(163800/12)+(394000/12)-(634189/11)</f>
        <v>398359.78787878784</v>
      </c>
      <c r="J17" s="24">
        <f t="shared" si="3"/>
        <v>398359.78787878784</v>
      </c>
      <c r="K17" s="24">
        <f t="shared" si="3"/>
        <v>398359.78787878784</v>
      </c>
      <c r="L17" s="24">
        <f t="shared" si="3"/>
        <v>398359.78787878784</v>
      </c>
      <c r="M17" s="24">
        <f t="shared" si="3"/>
        <v>398359.78787878784</v>
      </c>
      <c r="N17" s="24">
        <f t="shared" si="3"/>
        <v>398359.78787878784</v>
      </c>
      <c r="O17" s="5">
        <f>SUM(C17:N17)</f>
        <v>4976967.0606060615</v>
      </c>
    </row>
    <row r="18" spans="1:15">
      <c r="B18" s="2" t="s">
        <v>0</v>
      </c>
      <c r="C18" s="4">
        <f t="shared" ref="C18:N18" si="4">SUM(C16:C17)</f>
        <v>515839</v>
      </c>
      <c r="D18" s="4">
        <f t="shared" si="4"/>
        <v>398620.84848484845</v>
      </c>
      <c r="E18" s="4">
        <f t="shared" si="4"/>
        <v>412118.12121212116</v>
      </c>
      <c r="F18" s="4">
        <f t="shared" si="4"/>
        <v>401696.12121212116</v>
      </c>
      <c r="G18" s="4">
        <f t="shared" si="4"/>
        <v>456740.12121212116</v>
      </c>
      <c r="H18" s="4">
        <f t="shared" si="4"/>
        <v>401794.12121212116</v>
      </c>
      <c r="I18" s="4">
        <f t="shared" si="4"/>
        <v>398359.78787878784</v>
      </c>
      <c r="J18" s="4">
        <f t="shared" si="4"/>
        <v>398359.78787878784</v>
      </c>
      <c r="K18" s="4">
        <f t="shared" si="4"/>
        <v>398359.78787878784</v>
      </c>
      <c r="L18" s="4">
        <f t="shared" si="4"/>
        <v>398359.78787878784</v>
      </c>
      <c r="M18" s="4">
        <f t="shared" si="4"/>
        <v>398359.78787878784</v>
      </c>
      <c r="N18" s="4">
        <f t="shared" si="4"/>
        <v>398359.78787878784</v>
      </c>
      <c r="O18" s="4">
        <f>SUM(C18:N18)</f>
        <v>4976967.0606060615</v>
      </c>
    </row>
    <row r="19" spans="1:15" ht="3.6" customHeight="1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>
      <c r="B20" s="2" t="s">
        <v>4</v>
      </c>
      <c r="C20" s="28">
        <v>19253</v>
      </c>
      <c r="D20" s="5">
        <f>7498+5765</f>
        <v>13263</v>
      </c>
      <c r="E20" s="5">
        <f t="shared" ref="E20:N20" si="5">7498+5765</f>
        <v>13263</v>
      </c>
      <c r="F20" s="5">
        <f t="shared" si="5"/>
        <v>13263</v>
      </c>
      <c r="G20" s="5">
        <f t="shared" si="5"/>
        <v>13263</v>
      </c>
      <c r="H20" s="5">
        <f t="shared" si="5"/>
        <v>13263</v>
      </c>
      <c r="I20" s="5">
        <f t="shared" si="5"/>
        <v>13263</v>
      </c>
      <c r="J20" s="5">
        <f t="shared" si="5"/>
        <v>13263</v>
      </c>
      <c r="K20" s="5">
        <f t="shared" si="5"/>
        <v>13263</v>
      </c>
      <c r="L20" s="5">
        <f t="shared" si="5"/>
        <v>13263</v>
      </c>
      <c r="M20" s="5">
        <f t="shared" si="5"/>
        <v>13263</v>
      </c>
      <c r="N20" s="5">
        <f t="shared" si="5"/>
        <v>13263</v>
      </c>
      <c r="O20" s="5">
        <f>SUM(C20:N20)</f>
        <v>165146</v>
      </c>
    </row>
    <row r="21" spans="1:15" ht="3.6" customHeight="1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>
      <c r="B22" s="2" t="s">
        <v>29</v>
      </c>
      <c r="C22" s="4">
        <f t="shared" ref="C22:N22" si="6">C18+C20</f>
        <v>535092</v>
      </c>
      <c r="D22" s="4">
        <f t="shared" si="6"/>
        <v>411883.84848484845</v>
      </c>
      <c r="E22" s="4">
        <f t="shared" si="6"/>
        <v>425381.12121212116</v>
      </c>
      <c r="F22" s="4">
        <f t="shared" si="6"/>
        <v>414959.12121212116</v>
      </c>
      <c r="G22" s="4">
        <f t="shared" si="6"/>
        <v>470003.12121212116</v>
      </c>
      <c r="H22" s="4">
        <f t="shared" si="6"/>
        <v>415057.12121212116</v>
      </c>
      <c r="I22" s="4">
        <f t="shared" si="6"/>
        <v>411622.78787878784</v>
      </c>
      <c r="J22" s="4">
        <f t="shared" si="6"/>
        <v>411622.78787878784</v>
      </c>
      <c r="K22" s="4">
        <f t="shared" si="6"/>
        <v>411622.78787878784</v>
      </c>
      <c r="L22" s="4">
        <f t="shared" si="6"/>
        <v>411622.78787878784</v>
      </c>
      <c r="M22" s="4">
        <f t="shared" si="6"/>
        <v>411622.78787878784</v>
      </c>
      <c r="N22" s="4">
        <f t="shared" si="6"/>
        <v>411622.78787878784</v>
      </c>
      <c r="O22" s="4">
        <f>SUM(C22:N22)</f>
        <v>5142113.0606060615</v>
      </c>
    </row>
    <row r="23" spans="1:15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ht="8.25" customHeight="1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>
      <c r="A25" s="2" t="s">
        <v>30</v>
      </c>
      <c r="C25" s="6">
        <f>C13+C22</f>
        <v>1477975</v>
      </c>
      <c r="D25" s="6">
        <f t="shared" ref="D25:N25" si="7">D13+D22</f>
        <v>1476350.8484848484</v>
      </c>
      <c r="E25" s="6">
        <f t="shared" si="7"/>
        <v>1489848.1212121211</v>
      </c>
      <c r="F25" s="6">
        <f t="shared" si="7"/>
        <v>1479426.1212121211</v>
      </c>
      <c r="G25" s="6">
        <f t="shared" si="7"/>
        <v>1534470.1212121211</v>
      </c>
      <c r="H25" s="6">
        <f t="shared" si="7"/>
        <v>1479524.1212121211</v>
      </c>
      <c r="I25" s="6">
        <f t="shared" si="7"/>
        <v>1467213.6212121211</v>
      </c>
      <c r="J25" s="6">
        <f t="shared" si="7"/>
        <v>1467213.6212121211</v>
      </c>
      <c r="K25" s="6">
        <f t="shared" si="7"/>
        <v>1467213.6212121211</v>
      </c>
      <c r="L25" s="6">
        <f t="shared" si="7"/>
        <v>1467213.6212121211</v>
      </c>
      <c r="M25" s="6">
        <f t="shared" si="7"/>
        <v>1467213.6212121211</v>
      </c>
      <c r="N25" s="6">
        <f t="shared" si="7"/>
        <v>1466943.6212121211</v>
      </c>
      <c r="O25" s="6">
        <f>SUM(C25:N25)</f>
        <v>17740606.060606059</v>
      </c>
    </row>
    <row r="26" spans="1:15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>
      <c r="A29" s="12" t="s">
        <v>47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>
      <c r="A30" s="33" t="str">
        <f ca="1">CELL("filename")</f>
        <v>P:\IT MS Financial\njc\2002\Dynegy\[Dynegy Plan 2002 FINAL!!.xls]Gas Log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3:1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3:1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3:1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3:1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3:1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3:1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3:1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3:1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3:1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3:1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3:1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3:1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3:1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3:1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3:1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3:1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3:1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3:1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3:1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3:1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3:1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3:1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3:1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3:1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3:1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3:1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3:1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3:1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3:1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 spans="3:1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3:1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3:1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3:1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3:1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3:1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3:1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3:1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3:1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3:1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3:1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3:1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3:1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3:1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3:1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</sheetData>
  <phoneticPr fontId="0" type="noConversion"/>
  <pageMargins left="0.26" right="0.23" top="0.71" bottom="0.9" header="0.5" footer="0.5"/>
  <pageSetup scale="94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showGridLines="0" workbookViewId="0">
      <selection activeCell="B20" sqref="B20"/>
    </sheetView>
  </sheetViews>
  <sheetFormatPr defaultRowHeight="13.2"/>
  <cols>
    <col min="1" max="1" width="5.109375" customWidth="1"/>
    <col min="2" max="2" width="51.6640625" customWidth="1"/>
    <col min="3" max="3" width="14" style="9" bestFit="1" customWidth="1"/>
  </cols>
  <sheetData>
    <row r="1" spans="1:3" ht="15.6">
      <c r="A1" s="1" t="s">
        <v>37</v>
      </c>
    </row>
    <row r="2" spans="1:3" ht="15.6">
      <c r="A2" s="1" t="s">
        <v>34</v>
      </c>
    </row>
    <row r="3" spans="1:3">
      <c r="A3" s="7" t="s">
        <v>38</v>
      </c>
    </row>
    <row r="5" spans="1:3">
      <c r="A5" s="8" t="s">
        <v>43</v>
      </c>
      <c r="C5" s="19">
        <v>17029</v>
      </c>
    </row>
    <row r="6" spans="1:3" ht="6.75" customHeight="1">
      <c r="C6" s="13"/>
    </row>
    <row r="7" spans="1:3">
      <c r="C7" s="16"/>
    </row>
    <row r="8" spans="1:3">
      <c r="C8" s="16"/>
    </row>
    <row r="9" spans="1:3">
      <c r="B9" t="s">
        <v>42</v>
      </c>
      <c r="C9" s="16">
        <v>712</v>
      </c>
    </row>
    <row r="10" spans="1:3">
      <c r="C10" s="16"/>
    </row>
    <row r="11" spans="1:3">
      <c r="C11" s="17"/>
    </row>
    <row r="12" spans="1:3">
      <c r="A12" s="8" t="s">
        <v>32</v>
      </c>
      <c r="C12" s="20">
        <f>SUM(C5:C11)</f>
        <v>17741</v>
      </c>
    </row>
    <row r="14" spans="1:3">
      <c r="A14" s="25" t="s">
        <v>44</v>
      </c>
      <c r="C14" s="1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Ops</vt:lpstr>
      <vt:lpstr>Gas Log</vt:lpstr>
      <vt:lpstr>Gas Log Variance</vt:lpstr>
      <vt:lpstr>Measurement &amp; Support</vt:lpstr>
      <vt:lpstr>Ops Variance </vt:lpstr>
      <vt:lpstr>Meas. &amp; Support Variance</vt:lpstr>
      <vt:lpstr>IT</vt:lpstr>
      <vt:lpstr>IT Variance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jweitek</dc:creator>
  <cp:lastModifiedBy>Havlíček Jan</cp:lastModifiedBy>
  <cp:lastPrinted>2002-03-05T21:59:02Z</cp:lastPrinted>
  <dcterms:created xsi:type="dcterms:W3CDTF">2002-02-15T17:44:35Z</dcterms:created>
  <dcterms:modified xsi:type="dcterms:W3CDTF">2023-09-10T11:02:45Z</dcterms:modified>
</cp:coreProperties>
</file>